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omments2.xml" ContentType="application/vnd.openxmlformats-officedocument.spreadsheetml.comments+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7.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8.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9.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10.xml" ContentType="application/vnd.openxmlformats-officedocument.drawing+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11.xml" ContentType="application/vnd.openxmlformats-officedocument.drawing+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codeName="ThisWorkbook" defaultThemeVersion="166925"/>
  <mc:AlternateContent xmlns:mc="http://schemas.openxmlformats.org/markup-compatibility/2006">
    <mc:Choice Requires="x15">
      <x15ac:absPath xmlns:x15ac="http://schemas.microsoft.com/office/spreadsheetml/2010/11/ac" url="D:\work\BHM mẫu\"/>
    </mc:Choice>
  </mc:AlternateContent>
  <xr:revisionPtr revIDLastSave="0" documentId="13_ncr:1_{D3E72CC5-490D-41DC-BB93-CF5506AE2D28}" xr6:coauthVersionLast="47" xr6:coauthVersionMax="47" xr10:uidLastSave="{00000000-0000-0000-0000-000000000000}"/>
  <bookViews>
    <workbookView xWindow="-120" yWindow="-120" windowWidth="28095" windowHeight="16440" tabRatio="887" firstSheet="7" activeTab="14" xr2:uid="{00000000-000D-0000-FFFF-FFFF00000000}"/>
  </bookViews>
  <sheets>
    <sheet name="TH1" sheetId="157" state="hidden" r:id="rId1"/>
    <sheet name="1.PL (VND) " sheetId="190" r:id="rId2"/>
    <sheet name="1.BS (VND)" sheetId="159" r:id="rId3"/>
    <sheet name="1.DC_Ra soat" sheetId="158" r:id="rId4"/>
    <sheet name="1.BC_Ra Soat (ty) " sheetId="163" r:id="rId5"/>
    <sheet name="1.DC_Muc tieu" sheetId="145" r:id="rId6"/>
    <sheet name="1.BC_Muc tieu (ty) " sheetId="143" r:id="rId7"/>
    <sheet name="2. WACC" sheetId="232" r:id="rId8"/>
    <sheet name="2. Input" sheetId="196" r:id="rId9"/>
    <sheet name="Dự án - Vốn" sheetId="224" state="hidden" r:id="rId10"/>
    <sheet name="2.IP- SX  " sheetId="150" r:id="rId11"/>
    <sheet name="2.IP- TM" sheetId="206" r:id="rId12"/>
    <sheet name="3.Bo gia" sheetId="204" r:id="rId13"/>
    <sheet name="3. Doanh thu" sheetId="199" r:id="rId14"/>
    <sheet name="3. CP-NL" sheetId="207" r:id="rId15"/>
    <sheet name="KH- Phan bo" sheetId="227" state="hidden" r:id="rId16"/>
    <sheet name="3.KH- Tach" sheetId="226" r:id="rId17"/>
    <sheet name="3.CP-KH" sheetId="215" r:id="rId18"/>
    <sheet name="3.Luong-Tach" sheetId="230" r:id="rId19"/>
    <sheet name="3. CP-Luong" sheetId="214" r:id="rId20"/>
    <sheet name="Luong- Phan bo" sheetId="229" r:id="rId21"/>
    <sheet name="3.CP-TC" sheetId="210" r:id="rId22"/>
    <sheet name="3.Von CĐ" sheetId="223" r:id="rId23"/>
    <sheet name="3. CP-khac" sheetId="209" r:id="rId24"/>
    <sheet name="4. KQ-PL" sheetId="213" r:id="rId25"/>
    <sheet name="4. KQ- BS" sheetId="13" r:id="rId26"/>
    <sheet name="4. NC Vốn" sheetId="191" r:id="rId27"/>
    <sheet name="Biểu đồ - PL" sheetId="236" r:id="rId28"/>
    <sheet name="Biểu đồ - CP" sheetId="237" r:id="rId29"/>
    <sheet name="Biểu đồ - LN" sheetId="238" r:id="rId30"/>
    <sheet name="Biểu đồ - TS" sheetId="239" r:id="rId31"/>
    <sheet name="Biểu đồ - NV" sheetId="240" r:id="rId32"/>
    <sheet name="5. ĐG- Tổng" sheetId="20" r:id="rId33"/>
    <sheet name="5.ĐG-FCFE" sheetId="56" r:id="rId34"/>
    <sheet name="5.ĐG-FCFF" sheetId="5" r:id="rId35"/>
    <sheet name="5.DG- Ty so" sheetId="183" r:id="rId36"/>
    <sheet name="5.DNCN (VND)" sheetId="233" r:id="rId37"/>
    <sheet name="5. DNCN (Tỷ)" sheetId="234" r:id="rId38"/>
    <sheet name="Chi tieu đánh giá tương đồng" sheetId="182" state="hidden" r:id="rId39"/>
    <sheet name="Xếp hạng" sheetId="184" state="hidden" r:id="rId40"/>
  </sheets>
  <externalReferences>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s>
  <definedNames>
    <definedName name="\0" localSheetId="7">'[1]PNT-QUOT-#3'!#REF!</definedName>
    <definedName name="\0">'[1]PNT-QUOT-#3'!#REF!</definedName>
    <definedName name="\a" localSheetId="7">#REF!</definedName>
    <definedName name="\a" localSheetId="27">#REF!</definedName>
    <definedName name="\a">#REF!</definedName>
    <definedName name="\P" localSheetId="7">#REF!</definedName>
    <definedName name="\P" localSheetId="27">#REF!</definedName>
    <definedName name="\P">#REF!</definedName>
    <definedName name="\z">#N/A</definedName>
    <definedName name="_" localSheetId="7">#REF!</definedName>
    <definedName name="_">#REF!</definedName>
    <definedName name="_?" localSheetId="7">#REF!</definedName>
    <definedName name="_?">#REF!</definedName>
    <definedName name="_?쨲?f" localSheetId="7">#REF!</definedName>
    <definedName name="_?쨲?f">#REF!</definedName>
    <definedName name="_________________MN1" localSheetId="7">#REF!</definedName>
    <definedName name="_________________MN1">#REF!</definedName>
    <definedName name="_________________MN2" localSheetId="7">#REF!</definedName>
    <definedName name="_________________MN2">#REF!</definedName>
    <definedName name="_________________MT1" localSheetId="7">#REF!</definedName>
    <definedName name="_________________MT1">#REF!</definedName>
    <definedName name="_________________MT2">#REF!</definedName>
    <definedName name="_________________tg427">#REF!</definedName>
    <definedName name="_________________UT2">#REF!</definedName>
    <definedName name="________________atn1">#REF!</definedName>
    <definedName name="________________atn10">#REF!</definedName>
    <definedName name="________________atn2">#REF!</definedName>
    <definedName name="________________atn3">#REF!</definedName>
    <definedName name="________________atn4">#REF!</definedName>
    <definedName name="________________atn5">#REF!</definedName>
    <definedName name="________________atn6">#REF!</definedName>
    <definedName name="________________atn7">#REF!</definedName>
    <definedName name="________________atn8">#REF!</definedName>
    <definedName name="________________atn9">#REF!</definedName>
    <definedName name="________________CON1">#REF!</definedName>
    <definedName name="________________CON2">#REF!</definedName>
    <definedName name="________________cpd1">#REF!</definedName>
    <definedName name="________________cpd2">#REF!</definedName>
    <definedName name="________________deo1">#REF!</definedName>
    <definedName name="________________deo10">#REF!</definedName>
    <definedName name="________________deo2">#REF!</definedName>
    <definedName name="________________deo3">#REF!</definedName>
    <definedName name="________________deo4">#REF!</definedName>
    <definedName name="________________deo5">#REF!</definedName>
    <definedName name="________________deo6">#REF!</definedName>
    <definedName name="________________deo7">#REF!</definedName>
    <definedName name="________________deo8">#REF!</definedName>
    <definedName name="________________deo9">#REF!</definedName>
    <definedName name="________________khu7">#REF!</definedName>
    <definedName name="________________nc151">#REF!</definedName>
    <definedName name="________________NET2">#REF!</definedName>
    <definedName name="________________tct5">#REF!</definedName>
    <definedName name="________________TH20">#REF!</definedName>
    <definedName name="________________xx3">#REF!</definedName>
    <definedName name="________________xx4">#REF!</definedName>
    <definedName name="________________xx5">#REF!</definedName>
    <definedName name="________________xx6">#REF!</definedName>
    <definedName name="________________xx7">#REF!</definedName>
    <definedName name="______________Cau2">#REF!</definedName>
    <definedName name="______________deo6">#REF!</definedName>
    <definedName name="______________deo7">#REF!</definedName>
    <definedName name="______________deo8">#REF!</definedName>
    <definedName name="______________deo9">#REF!</definedName>
    <definedName name="______________khu7">#REF!</definedName>
    <definedName name="______________MB1">#REF!</definedName>
    <definedName name="______________MB2">#REF!</definedName>
    <definedName name="______________MN1">#REF!</definedName>
    <definedName name="______________MN2">#REF!</definedName>
    <definedName name="______________MT1">#REF!</definedName>
    <definedName name="______________MT2">#REF!</definedName>
    <definedName name="______________nc151">#REF!</definedName>
    <definedName name="______________NET2">#REF!</definedName>
    <definedName name="______________tct5">#REF!</definedName>
    <definedName name="______________tg427">#REF!</definedName>
    <definedName name="______________TH20">#REF!</definedName>
    <definedName name="______________UT2">#REF!</definedName>
    <definedName name="______________xx3">#REF!</definedName>
    <definedName name="______________xx4">#REF!</definedName>
    <definedName name="______________xx5">#REF!</definedName>
    <definedName name="______________xx6">#REF!</definedName>
    <definedName name="______________xx7">#REF!</definedName>
    <definedName name="_____________atn1">#REF!</definedName>
    <definedName name="_____________atn10">#REF!</definedName>
    <definedName name="_____________atn2">#REF!</definedName>
    <definedName name="_____________atn3">#REF!</definedName>
    <definedName name="_____________atn4">#REF!</definedName>
    <definedName name="_____________atn5">#REF!</definedName>
    <definedName name="_____________atn6">#REF!</definedName>
    <definedName name="_____________atn7">#REF!</definedName>
    <definedName name="_____________atn8">#REF!</definedName>
    <definedName name="_____________atn9">#REF!</definedName>
    <definedName name="_____________CON1">#REF!</definedName>
    <definedName name="_____________CON2">#REF!</definedName>
    <definedName name="_____________cpd1">#REF!</definedName>
    <definedName name="_____________cpd2">#REF!</definedName>
    <definedName name="_____________deo1">#REF!</definedName>
    <definedName name="_____________deo10">#REF!</definedName>
    <definedName name="_____________deo2">#REF!</definedName>
    <definedName name="_____________deo3">#REF!</definedName>
    <definedName name="_____________deo4">#REF!</definedName>
    <definedName name="_____________deo5">#REF!</definedName>
    <definedName name="_____________deo6">#REF!</definedName>
    <definedName name="_____________deo7">#REF!</definedName>
    <definedName name="_____________deo8">#REF!</definedName>
    <definedName name="_____________deo9">#REF!</definedName>
    <definedName name="_____________khu7">#REF!</definedName>
    <definedName name="_____________nc151">#REF!</definedName>
    <definedName name="_____________NET2">#REF!</definedName>
    <definedName name="_____________tct5">#REF!</definedName>
    <definedName name="_____________TH20">#REF!</definedName>
    <definedName name="_____________xx3">#REF!</definedName>
    <definedName name="_____________xx4">#REF!</definedName>
    <definedName name="_____________xx5">#REF!</definedName>
    <definedName name="_____________xx6">#REF!</definedName>
    <definedName name="_____________xx7">#REF!</definedName>
    <definedName name="____________atn1">#REF!</definedName>
    <definedName name="____________atn10">#REF!</definedName>
    <definedName name="____________atn2">#REF!</definedName>
    <definedName name="____________atn3">#REF!</definedName>
    <definedName name="____________atn4">#REF!</definedName>
    <definedName name="____________atn5">#REF!</definedName>
    <definedName name="____________atn6">#REF!</definedName>
    <definedName name="____________atn7">#REF!</definedName>
    <definedName name="____________atn8">#REF!</definedName>
    <definedName name="____________atn9">#REF!</definedName>
    <definedName name="____________Cau2">#REF!</definedName>
    <definedName name="____________CON1">#REF!</definedName>
    <definedName name="____________CON2">#REF!</definedName>
    <definedName name="____________cpd1">#REF!</definedName>
    <definedName name="____________cpd2">#REF!</definedName>
    <definedName name="____________deo1">#REF!</definedName>
    <definedName name="____________deo10">#REF!</definedName>
    <definedName name="____________deo2">#REF!</definedName>
    <definedName name="____________deo3">#REF!</definedName>
    <definedName name="____________deo4">#REF!</definedName>
    <definedName name="____________deo5">#REF!</definedName>
    <definedName name="____________deo6">#REF!</definedName>
    <definedName name="____________deo7">#REF!</definedName>
    <definedName name="____________deo8">#REF!</definedName>
    <definedName name="____________deo9">#REF!</definedName>
    <definedName name="____________khu7">#REF!</definedName>
    <definedName name="____________MB1">#REF!</definedName>
    <definedName name="____________MB2">#REF!</definedName>
    <definedName name="____________MN1">#REF!</definedName>
    <definedName name="____________MN2">#REF!</definedName>
    <definedName name="____________MT1">#REF!</definedName>
    <definedName name="____________MT2">#REF!</definedName>
    <definedName name="____________nc151">#REF!</definedName>
    <definedName name="____________NET2">#REF!</definedName>
    <definedName name="____________tct5">#REF!</definedName>
    <definedName name="____________tg427">#REF!</definedName>
    <definedName name="____________TH20">#REF!</definedName>
    <definedName name="____________UT2">#REF!</definedName>
    <definedName name="____________xx3">#REF!</definedName>
    <definedName name="____________xx4">#REF!</definedName>
    <definedName name="____________xx5">#REF!</definedName>
    <definedName name="____________xx6">#REF!</definedName>
    <definedName name="____________xx7">#REF!</definedName>
    <definedName name="___________atn1">#REF!</definedName>
    <definedName name="___________atn10">#REF!</definedName>
    <definedName name="___________atn2">#REF!</definedName>
    <definedName name="___________atn3">#REF!</definedName>
    <definedName name="___________atn4">#REF!</definedName>
    <definedName name="___________atn5">#REF!</definedName>
    <definedName name="___________atn6">#REF!</definedName>
    <definedName name="___________atn7">#REF!</definedName>
    <definedName name="___________atn8">#REF!</definedName>
    <definedName name="___________atn9">#REF!</definedName>
    <definedName name="___________Cau2">#REF!</definedName>
    <definedName name="___________CON1">#REF!</definedName>
    <definedName name="___________CON2">#REF!</definedName>
    <definedName name="___________cpd1">#REF!</definedName>
    <definedName name="___________cpd2">#REF!</definedName>
    <definedName name="___________deo1">#REF!</definedName>
    <definedName name="___________deo10">#REF!</definedName>
    <definedName name="___________deo2">#REF!</definedName>
    <definedName name="___________deo3">#REF!</definedName>
    <definedName name="___________deo4">#REF!</definedName>
    <definedName name="___________deo5">#REF!</definedName>
    <definedName name="___________deo6">#REF!</definedName>
    <definedName name="___________deo7">#REF!</definedName>
    <definedName name="___________deo8">#REF!</definedName>
    <definedName name="___________deo9">#REF!</definedName>
    <definedName name="___________khu7">#REF!</definedName>
    <definedName name="___________MB1">#REF!</definedName>
    <definedName name="___________MB2">#REF!</definedName>
    <definedName name="___________MN1">#REF!</definedName>
    <definedName name="___________MN2">#REF!</definedName>
    <definedName name="___________MT1">#REF!</definedName>
    <definedName name="___________MT2">#REF!</definedName>
    <definedName name="___________nc151">#REF!</definedName>
    <definedName name="___________NET2">#REF!</definedName>
    <definedName name="___________tct5">#REF!</definedName>
    <definedName name="___________tg427">#REF!</definedName>
    <definedName name="___________TH20">#REF!</definedName>
    <definedName name="___________UT2">#REF!</definedName>
    <definedName name="___________xx3">#REF!</definedName>
    <definedName name="___________xx4">#REF!</definedName>
    <definedName name="___________xx5">#REF!</definedName>
    <definedName name="___________xx6">#REF!</definedName>
    <definedName name="___________xx7">#REF!</definedName>
    <definedName name="__________atn1">#REF!</definedName>
    <definedName name="__________atn10">#REF!</definedName>
    <definedName name="__________atn2">#REF!</definedName>
    <definedName name="__________atn3">#REF!</definedName>
    <definedName name="__________atn4">#REF!</definedName>
    <definedName name="__________atn5">#REF!</definedName>
    <definedName name="__________atn6">#REF!</definedName>
    <definedName name="__________atn7">#REF!</definedName>
    <definedName name="__________atn8">#REF!</definedName>
    <definedName name="__________atn9">#REF!</definedName>
    <definedName name="__________BMK10">#REF!</definedName>
    <definedName name="__________Cau2">#REF!</definedName>
    <definedName name="__________CON1">#REF!</definedName>
    <definedName name="__________CON2">#REF!</definedName>
    <definedName name="__________cpd1">#REF!</definedName>
    <definedName name="__________cpd2">#REF!</definedName>
    <definedName name="__________deo1">#REF!</definedName>
    <definedName name="__________deo10">#REF!</definedName>
    <definedName name="__________deo2">#REF!</definedName>
    <definedName name="__________deo3">#REF!</definedName>
    <definedName name="__________deo4">#REF!</definedName>
    <definedName name="__________deo5">#REF!</definedName>
    <definedName name="__________deo6">#REF!</definedName>
    <definedName name="__________deo7">#REF!</definedName>
    <definedName name="__________deo8">#REF!</definedName>
    <definedName name="__________deo9">#REF!</definedName>
    <definedName name="__________khu7">#REF!</definedName>
    <definedName name="__________MB1">#REF!</definedName>
    <definedName name="__________MB2">#REF!</definedName>
    <definedName name="__________MN1">#REF!</definedName>
    <definedName name="__________MN2">#REF!</definedName>
    <definedName name="__________MT1">#REF!</definedName>
    <definedName name="__________MT2">#REF!</definedName>
    <definedName name="__________nc151">#REF!</definedName>
    <definedName name="__________NET2">#REF!</definedName>
    <definedName name="__________QTY10">#REF!</definedName>
    <definedName name="__________tct5">#REF!</definedName>
    <definedName name="__________tg427">#REF!</definedName>
    <definedName name="__________TH20">#REF!</definedName>
    <definedName name="__________UPR10">#REF!</definedName>
    <definedName name="__________UT2">#REF!</definedName>
    <definedName name="__________xx3">#REF!</definedName>
    <definedName name="__________xx4">#REF!</definedName>
    <definedName name="__________xx5">#REF!</definedName>
    <definedName name="__________xx6">#REF!</definedName>
    <definedName name="__________xx7">#REF!</definedName>
    <definedName name="_________atn1">#REF!</definedName>
    <definedName name="_________atn10">#REF!</definedName>
    <definedName name="_________atn2">#REF!</definedName>
    <definedName name="_________atn3">#REF!</definedName>
    <definedName name="_________atn4">#REF!</definedName>
    <definedName name="_________atn5">#REF!</definedName>
    <definedName name="_________atn6">#REF!</definedName>
    <definedName name="_________atn7">#REF!</definedName>
    <definedName name="_________atn8">#REF!</definedName>
    <definedName name="_________atn9">#REF!</definedName>
    <definedName name="_________Cau2">#REF!</definedName>
    <definedName name="_________CON1">#REF!</definedName>
    <definedName name="_________CON2">#REF!</definedName>
    <definedName name="_________cpd1">#REF!</definedName>
    <definedName name="_________cpd2">#REF!</definedName>
    <definedName name="_________deo1">#REF!</definedName>
    <definedName name="_________deo10">#REF!</definedName>
    <definedName name="_________deo2">#REF!</definedName>
    <definedName name="_________deo3">#REF!</definedName>
    <definedName name="_________deo4">#REF!</definedName>
    <definedName name="_________deo5">#REF!</definedName>
    <definedName name="_________deo6">#REF!</definedName>
    <definedName name="_________deo7">#REF!</definedName>
    <definedName name="_________deo8">#REF!</definedName>
    <definedName name="_________deo9">#REF!</definedName>
    <definedName name="_________khu7">#REF!</definedName>
    <definedName name="_________MB1">#REF!</definedName>
    <definedName name="_________MB2">#REF!</definedName>
    <definedName name="_________MN1">#REF!</definedName>
    <definedName name="_________MN2">#REF!</definedName>
    <definedName name="_________MT1">#REF!</definedName>
    <definedName name="_________MT2">#REF!</definedName>
    <definedName name="_________nc151">#REF!</definedName>
    <definedName name="_________NET2">#REF!</definedName>
    <definedName name="_________tct5">#REF!</definedName>
    <definedName name="_________tg427">#REF!</definedName>
    <definedName name="_________TH20">#REF!</definedName>
    <definedName name="_________UT2">#REF!</definedName>
    <definedName name="_________xx3">#REF!</definedName>
    <definedName name="_________xx4">#REF!</definedName>
    <definedName name="_________xx5">#REF!</definedName>
    <definedName name="_________xx6">#REF!</definedName>
    <definedName name="_________xx7">#REF!</definedName>
    <definedName name="________atn1">#REF!</definedName>
    <definedName name="________atn10">#REF!</definedName>
    <definedName name="________atn2">#REF!</definedName>
    <definedName name="________atn3">#REF!</definedName>
    <definedName name="________atn4">#REF!</definedName>
    <definedName name="________atn5">#REF!</definedName>
    <definedName name="________atn6">#REF!</definedName>
    <definedName name="________atn7">#REF!</definedName>
    <definedName name="________atn8">#REF!</definedName>
    <definedName name="________atn9">#REF!</definedName>
    <definedName name="________BMK10">#REF!</definedName>
    <definedName name="________Cau2">#REF!</definedName>
    <definedName name="________CON1">#REF!</definedName>
    <definedName name="________CON2">#REF!</definedName>
    <definedName name="________cpd1">#REF!</definedName>
    <definedName name="________cpd2">#REF!</definedName>
    <definedName name="________deo1">#REF!</definedName>
    <definedName name="________deo10">#REF!</definedName>
    <definedName name="________deo2">#REF!</definedName>
    <definedName name="________deo3">#REF!</definedName>
    <definedName name="________deo4">#REF!</definedName>
    <definedName name="________deo5">#REF!</definedName>
    <definedName name="________deo6">#REF!</definedName>
    <definedName name="________deo7">#REF!</definedName>
    <definedName name="________deo8">#REF!</definedName>
    <definedName name="________deo9">#REF!</definedName>
    <definedName name="________khu7">#REF!</definedName>
    <definedName name="________MB1">#REF!</definedName>
    <definedName name="________MB2">#REF!</definedName>
    <definedName name="________MN1">#REF!</definedName>
    <definedName name="________MN2">#REF!</definedName>
    <definedName name="________MT1">#REF!</definedName>
    <definedName name="________MT2">#REF!</definedName>
    <definedName name="________nc151">#REF!</definedName>
    <definedName name="________NET2">#REF!</definedName>
    <definedName name="________QTY10">#REF!</definedName>
    <definedName name="________tct5">#REF!</definedName>
    <definedName name="________tg427">#REF!</definedName>
    <definedName name="________TH20">#REF!</definedName>
    <definedName name="________UPR10">#REF!</definedName>
    <definedName name="________UT2">#REF!</definedName>
    <definedName name="________xx3">#REF!</definedName>
    <definedName name="________xx4">#REF!</definedName>
    <definedName name="________xx5">#REF!</definedName>
    <definedName name="________xx6">#REF!</definedName>
    <definedName name="________xx7">#REF!</definedName>
    <definedName name="_______atn1">#REF!</definedName>
    <definedName name="_______atn10">#REF!</definedName>
    <definedName name="_______atn2">#REF!</definedName>
    <definedName name="_______atn3">#REF!</definedName>
    <definedName name="_______atn4">#REF!</definedName>
    <definedName name="_______atn5">#REF!</definedName>
    <definedName name="_______atn6">#REF!</definedName>
    <definedName name="_______atn7">#REF!</definedName>
    <definedName name="_______atn8">#REF!</definedName>
    <definedName name="_______atn9">#REF!</definedName>
    <definedName name="_______BMK10">#REF!</definedName>
    <definedName name="_______Cau2">#REF!</definedName>
    <definedName name="_______CON1">#REF!</definedName>
    <definedName name="_______CON2">#REF!</definedName>
    <definedName name="_______cpd1">#REF!</definedName>
    <definedName name="_______cpd2">#REF!</definedName>
    <definedName name="_______deo1">#REF!</definedName>
    <definedName name="_______deo10">#REF!</definedName>
    <definedName name="_______deo2">#REF!</definedName>
    <definedName name="_______deo3">#REF!</definedName>
    <definedName name="_______deo4">#REF!</definedName>
    <definedName name="_______deo5">#REF!</definedName>
    <definedName name="_______deo6">#REF!</definedName>
    <definedName name="_______deo7">#REF!</definedName>
    <definedName name="_______deo8">#REF!</definedName>
    <definedName name="_______deo9">#REF!</definedName>
    <definedName name="_______khu7">#REF!</definedName>
    <definedName name="_______MB1">#REF!</definedName>
    <definedName name="_______MB2">#REF!</definedName>
    <definedName name="_______MN1">#REF!</definedName>
    <definedName name="_______MN2">#REF!</definedName>
    <definedName name="_______MT1">#REF!</definedName>
    <definedName name="_______MT2">#REF!</definedName>
    <definedName name="_______nc151">#REF!</definedName>
    <definedName name="_______NET2">#REF!</definedName>
    <definedName name="_______QTY10">#REF!</definedName>
    <definedName name="_______tct5">#REF!</definedName>
    <definedName name="_______tg427">#REF!</definedName>
    <definedName name="_______TH20">#REF!</definedName>
    <definedName name="_______UPR10">#REF!</definedName>
    <definedName name="_______UT2">#REF!</definedName>
    <definedName name="_______xx3">#REF!</definedName>
    <definedName name="_______xx4">#REF!</definedName>
    <definedName name="_______xx5">#REF!</definedName>
    <definedName name="_______xx6">#REF!</definedName>
    <definedName name="_______xx7">#REF!</definedName>
    <definedName name="_______zz510">#REF!</definedName>
    <definedName name="_______zz555">#REF!</definedName>
    <definedName name="______atn1">#REF!</definedName>
    <definedName name="______atn10">#REF!</definedName>
    <definedName name="______atn2">#REF!</definedName>
    <definedName name="______atn3">#REF!</definedName>
    <definedName name="______atn4">#REF!</definedName>
    <definedName name="______atn5">#REF!</definedName>
    <definedName name="______atn6">#REF!</definedName>
    <definedName name="______atn7">#REF!</definedName>
    <definedName name="______atn8">#REF!</definedName>
    <definedName name="______atn9">#REF!</definedName>
    <definedName name="______BMK10">#REF!</definedName>
    <definedName name="______Cau2">#REF!</definedName>
    <definedName name="______CON1">#REF!</definedName>
    <definedName name="______CON2">#REF!</definedName>
    <definedName name="______cpd1">#REF!</definedName>
    <definedName name="______cpd2">#REF!</definedName>
    <definedName name="______deo3">#REF!</definedName>
    <definedName name="______deo4">#REF!</definedName>
    <definedName name="______deo5">#REF!</definedName>
    <definedName name="______deo6">#REF!</definedName>
    <definedName name="______deo7">#REF!</definedName>
    <definedName name="______deo8">#REF!</definedName>
    <definedName name="______deo9">#REF!</definedName>
    <definedName name="______khu7">#REF!</definedName>
    <definedName name="______MB1">#REF!</definedName>
    <definedName name="______MB2">#REF!</definedName>
    <definedName name="______MN1">#REF!</definedName>
    <definedName name="______MN2">#REF!</definedName>
    <definedName name="______MT1">#REF!</definedName>
    <definedName name="______MT2">#REF!</definedName>
    <definedName name="______nc151">#REF!</definedName>
    <definedName name="______NET2">#REF!</definedName>
    <definedName name="______QTY10">#REF!</definedName>
    <definedName name="______tct5">#REF!</definedName>
    <definedName name="______tg427">#REF!</definedName>
    <definedName name="______TH20">#REF!</definedName>
    <definedName name="______UPR10">#REF!</definedName>
    <definedName name="______UT2">#REF!</definedName>
    <definedName name="______xx3">#REF!</definedName>
    <definedName name="______xx4">#REF!</definedName>
    <definedName name="______xx5">#REF!</definedName>
    <definedName name="______xx6">#REF!</definedName>
    <definedName name="______xx7">#REF!</definedName>
    <definedName name="______zz510">#REF!</definedName>
    <definedName name="______zz555">#REF!</definedName>
    <definedName name="_____atn1">#REF!</definedName>
    <definedName name="_____atn10">#REF!</definedName>
    <definedName name="_____atn2">#REF!</definedName>
    <definedName name="_____atn3">#REF!</definedName>
    <definedName name="_____atn4">#REF!</definedName>
    <definedName name="_____atn5">#REF!</definedName>
    <definedName name="_____atn6">#REF!</definedName>
    <definedName name="_____atn7">#REF!</definedName>
    <definedName name="_____atn8">#REF!</definedName>
    <definedName name="_____atn9">#REF!</definedName>
    <definedName name="_____BMK10">#REF!</definedName>
    <definedName name="_____BMK11">#REF!</definedName>
    <definedName name="_____Cau2">#REF!</definedName>
    <definedName name="_____CON1">#REF!</definedName>
    <definedName name="_____CON2">#REF!</definedName>
    <definedName name="_____cpd1">#REF!</definedName>
    <definedName name="_____cpd2">#REF!</definedName>
    <definedName name="_____deo1">#REF!</definedName>
    <definedName name="_____deo10">#REF!</definedName>
    <definedName name="_____deo2">#REF!</definedName>
    <definedName name="_____deo3">#REF!</definedName>
    <definedName name="_____deo4">#REF!</definedName>
    <definedName name="_____deo5">#REF!</definedName>
    <definedName name="_____deo6">#REF!</definedName>
    <definedName name="_____deo7">#REF!</definedName>
    <definedName name="_____deo8">#REF!</definedName>
    <definedName name="_____deo9">#REF!</definedName>
    <definedName name="_____khu7">#REF!</definedName>
    <definedName name="_____MB1">#REF!</definedName>
    <definedName name="_____MB2">#REF!</definedName>
    <definedName name="_____MN1">#REF!</definedName>
    <definedName name="_____MN2">#REF!</definedName>
    <definedName name="_____MT1">#REF!</definedName>
    <definedName name="_____MT2">#REF!</definedName>
    <definedName name="_____nc151">#REF!</definedName>
    <definedName name="_____NET2">#REF!</definedName>
    <definedName name="_____QTY10">#REF!</definedName>
    <definedName name="_____tct5">#REF!</definedName>
    <definedName name="_____tg427">#REF!</definedName>
    <definedName name="_____TH20">#REF!</definedName>
    <definedName name="_____UPR10">#REF!</definedName>
    <definedName name="_____UT2">#REF!</definedName>
    <definedName name="_____xx3">#REF!</definedName>
    <definedName name="_____xx4">#REF!</definedName>
    <definedName name="_____xx5">#REF!</definedName>
    <definedName name="_____xx6">#REF!</definedName>
    <definedName name="_____xx7">#REF!</definedName>
    <definedName name="_____zz510">#REF!</definedName>
    <definedName name="_____zz555">#REF!</definedName>
    <definedName name="____atn1">#REF!</definedName>
    <definedName name="____atn10">#REF!</definedName>
    <definedName name="____atn2">#REF!</definedName>
    <definedName name="____atn3">#REF!</definedName>
    <definedName name="____atn4">#REF!</definedName>
    <definedName name="____atn5">#REF!</definedName>
    <definedName name="____atn6">#REF!</definedName>
    <definedName name="____atn7">#REF!</definedName>
    <definedName name="____atn8">#REF!</definedName>
    <definedName name="____atn9">#REF!</definedName>
    <definedName name="____BMK10">#REF!</definedName>
    <definedName name="____BMK11">#REF!</definedName>
    <definedName name="____Cau2">#REF!</definedName>
    <definedName name="____CON1">#REF!</definedName>
    <definedName name="____CON2">#REF!</definedName>
    <definedName name="____cpd1">#REF!</definedName>
    <definedName name="____cpd2">#REF!</definedName>
    <definedName name="____deo1">#REF!</definedName>
    <definedName name="____deo10">#REF!</definedName>
    <definedName name="____deo2">#REF!</definedName>
    <definedName name="____deo3">#REF!</definedName>
    <definedName name="____deo4">#REF!</definedName>
    <definedName name="____deo5">#REF!</definedName>
    <definedName name="____deo6">#REF!</definedName>
    <definedName name="____deo7">#REF!</definedName>
    <definedName name="____deo8">#REF!</definedName>
    <definedName name="____deo9">#REF!</definedName>
    <definedName name="____khu7">#REF!</definedName>
    <definedName name="____MB1">#REF!</definedName>
    <definedName name="____MB2">#REF!</definedName>
    <definedName name="____MN1">#REF!</definedName>
    <definedName name="____MN2">#REF!</definedName>
    <definedName name="____MT1">#REF!</definedName>
    <definedName name="____MT2">#REF!</definedName>
    <definedName name="____nc151">#REF!</definedName>
    <definedName name="____NET2">#REF!</definedName>
    <definedName name="____QTY10">#REF!</definedName>
    <definedName name="____tct5">#REF!</definedName>
    <definedName name="____tg427">#REF!</definedName>
    <definedName name="____TH20">#REF!</definedName>
    <definedName name="____UPR10">#REF!</definedName>
    <definedName name="____UT2">#REF!</definedName>
    <definedName name="____xx3">#REF!</definedName>
    <definedName name="____xx4">#REF!</definedName>
    <definedName name="____xx5">#REF!</definedName>
    <definedName name="____xx6">#REF!</definedName>
    <definedName name="____xx7">#REF!</definedName>
    <definedName name="____zz510">#REF!</definedName>
    <definedName name="____zz555">#REF!</definedName>
    <definedName name="___atn3">#REF!</definedName>
    <definedName name="___atn4">#REF!</definedName>
    <definedName name="___atn5">#REF!</definedName>
    <definedName name="___atn6">#REF!</definedName>
    <definedName name="___atn7">#REF!</definedName>
    <definedName name="___atn8">#REF!</definedName>
    <definedName name="___atn9">#REF!</definedName>
    <definedName name="___BMK10">#REF!</definedName>
    <definedName name="___BMK11">#REF!</definedName>
    <definedName name="___Cau2">#REF!</definedName>
    <definedName name="___CON1">#REF!</definedName>
    <definedName name="___CON2">#REF!</definedName>
    <definedName name="___cpd1">#REF!</definedName>
    <definedName name="___cpd2">#REF!</definedName>
    <definedName name="___deo1">#REF!</definedName>
    <definedName name="___deo10">#REF!</definedName>
    <definedName name="___deo2">#REF!</definedName>
    <definedName name="___deo3">#REF!</definedName>
    <definedName name="___deo4">#REF!</definedName>
    <definedName name="___deo5">#REF!</definedName>
    <definedName name="___deo6">#REF!</definedName>
    <definedName name="___deo7">#REF!</definedName>
    <definedName name="___deo8">#REF!</definedName>
    <definedName name="___deo9">#REF!</definedName>
    <definedName name="___khu7">#REF!</definedName>
    <definedName name="___MB1">#REF!</definedName>
    <definedName name="___MB2">#REF!</definedName>
    <definedName name="___MN1">#REF!</definedName>
    <definedName name="___MN2">#REF!</definedName>
    <definedName name="___MT1">#REF!</definedName>
    <definedName name="___MT2">#REF!</definedName>
    <definedName name="___nc151">#REF!</definedName>
    <definedName name="___NET2">#REF!</definedName>
    <definedName name="___QTY10">#REF!</definedName>
    <definedName name="___tct5">#REF!</definedName>
    <definedName name="___tg427">#REF!</definedName>
    <definedName name="___TH20">#REF!</definedName>
    <definedName name="___UPR10">#REF!</definedName>
    <definedName name="___UT2">#REF!</definedName>
    <definedName name="___xx3">#REF!</definedName>
    <definedName name="___xx4">#REF!</definedName>
    <definedName name="___xx5">#REF!</definedName>
    <definedName name="___xx6">#REF!</definedName>
    <definedName name="___xx7">#REF!</definedName>
    <definedName name="___zz510">#REF!</definedName>
    <definedName name="___zz555">#REF!</definedName>
    <definedName name="__123Graph_A" hidden="1">'[2]F1.2'!#REF!</definedName>
    <definedName name="__123Graph_AChart1" hidden="1">'[2]F1.2'!#REF!</definedName>
    <definedName name="__123Graph_AChart10" hidden="1">'[2]F1.2'!#REF!</definedName>
    <definedName name="__123Graph_AChart11" hidden="1">'[2]F1.2'!#REF!</definedName>
    <definedName name="__123Graph_AChart12" hidden="1">'[2]F1.2'!#REF!</definedName>
    <definedName name="__123Graph_AChart13" hidden="1">'[2]F1.2'!#REF!</definedName>
    <definedName name="__123Graph_AChart14" hidden="1">'[2]F1.2'!#REF!</definedName>
    <definedName name="__123Graph_AChart15" hidden="1">'[2]F1.2'!#REF!</definedName>
    <definedName name="__123Graph_AChart16" hidden="1">'[2]F1.2'!#REF!</definedName>
    <definedName name="__123Graph_AChart17" hidden="1">'[2]F1.2'!#REF!</definedName>
    <definedName name="__123Graph_AChart18" hidden="1">'[2]F1.2'!#REF!</definedName>
    <definedName name="__123Graph_AChart19" hidden="1">'[2]F1.2'!#REF!</definedName>
    <definedName name="__123Graph_AChart2" hidden="1">'[2]F1.2'!#REF!</definedName>
    <definedName name="__123Graph_AChart20" hidden="1">'[2]F1.2'!#REF!</definedName>
    <definedName name="__123Graph_AChart21" hidden="1">'[2]F1.2'!#REF!</definedName>
    <definedName name="__123Graph_AChart22" hidden="1">'[2]F1.2'!#REF!</definedName>
    <definedName name="__123Graph_AChart23" hidden="1">'[2]F1.2'!#REF!</definedName>
    <definedName name="__123Graph_AChart24" hidden="1">'[2]F1.2'!#REF!</definedName>
    <definedName name="__123Graph_AChart25" hidden="1">'[2]F1.2'!#REF!</definedName>
    <definedName name="__123Graph_AChart26" hidden="1">'[2]F1.2'!#REF!</definedName>
    <definedName name="__123Graph_AChart27" hidden="1">'[2]F1.2'!#REF!</definedName>
    <definedName name="__123Graph_AChart28" hidden="1">'[2]F1.2'!#REF!</definedName>
    <definedName name="__123Graph_AChart29" hidden="1">'[2]F1.2'!#REF!</definedName>
    <definedName name="__123Graph_AChart3" hidden="1">'[2]F1.2'!#REF!</definedName>
    <definedName name="__123Graph_AChart30" hidden="1">'[2]F1.2'!#REF!</definedName>
    <definedName name="__123Graph_AChart31" hidden="1">'[2]F1.2'!#REF!</definedName>
    <definedName name="__123Graph_AChart32" hidden="1">'[2]F1.2'!#REF!</definedName>
    <definedName name="__123Graph_AChart33" hidden="1">'[2]F1.2'!#REF!</definedName>
    <definedName name="__123Graph_AChart34" hidden="1">'[2]F1.2'!#REF!</definedName>
    <definedName name="__123Graph_AChart35" hidden="1">'[2]F1.2'!#REF!</definedName>
    <definedName name="__123Graph_AChart36" hidden="1">'[2]F1.2'!#REF!</definedName>
    <definedName name="__123Graph_AChart37" hidden="1">'[2]F1.2'!#REF!</definedName>
    <definedName name="__123Graph_AChart38" hidden="1">'[2]F1.2'!#REF!</definedName>
    <definedName name="__123Graph_AChart39" hidden="1">'[2]F1.2'!#REF!</definedName>
    <definedName name="__123Graph_AChart4" hidden="1">'[2]F1.2'!#REF!</definedName>
    <definedName name="__123Graph_AChart40" hidden="1">'[2]F1.2'!#REF!</definedName>
    <definedName name="__123Graph_AChart41" hidden="1">'[2]F1.2'!#REF!</definedName>
    <definedName name="__123Graph_AChart42" hidden="1">'[2]F1.2'!#REF!</definedName>
    <definedName name="__123Graph_AChart43" hidden="1">'[2]F1.2'!#REF!</definedName>
    <definedName name="__123Graph_AChart44" hidden="1">'[2]F1.2'!#REF!</definedName>
    <definedName name="__123Graph_AChart45" hidden="1">'[2]F1.2'!#REF!</definedName>
    <definedName name="__123Graph_AChart46" hidden="1">'[2]F1.2'!#REF!</definedName>
    <definedName name="__123Graph_AChart47" hidden="1">'[2]F1.2'!#REF!</definedName>
    <definedName name="__123Graph_AChart48" hidden="1">'[2]F1.2'!#REF!</definedName>
    <definedName name="__123Graph_AChart49" hidden="1">'[2]F1.2'!#REF!</definedName>
    <definedName name="__123Graph_AChart5" hidden="1">'[2]F1.2'!#REF!</definedName>
    <definedName name="__123Graph_AChart50" hidden="1">'[2]F1.2'!#REF!</definedName>
    <definedName name="__123Graph_AChart51" hidden="1">'[2]F1.2'!#REF!</definedName>
    <definedName name="__123Graph_AChart52" hidden="1">'[2]F1.2'!#REF!</definedName>
    <definedName name="__123Graph_AChart53" hidden="1">'[2]F1.2'!#REF!</definedName>
    <definedName name="__123Graph_AChart54" hidden="1">'[2]F1.2'!#REF!</definedName>
    <definedName name="__123Graph_AChart55" hidden="1">'[2]F1.2'!#REF!</definedName>
    <definedName name="__123Graph_AChart56" hidden="1">'[2]F1.2'!#REF!</definedName>
    <definedName name="__123Graph_AChart57" hidden="1">'[2]F1.2'!#REF!</definedName>
    <definedName name="__123Graph_AChart58" hidden="1">'[2]F1.2'!#REF!</definedName>
    <definedName name="__123Graph_AChart59" hidden="1">'[2]F1.2'!#REF!</definedName>
    <definedName name="__123Graph_AChart6" hidden="1">'[2]F1.2'!#REF!</definedName>
    <definedName name="__123Graph_AChart60" hidden="1">'[2]F1.2'!#REF!</definedName>
    <definedName name="__123Graph_AChart61" hidden="1">'[2]F1.2'!#REF!</definedName>
    <definedName name="__123Graph_AChart62" hidden="1">'[2]F1.2'!#REF!</definedName>
    <definedName name="__123Graph_AChart63" hidden="1">'[2]F1.2'!#REF!</definedName>
    <definedName name="__123Graph_AChart64" hidden="1">'[2]F1.2'!#REF!</definedName>
    <definedName name="__123Graph_AChart65" hidden="1">'[2]F1.2'!#REF!</definedName>
    <definedName name="__123Graph_AChart7" hidden="1">'[2]F1.2'!#REF!</definedName>
    <definedName name="__123Graph_AChart8" hidden="1">'[2]F1.2'!#REF!</definedName>
    <definedName name="__123Graph_AChart9" hidden="1">'[2]F1.2'!#REF!</definedName>
    <definedName name="__123Graph_ACurrent" hidden="1">'[2]F1.2'!#REF!</definedName>
    <definedName name="__123Graph_B" hidden="1">'[2]F1.2'!#REF!</definedName>
    <definedName name="__123Graph_BChart1" hidden="1">'[2]F1.2'!#REF!</definedName>
    <definedName name="__123Graph_BChart10" hidden="1">'[2]F1.2'!#REF!</definedName>
    <definedName name="__123Graph_BChart11" hidden="1">'[2]F1.2'!#REF!</definedName>
    <definedName name="__123Graph_BChart12" hidden="1">'[2]F1.2'!#REF!</definedName>
    <definedName name="__123Graph_BChart13" hidden="1">'[2]F1.2'!#REF!</definedName>
    <definedName name="__123Graph_BChart14" hidden="1">'[2]F1.2'!#REF!</definedName>
    <definedName name="__123Graph_BChart15" hidden="1">'[2]F1.2'!#REF!</definedName>
    <definedName name="__123Graph_BChart16" hidden="1">'[2]F1.2'!#REF!</definedName>
    <definedName name="__123Graph_BChart17" hidden="1">'[2]F1.2'!#REF!</definedName>
    <definedName name="__123Graph_BChart18" hidden="1">'[2]F1.2'!#REF!</definedName>
    <definedName name="__123Graph_BChart19" hidden="1">'[2]F1.2'!#REF!</definedName>
    <definedName name="__123Graph_BChart2" hidden="1">'[2]F1.2'!#REF!</definedName>
    <definedName name="__123Graph_BChart20" hidden="1">'[2]F1.2'!#REF!</definedName>
    <definedName name="__123Graph_BChart21" hidden="1">'[2]F1.2'!#REF!</definedName>
    <definedName name="__123Graph_BChart22" hidden="1">'[2]F1.2'!#REF!</definedName>
    <definedName name="__123Graph_BChart23" hidden="1">'[2]F1.2'!#REF!</definedName>
    <definedName name="__123Graph_BChart24" hidden="1">'[2]F1.2'!#REF!</definedName>
    <definedName name="__123Graph_BChart25" hidden="1">'[2]F1.2'!#REF!</definedName>
    <definedName name="__123Graph_BChart26" hidden="1">'[2]F1.2'!#REF!</definedName>
    <definedName name="__123Graph_BChart27" hidden="1">'[2]F1.2'!#REF!</definedName>
    <definedName name="__123Graph_BChart28" hidden="1">'[2]F1.2'!#REF!</definedName>
    <definedName name="__123Graph_BChart29" hidden="1">'[2]F1.2'!#REF!</definedName>
    <definedName name="__123Graph_BChart3" hidden="1">'[2]F1.2'!#REF!</definedName>
    <definedName name="__123Graph_BChart30" hidden="1">'[2]F1.2'!#REF!</definedName>
    <definedName name="__123Graph_BChart31" hidden="1">'[2]F1.2'!#REF!</definedName>
    <definedName name="__123Graph_BChart32" hidden="1">'[2]F1.2'!#REF!</definedName>
    <definedName name="__123Graph_BChart33" hidden="1">'[2]F1.2'!#REF!</definedName>
    <definedName name="__123Graph_BChart34" hidden="1">'[2]F1.2'!#REF!</definedName>
    <definedName name="__123Graph_BChart35" hidden="1">'[2]F1.2'!#REF!</definedName>
    <definedName name="__123Graph_BChart36" hidden="1">'[2]F1.2'!#REF!</definedName>
    <definedName name="__123Graph_BChart37" hidden="1">'[2]F1.2'!#REF!</definedName>
    <definedName name="__123Graph_BChart38" hidden="1">'[2]F1.2'!#REF!</definedName>
    <definedName name="__123Graph_BChart39" hidden="1">'[2]F1.2'!#REF!</definedName>
    <definedName name="__123Graph_BChart4" hidden="1">'[2]F1.2'!#REF!</definedName>
    <definedName name="__123Graph_BChart40" hidden="1">'[2]F1.2'!#REF!</definedName>
    <definedName name="__123Graph_BChart41" hidden="1">'[2]F1.2'!#REF!</definedName>
    <definedName name="__123Graph_BChart42" hidden="1">'[2]F1.2'!#REF!</definedName>
    <definedName name="__123Graph_BChart43" hidden="1">'[2]F1.2'!#REF!</definedName>
    <definedName name="__123Graph_BChart44" hidden="1">'[2]F1.2'!#REF!</definedName>
    <definedName name="__123Graph_BChart45" hidden="1">'[2]F1.2'!#REF!</definedName>
    <definedName name="__123Graph_BChart46" hidden="1">'[2]F1.2'!#REF!</definedName>
    <definedName name="__123Graph_BChart47" hidden="1">'[2]F1.2'!#REF!</definedName>
    <definedName name="__123Graph_BChart48" hidden="1">'[2]F1.2'!#REF!</definedName>
    <definedName name="__123Graph_BChart49" hidden="1">'[2]F1.2'!#REF!</definedName>
    <definedName name="__123Graph_BChart5" hidden="1">'[2]F1.2'!#REF!</definedName>
    <definedName name="__123Graph_BChart50" hidden="1">'[2]F1.2'!#REF!</definedName>
    <definedName name="__123Graph_BChart51" hidden="1">'[2]F1.2'!#REF!</definedName>
    <definedName name="__123Graph_BChart52" hidden="1">'[2]F1.2'!#REF!</definedName>
    <definedName name="__123Graph_BChart53" hidden="1">'[2]F1.2'!#REF!</definedName>
    <definedName name="__123Graph_BChart54" hidden="1">'[2]F1.2'!#REF!</definedName>
    <definedName name="__123Graph_BChart55" hidden="1">'[2]F1.2'!#REF!</definedName>
    <definedName name="__123Graph_BChart56" hidden="1">'[2]F1.2'!#REF!</definedName>
    <definedName name="__123Graph_BChart57" hidden="1">'[2]F1.2'!#REF!</definedName>
    <definedName name="__123Graph_BChart58" hidden="1">'[2]F1.2'!#REF!</definedName>
    <definedName name="__123Graph_BChart59" hidden="1">'[2]F1.2'!#REF!</definedName>
    <definedName name="__123Graph_BChart6" hidden="1">'[2]F1.2'!#REF!</definedName>
    <definedName name="__123Graph_BChart60" hidden="1">'[2]F1.2'!#REF!</definedName>
    <definedName name="__123Graph_BChart61" hidden="1">'[2]F1.2'!#REF!</definedName>
    <definedName name="__123Graph_BChart62" hidden="1">'[2]F1.2'!#REF!</definedName>
    <definedName name="__123Graph_BChart63" hidden="1">'[2]F1.2'!#REF!</definedName>
    <definedName name="__123Graph_BChart64" hidden="1">'[2]F1.2'!#REF!</definedName>
    <definedName name="__123Graph_BChart65" hidden="1">'[2]F1.2'!#REF!</definedName>
    <definedName name="__123Graph_BChart7" hidden="1">'[2]F1.2'!#REF!</definedName>
    <definedName name="__123Graph_BChart8" hidden="1">'[2]F1.2'!#REF!</definedName>
    <definedName name="__123Graph_BChart9" hidden="1">'[2]F1.2'!#REF!</definedName>
    <definedName name="__123Graph_BCurrent" hidden="1">'[2]F1.2'!#REF!</definedName>
    <definedName name="__123Graph_C" hidden="1">'[2]F1.2'!#REF!</definedName>
    <definedName name="__123Graph_CChart1" hidden="1">'[2]F1.2'!#REF!</definedName>
    <definedName name="__123Graph_CChart10" hidden="1">'[2]F1.2'!#REF!</definedName>
    <definedName name="__123Graph_CChart11" hidden="1">'[2]F1.2'!#REF!</definedName>
    <definedName name="__123Graph_CChart12" hidden="1">'[2]F1.2'!#REF!</definedName>
    <definedName name="__123Graph_CChart13" hidden="1">'[2]F1.2'!#REF!</definedName>
    <definedName name="__123Graph_CChart14" hidden="1">'[2]F1.2'!#REF!</definedName>
    <definedName name="__123Graph_CChart15" hidden="1">'[2]F1.2'!#REF!</definedName>
    <definedName name="__123Graph_CChart16" hidden="1">'[2]F1.2'!#REF!</definedName>
    <definedName name="__123Graph_CChart17" hidden="1">'[2]F1.2'!#REF!</definedName>
    <definedName name="__123Graph_CChart18" hidden="1">'[2]F1.2'!#REF!</definedName>
    <definedName name="__123Graph_CChart19" hidden="1">'[2]F1.2'!#REF!</definedName>
    <definedName name="__123Graph_CChart2" hidden="1">'[2]F1.2'!#REF!</definedName>
    <definedName name="__123Graph_CChart20" hidden="1">'[2]F1.2'!#REF!</definedName>
    <definedName name="__123Graph_CChart21" hidden="1">'[2]F1.2'!#REF!</definedName>
    <definedName name="__123Graph_CChart22" hidden="1">'[2]F1.2'!#REF!</definedName>
    <definedName name="__123Graph_CChart23" hidden="1">'[2]F1.2'!#REF!</definedName>
    <definedName name="__123Graph_CChart24" hidden="1">'[2]F1.2'!#REF!</definedName>
    <definedName name="__123Graph_CChart25" hidden="1">'[2]F1.2'!#REF!</definedName>
    <definedName name="__123Graph_CChart26" hidden="1">'[2]F1.2'!#REF!</definedName>
    <definedName name="__123Graph_CChart27" hidden="1">'[2]F1.2'!#REF!</definedName>
    <definedName name="__123Graph_CChart28" hidden="1">'[2]F1.2'!#REF!</definedName>
    <definedName name="__123Graph_CChart29" hidden="1">'[2]F1.2'!#REF!</definedName>
    <definedName name="__123Graph_CChart3" hidden="1">'[2]F1.2'!#REF!</definedName>
    <definedName name="__123Graph_CChart30" hidden="1">'[2]F1.2'!#REF!</definedName>
    <definedName name="__123Graph_CChart31" hidden="1">'[2]F1.2'!#REF!</definedName>
    <definedName name="__123Graph_CChart32" hidden="1">'[2]F1.2'!#REF!</definedName>
    <definedName name="__123Graph_CChart33" hidden="1">'[2]F1.2'!#REF!</definedName>
    <definedName name="__123Graph_CChart34" hidden="1">'[2]F1.2'!#REF!</definedName>
    <definedName name="__123Graph_CChart35" hidden="1">'[2]F1.2'!#REF!</definedName>
    <definedName name="__123Graph_CChart36" hidden="1">'[2]F1.2'!#REF!</definedName>
    <definedName name="__123Graph_CChart37" hidden="1">'[2]F1.2'!#REF!</definedName>
    <definedName name="__123Graph_CChart38" hidden="1">'[2]F1.2'!#REF!</definedName>
    <definedName name="__123Graph_CChart39" hidden="1">'[2]F1.2'!#REF!</definedName>
    <definedName name="__123Graph_CChart4" hidden="1">'[2]F1.2'!#REF!</definedName>
    <definedName name="__123Graph_CChart40" hidden="1">'[2]F1.2'!#REF!</definedName>
    <definedName name="__123Graph_CChart41" hidden="1">'[2]F1.2'!#REF!</definedName>
    <definedName name="__123Graph_CChart42" hidden="1">'[2]F1.2'!#REF!</definedName>
    <definedName name="__123Graph_CChart43" hidden="1">'[2]F1.2'!#REF!</definedName>
    <definedName name="__123Graph_CChart44" hidden="1">'[2]F1.2'!#REF!</definedName>
    <definedName name="__123Graph_CChart45" hidden="1">'[2]F1.2'!#REF!</definedName>
    <definedName name="__123Graph_CChart46" hidden="1">'[2]F1.2'!#REF!</definedName>
    <definedName name="__123Graph_CChart47" hidden="1">'[2]F1.2'!#REF!</definedName>
    <definedName name="__123Graph_CChart48" hidden="1">'[2]F1.2'!#REF!</definedName>
    <definedName name="__123Graph_CChart49" hidden="1">'[2]F1.2'!#REF!</definedName>
    <definedName name="__123Graph_CChart5" hidden="1">'[2]F1.2'!#REF!</definedName>
    <definedName name="__123Graph_CChart50" hidden="1">'[2]F1.2'!#REF!</definedName>
    <definedName name="__123Graph_CChart51" hidden="1">'[2]F1.2'!#REF!</definedName>
    <definedName name="__123Graph_CChart52" hidden="1">'[2]F1.2'!#REF!</definedName>
    <definedName name="__123Graph_CChart53" hidden="1">'[2]F1.2'!#REF!</definedName>
    <definedName name="__123Graph_CChart54" hidden="1">'[2]F1.2'!#REF!</definedName>
    <definedName name="__123Graph_CChart55" hidden="1">'[2]F1.2'!#REF!</definedName>
    <definedName name="__123Graph_CChart56" hidden="1">'[2]F1.2'!#REF!</definedName>
    <definedName name="__123Graph_CChart57" hidden="1">'[2]F1.2'!#REF!</definedName>
    <definedName name="__123Graph_CChart58" hidden="1">'[2]F1.2'!#REF!</definedName>
    <definedName name="__123Graph_CChart59" hidden="1">'[2]F1.2'!#REF!</definedName>
    <definedName name="__123Graph_CChart6" hidden="1">'[2]F1.2'!#REF!</definedName>
    <definedName name="__123Graph_CChart60" hidden="1">'[2]F1.2'!#REF!</definedName>
    <definedName name="__123Graph_CChart61" hidden="1">'[2]F1.2'!#REF!</definedName>
    <definedName name="__123Graph_CChart62" hidden="1">'[2]F1.2'!#REF!</definedName>
    <definedName name="__123Graph_CChart63" hidden="1">'[2]F1.2'!#REF!</definedName>
    <definedName name="__123Graph_CChart64" hidden="1">'[2]F1.2'!#REF!</definedName>
    <definedName name="__123Graph_CChart65" hidden="1">'[2]F1.2'!#REF!</definedName>
    <definedName name="__123Graph_CChart7" hidden="1">'[2]F1.2'!#REF!</definedName>
    <definedName name="__123Graph_CChart8" hidden="1">'[2]F1.2'!#REF!</definedName>
    <definedName name="__123Graph_CChart9" hidden="1">'[2]F1.2'!#REF!</definedName>
    <definedName name="__123Graph_CCurrent" hidden="1">'[2]F1.2'!#REF!</definedName>
    <definedName name="__abb91" localSheetId="7">[3]chitimc!#REF!</definedName>
    <definedName name="__abb91">[3]chitimc!#REF!</definedName>
    <definedName name="__atn1" localSheetId="7">#REF!</definedName>
    <definedName name="__atn1">#REF!</definedName>
    <definedName name="__atn10" localSheetId="7">#REF!</definedName>
    <definedName name="__atn10">#REF!</definedName>
    <definedName name="__atn2" localSheetId="7">#REF!</definedName>
    <definedName name="__atn2">#REF!</definedName>
    <definedName name="__atn3">#REF!</definedName>
    <definedName name="__atn4">#REF!</definedName>
    <definedName name="__atn5">#REF!</definedName>
    <definedName name="__atn6">#REF!</definedName>
    <definedName name="__atn7">#REF!</definedName>
    <definedName name="__atn8">#REF!</definedName>
    <definedName name="__atn9">#REF!</definedName>
    <definedName name="__BMK10">#REF!</definedName>
    <definedName name="__BMK11">#REF!</definedName>
    <definedName name="__Cau2">#REF!</definedName>
    <definedName name="__CON1">#REF!</definedName>
    <definedName name="__CON2">#REF!</definedName>
    <definedName name="__cpd1">#REF!</definedName>
    <definedName name="__cpd2">#REF!</definedName>
    <definedName name="__CT250">'[3]dongia (2)'!#REF!</definedName>
    <definedName name="__ddn400" localSheetId="7">#REF!</definedName>
    <definedName name="__ddn400">#REF!</definedName>
    <definedName name="__ddn600" localSheetId="7">#REF!</definedName>
    <definedName name="__ddn600">#REF!</definedName>
    <definedName name="__deo1" localSheetId="7">#REF!</definedName>
    <definedName name="__deo1">#REF!</definedName>
    <definedName name="__deo10">#REF!</definedName>
    <definedName name="__deo2">#REF!</definedName>
    <definedName name="__deo3">#REF!</definedName>
    <definedName name="__deo4">#REF!</definedName>
    <definedName name="__deo5">#REF!</definedName>
    <definedName name="__deo6">#REF!</definedName>
    <definedName name="__deo7">#REF!</definedName>
    <definedName name="__deo8">#REF!</definedName>
    <definedName name="__deo9">#REF!</definedName>
    <definedName name="__dgt100">'[3]dongia (2)'!#REF!</definedName>
    <definedName name="__GID1">'[3]LKVL-CK-HT-GD1'!$A$4</definedName>
    <definedName name="__hh1">[4]XL4Poppy!$C$9</definedName>
    <definedName name="__hh2">[4]XL4Poppy!$A$15</definedName>
    <definedName name="__IntlFixup" hidden="1">TRUE</definedName>
    <definedName name="__m4" hidden="1">{"'Sheet1'!$L$16"}</definedName>
    <definedName name="__MAC12" localSheetId="7">#REF!</definedName>
    <definedName name="__MAC12">#REF!</definedName>
    <definedName name="__MAC46" localSheetId="7">#REF!</definedName>
    <definedName name="__MAC46">#REF!</definedName>
    <definedName name="__MN1" localSheetId="7">#REF!</definedName>
    <definedName name="__MN1">#REF!</definedName>
    <definedName name="__MN2" localSheetId="7">#REF!</definedName>
    <definedName name="__MN2">#REF!</definedName>
    <definedName name="__MT1">#REF!</definedName>
    <definedName name="__MT2">#REF!</definedName>
    <definedName name="__nc151">#REF!</definedName>
    <definedName name="__NCL100">#REF!</definedName>
    <definedName name="__NCL200">#REF!</definedName>
    <definedName name="__NCL250">#REF!</definedName>
    <definedName name="__NET2">#REF!</definedName>
    <definedName name="__nin190">#REF!</definedName>
    <definedName name="__QTY10">#REF!</definedName>
    <definedName name="__sc1">#REF!</definedName>
    <definedName name="__SC2">#REF!</definedName>
    <definedName name="__sc3">#REF!</definedName>
    <definedName name="__SN3">#REF!</definedName>
    <definedName name="__tct5">#REF!</definedName>
    <definedName name="__tg427">#REF!</definedName>
    <definedName name="__th100">'[3]dongia (2)'!#REF!</definedName>
    <definedName name="__TH160">'[3]dongia (2)'!#REF!</definedName>
    <definedName name="__TH20" localSheetId="7">#REF!</definedName>
    <definedName name="__TH20">#REF!</definedName>
    <definedName name="__TL1" localSheetId="7">#REF!</definedName>
    <definedName name="__TL1">#REF!</definedName>
    <definedName name="__TL2" localSheetId="7">#REF!</definedName>
    <definedName name="__TL2">#REF!</definedName>
    <definedName name="__TL3">#REF!</definedName>
    <definedName name="__TLA120">#REF!</definedName>
    <definedName name="__TLA35">#REF!</definedName>
    <definedName name="__TLA50">#REF!</definedName>
    <definedName name="__TLA70">#REF!</definedName>
    <definedName name="__TLA95">#REF!</definedName>
    <definedName name="__TR250">'[3]dongia (2)'!#REF!</definedName>
    <definedName name="__tr375">[3]giathanh1!#REF!</definedName>
    <definedName name="__UPR10" localSheetId="7">#REF!</definedName>
    <definedName name="__UPR10">#REF!</definedName>
    <definedName name="__UT2" localSheetId="7">#REF!</definedName>
    <definedName name="__UT2">#REF!</definedName>
    <definedName name="__VL100" localSheetId="7">#REF!</definedName>
    <definedName name="__VL100">#REF!</definedName>
    <definedName name="__VL200">#REF!</definedName>
    <definedName name="__VL250">#REF!</definedName>
    <definedName name="__xx3">#REF!</definedName>
    <definedName name="__xx4">#REF!</definedName>
    <definedName name="__xx5">#REF!</definedName>
    <definedName name="__xx6">#REF!</definedName>
    <definedName name="__xx7">#REF!</definedName>
    <definedName name="__zz510">#REF!</definedName>
    <definedName name="__zz555">#REF!</definedName>
    <definedName name="_1">#REF!</definedName>
    <definedName name="_1000A01">#N/A</definedName>
    <definedName name="_10v200_" localSheetId="7" hidden="1">{#N/A,#N/A,FALSE,"단축1";#N/A,#N/A,FALSE,"단축2";#N/A,#N/A,FALSE,"단축3";#N/A,#N/A,FALSE,"장축";#N/A,#N/A,FALSE,"4WD"}</definedName>
    <definedName name="_10v200_" localSheetId="27" hidden="1">{#N/A,#N/A,FALSE,"단축1";#N/A,#N/A,FALSE,"단축2";#N/A,#N/A,FALSE,"단축3";#N/A,#N/A,FALSE,"장축";#N/A,#N/A,FALSE,"4WD"}</definedName>
    <definedName name="_10v200_" hidden="1">{#N/A,#N/A,FALSE,"단축1";#N/A,#N/A,FALSE,"단축2";#N/A,#N/A,FALSE,"단축3";#N/A,#N/A,FALSE,"장축";#N/A,#N/A,FALSE,"4WD"}</definedName>
    <definedName name="_11____S" hidden="1">#REF!</definedName>
    <definedName name="_11±âÁ¸Â÷¹_Á_Á¡" localSheetId="7">#REF!</definedName>
    <definedName name="_11±âÁ¸Â÷¹_Á_Á¡">#REF!</definedName>
    <definedName name="_12±aA¸A÷¹RA_A¡" localSheetId="7">#REF!</definedName>
    <definedName name="_12±aA¸A÷¹RA_A¡">#REF!</definedName>
    <definedName name="_14_0">#REF!</definedName>
    <definedName name="_2">#REF!</definedName>
    <definedName name="_2_?">#REF!</definedName>
    <definedName name="_21Å_____R3_t">#REF!</definedName>
    <definedName name="_23ÁÖ¿ä¹_Á_Á¡">#REF!</definedName>
    <definedName name="_24AO¿a¹RA_A¡">#REF!</definedName>
    <definedName name="_25AS6_" localSheetId="7" hidden="1">{#N/A,#N/A,FALSE,"Australien";#N/A,#N/A,FALSE,"Birmingham";#N/A,#N/A,FALSE,"Brasilien";#N/A,#N/A,FALSE,"Prag";#N/A,#N/A,FALSE,"Spanien";#N/A,#N/A,FALSE,"Malaysia ( Com)";#N/A,#N/A,FALSE,"Malaysia (Instr)"}</definedName>
    <definedName name="_25AS6_" localSheetId="27" hidden="1">{#N/A,#N/A,FALSE,"Australien";#N/A,#N/A,FALSE,"Birmingham";#N/A,#N/A,FALSE,"Brasilien";#N/A,#N/A,FALSE,"Prag";#N/A,#N/A,FALSE,"Spanien";#N/A,#N/A,FALSE,"Malaysia ( Com)";#N/A,#N/A,FALSE,"Malaysia (Instr)"}</definedName>
    <definedName name="_25AS6_" hidden="1">{#N/A,#N/A,FALSE,"Australien";#N/A,#N/A,FALSE,"Birmingham";#N/A,#N/A,FALSE,"Brasilien";#N/A,#N/A,FALSE,"Prag";#N/A,#N/A,FALSE,"Spanien";#N/A,#N/A,FALSE,"Malaysia ( Com)";#N/A,#N/A,FALSE,"Malaysia (Instr)"}</definedName>
    <definedName name="_26B2_">#REF!</definedName>
    <definedName name="_27FF3_" localSheetId="7">#REF!</definedName>
    <definedName name="_27FF3_">#REF!</definedName>
    <definedName name="_28G6_">#N/A</definedName>
    <definedName name="_29GM1000_">#N/A</definedName>
    <definedName name="_3_?쨲?f" localSheetId="7">#REF!</definedName>
    <definedName name="_3_?쨲?f">#REF!</definedName>
    <definedName name="_30v200_" localSheetId="7" hidden="1">{#N/A,#N/A,FALSE,"단축1";#N/A,#N/A,FALSE,"단축2";#N/A,#N/A,FALSE,"단축3";#N/A,#N/A,FALSE,"장축";#N/A,#N/A,FALSE,"4WD"}</definedName>
    <definedName name="_30v200_" localSheetId="27" hidden="1">{#N/A,#N/A,FALSE,"단축1";#N/A,#N/A,FALSE,"단축2";#N/A,#N/A,FALSE,"단축3";#N/A,#N/A,FALSE,"장축";#N/A,#N/A,FALSE,"4WD"}</definedName>
    <definedName name="_30v200_" hidden="1">{#N/A,#N/A,FALSE,"단축1";#N/A,#N/A,FALSE,"단축2";#N/A,#N/A,FALSE,"단축3";#N/A,#N/A,FALSE,"장축";#N/A,#N/A,FALSE,"4WD"}</definedName>
    <definedName name="_31x1_">#REF!</definedName>
    <definedName name="_32x2_" localSheetId="7">#REF!</definedName>
    <definedName name="_32x2_">#REF!</definedName>
    <definedName name="_33__0_S" localSheetId="7" hidden="1">#REF!</definedName>
    <definedName name="_33__0_S" hidden="1">#REF!</definedName>
    <definedName name="_34AS6_" localSheetId="7" hidden="1">{#N/A,#N/A,FALSE,"Australien";#N/A,#N/A,FALSE,"Birmingham";#N/A,#N/A,FALSE,"Brasilien";#N/A,#N/A,FALSE,"Prag";#N/A,#N/A,FALSE,"Spanien";#N/A,#N/A,FALSE,"Malaysia ( Com)";#N/A,#N/A,FALSE,"Malaysia (Instr)"}</definedName>
    <definedName name="_34AS6_" localSheetId="27" hidden="1">{#N/A,#N/A,FALSE,"Australien";#N/A,#N/A,FALSE,"Birmingham";#N/A,#N/A,FALSE,"Brasilien";#N/A,#N/A,FALSE,"Prag";#N/A,#N/A,FALSE,"Spanien";#N/A,#N/A,FALSE,"Malaysia ( Com)";#N/A,#N/A,FALSE,"Malaysia (Instr)"}</definedName>
    <definedName name="_34AS6_" hidden="1">{#N/A,#N/A,FALSE,"Australien";#N/A,#N/A,FALSE,"Birmingham";#N/A,#N/A,FALSE,"Brasilien";#N/A,#N/A,FALSE,"Prag";#N/A,#N/A,FALSE,"Spanien";#N/A,#N/A,FALSE,"Malaysia ( Com)";#N/A,#N/A,FALSE,"Malaysia (Instr)"}</definedName>
    <definedName name="_36v200_" localSheetId="7" hidden="1">{#N/A,#N/A,FALSE,"단축1";#N/A,#N/A,FALSE,"단축2";#N/A,#N/A,FALSE,"단축3";#N/A,#N/A,FALSE,"장축";#N/A,#N/A,FALSE,"4WD"}</definedName>
    <definedName name="_36v200_" localSheetId="27" hidden="1">{#N/A,#N/A,FALSE,"단축1";#N/A,#N/A,FALSE,"단축2";#N/A,#N/A,FALSE,"단축3";#N/A,#N/A,FALSE,"장축";#N/A,#N/A,FALSE,"4WD"}</definedName>
    <definedName name="_36v200_" hidden="1">{#N/A,#N/A,FALSE,"단축1";#N/A,#N/A,FALSE,"단축2";#N/A,#N/A,FALSE,"단축3";#N/A,#N/A,FALSE,"장축";#N/A,#N/A,FALSE,"4WD"}</definedName>
    <definedName name="_40____S" hidden="1">#REF!</definedName>
    <definedName name="_5AS6_" localSheetId="7" hidden="1">{#N/A,#N/A,FALSE,"Australien";#N/A,#N/A,FALSE,"Birmingham";#N/A,#N/A,FALSE,"Brasilien";#N/A,#N/A,FALSE,"Prag";#N/A,#N/A,FALSE,"Spanien";#N/A,#N/A,FALSE,"Malaysia ( Com)";#N/A,#N/A,FALSE,"Malaysia (Instr)"}</definedName>
    <definedName name="_5AS6_" localSheetId="27" hidden="1">{#N/A,#N/A,FALSE,"Australien";#N/A,#N/A,FALSE,"Birmingham";#N/A,#N/A,FALSE,"Brasilien";#N/A,#N/A,FALSE,"Prag";#N/A,#N/A,FALSE,"Spanien";#N/A,#N/A,FALSE,"Malaysia ( Com)";#N/A,#N/A,FALSE,"Malaysia (Instr)"}</definedName>
    <definedName name="_5AS6_" hidden="1">{#N/A,#N/A,FALSE,"Australien";#N/A,#N/A,FALSE,"Birmingham";#N/A,#N/A,FALSE,"Brasilien";#N/A,#N/A,FALSE,"Prag";#N/A,#N/A,FALSE,"Spanien";#N/A,#N/A,FALSE,"Malaysia ( Com)";#N/A,#N/A,FALSE,"Malaysia (Instr)"}</definedName>
    <definedName name="_6.GPC물류비_a.브로스카고AIR비용__G.P.C_포함_다른_부서사용__b.경기85사_4873__자재창고사용_개인퀵__c.세안통운__자재창고외_타부서_완제품창고는_포함안됨__d.퀵맨퀵서비스__모든부서사용__e.완제품납품__완제품창고사용_생산계획관리팀_세안통운__e.INBOUND물류비__롯데항공_취급수수료_완제품창고사용">#REF!</definedName>
    <definedName name="_8¿¹_êÃÑ°ý½ÃÆ_¼³ONLY" localSheetId="7">#REF!</definedName>
    <definedName name="_8¿¹_êÃÑ°ý½ÃÆ_¼³ONLY">#REF!</definedName>
    <definedName name="_a1" localSheetId="7" hidden="1">{"'Sheet1'!$L$16"}</definedName>
    <definedName name="_a1" localSheetId="27" hidden="1">{"'Sheet1'!$L$16"}</definedName>
    <definedName name="_a1" hidden="1">{"'Sheet1'!$L$16"}</definedName>
    <definedName name="_a129" localSheetId="7" hidden="1">{"Offgrid",#N/A,FALSE,"OFFGRID";"Region",#N/A,FALSE,"REGION";"Offgrid -2",#N/A,FALSE,"OFFGRID";"WTP",#N/A,FALSE,"WTP";"WTP -2",#N/A,FALSE,"WTP";"Project",#N/A,FALSE,"PROJECT";"Summary -2",#N/A,FALSE,"SUMMARY"}</definedName>
    <definedName name="_a129" localSheetId="27"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7" hidden="1">{"Offgrid",#N/A,FALSE,"OFFGRID";"Region",#N/A,FALSE,"REGION";"Offgrid -2",#N/A,FALSE,"OFFGRID";"WTP",#N/A,FALSE,"WTP";"WTP -2",#N/A,FALSE,"WTP";"Project",#N/A,FALSE,"PROJECT";"Summary -2",#N/A,FALSE,"SUMMARY"}</definedName>
    <definedName name="_a130" localSheetId="27"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Ａ４1">#N/A</definedName>
    <definedName name="_abb91">[3]chitimc!#REF!</definedName>
    <definedName name="_AS6" localSheetId="7" hidden="1">{#N/A,#N/A,FALSE,"Australien";#N/A,#N/A,FALSE,"Birmingham";#N/A,#N/A,FALSE,"Brasilien";#N/A,#N/A,FALSE,"Prag";#N/A,#N/A,FALSE,"Spanien";#N/A,#N/A,FALSE,"Malaysia ( Com)";#N/A,#N/A,FALSE,"Malaysia (Instr)"}</definedName>
    <definedName name="_AS6" localSheetId="27" hidden="1">{#N/A,#N/A,FALSE,"Australien";#N/A,#N/A,FALSE,"Birmingham";#N/A,#N/A,FALSE,"Brasilien";#N/A,#N/A,FALSE,"Prag";#N/A,#N/A,FALSE,"Spanien";#N/A,#N/A,FALSE,"Malaysia ( Com)";#N/A,#N/A,FALSE,"Malaysia (Instr)"}</definedName>
    <definedName name="_AS6" hidden="1">{#N/A,#N/A,FALSE,"Australien";#N/A,#N/A,FALSE,"Birmingham";#N/A,#N/A,FALSE,"Brasilien";#N/A,#N/A,FALSE,"Prag";#N/A,#N/A,FALSE,"Spanien";#N/A,#N/A,FALSE,"Malaysia ( Com)";#N/A,#N/A,FALSE,"Malaysia (Instr)"}</definedName>
    <definedName name="_atn3" localSheetId="7">#REF!</definedName>
    <definedName name="_atn3">#REF!</definedName>
    <definedName name="_atn4" localSheetId="7">#REF!</definedName>
    <definedName name="_atn4">#REF!</definedName>
    <definedName name="_atn5" localSheetId="7">#REF!</definedName>
    <definedName name="_atn5">#REF!</definedName>
    <definedName name="_atn6">#REF!</definedName>
    <definedName name="_atn7">#REF!</definedName>
    <definedName name="_atn8">#REF!</definedName>
    <definedName name="_atn9">#REF!</definedName>
    <definedName name="_B2">#REF!</definedName>
    <definedName name="_B3" hidden="1">{"'Sheet1'!$L$16"}</definedName>
    <definedName name="_B4" hidden="1">{"'Sheet1'!$L$16"}</definedName>
    <definedName name="_BMK10" localSheetId="7">#REF!</definedName>
    <definedName name="_BMK10">#REF!</definedName>
    <definedName name="_BMK11" localSheetId="7">#REF!</definedName>
    <definedName name="_BMK11">#REF!</definedName>
    <definedName name="_Cau2" localSheetId="7">#REF!</definedName>
    <definedName name="_Cau2">#REF!</definedName>
    <definedName name="_CON1">#REF!</definedName>
    <definedName name="_CON2">#REF!</definedName>
    <definedName name="_cpd1">#REF!</definedName>
    <definedName name="_cpd2">#REF!</definedName>
    <definedName name="_CT250">'[3]dongia (2)'!#REF!</definedName>
    <definedName name="_d1500" localSheetId="7" hidden="1">{"'Sheet1'!$L$16"}</definedName>
    <definedName name="_d1500" localSheetId="27" hidden="1">{"'Sheet1'!$L$16"}</definedName>
    <definedName name="_d1500" hidden="1">{"'Sheet1'!$L$16"}</definedName>
    <definedName name="_ddn400">#REF!</definedName>
    <definedName name="_ddn600">#REF!</definedName>
    <definedName name="_deo1" localSheetId="7">#REF!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gt100">'[3]dongia (2)'!#REF!</definedName>
    <definedName name="_FF3" localSheetId="7">#REF!</definedName>
    <definedName name="_FF3">#REF!</definedName>
    <definedName name="_Fill" localSheetId="7" hidden="1">#REF!</definedName>
    <definedName name="_Fill" hidden="1">#REF!</definedName>
    <definedName name="_xlnm._FilterDatabase" localSheetId="6" hidden="1">'1.BC_Muc tieu (ty) '!$A$2:$A$151</definedName>
    <definedName name="_xlnm._FilterDatabase" localSheetId="4" hidden="1">'1.BC_Ra Soat (ty) '!$A$34:$A$150</definedName>
    <definedName name="_xlnm._FilterDatabase" localSheetId="2" hidden="1">'1.BS (VND)'!$A$8:$A$124</definedName>
    <definedName name="_xlnm._FilterDatabase" localSheetId="22" hidden="1">'3.Von CĐ'!#REF!</definedName>
    <definedName name="_xlnm._FilterDatabase" localSheetId="25" hidden="1">'4. KQ- BS'!$A$4:$A$125</definedName>
    <definedName name="_xlnm._FilterDatabase" localSheetId="15" hidden="1">'KH- Phan bo'!$B$4:$BG$176</definedName>
    <definedName name="_xlnm._FilterDatabase" localSheetId="20" hidden="1">'Luong- Phan bo'!$B$2:$AP$169</definedName>
    <definedName name="_xlnm._FilterDatabase" localSheetId="39" hidden="1">'Xếp hạng'!$B$66:$F$76</definedName>
    <definedName name="_xlnm._FilterDatabase" hidden="1">#N/A</definedName>
    <definedName name="_G6">#N/A</definedName>
    <definedName name="_GID1">'[3]LKVL-CK-HT-GD1'!$A$4</definedName>
    <definedName name="_GM1000">#N/A</definedName>
    <definedName name="_GoA1">#N/A</definedName>
    <definedName name="_Goi8" localSheetId="7" hidden="1">{"'Sheet1'!$L$16"}</definedName>
    <definedName name="_Goi8" localSheetId="27" hidden="1">{"'Sheet1'!$L$16"}</definedName>
    <definedName name="_Goi8" hidden="1">{"'Sheet1'!$L$16"}</definedName>
    <definedName name="_h1" localSheetId="7" hidden="1">{"'Sheet1'!$L$16"}</definedName>
    <definedName name="_h1" localSheetId="27" hidden="1">{"'Sheet1'!$L$16"}</definedName>
    <definedName name="_h1" hidden="1">{"'Sheet1'!$L$16"}</definedName>
    <definedName name="_hu1" localSheetId="7" hidden="1">{"'Sheet1'!$L$16"}</definedName>
    <definedName name="_hu1" localSheetId="27" hidden="1">{"'Sheet1'!$L$16"}</definedName>
    <definedName name="_hu1" hidden="1">{"'Sheet1'!$L$16"}</definedName>
    <definedName name="_hu2" localSheetId="7" hidden="1">{"'Sheet1'!$L$16"}</definedName>
    <definedName name="_hu2" localSheetId="27" hidden="1">{"'Sheet1'!$L$16"}</definedName>
    <definedName name="_hu2" hidden="1">{"'Sheet1'!$L$16"}</definedName>
    <definedName name="_hu5" localSheetId="7" hidden="1">{"'Sheet1'!$L$16"}</definedName>
    <definedName name="_hu5" localSheetId="27" hidden="1">{"'Sheet1'!$L$16"}</definedName>
    <definedName name="_hu5" hidden="1">{"'Sheet1'!$L$16"}</definedName>
    <definedName name="_hu6" localSheetId="7" hidden="1">{"'Sheet1'!$L$16"}</definedName>
    <definedName name="_hu6" localSheetId="27" hidden="1">{"'Sheet1'!$L$16"}</definedName>
    <definedName name="_hu6" hidden="1">{"'Sheet1'!$L$16"}</definedName>
    <definedName name="_hu7" localSheetId="7" hidden="1">{"'Sheet1'!$L$16"}</definedName>
    <definedName name="_hu7" localSheetId="27" hidden="1">{"'Sheet1'!$L$16"}</definedName>
    <definedName name="_hu7" hidden="1">{"'Sheet1'!$L$16"}</definedName>
    <definedName name="_k10" localSheetId="7" hidden="1">{"'Sheet1'!$L$16"}</definedName>
    <definedName name="_k10" localSheetId="27" hidden="1">{"'Sheet1'!$L$16"}</definedName>
    <definedName name="_k10" hidden="1">{"'Sheet1'!$L$16"}</definedName>
    <definedName name="_Key1" hidden="1">#REF!</definedName>
    <definedName name="_Key2" localSheetId="7" hidden="1">#REF!</definedName>
    <definedName name="_Key2" hidden="1">#REF!</definedName>
    <definedName name="_khu7" localSheetId="7">#REF!</definedName>
    <definedName name="_khu7">#REF!</definedName>
    <definedName name="_KS2" localSheetId="7" hidden="1">{"'Sheet1'!$L$16"}</definedName>
    <definedName name="_KS2" localSheetId="27" hidden="1">{"'Sheet1'!$L$16"}</definedName>
    <definedName name="_KS2" hidden="1">{"'Sheet1'!$L$16"}</definedName>
    <definedName name="_lk2" hidden="1">{"'Sheet1'!$L$16"}</definedName>
    <definedName name="_M2" hidden="1">{"'Sheet1'!$L$16"}</definedName>
    <definedName name="_m4" hidden="1">{"'Sheet1'!$L$16"}</definedName>
    <definedName name="_MAC12">#REF!</definedName>
    <definedName name="_MAC46">#REF!</definedName>
    <definedName name="_mau11" hidden="1">{"'Sheet1'!$L$16"}</definedName>
    <definedName name="_may06" localSheetId="7">#REF!</definedName>
    <definedName name="_may06">#REF!</definedName>
    <definedName name="_MB1" localSheetId="7">#REF!</definedName>
    <definedName name="_MB1">#REF!</definedName>
    <definedName name="_MB2" localSheetId="7">#REF!</definedName>
    <definedName name="_MB2">#REF!</definedName>
    <definedName name="_MN1">#REF!</definedName>
    <definedName name="_MN2">#REF!</definedName>
    <definedName name="_MT1">#REF!</definedName>
    <definedName name="_MT2">#REF!</definedName>
    <definedName name="_nc151">#REF!</definedName>
    <definedName name="_NCL100">#REF!</definedName>
    <definedName name="_NCL200">#REF!</definedName>
    <definedName name="_NCL250">#REF!</definedName>
    <definedName name="_NET2">#REF!</definedName>
    <definedName name="_nin190">#REF!</definedName>
    <definedName name="_Order1" hidden="1">255</definedName>
    <definedName name="_Order2" hidden="1">255</definedName>
    <definedName name="_P2" hidden="1">{"'Sheet1'!$L$16"}</definedName>
    <definedName name="_PA3" localSheetId="7" hidden="1">{"'Sheet1'!$L$16"}</definedName>
    <definedName name="_PA3" localSheetId="27" hidden="1">{"'Sheet1'!$L$16"}</definedName>
    <definedName name="_PA3" hidden="1">{"'Sheet1'!$L$16"}</definedName>
    <definedName name="_Parse_Out" hidden="1">[5]Quantity!#REF!</definedName>
    <definedName name="_PL1" hidden="1">{"'Sheet1'!$L$16"}</definedName>
    <definedName name="_PLT1" localSheetId="7">#REF!</definedName>
    <definedName name="_PLT1">#REF!</definedName>
    <definedName name="_PLT2" localSheetId="7">#REF!</definedName>
    <definedName name="_PLT2">#REF!</definedName>
    <definedName name="_QTY10" localSheetId="7">#REF!</definedName>
    <definedName name="_QTY10">#REF!</definedName>
    <definedName name="_QTY11">#REF!</definedName>
    <definedName name="_sc1">#REF!</definedName>
    <definedName name="_SC2">#REF!</definedName>
    <definedName name="_sc3">#REF!</definedName>
    <definedName name="_SN3">#REF!</definedName>
    <definedName name="_Sort" localSheetId="7" hidden="1">#REF!</definedName>
    <definedName name="_Sort" hidden="1">#REF!</definedName>
    <definedName name="_T10" localSheetId="7" hidden="1">{"'Sheet1'!$L$16"}</definedName>
    <definedName name="_T10" localSheetId="27" hidden="1">{"'Sheet1'!$L$16"}</definedName>
    <definedName name="_T10" hidden="1">{"'Sheet1'!$L$16"}</definedName>
    <definedName name="_T12" localSheetId="7" hidden="1">{"'Sheet1'!$L$16"}</definedName>
    <definedName name="_T12" localSheetId="27" hidden="1">{"'Sheet1'!$L$16"}</definedName>
    <definedName name="_T12" hidden="1">{"'Sheet1'!$L$16"}</definedName>
    <definedName name="_t2">[6]XL4Poppy!$C$4</definedName>
    <definedName name="_t3">[6]XL4Poppy!$C$31</definedName>
    <definedName name="_t4">[6]XL4Poppy!$C$9</definedName>
    <definedName name="_t5">[6]XL4Poppy!$B$1:$B$16</definedName>
    <definedName name="_t6">[6]XL4Poppy!$A$15</definedName>
    <definedName name="_tg427" localSheetId="7">#REF!</definedName>
    <definedName name="_tg427">#REF!</definedName>
    <definedName name="_th100" localSheetId="7">'[3]dongia (2)'!#REF!</definedName>
    <definedName name="_th100">'[3]dongia (2)'!#REF!</definedName>
    <definedName name="_TH160" localSheetId="7">'[3]dongia (2)'!#REF!</definedName>
    <definedName name="_TH160">'[3]dongia (2)'!#REF!</definedName>
    <definedName name="_TH20" localSheetId="7">#REF!</definedName>
    <definedName name="_TH20">#REF!</definedName>
    <definedName name="_TL1" localSheetId="7">#REF!</definedName>
    <definedName name="_TL1">#REF!</definedName>
    <definedName name="_TL2" localSheetId="7">#REF!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R250">'[3]dongia (2)'!#REF!</definedName>
    <definedName name="_tr375">[3]giathanh1!#REF!</definedName>
    <definedName name="_UPR10" localSheetId="7">#REF!</definedName>
    <definedName name="_UPR10">#REF!</definedName>
    <definedName name="_UPR11" localSheetId="7">#REF!</definedName>
    <definedName name="_UPR11">#REF!</definedName>
    <definedName name="_UT2" localSheetId="7">#REF!</definedName>
    <definedName name="_UT2">#REF!</definedName>
    <definedName name="_v200" localSheetId="7" hidden="1">{#N/A,#N/A,FALSE,"단축1";#N/A,#N/A,FALSE,"단축2";#N/A,#N/A,FALSE,"단축3";#N/A,#N/A,FALSE,"장축";#N/A,#N/A,FALSE,"4WD"}</definedName>
    <definedName name="_v200" localSheetId="27" hidden="1">{#N/A,#N/A,FALSE,"단축1";#N/A,#N/A,FALSE,"단축2";#N/A,#N/A,FALSE,"단축3";#N/A,#N/A,FALSE,"장축";#N/A,#N/A,FALSE,"4WD"}</definedName>
    <definedName name="_v200" hidden="1">{#N/A,#N/A,FALSE,"단축1";#N/A,#N/A,FALSE,"단축2";#N/A,#N/A,FALSE,"단축3";#N/A,#N/A,FALSE,"장축";#N/A,#N/A,FALSE,"4WD"}</definedName>
    <definedName name="_VL100">#REF!</definedName>
    <definedName name="_VL200">#REF!</definedName>
    <definedName name="_VL250">#REF!</definedName>
    <definedName name="_x1">#REF!</definedName>
    <definedName name="_x2">#REF!</definedName>
    <definedName name="_XG2" localSheetId="7" hidden="1">{#N/A,#N/A,FALSE,"단축1";#N/A,#N/A,FALSE,"단축2";#N/A,#N/A,FALSE,"단축3";#N/A,#N/A,FALSE,"장축";#N/A,#N/A,FALSE,"4WD"}</definedName>
    <definedName name="_XG2" localSheetId="27" hidden="1">{#N/A,#N/A,FALSE,"단축1";#N/A,#N/A,FALSE,"단축2";#N/A,#N/A,FALSE,"단축3";#N/A,#N/A,FALSE,"장축";#N/A,#N/A,FALSE,"4WD"}</definedName>
    <definedName name="_XG2" hidden="1">{#N/A,#N/A,FALSE,"단축1";#N/A,#N/A,FALSE,"단축2";#N/A,#N/A,FALSE,"단축3";#N/A,#N/A,FALSE,"장축";#N/A,#N/A,FALSE,"4WD"}</definedName>
    <definedName name="_xx3" localSheetId="7">#REF!</definedName>
    <definedName name="_xx3">#REF!</definedName>
    <definedName name="_xx4" localSheetId="7">#REF!</definedName>
    <definedName name="_xx4">#REF!</definedName>
    <definedName name="_xx5" localSheetId="7">#REF!</definedName>
    <definedName name="_xx5">#REF!</definedName>
    <definedName name="_xx6">#REF!</definedName>
    <definedName name="_xx7">#REF!</definedName>
    <definedName name="_zz510">#REF!</definedName>
    <definedName name="_zz555">#REF!</definedName>
    <definedName name="¿¹≫eAN°y½AÆR¼³ONLY">#REF!</definedName>
    <definedName name="¤A¤A">#REF!</definedName>
    <definedName name="¤μ¤μ">#REF!</definedName>
    <definedName name="±a¾E°ⓒ">#REF!</definedName>
    <definedName name="±a¾EA≫">#REF!</definedName>
    <definedName name="√">"SQRT"</definedName>
    <definedName name="↑">#REF!</definedName>
    <definedName name="¹ß" localSheetId="7">#REF!</definedName>
    <definedName name="¹ß">#REF!</definedName>
    <definedName name="a" localSheetId="7">#REF!</definedName>
    <definedName name="A">#N/A</definedName>
    <definedName name="a.1" localSheetId="7">#REF!</definedName>
    <definedName name="a.1">#REF!</definedName>
    <definedName name="a.10" localSheetId="7">#REF!</definedName>
    <definedName name="a.10">#REF!</definedName>
    <definedName name="a.12" localSheetId="7">#REF!</definedName>
    <definedName name="a.12">#REF!</definedName>
    <definedName name="a.13">#REF!</definedName>
    <definedName name="a.2">#REF!</definedName>
    <definedName name="a.3">#REF!</definedName>
    <definedName name="a.4">#REF!</definedName>
    <definedName name="a.5">#REF!</definedName>
    <definedName name="a.6">#REF!</definedName>
    <definedName name="a.7">#REF!</definedName>
    <definedName name="a.8">#REF!</definedName>
    <definedName name="a.9">#REF!</definedName>
    <definedName name="A?___R3_t">#REF!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20_">#REF!</definedName>
    <definedName name="A1xA65536" localSheetId="7">#REF!</definedName>
    <definedName name="A1xA65536">#REF!</definedName>
    <definedName name="A35_" localSheetId="7">#REF!</definedName>
    <definedName name="A35_">#REF!</definedName>
    <definedName name="A50_">#REF!</definedName>
    <definedName name="A70_">#REF!</definedName>
    <definedName name="A95_">#REF!</definedName>
    <definedName name="AA">#REF!</definedName>
    <definedName name="aaa" hidden="1">#REF!</definedName>
    <definedName name="AAAA">#N/A</definedName>
    <definedName name="AAAAA">#N/A</definedName>
    <definedName name="Aaaaaa" localSheetId="7">#REF!</definedName>
    <definedName name="Aaaaaa">#REF!</definedName>
    <definedName name="ABC" localSheetId="7">#REF!</definedName>
    <definedName name="ABC">#REF!</definedName>
    <definedName name="abcd" localSheetId="7">#REF!</definedName>
    <definedName name="abcd">#REF!</definedName>
    <definedName name="AC120_">#REF!</definedName>
    <definedName name="AC35_">#REF!</definedName>
    <definedName name="AC50_">#REF!</definedName>
    <definedName name="AC70_">#REF!</definedName>
    <definedName name="AC95_">#REF!</definedName>
    <definedName name="AccessDatabase" hidden="1">"C:\My Documents\LeBinh\Xls\VP Cong ty\FORM.mdb"</definedName>
    <definedName name="AD" localSheetId="7" hidden="1">{"'Sheet1'!$L$16"}</definedName>
    <definedName name="AD" hidden="1">{"'Sheet1'!$L$16"}</definedName>
    <definedName name="ádfadsf" hidden="1">{"'Sheet1'!$L$16"}</definedName>
    <definedName name="adsfadsf" hidden="1">{"'Sheet1'!$L$16"}</definedName>
    <definedName name="adsfaewr" hidden="1">{"'Sheet1'!$L$16"}</definedName>
    <definedName name="adsfdsf" hidden="1">#REF!</definedName>
    <definedName name="adsffa" localSheetId="7">#REF!</definedName>
    <definedName name="adsffa" localSheetId="27">#REF!</definedName>
    <definedName name="adsffa">#REF!</definedName>
    <definedName name="afasfsagfas" localSheetId="7" hidden="1">{#N/A,#N/A,FALSE,"Chi tiÆt"}</definedName>
    <definedName name="afasfsagfas" localSheetId="27" hidden="1">{#N/A,#N/A,FALSE,"Chi tiÆt"}</definedName>
    <definedName name="afasfsagfas" hidden="1">{#N/A,#N/A,FALSE,"Chi tiÆt"}</definedName>
    <definedName name="AG" localSheetId="7">#REF!</definedName>
    <definedName name="AG">#REF!</definedName>
    <definedName name="AG_Temp" localSheetId="7">#REF!</definedName>
    <definedName name="AG_Temp">#REF!</definedName>
    <definedName name="ag142X42" localSheetId="7">[3]chitimc!#REF!</definedName>
    <definedName name="ag142X42">[3]chitimc!#REF!</definedName>
    <definedName name="ag267N59" localSheetId="7">[3]chitimc!#REF!</definedName>
    <definedName name="ag267N59">[3]chitimc!#REF!</definedName>
    <definedName name="ak" localSheetId="7" hidden="1">{"'Sheet1'!$L$16"}</definedName>
    <definedName name="ak" localSheetId="27" hidden="1">{"'Sheet1'!$L$16"}</definedName>
    <definedName name="ak" hidden="1">{"'Sheet1'!$L$16"}</definedName>
    <definedName name="ALPIN">#N/A</definedName>
    <definedName name="ALPJYOU">#N/A</definedName>
    <definedName name="ALPTOI">#N/A</definedName>
    <definedName name="anscount" hidden="1">1</definedName>
    <definedName name="Antoan" localSheetId="7" hidden="1">{"'Sheet1'!$L$16"}</definedName>
    <definedName name="Antoan" localSheetId="27" hidden="1">{"'Sheet1'!$L$16"}</definedName>
    <definedName name="Antoan" hidden="1">{"'Sheet1'!$L$16"}</definedName>
    <definedName name="AS" localSheetId="7" hidden="1">{#N/A,#N/A,FALSE,"Status";#N/A,#N/A,FALSE,"Deckblatt 1";#N/A,#N/A,FALSE,"Deckblatt2"}</definedName>
    <definedName name="AS" localSheetId="27" hidden="1">{#N/A,#N/A,FALSE,"Status";#N/A,#N/A,FALSE,"Deckblatt 1";#N/A,#N/A,FALSE,"Deckblatt2"}</definedName>
    <definedName name="AS" hidden="1">{#N/A,#N/A,FALSE,"Status";#N/A,#N/A,FALSE,"Deckblatt 1";#N/A,#N/A,FALSE,"Deckblatt2"}</definedName>
    <definedName name="AS2DocOpenMode" hidden="1">"AS2DocumentEdit"</definedName>
    <definedName name="AS2StaticLS" hidden="1">#REF!</definedName>
    <definedName name="AS2VersionLS" hidden="1">300</definedName>
    <definedName name="ASDF">#N/A</definedName>
    <definedName name="asdfsdaf" hidden="1">#REF!</definedName>
    <definedName name="ASDS">#N/A</definedName>
    <definedName name="asf" localSheetId="7" hidden="1">{"'Sheet1'!$L$16"}</definedName>
    <definedName name="asf" localSheetId="27" hidden="1">{"'Sheet1'!$L$16"}</definedName>
    <definedName name="asf" hidden="1">{"'Sheet1'!$L$16"}</definedName>
    <definedName name="ATGT" localSheetId="7" hidden="1">{"'Sheet1'!$L$16"}</definedName>
    <definedName name="ATGT" localSheetId="27" hidden="1">{"'Sheet1'!$L$16"}</definedName>
    <definedName name="ATGT" hidden="1">{"'Sheet1'!$L$16"}</definedName>
    <definedName name="AttendanceForm">#REF!</definedName>
    <definedName name="awc" localSheetId="7">#REF!</definedName>
    <definedName name="awc">#REF!</definedName>
    <definedName name="B" localSheetId="7">#REF!</definedName>
    <definedName name="B">#REF!</definedName>
    <definedName name="b_240" localSheetId="7">'[3]THPDMoi  (2)'!#REF!</definedName>
    <definedName name="b_240">'[3]THPDMoi  (2)'!#REF!</definedName>
    <definedName name="b_280" localSheetId="7">'[3]THPDMoi  (2)'!#REF!</definedName>
    <definedName name="b_280">'[3]THPDMoi  (2)'!#REF!</definedName>
    <definedName name="b_320" localSheetId="7">'[3]THPDMoi  (2)'!#REF!</definedName>
    <definedName name="b_320">'[3]THPDMoi  (2)'!#REF!</definedName>
    <definedName name="ban" localSheetId="7">#REF!</definedName>
    <definedName name="ban">#REF!</definedName>
    <definedName name="Bang_cly" localSheetId="7">#REF!</definedName>
    <definedName name="Bang_cly">#REF!</definedName>
    <definedName name="Bang_CVC" localSheetId="7">#REF!</definedName>
    <definedName name="Bang_CVC">#REF!</definedName>
    <definedName name="bang_gia">#REF!</definedName>
    <definedName name="Bang_travl">#REF!</definedName>
    <definedName name="bangciti">'[3]dongia (2)'!#REF!</definedName>
    <definedName name="bangtinh" localSheetId="7">#REF!</definedName>
    <definedName name="bangtinh">#REF!</definedName>
    <definedName name="bankweeklyreport">#N/A</definedName>
    <definedName name="banQL" localSheetId="7" hidden="1">{"'Sheet1'!$L$16"}</definedName>
    <definedName name="banQL" localSheetId="27" hidden="1">{"'Sheet1'!$L$16"}</definedName>
    <definedName name="banQL" hidden="1">{"'Sheet1'!$L$16"}</definedName>
    <definedName name="barem">#REF!</definedName>
    <definedName name="baseL" localSheetId="7">#REF!</definedName>
    <definedName name="baseL">#REF!</definedName>
    <definedName name="baseR" localSheetId="7">#REF!</definedName>
    <definedName name="baseR">#REF!</definedName>
    <definedName name="Bay">#REF!</definedName>
    <definedName name="BB">#REF!</definedName>
    <definedName name="BBB">#REF!</definedName>
    <definedName name="bbbb">#REF!</definedName>
    <definedName name="bbbbb">#REF!</definedName>
    <definedName name="bc">#REF!</definedName>
    <definedName name="bdht15nc">[3]gtrinh!#REF!</definedName>
    <definedName name="bdht15vl">[3]gtrinh!#REF!</definedName>
    <definedName name="bdht25nc">[3]gtrinh!#REF!</definedName>
    <definedName name="bdht25vl">[3]gtrinh!#REF!</definedName>
    <definedName name="bdht325nc">[3]gtrinh!#REF!</definedName>
    <definedName name="bdht325vl">[3]gtrinh!#REF!</definedName>
    <definedName name="beta" localSheetId="7">#REF!</definedName>
    <definedName name="beta">#REF!</definedName>
    <definedName name="BFdebt" localSheetId="7">#REF!</definedName>
    <definedName name="BFdebt">#REF!</definedName>
    <definedName name="BG_Del" hidden="1">15</definedName>
    <definedName name="BG_Ins" hidden="1">4</definedName>
    <definedName name="BG_Mod" hidden="1">6</definedName>
    <definedName name="Bgiang" localSheetId="7" hidden="1">{"'Sheet1'!$L$16"}</definedName>
    <definedName name="Bgiang" localSheetId="27" hidden="1">{"'Sheet1'!$L$16"}</definedName>
    <definedName name="Bgiang" hidden="1">{"'Sheet1'!$L$16"}</definedName>
    <definedName name="bia">#REF!</definedName>
    <definedName name="blang" localSheetId="7">#REF!</definedName>
    <definedName name="blang">#REF!</definedName>
    <definedName name="blong" localSheetId="7">#REF!</definedName>
    <definedName name="blong">#REF!</definedName>
    <definedName name="Bon">#REF!</definedName>
    <definedName name="BOQ">#REF!</definedName>
    <definedName name="BottleInCase">#REF!</definedName>
    <definedName name="BR_373">#REF!</definedName>
    <definedName name="Bratrans">#REF!</definedName>
    <definedName name="BRKT_ASST">#REF!</definedName>
    <definedName name="BrName">#REF!</definedName>
    <definedName name="bson">#REF!</definedName>
    <definedName name="BT">#REF!</definedName>
    <definedName name="btl" localSheetId="7" hidden="1">{"'Sheet1'!$L$16"}</definedName>
    <definedName name="btl" localSheetId="27" hidden="1">{"'Sheet1'!$L$16"}</definedName>
    <definedName name="btl" hidden="1">{"'Sheet1'!$L$16"}</definedName>
    <definedName name="btw_01" localSheetId="7">#REF!,#REF!,#REF!,#REF!,#REF!,#REF!,#REF!,#REF!,#REF!</definedName>
    <definedName name="btw_01" localSheetId="27">#REF!,#REF!,#REF!,#REF!,#REF!,#REF!,#REF!,#REF!,#REF!</definedName>
    <definedName name="btw_01">#REF!,#REF!,#REF!,#REF!,#REF!,#REF!,#REF!,#REF!,#REF!</definedName>
    <definedName name="btw_03" localSheetId="7">#REF!,#REF!,#REF!,#REF!,#REF!</definedName>
    <definedName name="btw_03">#REF!,#REF!,#REF!,#REF!,#REF!</definedName>
    <definedName name="bư9">#REF!</definedName>
    <definedName name="BVCISUMMARY" localSheetId="7">#REF!</definedName>
    <definedName name="BVCISUMMARY" localSheetId="27">#REF!</definedName>
    <definedName name="BVCISUMMARY">#REF!</definedName>
    <definedName name="bvncn" hidden="1">{"'Sheet1'!$L$16"}</definedName>
    <definedName name="C.1.1..Phat_tuyen" localSheetId="7">#REF!</definedName>
    <definedName name="C.1.1..Phat_tuyen" localSheetId="27">#REF!</definedName>
    <definedName name="C.1.1..Phat_tuyen">#REF!</definedName>
    <definedName name="C.1.10..VC_Thu_cong_CG" localSheetId="7">#REF!</definedName>
    <definedName name="C.1.10..VC_Thu_cong_CG" localSheetId="27">#REF!</definedName>
    <definedName name="C.1.10..VC_Thu_cong_CG">#REF!</definedName>
    <definedName name="C.1.2..Chat_cay_thu_cong" localSheetId="7">#REF!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acbaikhac" localSheetId="7">[7]Formsemen!#REF!</definedName>
    <definedName name="cacbaikhac">[7]Formsemen!#REF!</definedName>
    <definedName name="CacBaiLienQuan" localSheetId="7">[7]Formsemen!#REF!</definedName>
    <definedName name="CacBaiLienQuan">[7]Formsemen!#REF!</definedName>
    <definedName name="Căn_hộ_bán">"Phải thu"</definedName>
    <definedName name="CanCuPL">[7]Formsemen!#REF!</definedName>
    <definedName name="Cap_giao_thong" localSheetId="7">#REF!</definedName>
    <definedName name="Cap_giao_thong">#REF!</definedName>
    <definedName name="Capacity" localSheetId="7">#REF!</definedName>
    <definedName name="Capacity">#REF!</definedName>
    <definedName name="CAPDAT" localSheetId="7">[3]phuluc1!#REF!</definedName>
    <definedName name="CAPDAT">[3]phuluc1!#REF!</definedName>
    <definedName name="Capture.Capture">#N/A</definedName>
    <definedName name="Car" localSheetId="7">#REF!</definedName>
    <definedName name="Car">#REF!</definedName>
    <definedName name="Category_All" localSheetId="7">#REF!</definedName>
    <definedName name="Category_All">#REF!</definedName>
    <definedName name="CATIN">#N/A</definedName>
    <definedName name="CATJYOU">#N/A</definedName>
    <definedName name="CATREC">#N/A</definedName>
    <definedName name="CATSYU">#N/A</definedName>
    <definedName name="CBWorkbookPriority" hidden="1">-604668737</definedName>
    <definedName name="cc" localSheetId="7">#REF!</definedName>
    <definedName name="CC">#REF!</definedName>
    <definedName name="CC.QQ" localSheetId="7">#REF!</definedName>
    <definedName name="CC.QQ">#REF!</definedName>
    <definedName name="CCC" localSheetId="7">#REF!</definedName>
    <definedName name="CCC">#REF!</definedName>
    <definedName name="CCS">#REF!</definedName>
    <definedName name="CDA" localSheetId="7">#REF!</definedName>
    <definedName name="CDA">#REF!</definedName>
    <definedName name="CDD">#REF!</definedName>
    <definedName name="CDDD">'[3]THPDMoi  (2)'!#REF!</definedName>
    <definedName name="cddd1p">'[3]TONG HOP VL-NC'!$C$3</definedName>
    <definedName name="cddd3p">'[3]TONG HOP VL-NC'!$C$2</definedName>
    <definedName name="CDE" localSheetId="7">#REF!</definedName>
    <definedName name="CDE">#REF!</definedName>
    <definedName name="cdn" localSheetId="7">#REF!</definedName>
    <definedName name="cdn">#REF!</definedName>
    <definedName name="Céng" localSheetId="7">#REF!</definedName>
    <definedName name="Céng">#REF!</definedName>
    <definedName name="cgionc" localSheetId="7">'[3]lam-moi'!#REF!</definedName>
    <definedName name="cgionc">'[3]lam-moi'!#REF!</definedName>
    <definedName name="cgiovl" localSheetId="7">'[3]lam-moi'!#REF!</definedName>
    <definedName name="cgiovl">'[3]lam-moi'!#REF!</definedName>
    <definedName name="CH" localSheetId="7">#REF!</definedName>
    <definedName name="CH">#REF!</definedName>
    <definedName name="Ch_rong" localSheetId="7">#REF!</definedName>
    <definedName name="Ch_rong">#REF!</definedName>
    <definedName name="chay1" localSheetId="7">#REF!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Dai">#REF!</definedName>
    <definedName name="CheckBox14_Click">#N/A</definedName>
    <definedName name="CheckBox15_Click">#N/A</definedName>
    <definedName name="chhtnc">'[3]lam-moi'!#REF!</definedName>
    <definedName name="chhtvl">'[3]lam-moi'!#REF!</definedName>
    <definedName name="Chin" localSheetId="7">#REF!</definedName>
    <definedName name="Chin">#REF!</definedName>
    <definedName name="ChiPhiKhac" localSheetId="7">#REF!</definedName>
    <definedName name="ChiPhiKhac">#REF!</definedName>
    <definedName name="chitietbgiang2" localSheetId="7" hidden="1">{"'Sheet1'!$L$16"}</definedName>
    <definedName name="chitietbgiang2" localSheetId="27" hidden="1">{"'Sheet1'!$L$16"}</definedName>
    <definedName name="chitietbgiang2" hidden="1">{"'Sheet1'!$L$16"}</definedName>
    <definedName name="chl" localSheetId="7" hidden="1">{"'Sheet1'!$L$16"}</definedName>
    <definedName name="chl" localSheetId="27" hidden="1">{"'Sheet1'!$L$16"}</definedName>
    <definedName name="chl" hidden="1">{"'Sheet1'!$L$16"}</definedName>
    <definedName name="chnc">'[3]lam-moi'!#REF!</definedName>
    <definedName name="choi" localSheetId="7" hidden="1">{#N/A,#N/A,FALSE,"Australien";#N/A,#N/A,FALSE,"Birmingham";#N/A,#N/A,FALSE,"Brasilien";#N/A,#N/A,FALSE,"Prag";#N/A,#N/A,FALSE,"Spanien";#N/A,#N/A,FALSE,"Malaysia ( Com)";#N/A,#N/A,FALSE,"Malaysia (Instr)"}</definedName>
    <definedName name="choi" localSheetId="27" hidden="1">{#N/A,#N/A,FALSE,"Australien";#N/A,#N/A,FALSE,"Birmingham";#N/A,#N/A,FALSE,"Brasilien";#N/A,#N/A,FALSE,"Prag";#N/A,#N/A,FALSE,"Spanien";#N/A,#N/A,FALSE,"Malaysia ( Com)";#N/A,#N/A,FALSE,"Malaysia (Instr)"}</definedName>
    <definedName name="choi" hidden="1">{#N/A,#N/A,FALSE,"Australien";#N/A,#N/A,FALSE,"Birmingham";#N/A,#N/A,FALSE,"Brasilien";#N/A,#N/A,FALSE,"Prag";#N/A,#N/A,FALSE,"Spanien";#N/A,#N/A,FALSE,"Malaysia ( Com)";#N/A,#N/A,FALSE,"Malaysia (Instr)"}</definedName>
    <definedName name="chuc1">#REF!</definedName>
    <definedName name="chung">66</definedName>
    <definedName name="chuyen" localSheetId="7" hidden="1">{"'Sheet1'!$L$16"}</definedName>
    <definedName name="chuyen" localSheetId="27" hidden="1">{"'Sheet1'!$L$16"}</definedName>
    <definedName name="chuyen" hidden="1">{"'Sheet1'!$L$16"}</definedName>
    <definedName name="chvl">'[3]lam-moi'!#REF!</definedName>
    <definedName name="Cinv" localSheetId="7">#REF!</definedName>
    <definedName name="Cinv">#REF!</definedName>
    <definedName name="Cinv." localSheetId="7">#REF!</definedName>
    <definedName name="Cinv.">#REF!</definedName>
    <definedName name="cisub" localSheetId="7">#REF!</definedName>
    <definedName name="cisub">#REF!</definedName>
    <definedName name="citidd" localSheetId="7">'[3]dongia (2)'!#REF!</definedName>
    <definedName name="citidd">'[3]dongia (2)'!#REF!</definedName>
    <definedName name="CK" localSheetId="7">#REF!</definedName>
    <definedName name="CK">#REF!</definedName>
    <definedName name="cknc" localSheetId="7">'[3]lam-moi'!#REF!</definedName>
    <definedName name="cknc">'[3]lam-moi'!#REF!</definedName>
    <definedName name="ckvl" localSheetId="7">'[3]lam-moi'!#REF!</definedName>
    <definedName name="ckvl">'[3]lam-moi'!#REF!</definedName>
    <definedName name="clvc1">[3]chitiet!$D$3</definedName>
    <definedName name="CLVC3">0.1</definedName>
    <definedName name="CLVCTB">#REF!</definedName>
    <definedName name="CLVL">[8]ctdg!#REF!</definedName>
    <definedName name="CN3p">'[3]TONGKE3p '!$X$295</definedName>
    <definedName name="COAT">'[1]PNT-QUOT-#3'!#REF!</definedName>
    <definedName name="CODE" localSheetId="7">#REF!</definedName>
    <definedName name="CODE">#REF!</definedName>
    <definedName name="CODE1" localSheetId="7">#REF!</definedName>
    <definedName name="CODE1">#REF!</definedName>
    <definedName name="CODE2" localSheetId="7">#REF!</definedName>
    <definedName name="CODE2">#REF!</definedName>
    <definedName name="CODE3" localSheetId="7">#REF!</definedName>
    <definedName name="CODE3">#REF!</definedName>
    <definedName name="codereport">#REF!</definedName>
    <definedName name="Cöï_ly_vaän_chuyeãn">#REF!</definedName>
    <definedName name="CÖÏ_LY_VAÄN_CHUYEÅN">#REF!</definedName>
    <definedName name="comain">#REF!</definedName>
    <definedName name="COMMON">#REF!</definedName>
    <definedName name="Comp">#REF!</definedName>
    <definedName name="Completion_Date">#REF!</definedName>
    <definedName name="CON_EQP_COS">#REF!</definedName>
    <definedName name="CON_EQP_COST">#REF!</definedName>
    <definedName name="Cong_HM_DTCT">#REF!</definedName>
    <definedName name="Cong_M_DTCT">#REF!</definedName>
    <definedName name="Cong_NC_DTCT">#REF!</definedName>
    <definedName name="Cong_VL_DTCT">#REF!</definedName>
    <definedName name="cong1x15">[3]giathanh1!#REF!</definedName>
    <definedName name="CONGPA1" hidden="1">{"'Sheet1'!$L$16"}</definedName>
    <definedName name="CONST_EQ" localSheetId="7">#REF!</definedName>
    <definedName name="CONST_EQ">#REF!</definedName>
    <definedName name="Constant" localSheetId="7">#REF!</definedName>
    <definedName name="Constant">#REF!</definedName>
    <definedName name="ContextID" localSheetId="7">#REF!</definedName>
    <definedName name="ContextID">#REF!</definedName>
    <definedName name="COP">#REF!</definedName>
    <definedName name="CORN_4">[9]DOM!$A$30</definedName>
    <definedName name="CostFeed1" localSheetId="7">#REF!</definedName>
    <definedName name="CostFeed1">#REF!</definedName>
    <definedName name="CostFeed2" localSheetId="7">#REF!</definedName>
    <definedName name="CostFeed2">#REF!</definedName>
    <definedName name="CostFeed3" localSheetId="7">#REF!</definedName>
    <definedName name="CostFeed3">#REF!</definedName>
    <definedName name="CostFeed4">#REF!</definedName>
    <definedName name="CostFeed5">#REF!</definedName>
    <definedName name="CostFemale_A1">#REF!</definedName>
    <definedName name="CostFemale_A2">#REF!</definedName>
    <definedName name="CostMale_A1">#REF!</definedName>
    <definedName name="CostMale_A2">#REF!</definedName>
    <definedName name="CostStr_A1">#REF!</definedName>
    <definedName name="CostStr_A2">#REF!</definedName>
    <definedName name="Cot_thep">[3]Du_lieu!$C$19</definedName>
    <definedName name="COVER" localSheetId="7">#REF!</definedName>
    <definedName name="COVER">#REF!</definedName>
    <definedName name="cover1" localSheetId="7">#REF!</definedName>
    <definedName name="cover1">#REF!</definedName>
    <definedName name="CP" hidden="1">#REF!</definedName>
    <definedName name="cpdd1">#REF!</definedName>
    <definedName name="CPVC100">#REF!</definedName>
    <definedName name="CPVC1KM">'[3]TH VL, NC, DDHT Thanhphuoc'!$J$19</definedName>
    <definedName name="CPVCDN">'[3]#REF'!$K$33</definedName>
    <definedName name="CRD" localSheetId="7">#REF!</definedName>
    <definedName name="CRD">#REF!</definedName>
    <definedName name="create_xla">0</definedName>
    <definedName name="CreditCA">[10]CusotmerVendorGroup!$L$4:$M$20</definedName>
    <definedName name="CRITINST" localSheetId="7">#REF!</definedName>
    <definedName name="CRITINST">#REF!</definedName>
    <definedName name="CRITPURC" localSheetId="7">#REF!</definedName>
    <definedName name="CRITPURC">#REF!</definedName>
    <definedName name="CRS" localSheetId="7">#REF!</definedName>
    <definedName name="CRS">#REF!</definedName>
    <definedName name="CRTC">#REF!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d3p">#REF!</definedName>
    <definedName name="csddg1p">#REF!</definedName>
    <definedName name="csddt1p">#REF!</definedName>
    <definedName name="csht3p">#REF!</definedName>
    <definedName name="CT_NX">#REF!</definedName>
    <definedName name="CTCPDTXL" hidden="1">{"'Sheet1'!$L$16"}</definedName>
    <definedName name="CTCT1" localSheetId="7" hidden="1">{"'Sheet1'!$L$16"}</definedName>
    <definedName name="CTCT1" localSheetId="27" hidden="1">{"'Sheet1'!$L$16"}</definedName>
    <definedName name="CTCT1" hidden="1">{"'Sheet1'!$L$16"}</definedName>
    <definedName name="ctct2" localSheetId="7" hidden="1">{"'Sheet1'!$L$16"}</definedName>
    <definedName name="ctct2" localSheetId="27" hidden="1">{"'Sheet1'!$L$16"}</definedName>
    <definedName name="ctct2" hidden="1">{"'Sheet1'!$L$16"}</definedName>
    <definedName name="ctdg">[11]ctdg!#REF!</definedName>
    <definedName name="cti3x15">[3]giathanh1!#REF!</definedName>
    <definedName name="ctiep" localSheetId="7">#REF!</definedName>
    <definedName name="ctiep">#REF!</definedName>
    <definedName name="ctmai" localSheetId="7">#REF!</definedName>
    <definedName name="ctmai">#REF!</definedName>
    <definedName name="ctong" localSheetId="7">#REF!</definedName>
    <definedName name="ctong">#REF!</definedName>
    <definedName name="ctre">#REF!</definedName>
    <definedName name="cui">#REF!</definedName>
    <definedName name="culy1">[3]DONGIA!#REF!</definedName>
    <definedName name="culy2">[3]DONGIA!#REF!</definedName>
    <definedName name="culy3">[3]DONGIA!#REF!</definedName>
    <definedName name="culy4">[3]DONGIA!#REF!</definedName>
    <definedName name="culy5">[3]DONGIA!#REF!</definedName>
    <definedName name="cung" localSheetId="7" hidden="1">{"'Sheet1'!$L$16"}</definedName>
    <definedName name="cung" localSheetId="27" hidden="1">{"'Sheet1'!$L$16"}</definedName>
    <definedName name="cung" hidden="1">{"'Sheet1'!$L$16"}</definedName>
    <definedName name="cuoc">[3]DONGIA!#REF!</definedName>
    <definedName name="CURRENCY" localSheetId="7">#REF!</definedName>
    <definedName name="CURRENCY">#REF!</definedName>
    <definedName name="CusGrp1">[10]CusotmerVendorGroup!$J$4:$K$30</definedName>
    <definedName name="CusGrp2">[10]CusotmerVendorGroup!$H$4:$I$30</definedName>
    <definedName name="CusGrp3">[10]CusotmerVendorGroup!$F$4:$G$30</definedName>
    <definedName name="CusGrp4">[10]CusotmerVendorGroup!$D$4:$E$30</definedName>
    <definedName name="CusGrp5">[10]CusotmerVendorGroup!$B$4:$C$30</definedName>
    <definedName name="cv">[12]gvl!$N$17</definedName>
    <definedName name="CVcodelist" localSheetId="7">#REF!</definedName>
    <definedName name="CVcodelist">#REF!</definedName>
    <definedName name="cvnfdhgf" hidden="1">{#N/A,#N/A,FALSE,"N3"}</definedName>
    <definedName name="cvnhg" hidden="1">{"'Sheet1'!$L$16"}</definedName>
    <definedName name="cx" localSheetId="7">#REF!</definedName>
    <definedName name="cx">#REF!</definedName>
    <definedName name="cxhtnc" localSheetId="7">'[3]lam-moi'!#REF!</definedName>
    <definedName name="cxhtnc">'[3]lam-moi'!#REF!</definedName>
    <definedName name="cxhtvl" localSheetId="7">'[3]lam-moi'!#REF!</definedName>
    <definedName name="cxhtvl">'[3]lam-moi'!#REF!</definedName>
    <definedName name="cxnc" localSheetId="7">'[3]lam-moi'!#REF!</definedName>
    <definedName name="cxnc">'[3]lam-moi'!#REF!</definedName>
    <definedName name="cxvl" localSheetId="7">'[3]lam-moi'!#REF!</definedName>
    <definedName name="cxvl">'[3]lam-moi'!#REF!</definedName>
    <definedName name="cxxnc">'[3]lam-moi'!#REF!</definedName>
    <definedName name="cxxvl">'[3]lam-moi'!#REF!</definedName>
    <definedName name="D_7101A_B" localSheetId="7">#REF!</definedName>
    <definedName name="D_7101A_B">#REF!</definedName>
    <definedName name="D1x49" localSheetId="7">[3]chitimc!#REF!</definedName>
    <definedName name="D1x49">[3]chitimc!#REF!</definedName>
    <definedName name="D1x49x49" localSheetId="7">[3]chitimc!#REF!</definedName>
    <definedName name="D1x49x49">[3]chitimc!#REF!</definedName>
    <definedName name="d24nc">'[3]lam-moi'!#REF!</definedName>
    <definedName name="d24vl">'[3]lam-moi'!#REF!</definedName>
    <definedName name="DA" localSheetId="7">#REF!</definedName>
    <definedName name="DA">#REF!</definedName>
    <definedName name="dam">78000</definedName>
    <definedName name="DAN">#REF!</definedName>
    <definedName name="Dat" localSheetId="7">#REF!</definedName>
    <definedName name="Dat">#REF!</definedName>
    <definedName name="Data" localSheetId="7">#REF!</definedName>
    <definedName name="Data">#REF!</definedName>
    <definedName name="_xlnm.Database">#REF!</definedName>
    <definedName name="datanew">#REF!</definedName>
    <definedName name="Date">#REF!</definedName>
    <definedName name="Datechoose">#REF!</definedName>
    <definedName name="Dattt">#REF!</definedName>
    <definedName name="Datvv">#REF!</definedName>
    <definedName name="dche">#REF!</definedName>
    <definedName name="DD">#REF!</definedName>
    <definedName name="dd1pnc">[3]chitiet!$G$404</definedName>
    <definedName name="dd1pvl">[3]chitiet!$G$383</definedName>
    <definedName name="dd1x2">[12]gvl!$N$9</definedName>
    <definedName name="dd3pctnc">'[3]lam-moi'!#REF!</definedName>
    <definedName name="dd3pctvl">'[3]lam-moi'!#REF!</definedName>
    <definedName name="dd3plmvl">'[3]lam-moi'!#REF!</definedName>
    <definedName name="dd3pnc">'[3]lam-moi'!#REF!</definedName>
    <definedName name="dd3pvl">'[3]lam-moi'!#REF!</definedName>
    <definedName name="dd4x6" localSheetId="7">#REF!</definedName>
    <definedName name="dd4x6">#REF!</definedName>
    <definedName name="dday" localSheetId="7">#REF!</definedName>
    <definedName name="dday">#REF!</definedName>
    <definedName name="ddd" localSheetId="7" hidden="1">{"'Sheet1'!$L$16"}</definedName>
    <definedName name="ddd" localSheetId="27" hidden="1">{"'Sheet1'!$L$16"}</definedName>
    <definedName name="ddd" hidden="1">{"'Sheet1'!$L$16"}</definedName>
    <definedName name="DDDDDDDDDDDD">#REF!</definedName>
    <definedName name="dden" localSheetId="7">#REF!</definedName>
    <definedName name="dden">#REF!</definedName>
    <definedName name="dDFA" localSheetId="7" hidden="1">{#N/A,#N/A,FALSE,"단축1";#N/A,#N/A,FALSE,"단축2";#N/A,#N/A,FALSE,"단축3";#N/A,#N/A,FALSE,"장축";#N/A,#N/A,FALSE,"4WD"}</definedName>
    <definedName name="dDFA" localSheetId="27" hidden="1">{#N/A,#N/A,FALSE,"단축1";#N/A,#N/A,FALSE,"단축2";#N/A,#N/A,FALSE,"단축3";#N/A,#N/A,FALSE,"장축";#N/A,#N/A,FALSE,"4WD"}</definedName>
    <definedName name="dDFA" hidden="1">{#N/A,#N/A,FALSE,"단축1";#N/A,#N/A,FALSE,"단축2";#N/A,#N/A,FALSE,"단축3";#N/A,#N/A,FALSE,"장축";#N/A,#N/A,FALSE,"4WD"}</definedName>
    <definedName name="ddhtnc">'[3]lam-moi'!#REF!</definedName>
    <definedName name="ddhtvl">'[3]lam-moi'!#REF!</definedName>
    <definedName name="ddia" localSheetId="7">#REF!</definedName>
    <definedName name="ddia">#REF!</definedName>
    <definedName name="ddt2nc" localSheetId="7">[3]gtrinh!#REF!</definedName>
    <definedName name="ddt2nc">[3]gtrinh!#REF!</definedName>
    <definedName name="ddt2vl" localSheetId="7">[3]gtrinh!#REF!</definedName>
    <definedName name="ddt2vl">[3]gtrinh!#REF!</definedName>
    <definedName name="ddtd3pnc" localSheetId="7">'[3]thao-go'!#REF!</definedName>
    <definedName name="ddtd3pnc">'[3]thao-go'!#REF!</definedName>
    <definedName name="ddtt1pnc" localSheetId="7">[3]gtrinh!#REF!</definedName>
    <definedName name="ddtt1pnc">[3]gtrinh!#REF!</definedName>
    <definedName name="ddtt1pvl">[3]gtrinh!#REF!</definedName>
    <definedName name="ddtt3pnc">[3]gtrinh!#REF!</definedName>
    <definedName name="ddtt3pvl">[3]gtrinh!#REF!</definedName>
    <definedName name="Den_bu" localSheetId="7">#REF!</definedName>
    <definedName name="Den_bu">#REF!</definedName>
    <definedName name="DenBu" localSheetId="7">#REF!</definedName>
    <definedName name="DenBu">#REF!</definedName>
    <definedName name="DenDK" localSheetId="7" hidden="1">{"'Sheet1'!$L$16"}</definedName>
    <definedName name="DenDK" localSheetId="27" hidden="1">{"'Sheet1'!$L$16"}</definedName>
    <definedName name="DenDK" hidden="1">{"'Sheet1'!$L$16"}</definedName>
    <definedName name="DETAIL">#REF!</definedName>
    <definedName name="DetailForm" localSheetId="7">#REF!</definedName>
    <definedName name="DetailForm">#REF!</definedName>
    <definedName name="Detour" localSheetId="7">#REF!</definedName>
    <definedName name="Detour">#REF!</definedName>
    <definedName name="DFA" localSheetId="7" hidden="1">{#N/A,#N/A,FALSE,"단축1";#N/A,#N/A,FALSE,"단축2";#N/A,#N/A,FALSE,"단축3";#N/A,#N/A,FALSE,"장축";#N/A,#N/A,FALSE,"4WD"}</definedName>
    <definedName name="DFA" localSheetId="27" hidden="1">{#N/A,#N/A,FALSE,"단축1";#N/A,#N/A,FALSE,"단축2";#N/A,#N/A,FALSE,"단축3";#N/A,#N/A,FALSE,"장축";#N/A,#N/A,FALSE,"4WD"}</definedName>
    <definedName name="DFA" hidden="1">{#N/A,#N/A,FALSE,"단축1";#N/A,#N/A,FALSE,"단축2";#N/A,#N/A,FALSE,"단축3";#N/A,#N/A,FALSE,"장축";#N/A,#N/A,FALSE,"4WD"}</definedName>
    <definedName name="dfasf" hidden="1">#REF!</definedName>
    <definedName name="dfasfadsf" hidden="1">{#N/A,#N/A,FALSE,"Chi tiÆt"}</definedName>
    <definedName name="DFDF" localSheetId="7">#REF!</definedName>
    <definedName name="DFDF">#REF!</definedName>
    <definedName name="dfdfd" localSheetId="7" hidden="1">{"'Sheet1'!$L$16"}</definedName>
    <definedName name="dfdfd" localSheetId="27" hidden="1">{"'Sheet1'!$L$16"}</definedName>
    <definedName name="dfdfd" hidden="1">{"'Sheet1'!$L$16"}</definedName>
    <definedName name="dfggg" localSheetId="7" hidden="1">{"'Sheet1'!$L$16"}</definedName>
    <definedName name="dfggg" localSheetId="27" hidden="1">{"'Sheet1'!$L$16"}</definedName>
    <definedName name="dfggg" hidden="1">{"'Sheet1'!$L$16"}</definedName>
    <definedName name="dfh" localSheetId="7" hidden="1">{"'Sheet1'!$L$16"}</definedName>
    <definedName name="dfh" localSheetId="27" hidden="1">{"'Sheet1'!$L$16"}</definedName>
    <definedName name="dfh" hidden="1">{"'Sheet1'!$L$16"}</definedName>
    <definedName name="DFHJ" localSheetId="7" hidden="1">{#N/A,#N/A,FALSE,"단축1";#N/A,#N/A,FALSE,"단축2";#N/A,#N/A,FALSE,"단축3";#N/A,#N/A,FALSE,"장축";#N/A,#N/A,FALSE,"4WD"}</definedName>
    <definedName name="DFHJ" localSheetId="27" hidden="1">{#N/A,#N/A,FALSE,"단축1";#N/A,#N/A,FALSE,"단축2";#N/A,#N/A,FALSE,"단축3";#N/A,#N/A,FALSE,"장축";#N/A,#N/A,FALSE,"4WD"}</definedName>
    <definedName name="DFHJ" hidden="1">{#N/A,#N/A,FALSE,"단축1";#N/A,#N/A,FALSE,"단축2";#N/A,#N/A,FALSE,"단축3";#N/A,#N/A,FALSE,"장축";#N/A,#N/A,FALSE,"4WD"}</definedName>
    <definedName name="dflk">#N/A</definedName>
    <definedName name="dfs" localSheetId="7">#REF!</definedName>
    <definedName name="dfs">#REF!</definedName>
    <definedName name="dfsfsd" localSheetId="7" hidden="1">{"'Sheet1'!$L$16"}</definedName>
    <definedName name="dfsfsd" localSheetId="27" hidden="1">{"'Sheet1'!$L$16"}</definedName>
    <definedName name="dfsfsd" hidden="1">{"'Sheet1'!$L$16"}</definedName>
    <definedName name="dgasfdasf" hidden="1">#REF!</definedName>
    <definedName name="dgbdII" localSheetId="7">#REF!</definedName>
    <definedName name="dgbdII">#REF!</definedName>
    <definedName name="DGF" localSheetId="7" hidden="1">{#N/A,#N/A,FALSE,"단축1";#N/A,#N/A,FALSE,"단축2";#N/A,#N/A,FALSE,"단축3";#N/A,#N/A,FALSE,"장축";#N/A,#N/A,FALSE,"4WD"}</definedName>
    <definedName name="DGF" localSheetId="27" hidden="1">{#N/A,#N/A,FALSE,"단축1";#N/A,#N/A,FALSE,"단축2";#N/A,#N/A,FALSE,"단축3";#N/A,#N/A,FALSE,"장축";#N/A,#N/A,FALSE,"4WD"}</definedName>
    <definedName name="DGF" hidden="1">{#N/A,#N/A,FALSE,"단축1";#N/A,#N/A,FALSE,"단축2";#N/A,#N/A,FALSE,"단축3";#N/A,#N/A,FALSE,"장축";#N/A,#N/A,FALSE,"4WD"}</definedName>
    <definedName name="dghd" hidden="1">#REF!</definedName>
    <definedName name="DGia" localSheetId="7">#REF!</definedName>
    <definedName name="DGia">#REF!</definedName>
    <definedName name="DGJSRGH" localSheetId="7" hidden="1">{#N/A,#N/A,FALSE,"단축1";#N/A,#N/A,FALSE,"단축2";#N/A,#N/A,FALSE,"단축3";#N/A,#N/A,FALSE,"장축";#N/A,#N/A,FALSE,"4WD"}</definedName>
    <definedName name="DGJSRGH" localSheetId="27" hidden="1">{#N/A,#N/A,FALSE,"단축1";#N/A,#N/A,FALSE,"단축2";#N/A,#N/A,FALSE,"단축3";#N/A,#N/A,FALSE,"장축";#N/A,#N/A,FALSE,"4WD"}</definedName>
    <definedName name="DGJSRGH" hidden="1">{#N/A,#N/A,FALSE,"단축1";#N/A,#N/A,FALSE,"단축2";#N/A,#N/A,FALSE,"단축3";#N/A,#N/A,FALSE,"장축";#N/A,#N/A,FALSE,"4WD"}</definedName>
    <definedName name="DGM">[3]DONGIA!$A$453:$F$459</definedName>
    <definedName name="dgnc" localSheetId="7">#REF!</definedName>
    <definedName name="dgnc">#REF!</definedName>
    <definedName name="dgqndn" localSheetId="7">#REF!</definedName>
    <definedName name="dgqndn">#REF!</definedName>
    <definedName name="DGTH" localSheetId="7">[3]DONGIA!#REF!</definedName>
    <definedName name="DGTH">[3]DONGIA!#REF!</definedName>
    <definedName name="DGTH1">[3]DONGIA!$A$414:$G$452</definedName>
    <definedName name="dgth2">[3]DONGIA!$A$414:$G$439</definedName>
    <definedName name="DGTR">[3]DONGIA!$A$472:$I$521</definedName>
    <definedName name="dgvl" localSheetId="7">#REF!</definedName>
    <definedName name="dgvl">#REF!</definedName>
    <definedName name="DGVL1">[3]DONGIA!$A$5:$F$235</definedName>
    <definedName name="DGVT">'[3]DON GIA'!$C$5:$G$137</definedName>
    <definedName name="dh" localSheetId="7">#REF!</definedName>
    <definedName name="dh">#REF!</definedName>
    <definedName name="DHFSUF">#N/A</definedName>
    <definedName name="dien" localSheetId="7">#REF!</definedName>
    <definedName name="dien">#REF!</definedName>
    <definedName name="DJCOSDPC" localSheetId="7" hidden="1">{"Offgrid",#N/A,FALSE,"OFFGRID";"Region",#N/A,FALSE,"REGION";"Offgrid -2",#N/A,FALSE,"OFFGRID";"WTP",#N/A,FALSE,"WTP";"WTP -2",#N/A,FALSE,"WTP";"Project",#N/A,FALSE,"PROJECT";"Summary -2",#N/A,FALSE,"SUMMARY"}</definedName>
    <definedName name="DJCOSDPC" localSheetId="27" hidden="1">{"Offgrid",#N/A,FALSE,"OFFGRID";"Region",#N/A,FALSE,"REGION";"Offgrid -2",#N/A,FALSE,"OFFGRID";"WTP",#N/A,FALSE,"WTP";"WTP -2",#N/A,FALSE,"WTP";"Project",#N/A,FALSE,"PROJECT";"Summary -2",#N/A,FALSE,"SUMMARY"}</definedName>
    <definedName name="DJCOSDPC" hidden="1">{"Offgrid",#N/A,FALSE,"OFFGRID";"Region",#N/A,FALSE,"REGION";"Offgrid -2",#N/A,FALSE,"OFFGRID";"WTP",#N/A,FALSE,"WTP";"WTP -2",#N/A,FALSE,"WTP";"Project",#N/A,FALSE,"PROJECT";"Summary -2",#N/A,FALSE,"SUMMARY"}</definedName>
    <definedName name="DJFHJ" localSheetId="7" hidden="1">{#N/A,#N/A,FALSE,"단축1";#N/A,#N/A,FALSE,"단축2";#N/A,#N/A,FALSE,"단축3";#N/A,#N/A,FALSE,"장축";#N/A,#N/A,FALSE,"4WD"}</definedName>
    <definedName name="DJFHJ" localSheetId="27" hidden="1">{#N/A,#N/A,FALSE,"단축1";#N/A,#N/A,FALSE,"단축2";#N/A,#N/A,FALSE,"단축3";#N/A,#N/A,FALSE,"장축";#N/A,#N/A,FALSE,"4WD"}</definedName>
    <definedName name="DJFHJ" hidden="1">{#N/A,#N/A,FALSE,"단축1";#N/A,#N/A,FALSE,"단축2";#N/A,#N/A,FALSE,"단축3";#N/A,#N/A,FALSE,"장축";#N/A,#N/A,FALSE,"4WD"}</definedName>
    <definedName name="DJGHJ" localSheetId="7" hidden="1">{#N/A,#N/A,FALSE,"단축1";#N/A,#N/A,FALSE,"단축2";#N/A,#N/A,FALSE,"단축3";#N/A,#N/A,FALSE,"장축";#N/A,#N/A,FALSE,"4WD"}</definedName>
    <definedName name="DJGHJ" localSheetId="27" hidden="1">{#N/A,#N/A,FALSE,"단축1";#N/A,#N/A,FALSE,"단축2";#N/A,#N/A,FALSE,"단축3";#N/A,#N/A,FALSE,"장축";#N/A,#N/A,FALSE,"4WD"}</definedName>
    <definedName name="DJGHJ" hidden="1">{#N/A,#N/A,FALSE,"단축1";#N/A,#N/A,FALSE,"단축2";#N/A,#N/A,FALSE,"단축3";#N/A,#N/A,FALSE,"장축";#N/A,#N/A,FALSE,"4WD"}</definedName>
    <definedName name="DJHD" localSheetId="7" hidden="1">{#N/A,#N/A,FALSE,"단축1";#N/A,#N/A,FALSE,"단축2";#N/A,#N/A,FALSE,"단축3";#N/A,#N/A,FALSE,"장축";#N/A,#N/A,FALSE,"4WD"}</definedName>
    <definedName name="DJHD" localSheetId="27" hidden="1">{#N/A,#N/A,FALSE,"단축1";#N/A,#N/A,FALSE,"단축2";#N/A,#N/A,FALSE,"단축3";#N/A,#N/A,FALSE,"장축";#N/A,#N/A,FALSE,"4WD"}</definedName>
    <definedName name="DJHD" hidden="1">{#N/A,#N/A,FALSE,"단축1";#N/A,#N/A,FALSE,"단축2";#N/A,#N/A,FALSE,"단축3";#N/A,#N/A,FALSE,"장축";#N/A,#N/A,FALSE,"4WD"}</definedName>
    <definedName name="dkdk" localSheetId="7" hidden="1">{#N/A,#N/A,FALSE,"단축1";#N/A,#N/A,FALSE,"단축2";#N/A,#N/A,FALSE,"단축3";#N/A,#N/A,FALSE,"장축";#N/A,#N/A,FALSE,"4WD"}</definedName>
    <definedName name="dkdk" localSheetId="27" hidden="1">{#N/A,#N/A,FALSE,"단축1";#N/A,#N/A,FALSE,"단축2";#N/A,#N/A,FALSE,"단축3";#N/A,#N/A,FALSE,"장축";#N/A,#N/A,FALSE,"4WD"}</definedName>
    <definedName name="dkdk" hidden="1">{#N/A,#N/A,FALSE,"단축1";#N/A,#N/A,FALSE,"단축2";#N/A,#N/A,FALSE,"단축3";#N/A,#N/A,FALSE,"장축";#N/A,#N/A,FALSE,"4WD"}</definedName>
    <definedName name="DKDKFG8TBTB2RT">#REF!</definedName>
    <definedName name="DL" localSheetId="7">#REF!</definedName>
    <definedName name="DL">#REF!</definedName>
    <definedName name="DL15HT" localSheetId="7">'[3]TONGKE-HT'!#REF!</definedName>
    <definedName name="DL15HT">'[3]TONGKE-HT'!#REF!</definedName>
    <definedName name="DL16HT" localSheetId="7">'[3]TONGKE-HT'!#REF!</definedName>
    <definedName name="DL16HT">'[3]TONGKE-HT'!#REF!</definedName>
    <definedName name="DL19HT" localSheetId="7">'[3]TONGKE-HT'!#REF!</definedName>
    <definedName name="DL19HT">'[3]TONGKE-HT'!#REF!</definedName>
    <definedName name="DL20HT" localSheetId="7">'[3]TONGKE-HT'!#REF!</definedName>
    <definedName name="DL20HT">'[3]TONGKE-HT'!#REF!</definedName>
    <definedName name="DLEHD" localSheetId="7">#REF!</definedName>
    <definedName name="DLEHD">#REF!</definedName>
    <definedName name="DLTMDWNS">#N/A</definedName>
    <definedName name="DM_MA">[13]DM!$B$4:$B$500</definedName>
    <definedName name="DM_TEN">[13]DM!$C$4:$C$500</definedName>
    <definedName name="dm56bxd" localSheetId="7">#REF!</definedName>
    <definedName name="dm56bxd">#REF!</definedName>
    <definedName name="dmat" localSheetId="7">#REF!</definedName>
    <definedName name="dmat">#REF!</definedName>
    <definedName name="dmoi" localSheetId="7">#REF!</definedName>
    <definedName name="dmoi">#REF!</definedName>
    <definedName name="dmvt">[14]DM.VT!$C$6:$I$280</definedName>
    <definedName name="Document_array" localSheetId="7">{"Book1","QToan.xls","VL-MTC-NC.xls","pan1.XLS","DT-15-9-02.xls"}</definedName>
    <definedName name="Document_array" localSheetId="27">{"Book1","QToan.xls","VL-MTC-NC.xls","pan1.XLS","DT-15-9-02.xls"}</definedName>
    <definedName name="Document_array">{"Book1","QToan.xls","VL-MTC-NC.xls","pan1.XLS","DT-15-9-02.xls"}</definedName>
    <definedName name="DOL" localSheetId="7">#REF!</definedName>
    <definedName name="DOL">#REF!</definedName>
    <definedName name="done" localSheetId="7" hidden="1">{#N/A,#N/A,FALSE,"EXIT";#N/A,#N/A,FALSE,"Issue";#N/A,#N/A,FALSE,"Summary";#N/A,#N/A,FALSE,"Detail";#N/A,#N/A,FALSE,"Attendance"}</definedName>
    <definedName name="done" localSheetId="27" hidden="1">{#N/A,#N/A,FALSE,"EXIT";#N/A,#N/A,FALSE,"Issue";#N/A,#N/A,FALSE,"Summary";#N/A,#N/A,FALSE,"Detail";#N/A,#N/A,FALSE,"Attendance"}</definedName>
    <definedName name="done" hidden="1">{#N/A,#N/A,FALSE,"EXIT";#N/A,#N/A,FALSE,"Issue";#N/A,#N/A,FALSE,"Summary";#N/A,#N/A,FALSE,"Detail";#N/A,#N/A,FALSE,"Attendance"}</definedName>
    <definedName name="dongia">[3]DG!$A$4:$I$567</definedName>
    <definedName name="dongia1">[3]DG!$A$4:$H$606</definedName>
    <definedName name="DRIVEABILITY" localSheetId="7" hidden="1">{#N/A,#N/A,FALSE,"단축1";#N/A,#N/A,FALSE,"단축2";#N/A,#N/A,FALSE,"단축3";#N/A,#N/A,FALSE,"장축";#N/A,#N/A,FALSE,"4WD"}</definedName>
    <definedName name="DRIVEABILITY" localSheetId="27" hidden="1">{#N/A,#N/A,FALSE,"단축1";#N/A,#N/A,FALSE,"단축2";#N/A,#N/A,FALSE,"단축3";#N/A,#N/A,FALSE,"장축";#N/A,#N/A,FALSE,"4WD"}</definedName>
    <definedName name="DRIVEABILITY" hidden="1">{#N/A,#N/A,FALSE,"단축1";#N/A,#N/A,FALSE,"단축2";#N/A,#N/A,FALSE,"단축3";#N/A,#N/A,FALSE,"장축";#N/A,#N/A,FALSE,"4WD"}</definedName>
    <definedName name="DropDown7_Change">#N/A</definedName>
    <definedName name="ds" localSheetId="7">#REF!</definedName>
    <definedName name="DS">#REF!</definedName>
    <definedName name="DS_2" localSheetId="7">#REF!</definedName>
    <definedName name="DS_2">#REF!</definedName>
    <definedName name="DS_305" localSheetId="7">#REF!</definedName>
    <definedName name="DS_305">#REF!</definedName>
    <definedName name="DS_381">#REF!</definedName>
    <definedName name="ds1pnc">#REF!</definedName>
    <definedName name="ds1pvl">#REF!</definedName>
    <definedName name="ds3pnc">#REF!</definedName>
    <definedName name="ds3pvl">#REF!</definedName>
    <definedName name="DSA">#REF!</definedName>
    <definedName name="dsct3pnc">'[3]#REF'!#REF!</definedName>
    <definedName name="dsct3pvl">'[3]#REF'!#REF!</definedName>
    <definedName name="DSDSS" localSheetId="7">#REF!</definedName>
    <definedName name="DSDSS">#REF!</definedName>
    <definedName name="dskhu" localSheetId="7">#REF!</definedName>
    <definedName name="dskhu">#REF!</definedName>
    <definedName name="dsm" localSheetId="7">#REF!</definedName>
    <definedName name="dsm">#REF!</definedName>
    <definedName name="DSNV">#REF!</definedName>
    <definedName name="DSTinh">#REF!</definedName>
    <definedName name="DSUMDATA">#REF!</definedName>
    <definedName name="DTTK" localSheetId="7" hidden="1">{"'Sheet1'!$L$16"}</definedName>
    <definedName name="DTTK" localSheetId="27" hidden="1">{"'Sheet1'!$L$16"}</definedName>
    <definedName name="DTTK" hidden="1">{"'Sheet1'!$L$16"}</definedName>
    <definedName name="dulieu">#REF!</definedName>
    <definedName name="duong" localSheetId="7">#REF!</definedName>
    <definedName name="duong">#REF!</definedName>
    <definedName name="Duong_373" localSheetId="7">#REF!</definedName>
    <definedName name="Duong_373">#REF!</definedName>
    <definedName name="Duong_tam">#REF!</definedName>
    <definedName name="duong1">[3]DONGIA!#REF!</definedName>
    <definedName name="duong2">[3]DONGIA!#REF!</definedName>
    <definedName name="duong3">[3]DONGIA!#REF!</definedName>
    <definedName name="duong4">[3]DONGIA!#REF!</definedName>
    <definedName name="duong5">[3]DONGIA!#REF!</definedName>
    <definedName name="DV" hidden="1">{"'Sheet1'!$L$16"}</definedName>
    <definedName name="dvql" localSheetId="7">#REF!</definedName>
    <definedName name="dvql">#REF!</definedName>
    <definedName name="DWPRICE" localSheetId="7" hidden="1">[15]Quantity!#REF!</definedName>
    <definedName name="DWPRICE" hidden="1">[15]Quantity!#REF!</definedName>
    <definedName name="E" localSheetId="7">#REF!</definedName>
    <definedName name="E">#REF!</definedName>
    <definedName name="EAWR" localSheetId="7" hidden="1">{#N/A,#N/A,FALSE,"단축1";#N/A,#N/A,FALSE,"단축2";#N/A,#N/A,FALSE,"단축3";#N/A,#N/A,FALSE,"장축";#N/A,#N/A,FALSE,"4WD"}</definedName>
    <definedName name="EAWR" localSheetId="27" hidden="1">{#N/A,#N/A,FALSE,"단축1";#N/A,#N/A,FALSE,"단축2";#N/A,#N/A,FALSE,"단축3";#N/A,#N/A,FALSE,"장축";#N/A,#N/A,FALSE,"4WD"}</definedName>
    <definedName name="EAWR" hidden="1">{#N/A,#N/A,FALSE,"단축1";#N/A,#N/A,FALSE,"단축2";#N/A,#N/A,FALSE,"단축3";#N/A,#N/A,FALSE,"장축";#N/A,#N/A,FALSE,"4WD"}</definedName>
    <definedName name="EE">#REF!</definedName>
    <definedName name="EEF">#REF!</definedName>
    <definedName name="EFFOG" localSheetId="7" hidden="1">{#N/A,#N/A,FALSE,"단축1";#N/A,#N/A,FALSE,"단축2";#N/A,#N/A,FALSE,"단축3";#N/A,#N/A,FALSE,"장축";#N/A,#N/A,FALSE,"4WD"}</definedName>
    <definedName name="EFFOG" localSheetId="27" hidden="1">{#N/A,#N/A,FALSE,"단축1";#N/A,#N/A,FALSE,"단축2";#N/A,#N/A,FALSE,"단축3";#N/A,#N/A,FALSE,"장축";#N/A,#N/A,FALSE,"4WD"}</definedName>
    <definedName name="EFFOG" hidden="1">{#N/A,#N/A,FALSE,"단축1";#N/A,#N/A,FALSE,"단축2";#N/A,#N/A,FALSE,"단축3";#N/A,#N/A,FALSE,"장축";#N/A,#N/A,FALSE,"4WD"}</definedName>
    <definedName name="EKDKD.LJFL" localSheetId="7" hidden="1">{#N/A,#N/A,FALSE,"Australien";#N/A,#N/A,FALSE,"Birmingham";#N/A,#N/A,FALSE,"Brasilien";#N/A,#N/A,FALSE,"Prag";#N/A,#N/A,FALSE,"Spanien";#N/A,#N/A,FALSE,"Malaysia ( Com)";#N/A,#N/A,FALSE,"Malaysia (Instr)"}</definedName>
    <definedName name="EKDKD.LJFL" localSheetId="27" hidden="1">{#N/A,#N/A,FALSE,"Australien";#N/A,#N/A,FALSE,"Birmingham";#N/A,#N/A,FALSE,"Brasilien";#N/A,#N/A,FALSE,"Prag";#N/A,#N/A,FALSE,"Spanien";#N/A,#N/A,FALSE,"Malaysia ( Com)";#N/A,#N/A,FALSE,"Malaysia (Instr)"}</definedName>
    <definedName name="EKDKD.LJFL" hidden="1">{#N/A,#N/A,FALSE,"Australien";#N/A,#N/A,FALSE,"Birmingham";#N/A,#N/A,FALSE,"Brasilien";#N/A,#N/A,FALSE,"Prag";#N/A,#N/A,FALSE,"Spanien";#N/A,#N/A,FALSE,"Malaysia ( Com)";#N/A,#N/A,FALSE,"Malaysia (Instr)"}</definedName>
    <definedName name="End_1" localSheetId="7">#REF!</definedName>
    <definedName name="End_1">#REF!</definedName>
    <definedName name="End_10" localSheetId="7">#REF!</definedName>
    <definedName name="End_10">#REF!</definedName>
    <definedName name="End_11" localSheetId="7">#REF!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tryamountdiscount">#REF!</definedName>
    <definedName name="EntryamountInvoi">#REF!</definedName>
    <definedName name="Entrycodediscount">#REF!</definedName>
    <definedName name="Entrycodeinvoi">#REF!</definedName>
    <definedName name="Entrydatediscount">#REF!</definedName>
    <definedName name="Entrydateinvoi">#REF!</definedName>
    <definedName name="EO">#REF!</definedName>
    <definedName name="EO계획" hidden="1">#REF!</definedName>
    <definedName name="ETRYU" localSheetId="7" hidden="1">{#N/A,#N/A,FALSE,"단축1";#N/A,#N/A,FALSE,"단축2";#N/A,#N/A,FALSE,"단축3";#N/A,#N/A,FALSE,"장축";#N/A,#N/A,FALSE,"4WD"}</definedName>
    <definedName name="ETRYU" localSheetId="27" hidden="1">{#N/A,#N/A,FALSE,"단축1";#N/A,#N/A,FALSE,"단축2";#N/A,#N/A,FALSE,"단축3";#N/A,#N/A,FALSE,"장축";#N/A,#N/A,FALSE,"4WD"}</definedName>
    <definedName name="ETRYU" hidden="1">{#N/A,#N/A,FALSE,"단축1";#N/A,#N/A,FALSE,"단축2";#N/A,#N/A,FALSE,"단축3";#N/A,#N/A,FALSE,"장축";#N/A,#N/A,FALSE,"4WD"}</definedName>
    <definedName name="ETYUI" localSheetId="7" hidden="1">{#N/A,#N/A,FALSE,"단축1";#N/A,#N/A,FALSE,"단축2";#N/A,#N/A,FALSE,"단축3";#N/A,#N/A,FALSE,"장축";#N/A,#N/A,FALSE,"4WD"}</definedName>
    <definedName name="ETYUI" localSheetId="27" hidden="1">{#N/A,#N/A,FALSE,"단축1";#N/A,#N/A,FALSE,"단축2";#N/A,#N/A,FALSE,"단축3";#N/A,#N/A,FALSE,"장축";#N/A,#N/A,FALSE,"4WD"}</definedName>
    <definedName name="ETYUI" hidden="1">{#N/A,#N/A,FALSE,"단축1";#N/A,#N/A,FALSE,"단축2";#N/A,#N/A,FALSE,"단축3";#N/A,#N/A,FALSE,"장축";#N/A,#N/A,FALSE,"4WD"}</definedName>
    <definedName name="Evap">#REF!</definedName>
    <definedName name="EWY" localSheetId="7" hidden="1">{#N/A,#N/A,FALSE,"단축1";#N/A,#N/A,FALSE,"단축2";#N/A,#N/A,FALSE,"단축3";#N/A,#N/A,FALSE,"장축";#N/A,#N/A,FALSE,"4WD"}</definedName>
    <definedName name="EWY" localSheetId="27" hidden="1">{#N/A,#N/A,FALSE,"단축1";#N/A,#N/A,FALSE,"단축2";#N/A,#N/A,FALSE,"단축3";#N/A,#N/A,FALSE,"장축";#N/A,#N/A,FALSE,"4WD"}</definedName>
    <definedName name="EWY" hidden="1">{#N/A,#N/A,FALSE,"단축1";#N/A,#N/A,FALSE,"단축2";#N/A,#N/A,FALSE,"단축3";#N/A,#N/A,FALSE,"장축";#N/A,#N/A,FALSE,"4WD"}</definedName>
    <definedName name="Ex_L" localSheetId="7">#REF!</definedName>
    <definedName name="Ex_L">#REF!</definedName>
    <definedName name="EX_Length_373" localSheetId="7">#REF!</definedName>
    <definedName name="EX_Length_373">#REF!</definedName>
    <definedName name="existe">1</definedName>
    <definedName name="_xlnm.Extract" localSheetId="7">#REF!</definedName>
    <definedName name="_xlnm.Extract">#REF!</definedName>
    <definedName name="EYRU" localSheetId="7" hidden="1">{#N/A,#N/A,FALSE,"단축1";#N/A,#N/A,FALSE,"단축2";#N/A,#N/A,FALSE,"단축3";#N/A,#N/A,FALSE,"장축";#N/A,#N/A,FALSE,"4WD"}</definedName>
    <definedName name="EYRU" localSheetId="27" hidden="1">{#N/A,#N/A,FALSE,"단축1";#N/A,#N/A,FALSE,"단축2";#N/A,#N/A,FALSE,"단축3";#N/A,#N/A,FALSE,"장축";#N/A,#N/A,FALSE,"4WD"}</definedName>
    <definedName name="EYRU" hidden="1">{#N/A,#N/A,FALSE,"단축1";#N/A,#N/A,FALSE,"단축2";#N/A,#N/A,FALSE,"단축3";#N/A,#N/A,FALSE,"장축";#N/A,#N/A,FALSE,"4WD"}</definedName>
    <definedName name="f" localSheetId="7">#REF!</definedName>
    <definedName name="F" localSheetId="27">{"XLSHEET.XLA"}</definedName>
    <definedName name="F">{"XLSHEET.XLA"}</definedName>
    <definedName name="f92F56">[3]dtxl!#REF!</definedName>
    <definedName name="fáaafafaf" localSheetId="7" hidden="1">{"'Sheet1'!$L$16"}</definedName>
    <definedName name="fáaafafaf" localSheetId="27" hidden="1">{"'Sheet1'!$L$16"}</definedName>
    <definedName name="fáaafafaf" hidden="1">{"'Sheet1'!$L$16"}</definedName>
    <definedName name="FACTOR">#REF!</definedName>
    <definedName name="FADKJF" localSheetId="7" hidden="1">{"'Sheet1'!$L$16"}</definedName>
    <definedName name="FADKJF" localSheetId="27" hidden="1">{"'Sheet1'!$L$16"}</definedName>
    <definedName name="FADKJF" hidden="1">{"'Sheet1'!$L$16"}</definedName>
    <definedName name="fadsfads" hidden="1">{"'Sheet1'!$L$16"}</definedName>
    <definedName name="fadsfadsf" hidden="1">{"'Sheet1'!$L$16"}</definedName>
    <definedName name="fasfaga" localSheetId="7" hidden="1">{"'Sheet1'!$L$16"}</definedName>
    <definedName name="fasfaga" localSheetId="27" hidden="1">{"'Sheet1'!$L$16"}</definedName>
    <definedName name="fasfaga" hidden="1">{"'Sheet1'!$L$16"}</definedName>
    <definedName name="fbvgskfhlsfjw" localSheetId="7" hidden="1">{"'Sheet1'!$L$16"}</definedName>
    <definedName name="fbvgskfhlsfjw" localSheetId="27" hidden="1">{"'Sheet1'!$L$16"}</definedName>
    <definedName name="fbvgskfhlsfjw" hidden="1">{"'Sheet1'!$L$16"}</definedName>
    <definedName name="fÇ" localSheetId="7" hidden="1">{"'Sheet1'!$L$16"}</definedName>
    <definedName name="fÇ" localSheetId="27" hidden="1">{"'Sheet1'!$L$16"}</definedName>
    <definedName name="fÇ" hidden="1">{"'Sheet1'!$L$16"}</definedName>
    <definedName name="fdasfads" hidden="1">{"'Sheet1'!$L$16"}</definedName>
    <definedName name="fdasfds" hidden="1">{"'Sheet1'!$L$16"}</definedName>
    <definedName name="FDFDS" hidden="1">#REF!</definedName>
    <definedName name="FDJGDFHJ" localSheetId="7" hidden="1">{#N/A,#N/A,FALSE,"단축1";#N/A,#N/A,FALSE,"단축2";#N/A,#N/A,FALSE,"단축3";#N/A,#N/A,FALSE,"장축";#N/A,#N/A,FALSE,"4WD"}</definedName>
    <definedName name="FDJGDFHJ" localSheetId="27" hidden="1">{#N/A,#N/A,FALSE,"단축1";#N/A,#N/A,FALSE,"단축2";#N/A,#N/A,FALSE,"단축3";#N/A,#N/A,FALSE,"장축";#N/A,#N/A,FALSE,"4WD"}</definedName>
    <definedName name="FDJGDFHJ" hidden="1">{#N/A,#N/A,FALSE,"단축1";#N/A,#N/A,FALSE,"단축2";#N/A,#N/A,FALSE,"단축3";#N/A,#N/A,FALSE,"장축";#N/A,#N/A,FALSE,"4WD"}</definedName>
    <definedName name="FDLFSD">#REF!</definedName>
    <definedName name="fdsfsdfd" localSheetId="7" hidden="1">{"'Sheet1'!$L$16"}</definedName>
    <definedName name="fdsfsdfd" localSheetId="27" hidden="1">{"'Sheet1'!$L$16"}</definedName>
    <definedName name="fdsfsdfd" hidden="1">{"'Sheet1'!$L$16"}</definedName>
    <definedName name="feer" localSheetId="7" hidden="1">{#N/A,#N/A,FALSE,"단축1";#N/A,#N/A,FALSE,"단축2";#N/A,#N/A,FALSE,"단축3";#N/A,#N/A,FALSE,"장축";#N/A,#N/A,FALSE,"4WD"}</definedName>
    <definedName name="feer" localSheetId="27" hidden="1">{#N/A,#N/A,FALSE,"단축1";#N/A,#N/A,FALSE,"단축2";#N/A,#N/A,FALSE,"단축3";#N/A,#N/A,FALSE,"장축";#N/A,#N/A,FALSE,"4WD"}</definedName>
    <definedName name="feer" hidden="1">{#N/A,#N/A,FALSE,"단축1";#N/A,#N/A,FALSE,"단축2";#N/A,#N/A,FALSE,"단축3";#N/A,#N/A,FALSE,"장축";#N/A,#N/A,FALSE,"4WD"}</definedName>
    <definedName name="feuille_base">"xlsheet.xla"</definedName>
    <definedName name="FF">#REF!</definedName>
    <definedName name="FFF" localSheetId="7">#REF!</definedName>
    <definedName name="FFF">#REF!</definedName>
    <definedName name="fffffffffffffff" localSheetId="7" hidden="1">{"'Sheet1'!$L$16"}</definedName>
    <definedName name="fffffffffffffff" localSheetId="27" hidden="1">{"'Sheet1'!$L$16"}</definedName>
    <definedName name="fffffffffffffff" hidden="1">{"'Sheet1'!$L$16"}</definedName>
    <definedName name="ffhwfiopwjpw" localSheetId="7" hidden="1">{"Offgrid",#N/A,FALSE,"OFFGRID";"Region",#N/A,FALSE,"REGION";"Offgrid -2",#N/A,FALSE,"OFFGRID";"WTP",#N/A,FALSE,"WTP";"WTP -2",#N/A,FALSE,"WTP";"Project",#N/A,FALSE,"PROJECT";"Summary -2",#N/A,FALSE,"SUMMARY"}</definedName>
    <definedName name="ffhwfiopwjpw" localSheetId="27" hidden="1">{"Offgrid",#N/A,FALSE,"OFFGRID";"Region",#N/A,FALSE,"REGION";"Offgrid -2",#N/A,FALSE,"OFFGRID";"WTP",#N/A,FALSE,"WTP";"WTP -2",#N/A,FALSE,"WTP";"Project",#N/A,FALSE,"PROJECT";"Summary -2",#N/A,FALSE,"SUMMARY"}</definedName>
    <definedName name="ffhwfiopwjpw" hidden="1">{"Offgrid",#N/A,FALSE,"OFFGRID";"Region",#N/A,FALSE,"REGION";"Offgrid -2",#N/A,FALSE,"OFFGRID";"WTP",#N/A,FALSE,"WTP";"WTP -2",#N/A,FALSE,"WTP";"Project",#N/A,FALSE,"PROJECT";"Summary -2",#N/A,FALSE,"SUMMARY"}</definedName>
    <definedName name="ffjkhwjw" localSheetId="7" hidden="1">{"'Sheet1'!$L$16"}</definedName>
    <definedName name="ffjkhwjw" localSheetId="27" hidden="1">{"'Sheet1'!$L$16"}</definedName>
    <definedName name="ffjkhwjw" hidden="1">{"'Sheet1'!$L$16"}</definedName>
    <definedName name="ffwfwjw" localSheetId="7">{"Book1","DTcµuphalaiPS.xls"}</definedName>
    <definedName name="ffwfwjw" localSheetId="27">{"Book1","DTcµuphalaiPS.xls"}</definedName>
    <definedName name="ffwfwjw">{"Book1","DTcµuphalaiPS.xls"}</definedName>
    <definedName name="FGH" localSheetId="7" hidden="1">{#N/A,#N/A,FALSE,"단축1";#N/A,#N/A,FALSE,"단축2";#N/A,#N/A,FALSE,"단축3";#N/A,#N/A,FALSE,"장축";#N/A,#N/A,FALSE,"4WD"}</definedName>
    <definedName name="FGH" localSheetId="27" hidden="1">{#N/A,#N/A,FALSE,"단축1";#N/A,#N/A,FALSE,"단축2";#N/A,#N/A,FALSE,"단축3";#N/A,#N/A,FALSE,"장축";#N/A,#N/A,FALSE,"4WD"}</definedName>
    <definedName name="FGH" hidden="1">{#N/A,#N/A,FALSE,"단축1";#N/A,#N/A,FALSE,"단축2";#N/A,#N/A,FALSE,"단축3";#N/A,#N/A,FALSE,"장축";#N/A,#N/A,FALSE,"4WD"}</definedName>
    <definedName name="fghdhh" hidden="1">{"'Sheet1'!$L$16"}</definedName>
    <definedName name="fghg" hidden="1">#REF!</definedName>
    <definedName name="FGPRRKRKTBTB2RTDKDK" localSheetId="7">#REF!</definedName>
    <definedName name="FGPRRKRKTBTB2RTDKDK">#REF!</definedName>
    <definedName name="FGPRTBTB1RTDKDK" localSheetId="7">#REF!</definedName>
    <definedName name="FGPRTBTB1RTDKDK">#REF!</definedName>
    <definedName name="fgRKRKRKRKRKTBTB2RTDKDK">#REF!</definedName>
    <definedName name="FGRKRKRKTBTB1RTDKDK">#REF!</definedName>
    <definedName name="FGRKRKTBTB3RTDKDK">#REF!</definedName>
    <definedName name="Fh">#REF!</definedName>
    <definedName name="fhowufopw" localSheetId="7" hidden="1">{"'Sheet1'!$L$16"}</definedName>
    <definedName name="fhowufopw" localSheetId="27" hidden="1">{"'Sheet1'!$L$16"}</definedName>
    <definedName name="fhowufopw" hidden="1">{"'Sheet1'!$L$16"}</definedName>
    <definedName name="FishMeal">#REF!</definedName>
    <definedName name="fklshfwpw" localSheetId="7" hidden="1">{"'Sheet1'!$L$16"}</definedName>
    <definedName name="fklshfwpw" localSheetId="27" hidden="1">{"'Sheet1'!$L$16"}</definedName>
    <definedName name="fklshfwpw" hidden="1">{"'Sheet1'!$L$16"}</definedName>
    <definedName name="Fl">#REF!</definedName>
    <definedName name="FP">'[1]COAT&amp;WRAP-QIOT-#3'!#REF!</definedName>
    <definedName name="Fs" localSheetId="7">#REF!</definedName>
    <definedName name="Fs">#REF!</definedName>
    <definedName name="FSDF" localSheetId="7" hidden="1">#REF!</definedName>
    <definedName name="FSDF" hidden="1">#REF!</definedName>
    <definedName name="fsdgdfs" hidden="1">#REF!</definedName>
    <definedName name="fsfjwifowi" localSheetId="7" hidden="1">{"Offgrid",#N/A,FALSE,"OFFGRID";"Region",#N/A,FALSE,"REGION";"Offgrid -2",#N/A,FALSE,"OFFGRID";"WTP",#N/A,FALSE,"WTP";"WTP -2",#N/A,FALSE,"WTP";"Project",#N/A,FALSE,"PROJECT";"Summary -2",#N/A,FALSE,"SUMMARY"}</definedName>
    <definedName name="fsfjwifowi" localSheetId="27" hidden="1">{"Offgrid",#N/A,FALSE,"OFFGRID";"Region",#N/A,FALSE,"REGION";"Offgrid -2",#N/A,FALSE,"OFFGRID";"WTP",#N/A,FALSE,"WTP";"WTP -2",#N/A,FALSE,"WTP";"Project",#N/A,FALSE,"PROJECT";"Summary -2",#N/A,FALSE,"SUMMARY"}</definedName>
    <definedName name="fsfjwifowi" hidden="1">{"Offgrid",#N/A,FALSE,"OFFGRID";"Region",#N/A,FALSE,"REGION";"Offgrid -2",#N/A,FALSE,"OFFGRID";"WTP",#N/A,FALSE,"WTP";"WTP -2",#N/A,FALSE,"WTP";"Project",#N/A,FALSE,"PROJECT";"Summary -2",#N/A,FALSE,"SUMMARY"}</definedName>
    <definedName name="FSWDFWFWF" localSheetId="7" hidden="1">{"'Sheet1'!$L$16"}</definedName>
    <definedName name="FSWDFWFWF" localSheetId="27" hidden="1">{"'Sheet1'!$L$16"}</definedName>
    <definedName name="FSWDFWFWF" hidden="1">{"'Sheet1'!$L$16"}</definedName>
    <definedName name="Fullfat_soybean__Brz">#REF!</definedName>
    <definedName name="fwear" hidden="1">#REF!</definedName>
    <definedName name="g40g40">#REF!</definedName>
    <definedName name="gas">#REF!</definedName>
    <definedName name="gchi">#REF!</definedName>
    <definedName name="gd">#REF!</definedName>
    <definedName name="GD_1">#REF!</definedName>
    <definedName name="GD_2">#REF!</definedName>
    <definedName name="gdfgdfgdf" localSheetId="7" hidden="1">{"'Sheet1'!$L$16"}</definedName>
    <definedName name="gdfgdfgdf" localSheetId="27" hidden="1">{"'Sheet1'!$L$16"}</definedName>
    <definedName name="gdfgdfgdf" hidden="1">{"'Sheet1'!$L$16"}</definedName>
    <definedName name="GDFSGWET">#REF!</definedName>
    <definedName name="GFJG" localSheetId="7" hidden="1">{#N/A,#N/A,FALSE,"단축1";#N/A,#N/A,FALSE,"단축2";#N/A,#N/A,FALSE,"단축3";#N/A,#N/A,FALSE,"장축";#N/A,#N/A,FALSE,"4WD"}</definedName>
    <definedName name="GFJG" localSheetId="27" hidden="1">{#N/A,#N/A,FALSE,"단축1";#N/A,#N/A,FALSE,"단축2";#N/A,#N/A,FALSE,"단축3";#N/A,#N/A,FALSE,"장축";#N/A,#N/A,FALSE,"4WD"}</definedName>
    <definedName name="GFJG" hidden="1">{#N/A,#N/A,FALSE,"단축1";#N/A,#N/A,FALSE,"단축2";#N/A,#N/A,FALSE,"단축3";#N/A,#N/A,FALSE,"장축";#N/A,#N/A,FALSE,"4WD"}</definedName>
    <definedName name="GG">#REF!</definedName>
    <definedName name="GGG" localSheetId="7" hidden="1">{"'Sheet1'!$L$16"}</definedName>
    <definedName name="GGG" localSheetId="27" hidden="1">{"'Sheet1'!$L$16"}</definedName>
    <definedName name="GGG" hidden="1">{"'Sheet1'!$L$16"}</definedName>
    <definedName name="GGGG">#REF!</definedName>
    <definedName name="gia_tien" localSheetId="7">#REF!</definedName>
    <definedName name="gia_tien">#REF!</definedName>
    <definedName name="gia_tien_BTN" localSheetId="7">#REF!</definedName>
    <definedName name="gia_tien_BTN">#REF!</definedName>
    <definedName name="Giai_doan">#REF!</definedName>
    <definedName name="GIAMDT">#REF!</definedName>
    <definedName name="GJ" localSheetId="7" hidden="1">{#N/A,#N/A,FALSE,"단축1";#N/A,#N/A,FALSE,"단축2";#N/A,#N/A,FALSE,"단축3";#N/A,#N/A,FALSE,"장축";#N/A,#N/A,FALSE,"4WD"}</definedName>
    <definedName name="GJ" localSheetId="27" hidden="1">{#N/A,#N/A,FALSE,"단축1";#N/A,#N/A,FALSE,"단축2";#N/A,#N/A,FALSE,"단축3";#N/A,#N/A,FALSE,"장축";#N/A,#N/A,FALSE,"4WD"}</definedName>
    <definedName name="GJ" hidden="1">{#N/A,#N/A,FALSE,"단축1";#N/A,#N/A,FALSE,"단축2";#N/A,#N/A,FALSE,"단축3";#N/A,#N/A,FALSE,"장축";#N/A,#N/A,FALSE,"4WD"}</definedName>
    <definedName name="GK">#REF!</definedName>
    <definedName name="gl3p">#REF!</definedName>
    <definedName name="gld" localSheetId="7">#REF!</definedName>
    <definedName name="gld">#REF!</definedName>
    <definedName name="GONGCODE">#REF!</definedName>
    <definedName name="gtc">#REF!</definedName>
    <definedName name="GTXL">#REF!</definedName>
    <definedName name="gxm">#REF!</definedName>
    <definedName name="GY">#REF!</definedName>
    <definedName name="gyukugyiyju" hidden="1">{"'Sheet1'!$L$16"}</definedName>
    <definedName name="h" localSheetId="7" hidden="1">{"'Sheet1'!$L$16"}</definedName>
    <definedName name="h" localSheetId="27" hidden="1">{"'Sheet1'!$L$16"}</definedName>
    <definedName name="h" hidden="1">{"'Sheet1'!$L$16"}</definedName>
    <definedName name="Ha">#REF!</definedName>
    <definedName name="haiacc" hidden="1">{"'Sheet1'!$L$16"}</definedName>
    <definedName name="HCM" localSheetId="7">#REF!</definedName>
    <definedName name="HCM">#REF!</definedName>
    <definedName name="Heä_soá_laép_xaø_H">1.7</definedName>
    <definedName name="heä_soá_sình_laày">#REF!</definedName>
    <definedName name="Height">20</definedName>
    <definedName name="help" localSheetId="7" hidden="1">{#N/A,#N/A,FALSE,"EXIT";#N/A,#N/A,FALSE,"Issue";#N/A,#N/A,FALSE,"Summary";#N/A,#N/A,FALSE,"Detail";#N/A,#N/A,FALSE,"Attendance"}</definedName>
    <definedName name="help" localSheetId="27" hidden="1">{#N/A,#N/A,FALSE,"EXIT";#N/A,#N/A,FALSE,"Issue";#N/A,#N/A,FALSE,"Summary";#N/A,#N/A,FALSE,"Detail";#N/A,#N/A,FALSE,"Attendance"}</definedName>
    <definedName name="help" hidden="1">{#N/A,#N/A,FALSE,"EXIT";#N/A,#N/A,FALSE,"Issue";#N/A,#N/A,FALSE,"Summary";#N/A,#N/A,FALSE,"Detail";#N/A,#N/A,FALSE,"Attendance"}</definedName>
    <definedName name="hethongthoatnuocngoainha" localSheetId="7" hidden="1">#REF!</definedName>
    <definedName name="hethongthoatnuocngoainha" hidden="1">#REF!</definedName>
    <definedName name="hgdg" hidden="1">{"'Sheet1'!$L$16"}</definedName>
    <definedName name="hh" localSheetId="7">#REF!</definedName>
    <definedName name="hh">#REF!</definedName>
    <definedName name="HH15HT" localSheetId="7">'[3]TONGKE-HT'!#REF!</definedName>
    <definedName name="HH15HT">'[3]TONGKE-HT'!#REF!</definedName>
    <definedName name="HH16HT" localSheetId="7">'[3]TONGKE-HT'!#REF!</definedName>
    <definedName name="HH16HT">'[3]TONGKE-HT'!#REF!</definedName>
    <definedName name="HH19HT" localSheetId="7">'[3]TONGKE-HT'!#REF!</definedName>
    <definedName name="HH19HT">'[3]TONGKE-HT'!#REF!</definedName>
    <definedName name="HH20HT" localSheetId="7">'[3]TONGKE-HT'!#REF!</definedName>
    <definedName name="HH20HT">'[3]TONGKE-HT'!#REF!</definedName>
    <definedName name="HIDE_TASKS" localSheetId="7">#REF!</definedName>
    <definedName name="HIDE_TASKS">#REF!</definedName>
    <definedName name="HIDE_TASKS_CHECKBOX">"Check Box 28"</definedName>
    <definedName name="hoc">55000</definedName>
    <definedName name="HOMEOFFICE_COST" localSheetId="7">#REF!</definedName>
    <definedName name="HOMEOFFICE_COST">#REF!</definedName>
    <definedName name="Hoten" localSheetId="7">#REF!</definedName>
    <definedName name="Hoten">#REF!</definedName>
    <definedName name="House" localSheetId="7">#REF!</definedName>
    <definedName name="House">#REF!</definedName>
    <definedName name="HSCT3">0.1</definedName>
    <definedName name="hsdc1">#REF!</definedName>
    <definedName name="HSDD">[3]phuluc1!#REF!</definedName>
    <definedName name="HSDN">2.5</definedName>
    <definedName name="HSHH">#REF!</definedName>
    <definedName name="HSHHUT">#REF!</definedName>
    <definedName name="hskk1">[3]chitiet!$D$4</definedName>
    <definedName name="HSNC">[16]Du_lieu!$C$6</definedName>
    <definedName name="HSSL" localSheetId="7">#REF!</definedName>
    <definedName name="HSSL">#REF!</definedName>
    <definedName name="hsss" hidden="1">{"'Sheet1'!$L$16"}</definedName>
    <definedName name="HSVC1" localSheetId="7">#REF!</definedName>
    <definedName name="HSVC1">#REF!</definedName>
    <definedName name="HSVC2" localSheetId="7">#REF!</definedName>
    <definedName name="HSVC2">#REF!</definedName>
    <definedName name="HSVC3" localSheetId="7">#REF!</definedName>
    <definedName name="HSVC3">#REF!</definedName>
    <definedName name="HT">#REF!</definedName>
    <definedName name="ht25nc">'[3]lam-moi'!#REF!</definedName>
    <definedName name="ht25vl">'[3]lam-moi'!#REF!</definedName>
    <definedName name="ht325nc">'[3]lam-moi'!#REF!</definedName>
    <definedName name="ht325vl">'[3]lam-moi'!#REF!</definedName>
    <definedName name="ht37k">'[3]lam-moi'!#REF!</definedName>
    <definedName name="ht37nc">'[3]lam-moi'!#REF!</definedName>
    <definedName name="ht50nc">'[3]lam-moi'!#REF!</definedName>
    <definedName name="ht50vl">'[3]lam-moi'!#REF!</definedName>
    <definedName name="htlm" localSheetId="7" hidden="1">{"'Sheet1'!$L$16"}</definedName>
    <definedName name="htlm" localSheetId="27" hidden="1">{"'Sheet1'!$L$16"}</definedName>
    <definedName name="htlm" hidden="1">{"'Sheet1'!$L$16"}</definedName>
    <definedName name="HTML_CodePage" hidden="1">950</definedName>
    <definedName name="HTML_Control" localSheetId="7" hidden="1">{"'Sheet1'!$L$16"}</definedName>
    <definedName name="HTML_Control" localSheetId="27"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TNC">#REF!</definedName>
    <definedName name="HTVL">#REF!</definedName>
    <definedName name="hu" localSheetId="7" hidden="1">{"'Sheet1'!$L$16"}</definedName>
    <definedName name="hu" localSheetId="27" hidden="1">{"'Sheet1'!$L$16"}</definedName>
    <definedName name="hu" hidden="1">{"'Sheet1'!$L$16"}</definedName>
    <definedName name="hui" localSheetId="7" hidden="1">{"'Sheet1'!$L$16"}</definedName>
    <definedName name="hui" localSheetId="27" hidden="1">{"'Sheet1'!$L$16"}</definedName>
    <definedName name="hui" hidden="1">{"'Sheet1'!$L$16"}</definedName>
    <definedName name="huy" localSheetId="7" hidden="1">{"'Sheet1'!$L$16"}</definedName>
    <definedName name="huy" localSheetId="27" hidden="1">{"'Sheet1'!$L$16"}</definedName>
    <definedName name="huy" hidden="1">{"'Sheet1'!$L$16"}</definedName>
    <definedName name="I" localSheetId="7">#REF!</definedName>
    <definedName name="i">2</definedName>
    <definedName name="I2É6">[3]chitimc!#REF!</definedName>
    <definedName name="IDLAB_COST" localSheetId="7">#REF!</definedName>
    <definedName name="IDLAB_COST">#REF!</definedName>
    <definedName name="II" localSheetId="7">#REF!</definedName>
    <definedName name="II">#REF!</definedName>
    <definedName name="Im" localSheetId="7">#REF!</definedName>
    <definedName name="Im">#REF!</definedName>
    <definedName name="INCL_SUBTASKS_CHECKBOX">"Check Box 24"</definedName>
    <definedName name="INCL_TASKS_CHECKBOX">"Check Box 26"</definedName>
    <definedName name="INCLUDE_SUBTASKS">#REF!</definedName>
    <definedName name="INCLUDE_TASKS" localSheetId="7">#REF!</definedName>
    <definedName name="INCLUDE_TASKS">#REF!</definedName>
    <definedName name="IND_LAB" localSheetId="7">#REF!</definedName>
    <definedName name="IND_LAB">#REF!</definedName>
    <definedName name="index">#REF!</definedName>
    <definedName name="INDMANP">#REF!</definedName>
    <definedName name="IO">'[1]COAT&amp;WRAP-QIOT-#3'!#REF!</definedName>
    <definedName name="Ir" localSheetId="7">#REF!</definedName>
    <definedName name="Ir">#REF!</definedName>
    <definedName name="Is" localSheetId="7">#REF!</definedName>
    <definedName name="Is">#REF!</definedName>
    <definedName name="IssueAction" localSheetId="7">#REF!</definedName>
    <definedName name="IssueAction">#REF!</definedName>
    <definedName name="IssueClosedDate">#REF!</definedName>
    <definedName name="IssueCode">#REF!</definedName>
    <definedName name="IssueData">#REF!</definedName>
    <definedName name="IssueDescription">#REF!</definedName>
    <definedName name="IssueForm">#REF!</definedName>
    <definedName name="IssueIssue">#REF!</definedName>
    <definedName name="IssueNO">#REF!</definedName>
    <definedName name="IssueOpenDate">#REF!</definedName>
    <definedName name="IssuePerson">#REF!</definedName>
    <definedName name="IssueRisk">#REF!</definedName>
    <definedName name="IssueTargetDate">#REF!</definedName>
    <definedName name="item">#REF!</definedName>
    <definedName name="j">#REF!</definedName>
    <definedName name="j356C8">#REF!</definedName>
    <definedName name="JA">#REF!</definedName>
    <definedName name="JGFK" localSheetId="7" hidden="1">{"'Sheet1'!$L$16"}</definedName>
    <definedName name="JGFK" localSheetId="27" hidden="1">{"'Sheet1'!$L$16"}</definedName>
    <definedName name="JGFK" hidden="1">{"'Sheet1'!$L$16"}</definedName>
    <definedName name="JGHJ" localSheetId="7" hidden="1">{#N/A,#N/A,FALSE,"단축1";#N/A,#N/A,FALSE,"단축2";#N/A,#N/A,FALSE,"단축3";#N/A,#N/A,FALSE,"장축";#N/A,#N/A,FALSE,"4WD"}</definedName>
    <definedName name="JGHJ" localSheetId="27" hidden="1">{#N/A,#N/A,FALSE,"단축1";#N/A,#N/A,FALSE,"단축2";#N/A,#N/A,FALSE,"단축3";#N/A,#N/A,FALSE,"장축";#N/A,#N/A,FALSE,"4WD"}</definedName>
    <definedName name="JGHJ" hidden="1">{#N/A,#N/A,FALSE,"단축1";#N/A,#N/A,FALSE,"단축2";#N/A,#N/A,FALSE,"단축3";#N/A,#N/A,FALSE,"장축";#N/A,#N/A,FALSE,"4WD"}</definedName>
    <definedName name="jhgkugykhj" hidden="1">{#N/A,#N/A,FALSE,"Chi tiÆt"}</definedName>
    <definedName name="JIN" localSheetId="7">#REF!</definedName>
    <definedName name="JIN">#REF!</definedName>
    <definedName name="JJ" localSheetId="7">#REF!</definedName>
    <definedName name="JJ">#REF!</definedName>
    <definedName name="JK" localSheetId="7">#REF!</definedName>
    <definedName name="JK">#REF!</definedName>
    <definedName name="JKL">#REF!</definedName>
    <definedName name="JPYVND1">#REF!</definedName>
    <definedName name="JWG" localSheetId="7" hidden="1">{#N/A,#N/A,FALSE,"단축1";#N/A,#N/A,FALSE,"단축2";#N/A,#N/A,FALSE,"단축3";#N/A,#N/A,FALSE,"장축";#N/A,#N/A,FALSE,"4WD"}</definedName>
    <definedName name="JWG" localSheetId="27" hidden="1">{#N/A,#N/A,FALSE,"단축1";#N/A,#N/A,FALSE,"단축2";#N/A,#N/A,FALSE,"단축3";#N/A,#N/A,FALSE,"장축";#N/A,#N/A,FALSE,"4WD"}</definedName>
    <definedName name="JWG" hidden="1">{#N/A,#N/A,FALSE,"단축1";#N/A,#N/A,FALSE,"단축2";#N/A,#N/A,FALSE,"단축3";#N/A,#N/A,FALSE,"장축";#N/A,#N/A,FALSE,"4WD"}</definedName>
    <definedName name="K" localSheetId="7">#REF!</definedName>
    <definedName name="K">#REF!</definedName>
    <definedName name="k2b" localSheetId="7">'[3]THPDMoi  (2)'!#REF!</definedName>
    <definedName name="k2b">'[3]THPDMoi  (2)'!#REF!</definedName>
    <definedName name="kc">#N/A</definedName>
    <definedName name="kehoach2005" hidden="1">{"'Sheet1'!$L$16"}</definedName>
    <definedName name="khac">2</definedName>
    <definedName name="KHBDLNTĐ" hidden="1">{"'Sheet1'!$L$16"}</definedName>
    <definedName name="kho">"kh¶o"</definedName>
    <definedName name="khongtruotgia" localSheetId="7" hidden="1">{"'Sheet1'!$L$16"}</definedName>
    <definedName name="khongtruotgia" localSheetId="27" hidden="1">{"'Sheet1'!$L$16"}</definedName>
    <definedName name="khongtruotgia" hidden="1">{"'Sheet1'!$L$16"}</definedName>
    <definedName name="KJH">#REF!</definedName>
    <definedName name="KKK" localSheetId="7">#REF!</definedName>
    <definedName name="KKK">#REF!</definedName>
    <definedName name="kldd1p" localSheetId="7">'[3]#REF'!#REF!</definedName>
    <definedName name="kldd1p">'[3]#REF'!#REF!</definedName>
    <definedName name="kldd3p" localSheetId="7">'[3]lam-moi'!#REF!</definedName>
    <definedName name="kldd3p">'[3]lam-moi'!#REF!</definedName>
    <definedName name="kmong">[3]giathanh1!#REF!</definedName>
    <definedName name="kp1ph" localSheetId="7">#REF!</definedName>
    <definedName name="kp1ph">#REF!</definedName>
    <definedName name="KPVT" localSheetId="7">#REF!</definedName>
    <definedName name="KPVT">#REF!</definedName>
    <definedName name="kq" localSheetId="7">#REF!</definedName>
    <definedName name="kq">#REF!</definedName>
    <definedName name="krw">#REF!</definedName>
    <definedName name="KS" localSheetId="7">#REF!</definedName>
    <definedName name="ks" localSheetId="27" hidden="1">{"'Sheet1'!$L$16"}</definedName>
    <definedName name="ks" hidden="1">{"'Sheet1'!$L$16"}</definedName>
    <definedName name="KS_1" localSheetId="7">#REF!</definedName>
    <definedName name="KS_1">#REF!</definedName>
    <definedName name="KS_2" localSheetId="7">#REF!</definedName>
    <definedName name="KS_2">#REF!</definedName>
    <definedName name="ksbn" localSheetId="7" hidden="1">{"'Sheet1'!$L$16"}</definedName>
    <definedName name="ksbn" localSheetId="27" hidden="1">{"'Sheet1'!$L$16"}</definedName>
    <definedName name="ksbn" hidden="1">{"'Sheet1'!$L$16"}</definedName>
    <definedName name="kshn" localSheetId="7" hidden="1">{"'Sheet1'!$L$16"}</definedName>
    <definedName name="kshn" localSheetId="27" hidden="1">{"'Sheet1'!$L$16"}</definedName>
    <definedName name="kshn" hidden="1">{"'Sheet1'!$L$16"}</definedName>
    <definedName name="ksls" localSheetId="7" hidden="1">{"'Sheet1'!$L$16"}</definedName>
    <definedName name="ksls" localSheetId="27" hidden="1">{"'Sheet1'!$L$16"}</definedName>
    <definedName name="ksls" hidden="1">{"'Sheet1'!$L$16"}</definedName>
    <definedName name="KTHD">'[17]khung ten TD'!#REF!</definedName>
    <definedName name="Ktru" localSheetId="7">#REF!</definedName>
    <definedName name="Ktru">#REF!</definedName>
    <definedName name="KTY" localSheetId="7" hidden="1">{#N/A,#N/A,FALSE,"단축1";#N/A,#N/A,FALSE,"단축2";#N/A,#N/A,FALSE,"단축3";#N/A,#N/A,FALSE,"장축";#N/A,#N/A,FALSE,"4WD"}</definedName>
    <definedName name="KTY" localSheetId="27" hidden="1">{#N/A,#N/A,FALSE,"단축1";#N/A,#N/A,FALSE,"단축2";#N/A,#N/A,FALSE,"단축3";#N/A,#N/A,FALSE,"장축";#N/A,#N/A,FALSE,"4WD"}</definedName>
    <definedName name="KTY" hidden="1">{#N/A,#N/A,FALSE,"단축1";#N/A,#N/A,FALSE,"단축2";#N/A,#N/A,FALSE,"단축3";#N/A,#N/A,FALSE,"장축";#N/A,#N/A,FALSE,"4WD"}</definedName>
    <definedName name="Ký_nép" localSheetId="7">#REF!</definedName>
    <definedName name="Ký_nép">#REF!</definedName>
    <definedName name="l" localSheetId="7">#REF!</definedName>
    <definedName name="l">#REF!</definedName>
    <definedName name="L_1" localSheetId="7">#REF!</definedName>
    <definedName name="L_1">#REF!</definedName>
    <definedName name="L_2">#REF!</definedName>
    <definedName name="Land">#REF!</definedName>
    <definedName name="langson" localSheetId="7" hidden="1">{"'Sheet1'!$L$16"}</definedName>
    <definedName name="langson" localSheetId="27" hidden="1">{"'Sheet1'!$L$16"}</definedName>
    <definedName name="langson" hidden="1">{"'Sheet1'!$L$16"}</definedName>
    <definedName name="LapDungDam">#REF!</definedName>
    <definedName name="list" localSheetId="7">#REF!</definedName>
    <definedName name="list">#REF!</definedName>
    <definedName name="liste_classeur" localSheetId="7">{"XLSHEET.XLA"}</definedName>
    <definedName name="liste_classeur" localSheetId="27">{"XLSHEET.XLA"}</definedName>
    <definedName name="liste_classeur">{"XLSHEET.XLA"}</definedName>
    <definedName name="Listino_LIRE" localSheetId="7">#REF!,#REF!</definedName>
    <definedName name="Listino_LIRE" localSheetId="27">#REF!,#REF!</definedName>
    <definedName name="Listino_LIRE">#REF!,#REF!</definedName>
    <definedName name="lll" localSheetId="7" hidden="1">{#N/A,#N/A,FALSE,"단축1";#N/A,#N/A,FALSE,"단축2";#N/A,#N/A,FALSE,"단축3";#N/A,#N/A,FALSE,"장축";#N/A,#N/A,FALSE,"4WD"}</definedName>
    <definedName name="lll" localSheetId="27" hidden="1">{#N/A,#N/A,FALSE,"단축1";#N/A,#N/A,FALSE,"단축2";#N/A,#N/A,FALSE,"단축3";#N/A,#N/A,FALSE,"장축";#N/A,#N/A,FALSE,"4WD"}</definedName>
    <definedName name="lll" hidden="1">{#N/A,#N/A,FALSE,"단축1";#N/A,#N/A,FALSE,"단축2";#N/A,#N/A,FALSE,"단축3";#N/A,#N/A,FALSE,"장축";#N/A,#N/A,FALSE,"4WD"}</definedName>
    <definedName name="LLLL">#REF!</definedName>
    <definedName name="LLZZ" localSheetId="7">#REF!</definedName>
    <definedName name="LLZZ">#REF!</definedName>
    <definedName name="Lmk" localSheetId="7">#REF!</definedName>
    <definedName name="Lmk">#REF!</definedName>
    <definedName name="Loai" localSheetId="7">#REF!</definedName>
    <definedName name="Loai">#REF!</definedName>
    <definedName name="ltre">#REF!</definedName>
    <definedName name="LZ목표">#REF!</definedName>
    <definedName name="m" localSheetId="7">#REF!</definedName>
    <definedName name="m" localSheetId="27" hidden="1">{"'Sheet1'!$L$16"}</definedName>
    <definedName name="m" hidden="1">{"'Sheet1'!$L$16"}</definedName>
    <definedName name="M_1">#REF!</definedName>
    <definedName name="M_2" localSheetId="7">#REF!</definedName>
    <definedName name="M_2">#REF!</definedName>
    <definedName name="m102bnnc" localSheetId="7">'[3]lam-moi'!#REF!</definedName>
    <definedName name="m102bnnc">'[3]lam-moi'!#REF!</definedName>
    <definedName name="m102bnvl" localSheetId="7">'[3]lam-moi'!#REF!</definedName>
    <definedName name="m102bnvl">'[3]lam-moi'!#REF!</definedName>
    <definedName name="m10aamtc">'[3]t-h HA THE'!#REF!</definedName>
    <definedName name="m10aanc">'[3]lam-moi'!#REF!</definedName>
    <definedName name="m10aavl">'[3]lam-moi'!#REF!</definedName>
    <definedName name="m10anc">'[3]lam-moi'!#REF!</definedName>
    <definedName name="m10avl">'[3]lam-moi'!#REF!</definedName>
    <definedName name="m10banc">'[3]lam-moi'!#REF!</definedName>
    <definedName name="m10bavl">'[3]lam-moi'!#REF!</definedName>
    <definedName name="m122bnnc">'[3]lam-moi'!#REF!</definedName>
    <definedName name="m122bnvl">'[3]lam-moi'!#REF!</definedName>
    <definedName name="m12aanc">'[3]lam-moi'!#REF!</definedName>
    <definedName name="m12aavl">'[3]lam-moi'!#REF!</definedName>
    <definedName name="m12anc">'[3]lam-moi'!#REF!</definedName>
    <definedName name="m12avl">'[3]lam-moi'!#REF!</definedName>
    <definedName name="M12ba3p" localSheetId="7">#REF!</definedName>
    <definedName name="M12ba3p">#REF!</definedName>
    <definedName name="m12banc">'[3]lam-moi'!#REF!</definedName>
    <definedName name="m12bavl">'[3]lam-moi'!#REF!</definedName>
    <definedName name="M12bb1p" localSheetId="7">#REF!</definedName>
    <definedName name="M12bb1p">#REF!</definedName>
    <definedName name="m12bbnc">'[3]lam-moi'!#REF!</definedName>
    <definedName name="m12bbvl">'[3]lam-moi'!#REF!</definedName>
    <definedName name="M12bnnc">'[3]#REF'!#REF!</definedName>
    <definedName name="M12bnvl">'[3]#REF'!#REF!</definedName>
    <definedName name="M12cbnc" localSheetId="7">#REF!</definedName>
    <definedName name="M12cbnc">#REF!</definedName>
    <definedName name="M12cbvl" localSheetId="7">#REF!</definedName>
    <definedName name="M12cbvl">#REF!</definedName>
    <definedName name="m142bnnc" localSheetId="7">'[3]lam-moi'!#REF!</definedName>
    <definedName name="m142bnnc">'[3]lam-moi'!#REF!</definedName>
    <definedName name="m142bnvl" localSheetId="7">'[3]lam-moi'!#REF!</definedName>
    <definedName name="m142bnvl">'[3]lam-moi'!#REF!</definedName>
    <definedName name="M14bb1p" localSheetId="7">#REF!</definedName>
    <definedName name="M14bb1p">#REF!</definedName>
    <definedName name="m14bbnc" localSheetId="7">'[3]lam-moi'!#REF!</definedName>
    <definedName name="m14bbnc">'[3]lam-moi'!#REF!</definedName>
    <definedName name="M14bbvc" localSheetId="7">'[3]CHITIET VL-NC-TT -1p'!#REF!</definedName>
    <definedName name="M14bbvc">'[3]CHITIET VL-NC-TT -1p'!#REF!</definedName>
    <definedName name="m14bbvl">'[3]lam-moi'!#REF!</definedName>
    <definedName name="M5ZR1" localSheetId="7">#REF!</definedName>
    <definedName name="M5ZR1">#REF!</definedName>
    <definedName name="M8a" localSheetId="7">'[3]THPDMoi  (2)'!#REF!</definedName>
    <definedName name="M8a">'[3]THPDMoi  (2)'!#REF!</definedName>
    <definedName name="M8aa" localSheetId="7">'[3]THPDMoi  (2)'!#REF!</definedName>
    <definedName name="M8aa">'[3]THPDMoi  (2)'!#REF!</definedName>
    <definedName name="m8aanc" localSheetId="7">#REF!</definedName>
    <definedName name="m8aanc">#REF!</definedName>
    <definedName name="m8aavl" localSheetId="7">#REF!</definedName>
    <definedName name="m8aavl">#REF!</definedName>
    <definedName name="m8amtc" localSheetId="7">'[3]t-h HA THE'!#REF!</definedName>
    <definedName name="m8amtc">'[3]t-h HA THE'!#REF!</definedName>
    <definedName name="m8anc" localSheetId="7">'[3]lam-moi'!#REF!</definedName>
    <definedName name="m8anc">'[3]lam-moi'!#REF!</definedName>
    <definedName name="m8avl" localSheetId="7">'[3]lam-moi'!#REF!</definedName>
    <definedName name="m8avl">'[3]lam-moi'!#REF!</definedName>
    <definedName name="MA_N" localSheetId="7">#REF!</definedName>
    <definedName name="MA_N">#REF!</definedName>
    <definedName name="MA_X" localSheetId="7">#REF!</definedName>
    <definedName name="MA_X">#REF!</definedName>
    <definedName name="Ma3pnc" localSheetId="7">#REF!</definedName>
    <definedName name="Ma3pnc">#REF!</definedName>
    <definedName name="Ma3pvl">#REF!</definedName>
    <definedName name="Maa3pnc">#REF!</definedName>
    <definedName name="Maa3pvl">#REF!</definedName>
    <definedName name="Macro1">#N/A</definedName>
    <definedName name="Macro2">#N/A</definedName>
    <definedName name="Macro3">#N/A</definedName>
    <definedName name="Macro5">#N/A</definedName>
    <definedName name="MAJ_CON_EQP" localSheetId="7">#REF!</definedName>
    <definedName name="MAJ_CON_EQP">#REF!</definedName>
    <definedName name="maKH" localSheetId="7">#REF!</definedName>
    <definedName name="maKH">#REF!</definedName>
    <definedName name="MANV" localSheetId="7">#REF!</definedName>
    <definedName name="MANV">#REF!</definedName>
    <definedName name="MAT" localSheetId="7">'[1]COAT&amp;WRAP-QIOT-#3'!#REF!</definedName>
    <definedName name="MAT">'[1]COAT&amp;WRAP-QIOT-#3'!#REF!</definedName>
    <definedName name="MAVT" localSheetId="7">#REF!</definedName>
    <definedName name="MAVT">#REF!</definedName>
    <definedName name="MAVTU" localSheetId="7">#REF!</definedName>
    <definedName name="MAVTU">#REF!</definedName>
    <definedName name="Mba1p" localSheetId="7">#REF!</definedName>
    <definedName name="Mba1p">#REF!</definedName>
    <definedName name="Mba3p">#REF!</definedName>
    <definedName name="Mbb3p">#REF!</definedName>
    <definedName name="Mbn1p">#REF!</definedName>
    <definedName name="mbnc">'[3]lam-moi'!#REF!</definedName>
    <definedName name="mbvl">'[3]lam-moi'!#REF!</definedName>
    <definedName name="mc" localSheetId="7">#REF!</definedName>
    <definedName name="mc">#REF!</definedName>
    <definedName name="MCP" localSheetId="7">#REF!</definedName>
    <definedName name="MCP">#REF!</definedName>
    <definedName name="me" localSheetId="7">#REF!</definedName>
    <definedName name="me">#REF!</definedName>
    <definedName name="MF" localSheetId="7">'[1]COAT&amp;WRAP-QIOT-#3'!#REF!</definedName>
    <definedName name="MF">'[1]COAT&amp;WRAP-QIOT-#3'!#REF!</definedName>
    <definedName name="MG_A" localSheetId="7">#REF!</definedName>
    <definedName name="MG_A">#REF!</definedName>
    <definedName name="mmm" localSheetId="7">[3]giathanh1!#REF!</definedName>
    <definedName name="mmm">[3]giathanh1!#REF!</definedName>
    <definedName name="MMMM" hidden="1">{#N/A,#N/A,FALSE,"Chi tiÆt"}</definedName>
    <definedName name="Module1.Macro1">#N/A</definedName>
    <definedName name="Module1.Macro2">#N/A</definedName>
    <definedName name="Module1.Macro3">#N/A</definedName>
    <definedName name="Module2.Macro5">#N/A</definedName>
    <definedName name="Module4.매크로10">#N/A</definedName>
    <definedName name="Module4.매크로11">#N/A</definedName>
    <definedName name="Module4.매크로12">#N/A</definedName>
    <definedName name="Module4.매크로13">#N/A</definedName>
    <definedName name="Module4.매크로14">#N/A</definedName>
    <definedName name="Module4.매크로15">#N/A</definedName>
    <definedName name="Module4.매크로16">#N/A</definedName>
    <definedName name="Module4.매크로17">#N/A</definedName>
    <definedName name="Module4.매크로6">#N/A</definedName>
    <definedName name="Module4.매크로8">#N/A</definedName>
    <definedName name="Module4.매크로9">#N/A</definedName>
    <definedName name="moi" localSheetId="7" hidden="1">{"'Sheet1'!$L$16"}</definedName>
    <definedName name="moi" localSheetId="27" hidden="1">{"'Sheet1'!$L$16"}</definedName>
    <definedName name="moi" hidden="1">{"'Sheet1'!$L$16"}</definedName>
    <definedName name="MONG">#REF!</definedName>
    <definedName name="mp1x25">'[3]dongia (2)'!#REF!</definedName>
    <definedName name="MS검사구" localSheetId="7">#REF!</definedName>
    <definedName name="MS검사구">#REF!</definedName>
    <definedName name="MTC1P" localSheetId="7">'[3]TONG HOP VL-NC TT'!#REF!</definedName>
    <definedName name="MTC1P">'[3]TONG HOP VL-NC TT'!#REF!</definedName>
    <definedName name="MTC3P" localSheetId="7">'[3]TONG HOP VL-NC TT'!#REF!</definedName>
    <definedName name="MTC3P">'[3]TONG HOP VL-NC TT'!#REF!</definedName>
    <definedName name="MTCHC">[3]TNHCHINH!$K$38</definedName>
    <definedName name="MTCMB">'[3]#REF'!#REF!</definedName>
    <definedName name="MTMAC12" localSheetId="7">#REF!</definedName>
    <definedName name="MTMAC12">#REF!</definedName>
    <definedName name="mtr">'[3]TH XL'!#REF!</definedName>
    <definedName name="mtram" localSheetId="7">#REF!</definedName>
    <definedName name="mtram">#REF!</definedName>
    <definedName name="Muc_dich" localSheetId="7">#REF!</definedName>
    <definedName name="Muc_dich">#REF!</definedName>
    <definedName name="n" localSheetId="7">#REF!</definedName>
    <definedName name="N" localSheetId="27" hidden="1">{#N/A,#N/A,FALSE,"HCMP"}</definedName>
    <definedName name="N" hidden="1">{#N/A,#N/A,FALSE,"HCMP"}</definedName>
    <definedName name="N1IN">'[3]TONGKE3p '!$U$295</definedName>
    <definedName name="n1pig" localSheetId="7">#REF!</definedName>
    <definedName name="n1pig">#REF!</definedName>
    <definedName name="n1pignc">'[3]lam-moi'!#REF!</definedName>
    <definedName name="n1pigvl">'[3]lam-moi'!#REF!</definedName>
    <definedName name="n1pind" localSheetId="7">#REF!</definedName>
    <definedName name="n1pind">#REF!</definedName>
    <definedName name="n1pindnc">'[3]lam-moi'!#REF!</definedName>
    <definedName name="n1pindvl">'[3]lam-moi'!#REF!</definedName>
    <definedName name="n1ping" localSheetId="7">#REF!</definedName>
    <definedName name="n1ping">#REF!</definedName>
    <definedName name="n1pingnc">'[3]lam-moi'!#REF!</definedName>
    <definedName name="n1pingvl">'[3]lam-moi'!#REF!</definedName>
    <definedName name="n1pint" localSheetId="7">#REF!</definedName>
    <definedName name="n1pint">#REF!</definedName>
    <definedName name="n1pintnc">'[3]lam-moi'!#REF!</definedName>
    <definedName name="n1pintvl">'[3]lam-moi'!#REF!</definedName>
    <definedName name="n24nc">'[3]lam-moi'!#REF!</definedName>
    <definedName name="n24vl">'[3]lam-moi'!#REF!</definedName>
    <definedName name="n2mignc">'[3]lam-moi'!#REF!</definedName>
    <definedName name="n2migvl">'[3]lam-moi'!#REF!</definedName>
    <definedName name="n2min1nc">'[3]lam-moi'!#REF!</definedName>
    <definedName name="n2min1vl">'[3]lam-moi'!#REF!</definedName>
    <definedName name="Nam" localSheetId="7">#REF!</definedName>
    <definedName name="nam" localSheetId="27" hidden="1">{"'Sheet1'!$L$16"}</definedName>
    <definedName name="nam" hidden="1">{"'Sheet1'!$L$16"}</definedName>
    <definedName name="năm">'[18]THÁNG 1'!$C$1</definedName>
    <definedName name="nbcghfhd" hidden="1">{"'Sheet1'!$L$16"}</definedName>
    <definedName name="nc1nc" localSheetId="7">'[3]lam-moi'!#REF!</definedName>
    <definedName name="nc1nc">'[3]lam-moi'!#REF!</definedName>
    <definedName name="nc1p" localSheetId="7">#REF!</definedName>
    <definedName name="nc1p">#REF!</definedName>
    <definedName name="nc1vl" localSheetId="7">'[3]lam-moi'!#REF!</definedName>
    <definedName name="nc1vl">'[3]lam-moi'!#REF!</definedName>
    <definedName name="nc2.1I" localSheetId="7">#REF!</definedName>
    <definedName name="nc2.1I">#REF!</definedName>
    <definedName name="nc2.1II" localSheetId="7">#REF!</definedName>
    <definedName name="nc2.1II">#REF!</definedName>
    <definedName name="nc2.1III" localSheetId="7">#REF!</definedName>
    <definedName name="nc2.1III">#REF!</definedName>
    <definedName name="nc2.1IV">#REF!</definedName>
    <definedName name="nc2.2I">#REF!</definedName>
    <definedName name="nc2.2II">#REF!</definedName>
    <definedName name="nc2.2III">#REF!</definedName>
    <definedName name="nc2.2IV">#REF!</definedName>
    <definedName name="nc2.3I">#REF!</definedName>
    <definedName name="nc2.3II">#REF!</definedName>
    <definedName name="nc2.3III">#REF!</definedName>
    <definedName name="nc2.3IV">#REF!</definedName>
    <definedName name="nc2.4I">#REF!</definedName>
    <definedName name="nc2.4II">#REF!</definedName>
    <definedName name="nc2.4III">#REF!</definedName>
    <definedName name="nc2.4IV">#REF!</definedName>
    <definedName name="nc2.5I">#REF!</definedName>
    <definedName name="nc2.5II">#REF!</definedName>
    <definedName name="nc2.5III">#REF!</definedName>
    <definedName name="nc2.5IV">#REF!</definedName>
    <definedName name="nc2.6I">#REF!</definedName>
    <definedName name="nc2.6II">#REF!</definedName>
    <definedName name="nc2.6III">#REF!</definedName>
    <definedName name="nc2.6IV">#REF!</definedName>
    <definedName name="nc2.7I">#REF!</definedName>
    <definedName name="nc2.7II">#REF!</definedName>
    <definedName name="nc2.7III">#REF!</definedName>
    <definedName name="nc2.7IV">#REF!</definedName>
    <definedName name="nc2.8I">#REF!</definedName>
    <definedName name="nc2.8II">#REF!</definedName>
    <definedName name="nc2.8III">#REF!</definedName>
    <definedName name="nc2.8IV">#REF!</definedName>
    <definedName name="nc2.9I">#REF!</definedName>
    <definedName name="nc2.9II">#REF!</definedName>
    <definedName name="nc2.9III">#REF!</definedName>
    <definedName name="nc2.9IV">#REF!</definedName>
    <definedName name="nc24nc">'[3]lam-moi'!#REF!</definedName>
    <definedName name="nc24vl">'[3]lam-moi'!#REF!</definedName>
    <definedName name="nc2I" localSheetId="7">#REF!</definedName>
    <definedName name="nc2I">#REF!</definedName>
    <definedName name="nc2II" localSheetId="7">#REF!</definedName>
    <definedName name="nc2II">#REF!</definedName>
    <definedName name="nc2III" localSheetId="7">#REF!</definedName>
    <definedName name="nc2III">#REF!</definedName>
    <definedName name="nc2IV">#REF!</definedName>
    <definedName name="nc3.1I">#REF!</definedName>
    <definedName name="nc3.1II">#REF!</definedName>
    <definedName name="nc3.1III">#REF!</definedName>
    <definedName name="nc3.1IV">#REF!</definedName>
    <definedName name="nc3.2I">#REF!</definedName>
    <definedName name="nc3.2II">#REF!</definedName>
    <definedName name="nc3.2III">#REF!</definedName>
    <definedName name="nc3.2IV">#REF!</definedName>
    <definedName name="nc3.3I">#REF!</definedName>
    <definedName name="nc3.3II">#REF!</definedName>
    <definedName name="nc3.3III">#REF!</definedName>
    <definedName name="nc3.3IV">#REF!</definedName>
    <definedName name="nc3.4I">#REF!</definedName>
    <definedName name="nc3.4II">#REF!</definedName>
    <definedName name="nc3.4III">#REF!</definedName>
    <definedName name="nc3.4IV">#REF!</definedName>
    <definedName name="nc3.5I">#REF!</definedName>
    <definedName name="nc3.5II">#REF!</definedName>
    <definedName name="nc3.5III">#REF!</definedName>
    <definedName name="nc3.5IV">#REF!</definedName>
    <definedName name="nc3.6I">#REF!</definedName>
    <definedName name="nc3.6II">#REF!</definedName>
    <definedName name="nc3.6III">#REF!</definedName>
    <definedName name="nc3.6IV">#REF!</definedName>
    <definedName name="nc3.7I">#REF!</definedName>
    <definedName name="nc3.7II">#REF!</definedName>
    <definedName name="nc3.7III">#REF!</definedName>
    <definedName name="nc3.7IV">#REF!</definedName>
    <definedName name="nc3.8I">#REF!</definedName>
    <definedName name="nc3.8II">#REF!</definedName>
    <definedName name="nc3.8III">#REF!</definedName>
    <definedName name="nc3.8IV">#REF!</definedName>
    <definedName name="nc3.9I">#REF!</definedName>
    <definedName name="nc3.9II">#REF!</definedName>
    <definedName name="nc3.9III">#REF!</definedName>
    <definedName name="nc3.9IV">#REF!</definedName>
    <definedName name="nc3I">#REF!</definedName>
    <definedName name="nc3II">#REF!</definedName>
    <definedName name="nc3III">#REF!</definedName>
    <definedName name="nc3IV">#REF!</definedName>
    <definedName name="nc3p">#REF!</definedName>
    <definedName name="nc4.1I">#REF!</definedName>
    <definedName name="nc4.1II">#REF!</definedName>
    <definedName name="nc4.1III">#REF!</definedName>
    <definedName name="nc4.1IV">#REF!</definedName>
    <definedName name="nc4.2I">#REF!</definedName>
    <definedName name="nc4.2II">#REF!</definedName>
    <definedName name="nc4.2III">#REF!</definedName>
    <definedName name="nc4.2IV">#REF!</definedName>
    <definedName name="nc4.3I">#REF!</definedName>
    <definedName name="nc4.3II">#REF!</definedName>
    <definedName name="nc4.3III">#REF!</definedName>
    <definedName name="nc4.3IV">#REF!</definedName>
    <definedName name="nc4.4I">#REF!</definedName>
    <definedName name="nc4.4II">#REF!</definedName>
    <definedName name="nc4.4III">#REF!</definedName>
    <definedName name="nc4.4IV">#REF!</definedName>
    <definedName name="nc4.5I">#REF!</definedName>
    <definedName name="nc4.5II">#REF!</definedName>
    <definedName name="nc4.5III">#REF!</definedName>
    <definedName name="nc4.5IV">#REF!</definedName>
    <definedName name="nc4.6I">#REF!</definedName>
    <definedName name="nc4.6II">#REF!</definedName>
    <definedName name="nc4.6III">#REF!</definedName>
    <definedName name="nc4.6IV">#REF!</definedName>
    <definedName name="nc4.7I">#REF!</definedName>
    <definedName name="nc4.7II">#REF!</definedName>
    <definedName name="nc4.7III">#REF!</definedName>
    <definedName name="nc4.7IV">#REF!</definedName>
    <definedName name="nc4.8I">#REF!</definedName>
    <definedName name="nc4.8II">#REF!</definedName>
    <definedName name="nc4.8III">#REF!</definedName>
    <definedName name="nc4.8IV">#REF!</definedName>
    <definedName name="nc4.9I">#REF!</definedName>
    <definedName name="nc4.9II">#REF!</definedName>
    <definedName name="nc4.9III">#REF!</definedName>
    <definedName name="nc4.9IV">#REF!</definedName>
    <definedName name="nc4I">#REF!</definedName>
    <definedName name="nc4II">#REF!</definedName>
    <definedName name="nc4III">#REF!</definedName>
    <definedName name="nc4IV">#REF!</definedName>
    <definedName name="nc5I">#REF!</definedName>
    <definedName name="nc5II">#REF!</definedName>
    <definedName name="nc5III">#REF!</definedName>
    <definedName name="nc5IV">#REF!</definedName>
    <definedName name="NCBD100">#REF!</definedName>
    <definedName name="NCBD200">#REF!</definedName>
    <definedName name="NCBD250">#REF!</definedName>
    <definedName name="ncdd">'[3]TH XL'!#REF!</definedName>
    <definedName name="NCDD2">'[3]TH XL'!#REF!</definedName>
    <definedName name="NCHC">[3]TNHCHINH!$J$38</definedName>
    <definedName name="nctr">'[3]TH XL'!#REF!</definedName>
    <definedName name="nctram" localSheetId="7">#REF!</definedName>
    <definedName name="nctram">#REF!</definedName>
    <definedName name="NCVC100" localSheetId="7">#REF!</definedName>
    <definedName name="NCVC100">#REF!</definedName>
    <definedName name="NCVC200" localSheetId="7">#REF!</definedName>
    <definedName name="NCVC200">#REF!</definedName>
    <definedName name="NCVC250">#REF!</definedName>
    <definedName name="NCVC3P">#REF!</definedName>
    <definedName name="NET">#REF!</definedName>
    <definedName name="NET_1">#REF!</definedName>
    <definedName name="NET_ANA">#REF!</definedName>
    <definedName name="NET_ANA_1">#REF!</definedName>
    <definedName name="NET_ANA_2">#REF!</definedName>
    <definedName name="New_L">#REF!</definedName>
    <definedName name="nfdhgf" hidden="1">{#N/A,#N/A,FALSE,"Chi tiÆt"}</definedName>
    <definedName name="ngau" localSheetId="7">#REF!</definedName>
    <definedName name="ngau">#REF!</definedName>
    <definedName name="NGS" localSheetId="7">#REF!</definedName>
    <definedName name="NGS">#REF!</definedName>
    <definedName name="ngu" localSheetId="7" hidden="1">{"'Sheet1'!$L$16"}</definedName>
    <definedName name="ngu" localSheetId="27" hidden="1">{"'Sheet1'!$L$16"}</definedName>
    <definedName name="ngu" hidden="1">{"'Sheet1'!$L$16"}</definedName>
    <definedName name="NH">#REF!</definedName>
    <definedName name="Nha" localSheetId="7">#REF!</definedName>
    <definedName name="Nha">#REF!</definedName>
    <definedName name="nhn" localSheetId="7">#REF!</definedName>
    <definedName name="nhn">#REF!</definedName>
    <definedName name="nhnnc" localSheetId="7">'[3]lam-moi'!#REF!</definedName>
    <definedName name="nhnnc">'[3]lam-moi'!#REF!</definedName>
    <definedName name="nhnvl" localSheetId="7">'[3]lam-moi'!#REF!</definedName>
    <definedName name="nhnvl">'[3]lam-moi'!#REF!</definedName>
    <definedName name="nhung" hidden="1">{"'Sheet1'!$L$16"}</definedName>
    <definedName name="nig" localSheetId="7">#REF!</definedName>
    <definedName name="nig">#REF!</definedName>
    <definedName name="NIG13p">'[3]TONGKE3p '!$T$295</definedName>
    <definedName name="nig1p" localSheetId="7">#REF!</definedName>
    <definedName name="nig1p">#REF!</definedName>
    <definedName name="nig3p" localSheetId="7">#REF!</definedName>
    <definedName name="nig3p">#REF!</definedName>
    <definedName name="nightnc" localSheetId="7">[3]gtrinh!#REF!</definedName>
    <definedName name="nightnc">[3]gtrinh!#REF!</definedName>
    <definedName name="nightvl" localSheetId="7">[3]gtrinh!#REF!</definedName>
    <definedName name="nightvl">[3]gtrinh!#REF!</definedName>
    <definedName name="nignc1p" localSheetId="7">#REF!</definedName>
    <definedName name="nignc1p">#REF!</definedName>
    <definedName name="nignc3p">'[3]CHITIET VL-NC'!$G$107</definedName>
    <definedName name="nigvl1p" localSheetId="7">#REF!</definedName>
    <definedName name="nigvl1p">#REF!</definedName>
    <definedName name="nigvl3p">'[3]CHITIET VL-NC'!$G$99</definedName>
    <definedName name="nin" localSheetId="7">#REF!</definedName>
    <definedName name="nin">#REF!</definedName>
    <definedName name="nin14nc3p" localSheetId="7">#REF!</definedName>
    <definedName name="nin14nc3p">#REF!</definedName>
    <definedName name="nin14vl3p" localSheetId="7">#REF!</definedName>
    <definedName name="nin14vl3p">#REF!</definedName>
    <definedName name="nin1903p">#REF!</definedName>
    <definedName name="nin190nc">'[3]lam-moi'!#REF!</definedName>
    <definedName name="nin190nc3p" localSheetId="7">#REF!</definedName>
    <definedName name="nin190nc3p">#REF!</definedName>
    <definedName name="nin190vl">'[3]lam-moi'!#REF!</definedName>
    <definedName name="nin190vl3p" localSheetId="7">#REF!</definedName>
    <definedName name="nin190vl3p">#REF!</definedName>
    <definedName name="nin1pnc">'[3]lam-moi'!#REF!</definedName>
    <definedName name="nin1pvl">'[3]lam-moi'!#REF!</definedName>
    <definedName name="nin2903p" localSheetId="7">#REF!</definedName>
    <definedName name="nin2903p">#REF!</definedName>
    <definedName name="nin290nc3p" localSheetId="7">#REF!</definedName>
    <definedName name="nin290nc3p">#REF!</definedName>
    <definedName name="nin290vl3p" localSheetId="7">#REF!</definedName>
    <definedName name="nin290vl3p">#REF!</definedName>
    <definedName name="nin3p">#REF!</definedName>
    <definedName name="nind">#REF!</definedName>
    <definedName name="nind1p">#REF!</definedName>
    <definedName name="nind3p">#REF!</definedName>
    <definedName name="nindnc">'[3]lam-moi'!#REF!</definedName>
    <definedName name="nindnc1p" localSheetId="7">#REF!</definedName>
    <definedName name="nindnc1p">#REF!</definedName>
    <definedName name="nindnc3p" localSheetId="7">#REF!</definedName>
    <definedName name="nindnc3p">#REF!</definedName>
    <definedName name="nindvl" localSheetId="7">'[3]lam-moi'!#REF!</definedName>
    <definedName name="nindvl">'[3]lam-moi'!#REF!</definedName>
    <definedName name="nindvl1p" localSheetId="7">#REF!</definedName>
    <definedName name="nindvl1p">#REF!</definedName>
    <definedName name="nindvl3p" localSheetId="7">#REF!</definedName>
    <definedName name="nindvl3p">#REF!</definedName>
    <definedName name="ning1p" localSheetId="7">#REF!</definedName>
    <definedName name="ning1p">#REF!</definedName>
    <definedName name="ningnc1p">#REF!</definedName>
    <definedName name="ningvl1p">#REF!</definedName>
    <definedName name="ninnc">'[3]lam-moi'!#REF!</definedName>
    <definedName name="ninnc3p" localSheetId="7">#REF!</definedName>
    <definedName name="ninnc3p">#REF!</definedName>
    <definedName name="nint1p" localSheetId="7">#REF!</definedName>
    <definedName name="nint1p">#REF!</definedName>
    <definedName name="nintnc1p" localSheetId="7">#REF!</definedName>
    <definedName name="nintnc1p">#REF!</definedName>
    <definedName name="nintvl1p">#REF!</definedName>
    <definedName name="ninvl">'[3]lam-moi'!#REF!</definedName>
    <definedName name="ninvl3p" localSheetId="7">#REF!</definedName>
    <definedName name="ninvl3p">#REF!</definedName>
    <definedName name="NK" localSheetId="7">#REF!</definedName>
    <definedName name="NK">#REF!</definedName>
    <definedName name="nl" localSheetId="7">#REF!</definedName>
    <definedName name="nl">#REF!</definedName>
    <definedName name="NL12nc" localSheetId="7">'[3]#REF'!#REF!</definedName>
    <definedName name="NL12nc">'[3]#REF'!#REF!</definedName>
    <definedName name="NL12vl" localSheetId="7">'[3]#REF'!#REF!</definedName>
    <definedName name="NL12vl">'[3]#REF'!#REF!</definedName>
    <definedName name="nl1p" localSheetId="7">#REF!</definedName>
    <definedName name="nl1p">#REF!</definedName>
    <definedName name="nl3p" localSheetId="7">#REF!</definedName>
    <definedName name="nl3p">#REF!</definedName>
    <definedName name="nlht" localSheetId="7">'[3]THPDMoi  (2)'!#REF!</definedName>
    <definedName name="nlht">'[3]THPDMoi  (2)'!#REF!</definedName>
    <definedName name="nlmtc" localSheetId="7">'[3]t-h HA THE'!#REF!</definedName>
    <definedName name="nlmtc">'[3]t-h HA THE'!#REF!</definedName>
    <definedName name="nlnc">'[3]lam-moi'!#REF!</definedName>
    <definedName name="nlnc3p" localSheetId="7">#REF!</definedName>
    <definedName name="nlnc3p">#REF!</definedName>
    <definedName name="nlnc3pha" localSheetId="7">#REF!</definedName>
    <definedName name="nlnc3pha">#REF!</definedName>
    <definedName name="NLTK1p" localSheetId="7">#REF!</definedName>
    <definedName name="NLTK1p">#REF!</definedName>
    <definedName name="nlvl" localSheetId="7">'[3]lam-moi'!#REF!</definedName>
    <definedName name="nlvl">'[3]lam-moi'!#REF!</definedName>
    <definedName name="nlvl1">[3]chitiet!$G$302</definedName>
    <definedName name="nlvl3p" localSheetId="7">#REF!</definedName>
    <definedName name="nlvl3p">#REF!</definedName>
    <definedName name="nn" localSheetId="7">#REF!</definedName>
    <definedName name="nn">#REF!</definedName>
    <definedName name="nn1p" localSheetId="7">#REF!</definedName>
    <definedName name="nn1p">#REF!</definedName>
    <definedName name="nn3p">#REF!</definedName>
    <definedName name="nnnc">'[3]lam-moi'!#REF!</definedName>
    <definedName name="nnnc3p" localSheetId="7">#REF!</definedName>
    <definedName name="nnnc3p">#REF!</definedName>
    <definedName name="nnvl">'[3]lam-moi'!#REF!</definedName>
    <definedName name="nnvl3p" localSheetId="7">#REF!</definedName>
    <definedName name="nnvl3p">#REF!</definedName>
    <definedName name="NO" localSheetId="7">#REF!</definedName>
    <definedName name="NO">#REF!</definedName>
    <definedName name="Notes" localSheetId="7">#REF!</definedName>
    <definedName name="Notes">#REF!</definedName>
    <definedName name="nouvelle_feuille">"VDO대책.XLS"</definedName>
    <definedName name="NR" localSheetId="7">#REF!</definedName>
    <definedName name="NR">#REF!</definedName>
    <definedName name="nuoc">[12]gvl!$N$38</definedName>
    <definedName name="NX" localSheetId="7">#REF!</definedName>
    <definedName name="NX">#REF!</definedName>
    <definedName name="nxmtc" localSheetId="7">'[3]t-h HA THE'!#REF!</definedName>
    <definedName name="nxmtc">'[3]t-h HA THE'!#REF!</definedName>
    <definedName name="NXT" localSheetId="7">#REF!</definedName>
    <definedName name="NXT">#REF!</definedName>
    <definedName name="O" localSheetId="7">#REF!</definedName>
    <definedName name="O">#REF!</definedName>
    <definedName name="º?°æ" localSheetId="7">#REF!</definedName>
    <definedName name="º?°æ">#REF!</definedName>
    <definedName name="o_n_phÝ_1__thu_nhËp_th_ng">#REF!</definedName>
    <definedName name="º¯°æ">#REF!</definedName>
    <definedName name="O¤eEoÆ¿ø_oÆ¡I">#REF!</definedName>
    <definedName name="Ó¤êÈôÆ¿ø_ôÆ¡Í">#REF!</definedName>
    <definedName name="ºI¼­">#REF!</definedName>
    <definedName name="ºÎ¼­">#REF!</definedName>
    <definedName name="OK선택">#N/A</definedName>
    <definedName name="ºn±³A" localSheetId="7">#REF!</definedName>
    <definedName name="ºn±³A">#REF!</definedName>
    <definedName name="ºñ±³A" localSheetId="7">#REF!</definedName>
    <definedName name="ºñ±³A">#REF!</definedName>
    <definedName name="ong" localSheetId="7">#REF!</definedName>
    <definedName name="ong">#REF!</definedName>
    <definedName name="OriginalPackages">#REF!</definedName>
    <definedName name="osc">'[3]THPDMoi  (2)'!#REF!</definedName>
    <definedName name="oxy" localSheetId="7">#REF!</definedName>
    <definedName name="oxy">#REF!</definedName>
    <definedName name="P" localSheetId="7">'[1]PNT-QUOT-#3'!#REF!</definedName>
    <definedName name="P">'[1]PNT-QUOT-#3'!#REF!</definedName>
    <definedName name="P_NX1" localSheetId="7">#REF!</definedName>
    <definedName name="P_NX1">#REF!</definedName>
    <definedName name="PA1_1" localSheetId="7">#REF!</definedName>
    <definedName name="PA1_1">#REF!</definedName>
    <definedName name="PA2CAU39M" localSheetId="7" hidden="1">{"'Sheet1'!$L$16"}</definedName>
    <definedName name="PA2CAU39M" localSheetId="27" hidden="1">{"'Sheet1'!$L$16"}</definedName>
    <definedName name="PA2CAU39M" hidden="1">{"'Sheet1'!$L$16"}</definedName>
    <definedName name="Paddy_rice">#REF!</definedName>
    <definedName name="PAIII_" localSheetId="7" hidden="1">{"'Sheet1'!$L$16"}</definedName>
    <definedName name="PAIII_" localSheetId="27" hidden="1">{"'Sheet1'!$L$16"}</definedName>
    <definedName name="PAIII_" hidden="1">{"'Sheet1'!$L$16"}</definedName>
    <definedName name="PaperSize85">#REF!</definedName>
    <definedName name="PaperSizeA4" localSheetId="7">#REF!</definedName>
    <definedName name="PaperSizeA4">#REF!</definedName>
    <definedName name="path_xla">"C:\SYS\WINDOWS\TEMP"</definedName>
    <definedName name="PC">#REF!</definedName>
    <definedName name="PCP" localSheetId="7">#REF!</definedName>
    <definedName name="PCP">#REF!</definedName>
    <definedName name="PEJM" localSheetId="7">'[1]COAT&amp;WRAP-QIOT-#3'!#REF!</definedName>
    <definedName name="PEJM">'[1]COAT&amp;WRAP-QIOT-#3'!#REF!</definedName>
    <definedName name="Person" localSheetId="7">#REF!</definedName>
    <definedName name="Person">#REF!</definedName>
    <definedName name="PF" localSheetId="7">'[1]PNT-QUOT-#3'!#REF!</definedName>
    <definedName name="PF">'[1]PNT-QUOT-#3'!#REF!</definedName>
    <definedName name="pgia" localSheetId="7">#REF!</definedName>
    <definedName name="pgia">#REF!</definedName>
    <definedName name="PHANTICH" hidden="1">{"'Sheet1'!$L$16"}</definedName>
    <definedName name="phu_luc_vua" localSheetId="7">#REF!</definedName>
    <definedName name="phu_luc_vua">#REF!</definedName>
    <definedName name="phuong" hidden="1">{#N/A,#N/A,FALSE,"Chi tiÆt"}</definedName>
    <definedName name="phuonga1" hidden="1">{#N/A,#N/A,FALSE,"Chi tiÆt"}</definedName>
    <definedName name="phuongan4" hidden="1">{#N/A,#N/A,FALSE,"Chi tiÆt"}</definedName>
    <definedName name="PIVOT" localSheetId="7">#REF!</definedName>
    <definedName name="PIVOT">#REF!</definedName>
    <definedName name="plmain" localSheetId="7">#REF!</definedName>
    <definedName name="plmain">#REF!</definedName>
    <definedName name="plsub" localSheetId="7">#REF!</definedName>
    <definedName name="plsub">#REF!</definedName>
    <definedName name="plt">#REF!</definedName>
    <definedName name="pltt">#REF!</definedName>
    <definedName name="PM">[19]IBASE!$AH$16:$AV$110</definedName>
    <definedName name="PMS" localSheetId="7" hidden="1">{"'Sheet1'!$L$16"}</definedName>
    <definedName name="PMS" localSheetId="27" hidden="1">{"'Sheet1'!$L$16"}</definedName>
    <definedName name="PMS" hidden="1">{"'Sheet1'!$L$16"}</definedName>
    <definedName name="pnl">#REF!</definedName>
    <definedName name="Position" localSheetId="7">#REF!</definedName>
    <definedName name="Position">#REF!</definedName>
    <definedName name="PPP" localSheetId="7">#REF!</definedName>
    <definedName name="PPP">#REF!</definedName>
    <definedName name="PR">#REF!</definedName>
    <definedName name="Price">#REF!</definedName>
    <definedName name="Price_USA">#REF!</definedName>
    <definedName name="PRICE1">#REF!</definedName>
    <definedName name="Prin1">#REF!</definedName>
    <definedName name="Prin10">#REF!</definedName>
    <definedName name="Prin11">#REF!</definedName>
    <definedName name="Prin12">#REF!</definedName>
    <definedName name="Prin13">#REF!</definedName>
    <definedName name="Prin14">#REF!</definedName>
    <definedName name="Prin15">#REF!</definedName>
    <definedName name="Prin16">#REF!</definedName>
    <definedName name="Prin17">#REF!</definedName>
    <definedName name="Prin18">#REF!</definedName>
    <definedName name="Prin19">#REF!</definedName>
    <definedName name="Prin2">#REF!</definedName>
    <definedName name="Prin20">#REF!</definedName>
    <definedName name="Prin21">#REF!</definedName>
    <definedName name="Prin3">#REF!</definedName>
    <definedName name="Prin4">#REF!</definedName>
    <definedName name="Prin5">#REF!</definedName>
    <definedName name="Prin6">#REF!</definedName>
    <definedName name="Prin7">#REF!</definedName>
    <definedName name="Prin8">#REF!</definedName>
    <definedName name="Prin9">#REF!</definedName>
    <definedName name="_xlnm.Print_Area" localSheetId="8">'2. Input'!$A$1:$H$74</definedName>
    <definedName name="_xlnm.Print_Area" localSheetId="7">'2. WACC'!$A$1:$G$49</definedName>
    <definedName name="_xlnm.Print_Area" localSheetId="32">'5. ĐG- Tổng'!$B$1:$Q$45</definedName>
    <definedName name="_xlnm.Print_Area">#REF!</definedName>
    <definedName name="Print_Area_MI" localSheetId="7">#REF!</definedName>
    <definedName name="Print_Area_MI">#REF!</definedName>
    <definedName name="_xlnm.Print_Titles" localSheetId="7">#N/A</definedName>
    <definedName name="_xlnm.Print_Titles" localSheetId="27">#REF!,#REF!</definedName>
    <definedName name="_xlnm.Print_Titles">#REF!,#REF!</definedName>
    <definedName name="PRINT_TITLES_MI">#N/A</definedName>
    <definedName name="PRINTA" localSheetId="7">#REF!</definedName>
    <definedName name="PRINTA">#REF!</definedName>
    <definedName name="PRINTB" localSheetId="7">#REF!</definedName>
    <definedName name="PRINTB">#REF!</definedName>
    <definedName name="PRINTC" localSheetId="7">#REF!</definedName>
    <definedName name="PRINTC">#REF!</definedName>
    <definedName name="ProductAnalysis">#REF!</definedName>
    <definedName name="Project_Risk">#REF!</definedName>
    <definedName name="Project_Risk_Cell">#REF!</definedName>
    <definedName name="Project_Risk_Result">#REF!</definedName>
    <definedName name="PROPOSAL">#REF!</definedName>
    <definedName name="Province">#REF!</definedName>
    <definedName name="pt">#REF!</definedName>
    <definedName name="PT_Duong">#REF!</definedName>
    <definedName name="ptdg">#REF!</definedName>
    <definedName name="PTDG_cau">#REF!</definedName>
    <definedName name="PTNC">'[3]DON GIA'!$G$227</definedName>
    <definedName name="PTST">[20]sat!$A$6:$K$38</definedName>
    <definedName name="PTVT">[20]ptvt!$A$6:$X$128</definedName>
    <definedName name="q" localSheetId="7" hidden="1">{#N/A,#N/A,FALSE,"HCMP"}</definedName>
    <definedName name="q" localSheetId="27" hidden="1">{#N/A,#N/A,FALSE,"HCMP"}</definedName>
    <definedName name="q" hidden="1">{#N/A,#N/A,FALSE,"HCMP"}</definedName>
    <definedName name="Qes">#REF!</definedName>
    <definedName name="qh" localSheetId="7">#REF!</definedName>
    <definedName name="qh">#REF!</definedName>
    <definedName name="Qms" localSheetId="7">#REF!</definedName>
    <definedName name="Qms">#REF!</definedName>
    <definedName name="QQ">#N/A</definedName>
    <definedName name="QQQ">#N/A</definedName>
    <definedName name="QQQQ" localSheetId="7">#REF!</definedName>
    <definedName name="QQQQ">#REF!</definedName>
    <definedName name="QQQQQQ" localSheetId="7"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QQQQQQ" localSheetId="27"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QQQQQQ"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Quantities" localSheetId="7">#REF!</definedName>
    <definedName name="Quantities">#REF!</definedName>
    <definedName name="R_COVER" localSheetId="7" hidden="1">{#N/A,#N/A,FALSE,"단축1";#N/A,#N/A,FALSE,"단축2";#N/A,#N/A,FALSE,"단축3";#N/A,#N/A,FALSE,"장축";#N/A,#N/A,FALSE,"4WD"}</definedName>
    <definedName name="R_COVER" localSheetId="27" hidden="1">{#N/A,#N/A,FALSE,"단축1";#N/A,#N/A,FALSE,"단축2";#N/A,#N/A,FALSE,"단축3";#N/A,#N/A,FALSE,"장축";#N/A,#N/A,FALSE,"4WD"}</definedName>
    <definedName name="R_COVER" hidden="1">{#N/A,#N/A,FALSE,"단축1";#N/A,#N/A,FALSE,"단축2";#N/A,#N/A,FALSE,"단축3";#N/A,#N/A,FALSE,"장축";#N/A,#N/A,FALSE,"4WD"}</definedName>
    <definedName name="r0">#REF!</definedName>
    <definedName name="ra11p">#REF!</definedName>
    <definedName name="ra13p">#REF!</definedName>
    <definedName name="rack1">'[3]THPDMoi  (2)'!#REF!</definedName>
    <definedName name="rack2">'[3]THPDMoi  (2)'!#REF!</definedName>
    <definedName name="rack3">'[3]THPDMoi  (2)'!#REF!</definedName>
    <definedName name="rack4">'[3]THPDMoi  (2)'!#REF!</definedName>
    <definedName name="rang1" localSheetId="7">#REF!</definedName>
    <definedName name="rang1">#REF!</definedName>
    <definedName name="range" localSheetId="7">#REF!</definedName>
    <definedName name="range">#REF!</definedName>
    <definedName name="Ranhxay" localSheetId="7" hidden="1">{"'Sheet1'!$L$16"}</definedName>
    <definedName name="Ranhxay" localSheetId="27" hidden="1">{"'Sheet1'!$L$16"}</definedName>
    <definedName name="Ranhxay" hidden="1">{"'Sheet1'!$L$16"}</definedName>
    <definedName name="rate">14000</definedName>
    <definedName name="RBParboil">#REF!</definedName>
    <definedName name="Re" localSheetId="7">#REF!</definedName>
    <definedName name="Re">#REF!</definedName>
    <definedName name="Reatfeed" localSheetId="7">#REF!</definedName>
    <definedName name="Reatfeed">#REF!</definedName>
    <definedName name="RECOUT">#N/A</definedName>
    <definedName name="Reforbran">#REF!</definedName>
    <definedName name="Remarks" localSheetId="7">#REF!</definedName>
    <definedName name="Remarks">#REF!</definedName>
    <definedName name="REPORT01" localSheetId="7">#REF!</definedName>
    <definedName name="REPORT01">#REF!</definedName>
    <definedName name="REPORT02">#REF!</definedName>
    <definedName name="Result2Form">#REF!</definedName>
    <definedName name="ResultForm">#REF!</definedName>
    <definedName name="Retransfer">#REF!</definedName>
    <definedName name="RFP003C" localSheetId="7">#REF!</definedName>
    <definedName name="RFP003C">#REF!</definedName>
    <definedName name="RFP003D" localSheetId="7">#REF!</definedName>
    <definedName name="RFP003D">#REF!</definedName>
    <definedName name="RFP003E" localSheetId="7">#REF!</definedName>
    <definedName name="RFP003E">#REF!</definedName>
    <definedName name="RFP003F">#REF!</definedName>
    <definedName name="Risk_Database">#REF!</definedName>
    <definedName name="River">#REF!</definedName>
    <definedName name="River_Code">#REF!</definedName>
    <definedName name="Rm">#REF!</definedName>
    <definedName name="RMRMR">#REF!</definedName>
    <definedName name="RNG_INS_0">#REF!</definedName>
    <definedName name="Road_Code">#REF!</definedName>
    <definedName name="Road_Name">#REF!</definedName>
    <definedName name="RoadNo_373">#REF!</definedName>
    <definedName name="RPLA" localSheetId="7" hidden="1">{"'Sheet1'!$L$16"}</definedName>
    <definedName name="RPLA" localSheetId="27" hidden="1">{"'Sheet1'!$L$16"}</definedName>
    <definedName name="RPLA" hidden="1">{"'Sheet1'!$L$16"}</definedName>
    <definedName name="RR">#REF!</definedName>
    <definedName name="RR.BRAKE" localSheetId="7" hidden="1">{#N/A,#N/A,FALSE,"단축1";#N/A,#N/A,FALSE,"단축2";#N/A,#N/A,FALSE,"단축3";#N/A,#N/A,FALSE,"장축";#N/A,#N/A,FALSE,"4WD"}</definedName>
    <definedName name="RR.BRAKE" localSheetId="27" hidden="1">{#N/A,#N/A,FALSE,"단축1";#N/A,#N/A,FALSE,"단축2";#N/A,#N/A,FALSE,"단축3";#N/A,#N/A,FALSE,"장축";#N/A,#N/A,FALSE,"4WD"}</definedName>
    <definedName name="RR.BRAKE" hidden="1">{#N/A,#N/A,FALSE,"단축1";#N/A,#N/A,FALSE,"단축2";#N/A,#N/A,FALSE,"단축3";#N/A,#N/A,FALSE,"장축";#N/A,#N/A,FALSE,"4WD"}</definedName>
    <definedName name="RR.BRK" localSheetId="7" hidden="1">{#N/A,#N/A,FALSE,"단축1";#N/A,#N/A,FALSE,"단축2";#N/A,#N/A,FALSE,"단축3";#N/A,#N/A,FALSE,"장축";#N/A,#N/A,FALSE,"4WD"}</definedName>
    <definedName name="RR.BRK" localSheetId="27" hidden="1">{#N/A,#N/A,FALSE,"단축1";#N/A,#N/A,FALSE,"단축2";#N/A,#N/A,FALSE,"단축3";#N/A,#N/A,FALSE,"장축";#N/A,#N/A,FALSE,"4WD"}</definedName>
    <definedName name="RR.BRK" hidden="1">{#N/A,#N/A,FALSE,"단축1";#N/A,#N/A,FALSE,"단축2";#N/A,#N/A,FALSE,"단축3";#N/A,#N/A,FALSE,"장축";#N/A,#N/A,FALSE,"4WD"}</definedName>
    <definedName name="rrpnl">#REF!</definedName>
    <definedName name="rrr" localSheetId="7">#REF!</definedName>
    <definedName name="rrr">#REF!</definedName>
    <definedName name="rrrr" localSheetId="7">#REF!</definedName>
    <definedName name="rrrr">#REF!</definedName>
    <definedName name="Rs">#REF!</definedName>
    <definedName name="RT">'[1]COAT&amp;WRAP-QIOT-#3'!#REF!</definedName>
    <definedName name="RT.RTDK" localSheetId="7">#REF!</definedName>
    <definedName name="RT.RTDK">#REF!</definedName>
    <definedName name="s" localSheetId="7">#REF!</definedName>
    <definedName name="s">#REF!</definedName>
    <definedName name="S_1" localSheetId="7">#REF!</definedName>
    <definedName name="S_1">#REF!</definedName>
    <definedName name="S_2">#REF!</definedName>
    <definedName name="S_NotDone">#REF!</definedName>
    <definedName name="S_Tasks">#REF!</definedName>
    <definedName name="Salt">#REF!</definedName>
    <definedName name="San_truoc">[21]tienluong!#REF!</definedName>
    <definedName name="Sau" localSheetId="7">#REF!</definedName>
    <definedName name="Sau">#REF!</definedName>
    <definedName name="SB">[19]IBASE!$AH$7:$AL$14</definedName>
    <definedName name="SCH" localSheetId="7">#REF!</definedName>
    <definedName name="SCH">#REF!</definedName>
    <definedName name="sd3p" localSheetId="7">'[3]lam-moi'!#REF!</definedName>
    <definedName name="sd3p">'[3]lam-moi'!#REF!</definedName>
    <definedName name="sdaf" localSheetId="7">#REF!</definedName>
    <definedName name="sdaf">#REF!</definedName>
    <definedName name="sdddd" localSheetId="7">#REF!</definedName>
    <definedName name="sdddd">#REF!</definedName>
    <definedName name="SDF" localSheetId="7" hidden="1">{"'Sheet1'!$L$16"}</definedName>
    <definedName name="SDF" localSheetId="27" hidden="1">{"'Sheet1'!$L$16"}</definedName>
    <definedName name="SDF" hidden="1">{"'Sheet1'!$L$16"}</definedName>
    <definedName name="SDFG">#REF!</definedName>
    <definedName name="SDFGH" localSheetId="7" hidden="1">{#N/A,#N/A,FALSE,"단축1";#N/A,#N/A,FALSE,"단축2";#N/A,#N/A,FALSE,"단축3";#N/A,#N/A,FALSE,"장축";#N/A,#N/A,FALSE,"4WD"}</definedName>
    <definedName name="SDFGH" localSheetId="27" hidden="1">{#N/A,#N/A,FALSE,"단축1";#N/A,#N/A,FALSE,"단축2";#N/A,#N/A,FALSE,"단축3";#N/A,#N/A,FALSE,"장축";#N/A,#N/A,FALSE,"4WD"}</definedName>
    <definedName name="SDFGH" hidden="1">{#N/A,#N/A,FALSE,"단축1";#N/A,#N/A,FALSE,"단축2";#N/A,#N/A,FALSE,"단축3";#N/A,#N/A,FALSE,"장축";#N/A,#N/A,FALSE,"4WD"}</definedName>
    <definedName name="SDFH" localSheetId="7" hidden="1">{#N/A,#N/A,FALSE,"단축1";#N/A,#N/A,FALSE,"단축2";#N/A,#N/A,FALSE,"단축3";#N/A,#N/A,FALSE,"장축";#N/A,#N/A,FALSE,"4WD"}</definedName>
    <definedName name="SDFH" localSheetId="27" hidden="1">{#N/A,#N/A,FALSE,"단축1";#N/A,#N/A,FALSE,"단축2";#N/A,#N/A,FALSE,"단축3";#N/A,#N/A,FALSE,"장축";#N/A,#N/A,FALSE,"4WD"}</definedName>
    <definedName name="SDFH" hidden="1">{#N/A,#N/A,FALSE,"단축1";#N/A,#N/A,FALSE,"단축2";#N/A,#N/A,FALSE,"단축3";#N/A,#N/A,FALSE,"장축";#N/A,#N/A,FALSE,"4WD"}</definedName>
    <definedName name="SDFS" localSheetId="7" hidden="1">{#N/A,#N/A,FALSE,"단축1";#N/A,#N/A,FALSE,"단축2";#N/A,#N/A,FALSE,"단축3";#N/A,#N/A,FALSE,"장축";#N/A,#N/A,FALSE,"4WD"}</definedName>
    <definedName name="SDFS" localSheetId="27" hidden="1">{#N/A,#N/A,FALSE,"단축1";#N/A,#N/A,FALSE,"단축2";#N/A,#N/A,FALSE,"단축3";#N/A,#N/A,FALSE,"장축";#N/A,#N/A,FALSE,"4WD"}</definedName>
    <definedName name="SDFS" hidden="1">{#N/A,#N/A,FALSE,"단축1";#N/A,#N/A,FALSE,"단축2";#N/A,#N/A,FALSE,"단축3";#N/A,#N/A,FALSE,"장축";#N/A,#N/A,FALSE,"4WD"}</definedName>
    <definedName name="sdfsdfsd" localSheetId="7" hidden="1">{"'Sheet1'!$L$16"}</definedName>
    <definedName name="sdfsdfsd" localSheetId="27" hidden="1">{"'Sheet1'!$L$16"}</definedName>
    <definedName name="sdfsdfsd" hidden="1">{"'Sheet1'!$L$16"}</definedName>
    <definedName name="SDMONG">#REF!</definedName>
    <definedName name="sdnxt" localSheetId="7">#REF!</definedName>
    <definedName name="sdnxt">#REF!</definedName>
    <definedName name="SEN_DAP" localSheetId="7">#REF!</definedName>
    <definedName name="SEN_DAP">#REF!</definedName>
    <definedName name="SEN_Margin" localSheetId="7">#REF!</definedName>
    <definedName name="SEN_Margin">#REF!</definedName>
    <definedName name="Sen_NL_NH3" localSheetId="7">#REF!</definedName>
    <definedName name="Sen_NL_NH3">#REF!</definedName>
    <definedName name="Sen_NL_NPK" localSheetId="7">#REF!</definedName>
    <definedName name="Sen_NL_NPK">#REF!</definedName>
    <definedName name="Sen_PriceOfUrea" localSheetId="7">#REF!</definedName>
    <definedName name="Sen_PriceOfUrea">#REF!</definedName>
    <definedName name="Sen_SP_NH3" localSheetId="7">#REF!</definedName>
    <definedName name="Sen_SP_NH3">#REF!</definedName>
    <definedName name="Sen_SP_NPK" localSheetId="7">#REF!</definedName>
    <definedName name="Sen_SP_NPK">#REF!</definedName>
    <definedName name="Sen_TMDT_NH3" localSheetId="7">#REF!</definedName>
    <definedName name="Sen_TMDT_NH3">#REF!</definedName>
    <definedName name="Sen_TMDT_NPK" localSheetId="7">#REF!</definedName>
    <definedName name="Sen_TMDT_NPK">#REF!</definedName>
    <definedName name="SEN_TyLeVanHanh" localSheetId="7">#REF!</definedName>
    <definedName name="SEN_TyLeVanHanh">#REF!</definedName>
    <definedName name="sencount" hidden="1">2</definedName>
    <definedName name="SEQCODE" localSheetId="7">#REF!</definedName>
    <definedName name="SEQCODE">#REF!</definedName>
    <definedName name="Sex" localSheetId="7">#REF!</definedName>
    <definedName name="Sex">#REF!</definedName>
    <definedName name="SFDGHG" localSheetId="7" hidden="1">{#N/A,#N/A,FALSE,"단축1";#N/A,#N/A,FALSE,"단축2";#N/A,#N/A,FALSE,"단축3";#N/A,#N/A,FALSE,"장축";#N/A,#N/A,FALSE,"4WD"}</definedName>
    <definedName name="SFDGHG" localSheetId="27" hidden="1">{#N/A,#N/A,FALSE,"단축1";#N/A,#N/A,FALSE,"단축2";#N/A,#N/A,FALSE,"단축3";#N/A,#N/A,FALSE,"장축";#N/A,#N/A,FALSE,"4WD"}</definedName>
    <definedName name="SFDGHG" hidden="1">{#N/A,#N/A,FALSE,"단축1";#N/A,#N/A,FALSE,"단축2";#N/A,#N/A,FALSE,"단축3";#N/A,#N/A,FALSE,"장축";#N/A,#N/A,FALSE,"4WD"}</definedName>
    <definedName name="SFGHJK" localSheetId="7" hidden="1">{#N/A,#N/A,FALSE,"단축1";#N/A,#N/A,FALSE,"단축2";#N/A,#N/A,FALSE,"단축3";#N/A,#N/A,FALSE,"장축";#N/A,#N/A,FALSE,"4WD"}</definedName>
    <definedName name="SFGHJK" localSheetId="27" hidden="1">{#N/A,#N/A,FALSE,"단축1";#N/A,#N/A,FALSE,"단축2";#N/A,#N/A,FALSE,"단축3";#N/A,#N/A,FALSE,"장축";#N/A,#N/A,FALSE,"4WD"}</definedName>
    <definedName name="SFGHJK" hidden="1">{#N/A,#N/A,FALSE,"단축1";#N/A,#N/A,FALSE,"단축2";#N/A,#N/A,FALSE,"단축3";#N/A,#N/A,FALSE,"장축";#N/A,#N/A,FALSE,"4WD"}</definedName>
    <definedName name="SFJGH" localSheetId="7" hidden="1">{#N/A,#N/A,FALSE,"단축1";#N/A,#N/A,FALSE,"단축2";#N/A,#N/A,FALSE,"단축3";#N/A,#N/A,FALSE,"장축";#N/A,#N/A,FALSE,"4WD"}</definedName>
    <definedName name="SFJGH" localSheetId="27" hidden="1">{#N/A,#N/A,FALSE,"단축1";#N/A,#N/A,FALSE,"단축2";#N/A,#N/A,FALSE,"단축3";#N/A,#N/A,FALSE,"장축";#N/A,#N/A,FALSE,"4WD"}</definedName>
    <definedName name="SFJGH" hidden="1">{#N/A,#N/A,FALSE,"단축1";#N/A,#N/A,FALSE,"단축2";#N/A,#N/A,FALSE,"단축3";#N/A,#N/A,FALSE,"장축";#N/A,#N/A,FALSE,"4WD"}</definedName>
    <definedName name="SFSDFSDFSDFD" localSheetId="7" hidden="1">{#N/A,#N/A,FALSE,"단축1";#N/A,#N/A,FALSE,"단축2";#N/A,#N/A,FALSE,"단축3";#N/A,#N/A,FALSE,"장축";#N/A,#N/A,FALSE,"4WD"}</definedName>
    <definedName name="SFSDFSDFSDFD" localSheetId="27" hidden="1">{#N/A,#N/A,FALSE,"단축1";#N/A,#N/A,FALSE,"단축2";#N/A,#N/A,FALSE,"단축3";#N/A,#N/A,FALSE,"장축";#N/A,#N/A,FALSE,"4WD"}</definedName>
    <definedName name="SFSDFSDFSDFD" hidden="1">{#N/A,#N/A,FALSE,"단축1";#N/A,#N/A,FALSE,"단축2";#N/A,#N/A,FALSE,"단축3";#N/A,#N/A,FALSE,"장축";#N/A,#N/A,FALSE,"4WD"}</definedName>
    <definedName name="SFSFSFS" localSheetId="7" hidden="1">{#N/A,#N/A,FALSE,"단축1";#N/A,#N/A,FALSE,"단축2";#N/A,#N/A,FALSE,"단축3";#N/A,#N/A,FALSE,"장축";#N/A,#N/A,FALSE,"4WD"}</definedName>
    <definedName name="SFSFSFS" localSheetId="27" hidden="1">{#N/A,#N/A,FALSE,"단축1";#N/A,#N/A,FALSE,"단축2";#N/A,#N/A,FALSE,"단축3";#N/A,#N/A,FALSE,"장축";#N/A,#N/A,FALSE,"4WD"}</definedName>
    <definedName name="SFSFSFS" hidden="1">{#N/A,#N/A,FALSE,"단축1";#N/A,#N/A,FALSE,"단축2";#N/A,#N/A,FALSE,"단축3";#N/A,#N/A,FALSE,"장축";#N/A,#N/A,FALSE,"4WD"}</definedName>
    <definedName name="sgnc">[3]gtrinh!#REF!</definedName>
    <definedName name="sgvl">[3]gtrinh!#REF!</definedName>
    <definedName name="SHEET" hidden="1">{"'Sheet1'!$L$16"}</definedName>
    <definedName name="sheet2" localSheetId="7" hidden="1">{#N/A,#N/A,FALSE,"Australien";#N/A,#N/A,FALSE,"Birmingham";#N/A,#N/A,FALSE,"Brasilien";#N/A,#N/A,FALSE,"Prag";#N/A,#N/A,FALSE,"Spanien";#N/A,#N/A,FALSE,"Malaysia ( Com)";#N/A,#N/A,FALSE,"Malaysia (Instr)"}</definedName>
    <definedName name="sheet2" localSheetId="27" hidden="1">{#N/A,#N/A,FALSE,"Australien";#N/A,#N/A,FALSE,"Birmingham";#N/A,#N/A,FALSE,"Brasilien";#N/A,#N/A,FALSE,"Prag";#N/A,#N/A,FALSE,"Spanien";#N/A,#N/A,FALSE,"Malaysia ( Com)";#N/A,#N/A,FALSE,"Malaysia (Instr)"}</definedName>
    <definedName name="sheet2" hidden="1">{#N/A,#N/A,FALSE,"Australien";#N/A,#N/A,FALSE,"Birmingham";#N/A,#N/A,FALSE,"Brasilien";#N/A,#N/A,FALSE,"Prag";#N/A,#N/A,FALSE,"Spanien";#N/A,#N/A,FALSE,"Malaysia ( Com)";#N/A,#N/A,FALSE,"Malaysia (Instr)"}</definedName>
    <definedName name="SHOW_NA">#REF!</definedName>
    <definedName name="SHOW_SUBTASKS" localSheetId="7">#REF!</definedName>
    <definedName name="SHOW_SUBTASKS">#REF!</definedName>
    <definedName name="SHOW_SUBTASKS_CHECKBOX">"Check Box 27"</definedName>
    <definedName name="SHOW_TASKS">#REF!</definedName>
    <definedName name="SHOW_TASKS_CHECKBOX">"Check Box 28"</definedName>
    <definedName name="sht">'[3]THPDMoi  (2)'!#REF!</definedName>
    <definedName name="sht3p">'[3]lam-moi'!#REF!</definedName>
    <definedName name="SIZE" localSheetId="7">#REF!</definedName>
    <definedName name="SIZE">#REF!</definedName>
    <definedName name="SK" localSheetId="7">#REF!</definedName>
    <definedName name="SK">#REF!</definedName>
    <definedName name="SKFK" localSheetId="7">#REF!</definedName>
    <definedName name="SKFK">#REF!</definedName>
    <definedName name="SL">#REF!</definedName>
    <definedName name="SL_CRD">#REF!</definedName>
    <definedName name="SL_CRS">#REF!</definedName>
    <definedName name="SL_CS">#REF!</definedName>
    <definedName name="SL_DD">#REF!</definedName>
    <definedName name="SM일반종합">#REF!</definedName>
    <definedName name="soc3p">#REF!</definedName>
    <definedName name="solieu">#REF!</definedName>
    <definedName name="SORT">#REF!</definedName>
    <definedName name="SORT_AREA">'[22]DI-ESTI'!$A$8:$R$489</definedName>
    <definedName name="SOSANH" hidden="1">{"'Sheet1'!$L$16"}</definedName>
    <definedName name="SOWs" localSheetId="7">#REF!</definedName>
    <definedName name="SOWs">#REF!</definedName>
    <definedName name="SOWTask_Code" localSheetId="7">#REF!</definedName>
    <definedName name="SOWTask_Code">#REF!</definedName>
    <definedName name="Soybean_Seed__Brz" localSheetId="7">#REF!</definedName>
    <definedName name="Soybean_Seed__Brz">#REF!</definedName>
    <definedName name="SoybeanMealBra">#REF!</definedName>
    <definedName name="Soyoil">#REF!</definedName>
    <definedName name="SP">#REF!</definedName>
    <definedName name="SPAN">#REF!</definedName>
    <definedName name="SPAN_No">#REF!</definedName>
    <definedName name="Spanner_Auto_File">"C:\My Documents\tinh cdo.x2a"</definedName>
    <definedName name="SPEC" localSheetId="7">#REF!</definedName>
    <definedName name="SPEC">#REF!</definedName>
    <definedName name="SPEC2" localSheetId="7" hidden="1">{#N/A,#N/A,FALSE,"단축1";#N/A,#N/A,FALSE,"단축2";#N/A,#N/A,FALSE,"단축3";#N/A,#N/A,FALSE,"장축";#N/A,#N/A,FALSE,"4WD"}</definedName>
    <definedName name="SPEC2" localSheetId="27" hidden="1">{#N/A,#N/A,FALSE,"단축1";#N/A,#N/A,FALSE,"단축2";#N/A,#N/A,FALSE,"단축3";#N/A,#N/A,FALSE,"장축";#N/A,#N/A,FALSE,"4WD"}</definedName>
    <definedName name="SPEC2" hidden="1">{#N/A,#N/A,FALSE,"단축1";#N/A,#N/A,FALSE,"단축2";#N/A,#N/A,FALSE,"단축3";#N/A,#N/A,FALSE,"장축";#N/A,#N/A,FALSE,"4WD"}</definedName>
    <definedName name="SPEC22" localSheetId="7" hidden="1">{#N/A,#N/A,FALSE,"단축1";#N/A,#N/A,FALSE,"단축2";#N/A,#N/A,FALSE,"단축3";#N/A,#N/A,FALSE,"장축";#N/A,#N/A,FALSE,"4WD"}</definedName>
    <definedName name="SPEC22" localSheetId="27" hidden="1">{#N/A,#N/A,FALSE,"단축1";#N/A,#N/A,FALSE,"단축2";#N/A,#N/A,FALSE,"단축3";#N/A,#N/A,FALSE,"장축";#N/A,#N/A,FALSE,"4WD"}</definedName>
    <definedName name="SPEC22" hidden="1">{#N/A,#N/A,FALSE,"단축1";#N/A,#N/A,FALSE,"단축2";#N/A,#N/A,FALSE,"단축3";#N/A,#N/A,FALSE,"장축";#N/A,#N/A,FALSE,"4WD"}</definedName>
    <definedName name="SPECSUMMARY" localSheetId="7">#REF!</definedName>
    <definedName name="SPECSUMMARY">#REF!</definedName>
    <definedName name="SPEED_D170" localSheetId="7">#REF!</definedName>
    <definedName name="SPEED_D170">#REF!</definedName>
    <definedName name="spk1p" localSheetId="7">'[3]#REF'!#REF!</definedName>
    <definedName name="spk1p">'[3]#REF'!#REF!</definedName>
    <definedName name="spk3p" localSheetId="7">'[3]lam-moi'!#REF!</definedName>
    <definedName name="spk3p">'[3]lam-moi'!#REF!</definedName>
    <definedName name="srmain" localSheetId="7">#REF!</definedName>
    <definedName name="srmain">#REF!</definedName>
    <definedName name="srsub" localSheetId="7">#REF!</definedName>
    <definedName name="srsub">#REF!</definedName>
    <definedName name="sss" localSheetId="7">#REF!</definedName>
    <definedName name="sss">#REF!</definedName>
    <definedName name="sssssssssss">#REF!</definedName>
    <definedName name="st3p">'[3]lam-moi'!#REF!</definedName>
    <definedName name="Start_1" localSheetId="7">#REF!</definedName>
    <definedName name="Start_1">#REF!</definedName>
    <definedName name="Start_10" localSheetId="7">#REF!</definedName>
    <definedName name="Start_10">#REF!</definedName>
    <definedName name="Start_11" localSheetId="7">#REF!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Value">32</definedName>
    <definedName name="Status_Completion" localSheetId="7">#REF!</definedName>
    <definedName name="Status_Completion">#REF!</definedName>
    <definedName name="Status_Risk" localSheetId="7">#REF!</definedName>
    <definedName name="Status_Risk">#REF!</definedName>
    <definedName name="StepValue">0.16</definedName>
    <definedName name="SubTask_Count">#REF!</definedName>
    <definedName name="SUMMARY" localSheetId="7">#REF!</definedName>
    <definedName name="SUMMARY">#REF!</definedName>
    <definedName name="SummaryForm" localSheetId="7">#REF!</definedName>
    <definedName name="SummaryForm">#REF!</definedName>
    <definedName name="t" localSheetId="7">#REF!</definedName>
    <definedName name="T" localSheetId="27" hidden="1">{#N/A,#N/A,FALSE,"단축1";#N/A,#N/A,FALSE,"단축2";#N/A,#N/A,FALSE,"단축3";#N/A,#N/A,FALSE,"장축";#N/A,#N/A,FALSE,"4WD"}</definedName>
    <definedName name="T" hidden="1">{#N/A,#N/A,FALSE,"단축1";#N/A,#N/A,FALSE,"단축2";#N/A,#N/A,FALSE,"단축3";#N/A,#N/A,FALSE,"장축";#N/A,#N/A,FALSE,"4WD"}</definedName>
    <definedName name="T.nhËp" localSheetId="7">#REF!</definedName>
    <definedName name="T.nhËp">#REF!</definedName>
    <definedName name="T_NotDone" localSheetId="7">#REF!</definedName>
    <definedName name="T_NotDone">#REF!</definedName>
    <definedName name="T_S_Tasks" localSheetId="7">#REF!</definedName>
    <definedName name="T_S_Tasks">#REF!</definedName>
    <definedName name="T_Sows">#REF!</definedName>
    <definedName name="T_Tasks">#REF!</definedName>
    <definedName name="t101p">#REF!</definedName>
    <definedName name="t103p">#REF!</definedName>
    <definedName name="t105mnc">'[3]thao-go'!#REF!</definedName>
    <definedName name="t10m">'[3]lam-moi'!#REF!</definedName>
    <definedName name="t10nc">'[3]lam-moi'!#REF!</definedName>
    <definedName name="t10nc1p" localSheetId="7">#REF!</definedName>
    <definedName name="t10nc1p">#REF!</definedName>
    <definedName name="t10ncm">'[3]lam-moi'!#REF!</definedName>
    <definedName name="t10vl">'[3]lam-moi'!#REF!</definedName>
    <definedName name="t10vl1p" localSheetId="7">#REF!</definedName>
    <definedName name="t10vl1p">#REF!</definedName>
    <definedName name="t121p" localSheetId="7">#REF!</definedName>
    <definedName name="t121p">#REF!</definedName>
    <definedName name="t123p" localSheetId="7">#REF!</definedName>
    <definedName name="t123p">#REF!</definedName>
    <definedName name="t12m" localSheetId="7">'[3]lam-moi'!#REF!</definedName>
    <definedName name="t12m">'[3]lam-moi'!#REF!</definedName>
    <definedName name="t12mnc" localSheetId="7">'[3]thao-go'!#REF!</definedName>
    <definedName name="t12mnc">'[3]thao-go'!#REF!</definedName>
    <definedName name="t12nc" localSheetId="7">'[3]lam-moi'!#REF!</definedName>
    <definedName name="t12nc">'[3]lam-moi'!#REF!</definedName>
    <definedName name="t12nc3p">'[3]CHITIET VL-NC'!$G$38</definedName>
    <definedName name="t12ncm">'[3]lam-moi'!#REF!</definedName>
    <definedName name="t12vl">'[3]lam-moi'!#REF!</definedName>
    <definedName name="t12vl3p">'[3]CHITIET VL-NC'!$G$34</definedName>
    <definedName name="t141p" localSheetId="7">#REF!</definedName>
    <definedName name="t141p">#REF!</definedName>
    <definedName name="t143p" localSheetId="7">#REF!</definedName>
    <definedName name="t143p">#REF!</definedName>
    <definedName name="t14m" localSheetId="7">'[3]lam-moi'!#REF!</definedName>
    <definedName name="t14m">'[3]lam-moi'!#REF!</definedName>
    <definedName name="t14mnc" localSheetId="7">'[3]thao-go'!#REF!</definedName>
    <definedName name="t14mnc">'[3]thao-go'!#REF!</definedName>
    <definedName name="t14nc">'[3]lam-moi'!#REF!</definedName>
    <definedName name="t14nc3p" localSheetId="7">#REF!</definedName>
    <definedName name="t14nc3p">#REF!</definedName>
    <definedName name="t14ncm">'[3]lam-moi'!#REF!</definedName>
    <definedName name="T14vc">'[3]CHITIET VL-NC-TT -1p'!#REF!</definedName>
    <definedName name="t14vl">'[3]lam-moi'!#REF!</definedName>
    <definedName name="t14vl3p" localSheetId="7">#REF!</definedName>
    <definedName name="t14vl3p">#REF!</definedName>
    <definedName name="T203P">[3]VC!#REF!</definedName>
    <definedName name="t20m">'[3]lam-moi'!#REF!</definedName>
    <definedName name="t20ncm">'[3]lam-moi'!#REF!</definedName>
    <definedName name="t7m">'[3]THPDMoi  (2)'!#REF!</definedName>
    <definedName name="t7nc">'[3]lam-moi'!#REF!</definedName>
    <definedName name="t7vl">'[3]lam-moi'!#REF!</definedName>
    <definedName name="t84mnc">'[3]thao-go'!#REF!</definedName>
    <definedName name="t8m">'[3]THPDMoi  (2)'!#REF!</definedName>
    <definedName name="t8nc">'[3]lam-moi'!#REF!</definedName>
    <definedName name="t8vl">'[3]lam-moi'!#REF!</definedName>
    <definedName name="table" localSheetId="7">#REF!</definedName>
    <definedName name="table">#REF!</definedName>
    <definedName name="TableAll" localSheetId="7">#REF!</definedName>
    <definedName name="TableAll">#REF!</definedName>
    <definedName name="TableAlll" localSheetId="7">#REF!</definedName>
    <definedName name="TableAlll">#REF!</definedName>
    <definedName name="TableName">"Dummy"</definedName>
    <definedName name="tadao" localSheetId="7">#REF!</definedName>
    <definedName name="tadao">#REF!</definedName>
    <definedName name="Tai_tham" localSheetId="7">#REF!</definedName>
    <definedName name="Tai_tham">#REF!</definedName>
    <definedName name="Tai_trong" localSheetId="7">#REF!</definedName>
    <definedName name="Tai_trong">#REF!</definedName>
    <definedName name="Tam" localSheetId="7">#REF!</definedName>
    <definedName name="tam" localSheetId="27" hidden="1">{"'Sheet1'!$L$16"}</definedName>
    <definedName name="tam" hidden="1">{"'Sheet1'!$L$16"}</definedName>
    <definedName name="Tan" localSheetId="7" hidden="1">{"'Sheet1'!$L$16"}</definedName>
    <definedName name="Tan" localSheetId="27" hidden="1">{"'Sheet1'!$L$16"}</definedName>
    <definedName name="Tan" hidden="1">{"'Sheet1'!$L$16"}</definedName>
    <definedName name="Task_Count">#REF!</definedName>
    <definedName name="Tasks" localSheetId="7">#REF!</definedName>
    <definedName name="Tasks">#REF!</definedName>
    <definedName name="TaxTV">10%</definedName>
    <definedName name="TaxXL">5%</definedName>
    <definedName name="tay" localSheetId="7">#REF!</definedName>
    <definedName name="tay">#REF!</definedName>
    <definedName name="tbdd1p" localSheetId="7">'[3]lam-moi'!#REF!</definedName>
    <definedName name="tbdd1p">'[3]lam-moi'!#REF!</definedName>
    <definedName name="tbdd3p" localSheetId="7">'[3]lam-moi'!#REF!</definedName>
    <definedName name="tbdd3p">'[3]lam-moi'!#REF!</definedName>
    <definedName name="tbddsdl" localSheetId="7">'[3]lam-moi'!#REF!</definedName>
    <definedName name="tbddsdl">'[3]lam-moi'!#REF!</definedName>
    <definedName name="TBI" localSheetId="7">'[3]TH XL'!#REF!</definedName>
    <definedName name="TBI">'[3]TH XL'!#REF!</definedName>
    <definedName name="tbtr">'[3]TH XL'!#REF!</definedName>
    <definedName name="tbtram" localSheetId="7">#REF!</definedName>
    <definedName name="tbtram">#REF!</definedName>
    <definedName name="TC" localSheetId="7">#REF!</definedName>
    <definedName name="TC">#REF!</definedName>
    <definedName name="TC_NHANH1" localSheetId="7">#REF!</definedName>
    <definedName name="TC_NHANH1">#REF!</definedName>
    <definedName name="tcxxnc" localSheetId="7">'[3]thao-go'!#REF!</definedName>
    <definedName name="tcxxnc">'[3]thao-go'!#REF!</definedName>
    <definedName name="td" localSheetId="7">'[3]THPDMoi  (2)'!#REF!</definedName>
    <definedName name="td">'[3]THPDMoi  (2)'!#REF!</definedName>
    <definedName name="td10vl" localSheetId="7">'[3]#REF'!#REF!</definedName>
    <definedName name="td10vl">'[3]#REF'!#REF!</definedName>
    <definedName name="td12nc" localSheetId="7">'[3]#REF'!#REF!</definedName>
    <definedName name="td12nc">'[3]#REF'!#REF!</definedName>
    <definedName name="td1cnc">'[3]lam-moi'!#REF!</definedName>
    <definedName name="td1cvl">'[3]lam-moi'!#REF!</definedName>
    <definedName name="td1p" localSheetId="7">#REF!</definedName>
    <definedName name="td1p">#REF!</definedName>
    <definedName name="TD1pnc">'[3]CHITIET VL-NC-TT -1p'!#REF!</definedName>
    <definedName name="TD1pvl">'[3]CHITIET VL-NC-TT -1p'!#REF!</definedName>
    <definedName name="td3p" localSheetId="7">#REF!</definedName>
    <definedName name="td3p">#REF!</definedName>
    <definedName name="tdc84nc">'[3]thao-go'!#REF!</definedName>
    <definedName name="tdcnc">'[3]thao-go'!#REF!</definedName>
    <definedName name="tdgnc">'[3]lam-moi'!#REF!</definedName>
    <definedName name="tdgvl">'[3]lam-moi'!#REF!</definedName>
    <definedName name="tdhtnc">'[3]lam-moi'!#REF!</definedName>
    <definedName name="tdhtvl">'[3]lam-moi'!#REF!</definedName>
    <definedName name="tdnc">[3]gtrinh!#REF!</definedName>
    <definedName name="tdnc1p" localSheetId="7">#REF!</definedName>
    <definedName name="tdnc1p">#REF!</definedName>
    <definedName name="tdnc3p">'[3]CHITIET VL-NC'!$G$28</definedName>
    <definedName name="tdt1pnc">[3]gtrinh!#REF!</definedName>
    <definedName name="tdt1pvl">[3]gtrinh!#REF!</definedName>
    <definedName name="tdt2cnc">'[3]lam-moi'!#REF!</definedName>
    <definedName name="tdt2cvl">[3]chitiet!#REF!</definedName>
    <definedName name="tdtr2cnc" localSheetId="7">#REF!</definedName>
    <definedName name="tdtr2cnc">#REF!</definedName>
    <definedName name="tdtr2cvl" localSheetId="7">#REF!</definedName>
    <definedName name="tdtr2cvl">#REF!</definedName>
    <definedName name="tdtrnc" localSheetId="7">[3]gtrinh!#REF!</definedName>
    <definedName name="tdtrnc">[3]gtrinh!#REF!</definedName>
    <definedName name="tdtrvl" localSheetId="7">[3]gtrinh!#REF!</definedName>
    <definedName name="tdtrvl">[3]gtrinh!#REF!</definedName>
    <definedName name="tdvl">[3]gtrinh!#REF!</definedName>
    <definedName name="tdvl1p" localSheetId="7">#REF!</definedName>
    <definedName name="tdvl1p">#REF!</definedName>
    <definedName name="tdvl3p">'[3]CHITIET VL-NC'!$G$23</definedName>
    <definedName name="TeamForm" localSheetId="7">#REF!</definedName>
    <definedName name="TeamForm">#REF!</definedName>
    <definedName name="tem" localSheetId="7" hidden="1">{"'Sheet1'!$L$16"}</definedName>
    <definedName name="tem" localSheetId="27" hidden="1">{"'Sheet1'!$L$16"}</definedName>
    <definedName name="tem" hidden="1">{"'Sheet1'!$L$16"}</definedName>
    <definedName name="Temp_Br" localSheetId="7">#REF!</definedName>
    <definedName name="Temp_Br">#REF!</definedName>
    <definedName name="TEMPBR" localSheetId="7">#REF!</definedName>
    <definedName name="TEMPBR">#REF!</definedName>
    <definedName name="Ten_cong_trinh">"Drop Down 29"</definedName>
    <definedName name="Ten_khach">[14]DM.KH!$D$7:$D$40</definedName>
    <definedName name="ten_vt">[14]DM.VT!$D$7:$D$280</definedName>
    <definedName name="tenvung" localSheetId="7">#REF!</definedName>
    <definedName name="tenvung">#REF!</definedName>
    <definedName name="TextRefCopyRangeCount" hidden="1">7</definedName>
    <definedName name="tg">300</definedName>
    <definedName name="TH" localSheetId="7">#REF!</definedName>
    <definedName name="TH">#REF!</definedName>
    <definedName name="TH_NL" localSheetId="7">#REF!</definedName>
    <definedName name="TH_NL">#REF!</definedName>
    <definedName name="th3x15" localSheetId="7">[3]giathanh1!#REF!</definedName>
    <definedName name="th3x15">[3]giathanh1!#REF!</definedName>
    <definedName name="tha" localSheetId="7" hidden="1">{"'Sheet1'!$L$16"}</definedName>
    <definedName name="tha" localSheetId="27" hidden="1">{"'Sheet1'!$L$16"}</definedName>
    <definedName name="tha" hidden="1">{"'Sheet1'!$L$16"}</definedName>
    <definedName name="thang10" localSheetId="7" hidden="1">{"'Sheet1'!$L$16"}</definedName>
    <definedName name="thang10" localSheetId="27" hidden="1">{"'Sheet1'!$L$16"}</definedName>
    <definedName name="thang10" hidden="1">{"'Sheet1'!$L$16"}</definedName>
    <definedName name="Thanh_khoan">#REF!</definedName>
    <definedName name="thanhlctt" hidden="1">{"'Sheet1'!$L$16"}</definedName>
    <definedName name="ThanhXuan110">'[23]KH-Q1,Q2,01'!#REF!</definedName>
    <definedName name="ThaoCauCu" localSheetId="7">#REF!</definedName>
    <definedName name="ThaoCauCu">#REF!</definedName>
    <definedName name="thcp2">[0]!thcp2</definedName>
    <definedName name="thdien" localSheetId="7" hidden="1">{"'Sheet1'!$L$16"}</definedName>
    <definedName name="thdien" localSheetId="27" hidden="1">{"'Sheet1'!$L$16"}</definedName>
    <definedName name="thdien" hidden="1">{"'Sheet1'!$L$16"}</definedName>
    <definedName name="THDS">#REF!</definedName>
    <definedName name="THDT_HT_DAO_THUONG" localSheetId="7">#REF!</definedName>
    <definedName name="THDT_HT_DAO_THUONG">#REF!</definedName>
    <definedName name="THDT_HT_XOM_NOI" localSheetId="7">#REF!</definedName>
    <definedName name="THDT_HT_XOM_NOI">#REF!</definedName>
    <definedName name="THDT_NPP_XOM_NOI">#REF!</definedName>
    <definedName name="THDT_TBA_XOM_NOI">#REF!</definedName>
    <definedName name="thdtct">[0]!thdtct</definedName>
    <definedName name="THGO1pnc" localSheetId="7">#REF!</definedName>
    <definedName name="THGO1pnc">#REF!</definedName>
    <definedName name="thht" localSheetId="7">#REF!</definedName>
    <definedName name="thht">#REF!</definedName>
    <definedName name="THK" localSheetId="7">#REF!</definedName>
    <definedName name="THK">#REF!</definedName>
    <definedName name="THKP">#REF!</definedName>
    <definedName name="THKP160">'[3]dongia (2)'!#REF!</definedName>
    <definedName name="thkp3" localSheetId="7">#REF!</definedName>
    <definedName name="thkp3">#REF!</definedName>
    <definedName name="Thop" localSheetId="7">#REF!</definedName>
    <definedName name="Thop">#REF!</definedName>
    <definedName name="THop2" localSheetId="7">#REF!</definedName>
    <definedName name="THop2">#REF!</definedName>
    <definedName name="THToanBo">#REF!</definedName>
    <definedName name="THtoanbo2">#REF!</definedName>
    <definedName name="thtr15">[3]giathanh1!#REF!</definedName>
    <definedName name="thtt" localSheetId="7">#REF!</definedName>
    <definedName name="thtt">#REF!</definedName>
    <definedName name="thu" hidden="1">{"'Sheet1'!$L$16"}</definedName>
    <definedName name="thue">6</definedName>
    <definedName name="thuong" hidden="1">{"'Sheet1'!$L$16"}</definedName>
    <definedName name="thuy" localSheetId="7" hidden="1">{"'Sheet1'!$L$16"}</definedName>
    <definedName name="thuy" localSheetId="27" hidden="1">{"'Sheet1'!$L$16"}</definedName>
    <definedName name="thuy" hidden="1">{"'Sheet1'!$L$16"}</definedName>
    <definedName name="THUYETMINH">[24]ptvt!$A$6:$X$128</definedName>
    <definedName name="Tien" localSheetId="7">#REF!</definedName>
    <definedName name="Tien">#REF!</definedName>
    <definedName name="TIENLUONG" localSheetId="7">#REF!</definedName>
    <definedName name="TIENLUONG">#REF!</definedName>
    <definedName name="Tiepdia">[3]Tiepdia!$1:$1048576</definedName>
    <definedName name="TIP" localSheetId="7">#REF!</definedName>
    <definedName name="TIP">#REF!</definedName>
    <definedName name="TITAN" localSheetId="7">#REF!</definedName>
    <definedName name="TITAN">#REF!</definedName>
    <definedName name="TK" localSheetId="7">#REF!</definedName>
    <definedName name="TK">#REF!</definedName>
    <definedName name="TK_h.toán">'[25]Danh muc'!$A$26:$A$251</definedName>
    <definedName name="TKCP1" localSheetId="7">#REF!</definedName>
    <definedName name="TKCP1">#REF!</definedName>
    <definedName name="TKP" localSheetId="7">#REF!</definedName>
    <definedName name="TKP">#REF!</definedName>
    <definedName name="TKYB">"TKYB"</definedName>
    <definedName name="TL" localSheetId="7">#REF!</definedName>
    <definedName name="TL">#REF!</definedName>
    <definedName name="TLAC120" localSheetId="7">#REF!</definedName>
    <definedName name="TLAC120">#REF!</definedName>
    <definedName name="TLAC35" localSheetId="7">#REF!</definedName>
    <definedName name="TLAC35">#REF!</definedName>
    <definedName name="TLAC50">#REF!</definedName>
    <definedName name="TLAC70">#REF!</definedName>
    <definedName name="TLAC95">#REF!</definedName>
    <definedName name="Tle">#REF!</definedName>
    <definedName name="TLmau">#REF!</definedName>
    <definedName name="TN_b_qu_n">#REF!</definedName>
    <definedName name="tn1pinnc" localSheetId="7">'[3]thao-go'!#REF!</definedName>
    <definedName name="tn1pinnc">'[3]thao-go'!#REF!</definedName>
    <definedName name="tn2mhnnc" localSheetId="7">'[3]thao-go'!#REF!</definedName>
    <definedName name="tn2mhnnc">'[3]thao-go'!#REF!</definedName>
    <definedName name="TNCM" localSheetId="7">'[3]CHITIET VL-NC-TT-3p'!#REF!</definedName>
    <definedName name="TNCM">'[3]CHITIET VL-NC-TT-3p'!#REF!</definedName>
    <definedName name="tnhnnc" localSheetId="7">'[3]thao-go'!#REF!</definedName>
    <definedName name="tnhnnc">'[3]thao-go'!#REF!</definedName>
    <definedName name="tnignc" localSheetId="7">'[3]thao-go'!#REF!</definedName>
    <definedName name="tnignc">'[3]thao-go'!#REF!</definedName>
    <definedName name="tnin190nc" localSheetId="7">'[3]thao-go'!#REF!</definedName>
    <definedName name="tnin190nc">'[3]thao-go'!#REF!</definedName>
    <definedName name="tnlnc" localSheetId="7">'[3]thao-go'!#REF!</definedName>
    <definedName name="tnlnc">'[3]thao-go'!#REF!</definedName>
    <definedName name="tnnnc" localSheetId="7">'[3]thao-go'!#REF!</definedName>
    <definedName name="tnnnc">'[3]thao-go'!#REF!</definedName>
    <definedName name="ToanCanh" localSheetId="7">[7]Formsemen!#REF!</definedName>
    <definedName name="ToanCanh">[7]Formsemen!#REF!</definedName>
    <definedName name="ton" localSheetId="7">#REF!</definedName>
    <definedName name="ton">#REF!</definedName>
    <definedName name="Tonghop" localSheetId="7">#REF!</definedName>
    <definedName name="Tonghop">#REF!</definedName>
    <definedName name="TORSION" localSheetId="7" hidden="1">{#N/A,#N/A,FALSE,"단축1";#N/A,#N/A,FALSE,"단축2";#N/A,#N/A,FALSE,"단축3";#N/A,#N/A,FALSE,"장축";#N/A,#N/A,FALSE,"4WD"}</definedName>
    <definedName name="TORSION" localSheetId="27" hidden="1">{#N/A,#N/A,FALSE,"단축1";#N/A,#N/A,FALSE,"단축2";#N/A,#N/A,FALSE,"단축3";#N/A,#N/A,FALSE,"장축";#N/A,#N/A,FALSE,"4WD"}</definedName>
    <definedName name="TORSION" hidden="1">{#N/A,#N/A,FALSE,"단축1";#N/A,#N/A,FALSE,"단축2";#N/A,#N/A,FALSE,"단축3";#N/A,#N/A,FALSE,"장축";#N/A,#N/A,FALSE,"4WD"}</definedName>
    <definedName name="TPLRP" localSheetId="7">#REF!</definedName>
    <definedName name="TPLRP">#REF!</definedName>
    <definedName name="TR15HT" localSheetId="7">'[3]TONGKE-HT'!#REF!</definedName>
    <definedName name="TR15HT">'[3]TONGKE-HT'!#REF!</definedName>
    <definedName name="TR16HT" localSheetId="7">'[3]TONGKE-HT'!#REF!</definedName>
    <definedName name="TR16HT">'[3]TONGKE-HT'!#REF!</definedName>
    <definedName name="TR19HT" localSheetId="7">'[3]TONGKE-HT'!#REF!</definedName>
    <definedName name="TR19HT">'[3]TONGKE-HT'!#REF!</definedName>
    <definedName name="tr1x15" localSheetId="7">[3]giathanh1!#REF!</definedName>
    <definedName name="tr1x15">[3]giathanh1!#REF!</definedName>
    <definedName name="TR20HT">'[3]TONGKE-HT'!#REF!</definedName>
    <definedName name="tr3x100">'[3]dongia (2)'!#REF!</definedName>
    <definedName name="Tra_DM_su_dung" localSheetId="7">#REF!</definedName>
    <definedName name="Tra_DM_su_dung">#REF!</definedName>
    <definedName name="Tra_don_gia_KS" localSheetId="7">#REF!</definedName>
    <definedName name="Tra_don_gia_KS">#REF!</definedName>
    <definedName name="Tra_DTCT" localSheetId="7">#REF!</definedName>
    <definedName name="Tra_DTCT">#REF!</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DE2">#REF!</definedName>
    <definedName name="tram100">'[3]dongia (2)'!#REF!</definedName>
    <definedName name="tram1x25">'[3]dongia (2)'!#REF!</definedName>
    <definedName name="TREE" localSheetId="7">#REF!</definedName>
    <definedName name="TREE">#REF!</definedName>
    <definedName name="TRIGIA" localSheetId="7">#REF!</definedName>
    <definedName name="TRIGIA">#REF!</definedName>
    <definedName name="tru10mtc" localSheetId="7">'[3]t-h HA THE'!#REF!</definedName>
    <definedName name="tru10mtc">'[3]t-h HA THE'!#REF!</definedName>
    <definedName name="tru8mtc" localSheetId="7">'[3]t-h HA THE'!#REF!</definedName>
    <definedName name="tru8mtc">'[3]t-h HA THE'!#REF!</definedName>
    <definedName name="ts" localSheetId="7">#REF!</definedName>
    <definedName name="ts">#REF!</definedName>
    <definedName name="tsI" localSheetId="7">#REF!</definedName>
    <definedName name="tsI">#REF!</definedName>
    <definedName name="TT" localSheetId="7">#REF!</definedName>
    <definedName name="TT">#REF!</definedName>
    <definedName name="TT_1P">#REF!</definedName>
    <definedName name="TT_3p">#REF!</definedName>
    <definedName name="TT_NL">#REF!</definedName>
    <definedName name="tt1pnc">'[3]lam-moi'!#REF!</definedName>
    <definedName name="tt1pvl">'[3]lam-moi'!#REF!</definedName>
    <definedName name="tt3pnc">'[3]lam-moi'!#REF!</definedName>
    <definedName name="tt3pvl">'[3]lam-moi'!#REF!</definedName>
    <definedName name="ttam" localSheetId="7">#REF!</definedName>
    <definedName name="ttam">#REF!</definedName>
    <definedName name="ttao" localSheetId="7">#REF!</definedName>
    <definedName name="ttao">#REF!</definedName>
    <definedName name="ttc">1550</definedName>
    <definedName name="ttd">1600</definedName>
    <definedName name="TTDD">[3]TDTKP!$E$44+[3]TDTKP!$F$44+[3]TDTKP!$G$44</definedName>
    <definedName name="TTDD3P">[3]TDTKP1!#REF!</definedName>
    <definedName name="TTDDCT3p">[3]TDTKP1!#REF!</definedName>
    <definedName name="tthi" localSheetId="7">#REF!</definedName>
    <definedName name="tthi">#REF!</definedName>
    <definedName name="TTK3p">'[3]TONGKE3p '!$C$295</definedName>
    <definedName name="ttronmk" localSheetId="7">#REF!</definedName>
    <definedName name="ttronmk">#REF!</definedName>
    <definedName name="ttt" localSheetId="7">#REF!</definedName>
    <definedName name="ttt">#REF!</definedName>
    <definedName name="tttt" localSheetId="7">#REF!</definedName>
    <definedName name="tttt">#REF!</definedName>
    <definedName name="TuVan">#REF!</definedName>
    <definedName name="tv75nc">#REF!</definedName>
    <definedName name="tv75vl">#REF!</definedName>
    <definedName name="tx1pignc">'[3]thao-go'!#REF!</definedName>
    <definedName name="tx1pindnc">'[3]thao-go'!#REF!</definedName>
    <definedName name="tx1pingnc">'[3]thao-go'!#REF!</definedName>
    <definedName name="tx1pintnc">'[3]thao-go'!#REF!</definedName>
    <definedName name="tx1pitnc">'[3]thao-go'!#REF!</definedName>
    <definedName name="tx2mhnnc">'[3]thao-go'!#REF!</definedName>
    <definedName name="tx2mitnc">'[3]thao-go'!#REF!</definedName>
    <definedName name="txhnnc">'[3]thao-go'!#REF!</definedName>
    <definedName name="txig1nc">'[3]thao-go'!#REF!</definedName>
    <definedName name="txin190nc">'[3]thao-go'!#REF!</definedName>
    <definedName name="txinnc">'[3]thao-go'!#REF!</definedName>
    <definedName name="txit1nc">'[3]thao-go'!#REF!</definedName>
    <definedName name="TXL">[0]!TXL</definedName>
    <definedName name="ty_le" localSheetId="7">#REF!</definedName>
    <definedName name="ty_le">#REF!</definedName>
    <definedName name="ty_le_BTN" localSheetId="7">#REF!</definedName>
    <definedName name="ty_le_BTN">#REF!</definedName>
    <definedName name="Ty_le1" localSheetId="7">#REF!</definedName>
    <definedName name="Ty_le1">#REF!</definedName>
    <definedName name="Type_1">#REF!</definedName>
    <definedName name="Type_2">#REF!</definedName>
    <definedName name="TYRUI" localSheetId="7" hidden="1">{#N/A,#N/A,FALSE,"단축1";#N/A,#N/A,FALSE,"단축2";#N/A,#N/A,FALSE,"단축3";#N/A,#N/A,FALSE,"장축";#N/A,#N/A,FALSE,"4WD"}</definedName>
    <definedName name="TYRUI" localSheetId="27" hidden="1">{#N/A,#N/A,FALSE,"단축1";#N/A,#N/A,FALSE,"단축2";#N/A,#N/A,FALSE,"단축3";#N/A,#N/A,FALSE,"장축";#N/A,#N/A,FALSE,"4WD"}</definedName>
    <definedName name="TYRUI" hidden="1">{#N/A,#N/A,FALSE,"단축1";#N/A,#N/A,FALSE,"단축2";#N/A,#N/A,FALSE,"단축3";#N/A,#N/A,FALSE,"장축";#N/A,#N/A,FALSE,"4WD"}</definedName>
    <definedName name="U_tien" localSheetId="7">#REF!</definedName>
    <definedName name="U_tien">#REF!</definedName>
    <definedName name="ut" localSheetId="7">#REF!</definedName>
    <definedName name="ut">#REF!</definedName>
    <definedName name="UT_1" localSheetId="7">#REF!</definedName>
    <definedName name="UT_1">#REF!</definedName>
    <definedName name="UT1_373">#REF!</definedName>
    <definedName name="uu">#REF!</definedName>
    <definedName name="V.1">#REF!</definedName>
    <definedName name="V.10">#REF!</definedName>
    <definedName name="V.11">#REF!</definedName>
    <definedName name="V.12">#REF!</definedName>
    <definedName name="V.13">#REF!</definedName>
    <definedName name="V.14">#REF!</definedName>
    <definedName name="V.15">#REF!</definedName>
    <definedName name="V.16">#REF!</definedName>
    <definedName name="V.17">#REF!</definedName>
    <definedName name="V.18">#REF!</definedName>
    <definedName name="V.2">#REF!</definedName>
    <definedName name="V.3">#REF!</definedName>
    <definedName name="V.4">#REF!</definedName>
    <definedName name="V.5">#REF!</definedName>
    <definedName name="V.6">#REF!</definedName>
    <definedName name="V.7">#REF!</definedName>
    <definedName name="V.8">#REF!</definedName>
    <definedName name="V.9">#REF!</definedName>
    <definedName name="VAÄT_LIEÄU">"ATRAM"</definedName>
    <definedName name="VAN">[26]GDFARM!$A$6:$H$249</definedName>
    <definedName name="VanChuyenDam" localSheetId="7">#REF!</definedName>
    <definedName name="VanChuyenDam">#REF!</definedName>
    <definedName name="VARIINST" localSheetId="7">#REF!</definedName>
    <definedName name="VARIINST">#REF!</definedName>
    <definedName name="VARIPURC" localSheetId="7">#REF!</definedName>
    <definedName name="VARIPURC">#REF!</definedName>
    <definedName name="vat">5</definedName>
    <definedName name="vcdd1">[0]!vcdd1</definedName>
    <definedName name="VCDD3p" localSheetId="7">'[3]KPVC-BD '!#REF!</definedName>
    <definedName name="VCDD3p">'[3]KPVC-BD '!#REF!</definedName>
    <definedName name="VCHT" localSheetId="7">#REF!</definedName>
    <definedName name="VCHT">#REF!</definedName>
    <definedName name="vcoto" localSheetId="7" hidden="1">{"'Sheet1'!$L$16"}</definedName>
    <definedName name="vcoto" localSheetId="27" hidden="1">{"'Sheet1'!$L$16"}</definedName>
    <definedName name="vcoto" hidden="1">{"'Sheet1'!$L$16"}</definedName>
    <definedName name="VCTT">#REF!</definedName>
    <definedName name="VCVBT1">'[3]VCV-BE-TONG'!$G$11</definedName>
    <definedName name="VCVBT2">'[3]VCV-BE-TONG'!$G$17</definedName>
    <definedName name="vd3p" localSheetId="7">#REF!</definedName>
    <definedName name="vd3p">#REF!</definedName>
    <definedName name="Viet" localSheetId="7" hidden="1">{"'Sheet1'!$L$16"}</definedName>
    <definedName name="Viet" localSheetId="27" hidden="1">{"'Sheet1'!$L$16"}</definedName>
    <definedName name="Viet" hidden="1">{"'Sheet1'!$L$16"}</definedName>
    <definedName name="vl1p">#REF!</definedName>
    <definedName name="vl3p">#REF!</definedName>
    <definedName name="vldd">'[3]TH XL'!#REF!</definedName>
    <definedName name="vldn400" localSheetId="7">#REF!</definedName>
    <definedName name="vldn400">#REF!</definedName>
    <definedName name="vldn600" localSheetId="7">#REF!</definedName>
    <definedName name="vldn600">#REF!</definedName>
    <definedName name="VLHC">[3]TNHCHINH!$I$38</definedName>
    <definedName name="VLIEU" localSheetId="7">#REF!</definedName>
    <definedName name="VLIEU">#REF!</definedName>
    <definedName name="vltr">'[3]TH XL'!#REF!</definedName>
    <definedName name="vltram" localSheetId="7">#REF!</definedName>
    <definedName name="vltram">#REF!</definedName>
    <definedName name="Vm" localSheetId="7">#REF!</definedName>
    <definedName name="Vm">#REF!</definedName>
    <definedName name="VPC" localSheetId="7">#REF!</definedName>
    <definedName name="VPC">#REF!</definedName>
    <definedName name="Vr">#REF!</definedName>
    <definedName name="vr3p">#REF!</definedName>
    <definedName name="Vs">#REF!</definedName>
    <definedName name="vt1pbs">'[3]lam-moi'!#REF!</definedName>
    <definedName name="vtbs">'[3]lam-moi'!#REF!</definedName>
    <definedName name="VTTån" localSheetId="7">#REF!</definedName>
    <definedName name="VTTån">#REF!</definedName>
    <definedName name="VTTon" localSheetId="7">#REF!</definedName>
    <definedName name="VTTon">#REF!</definedName>
    <definedName name="VV" localSheetId="7">#REF!</definedName>
    <definedName name="VV">#REF!</definedName>
    <definedName name="VVV">#REF!</definedName>
    <definedName name="vxuan">#REF!</definedName>
    <definedName name="W">#REF!</definedName>
    <definedName name="WCa">#REF!</definedName>
    <definedName name="WELD">#REF!</definedName>
    <definedName name="WEQ" localSheetId="7" hidden="1">{#N/A,#N/A,FALSE,"단축1";#N/A,#N/A,FALSE,"단축2";#N/A,#N/A,FALSE,"단축3";#N/A,#N/A,FALSE,"장축";#N/A,#N/A,FALSE,"4WD"}</definedName>
    <definedName name="WEQ" localSheetId="27" hidden="1">{#N/A,#N/A,FALSE,"단축1";#N/A,#N/A,FALSE,"단축2";#N/A,#N/A,FALSE,"단축3";#N/A,#N/A,FALSE,"장축";#N/A,#N/A,FALSE,"4WD"}</definedName>
    <definedName name="WEQ" hidden="1">{#N/A,#N/A,FALSE,"단축1";#N/A,#N/A,FALSE,"단축2";#N/A,#N/A,FALSE,"단축3";#N/A,#N/A,FALSE,"장축";#N/A,#N/A,FALSE,"4WD"}</definedName>
    <definedName name="WERTY" localSheetId="7" hidden="1">{#N/A,#N/A,FALSE,"단축1";#N/A,#N/A,FALSE,"단축2";#N/A,#N/A,FALSE,"단축3";#N/A,#N/A,FALSE,"장축";#N/A,#N/A,FALSE,"4WD"}</definedName>
    <definedName name="WERTY" localSheetId="27" hidden="1">{#N/A,#N/A,FALSE,"단축1";#N/A,#N/A,FALSE,"단축2";#N/A,#N/A,FALSE,"단축3";#N/A,#N/A,FALSE,"장축";#N/A,#N/A,FALSE,"4WD"}</definedName>
    <definedName name="WERTY" hidden="1">{#N/A,#N/A,FALSE,"단축1";#N/A,#N/A,FALSE,"단축2";#N/A,#N/A,FALSE,"단축3";#N/A,#N/A,FALSE,"장축";#N/A,#N/A,FALSE,"4WD"}</definedName>
    <definedName name="WETY" localSheetId="7" hidden="1">{#N/A,#N/A,FALSE,"단축1";#N/A,#N/A,FALSE,"단축2";#N/A,#N/A,FALSE,"단축3";#N/A,#N/A,FALSE,"장축";#N/A,#N/A,FALSE,"4WD"}</definedName>
    <definedName name="WETY" localSheetId="27" hidden="1">{#N/A,#N/A,FALSE,"단축1";#N/A,#N/A,FALSE,"단축2";#N/A,#N/A,FALSE,"단축3";#N/A,#N/A,FALSE,"장축";#N/A,#N/A,FALSE,"4WD"}</definedName>
    <definedName name="WETY" hidden="1">{#N/A,#N/A,FALSE,"단축1";#N/A,#N/A,FALSE,"단축2";#N/A,#N/A,FALSE,"단축3";#N/A,#N/A,FALSE,"장축";#N/A,#N/A,FALSE,"4WD"}</definedName>
    <definedName name="WheatBranCoarse">#REF!</definedName>
    <definedName name="Width">5</definedName>
    <definedName name="WJSDBRMS" localSheetId="7">#REF!</definedName>
    <definedName name="WJSDBRMS">#REF!</definedName>
    <definedName name="wrn.0km." localSheetId="7"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0km." localSheetId="27"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0km."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aaa." localSheetId="7" hidden="1">{#N/A,#N/A,FALSE,"Sheet1";#N/A,#N/A,FALSE,"Sheet1";#N/A,#N/A,FALSE,"Sheet1"}</definedName>
    <definedName name="wrn.aaa." localSheetId="27" hidden="1">{#N/A,#N/A,FALSE,"Sheet1";#N/A,#N/A,FALSE,"Sheet1";#N/A,#N/A,FALSE,"Sheet1"}</definedName>
    <definedName name="wrn.aaa." hidden="1">{#N/A,#N/A,FALSE,"Sheet1";#N/A,#N/A,FALSE,"Sheet1";#N/A,#N/A,FALSE,"Sheet1"}</definedName>
    <definedName name="wrn.AG._.Kosten." localSheetId="7" hidden="1">{#N/A,#N/A,FALSE,"AG";#N/A,#N/A,FALSE,"GB-I";#N/A,#N/A,FALSE,"GB--SR_K";#N/A,#N/A,FALSE,"GB-SR_B";#N/A,#N/A,FALSE,"GB-KS";#N/A,#N/A,FALSE,"Kammerer";#N/A,#N/A,FALSE,"Kienzle"}</definedName>
    <definedName name="wrn.AG._.Kosten." localSheetId="27" hidden="1">{#N/A,#N/A,FALSE,"AG";#N/A,#N/A,FALSE,"GB-I";#N/A,#N/A,FALSE,"GB--SR_K";#N/A,#N/A,FALSE,"GB-SR_B";#N/A,#N/A,FALSE,"GB-KS";#N/A,#N/A,FALSE,"Kammerer";#N/A,#N/A,FALSE,"Kienzle"}</definedName>
    <definedName name="wrn.AG._.Kosten." hidden="1">{#N/A,#N/A,FALSE,"AG";#N/A,#N/A,FALSE,"GB-I";#N/A,#N/A,FALSE,"GB--SR_K";#N/A,#N/A,FALSE,"GB-SR_B";#N/A,#N/A,FALSE,"GB-KS";#N/A,#N/A,FALSE,"Kammerer";#N/A,#N/A,FALSE,"Kienzle"}</definedName>
    <definedName name="wrn.CAforms." localSheetId="7" hidden="1">{#N/A,#N/A,FALSE,"EXIT";#N/A,#N/A,FALSE,"Issues";#N/A,#N/A,FALSE,"Summary";#N/A,#N/A,FALSE,"Detail";#N/A,#N/A,FALSE,"Team Commit";#N/A,#N/A,FALSE,"Attendance"}</definedName>
    <definedName name="wrn.CAforms." localSheetId="27" hidden="1">{#N/A,#N/A,FALSE,"EXIT";#N/A,#N/A,FALSE,"Issues";#N/A,#N/A,FALSE,"Summary";#N/A,#N/A,FALSE,"Detail";#N/A,#N/A,FALSE,"Team Commit";#N/A,#N/A,FALSE,"Attendance"}</definedName>
    <definedName name="wrn.CAforms." hidden="1">{#N/A,#N/A,FALSE,"EXIT";#N/A,#N/A,FALSE,"Issues";#N/A,#N/A,FALSE,"Summary";#N/A,#N/A,FALSE,"Detail";#N/A,#N/A,FALSE,"Team Commit";#N/A,#N/A,FALSE,"Attendance"}</definedName>
    <definedName name="wrn.CDforms." localSheetId="7" hidden="1">{#N/A,#N/A,FALSE,"EXIT";#N/A,#N/A,FALSE,"Issue";#N/A,#N/A,FALSE,"Summary";#N/A,#N/A,FALSE,"Detail";#N/A,#N/A,FALSE,"Attendance"}</definedName>
    <definedName name="wrn.CDforms." localSheetId="27" hidden="1">{#N/A,#N/A,FALSE,"EXIT";#N/A,#N/A,FALSE,"Issue";#N/A,#N/A,FALSE,"Summary";#N/A,#N/A,FALSE,"Detail";#N/A,#N/A,FALSE,"Attendance"}</definedName>
    <definedName name="wrn.CDforms." hidden="1">{#N/A,#N/A,FALSE,"EXIT";#N/A,#N/A,FALSE,"Issue";#N/A,#N/A,FALSE,"Summary";#N/A,#N/A,FALSE,"Detail";#N/A,#N/A,FALSE,"Attendance"}</definedName>
    <definedName name="wrn.chi._.tiÆt." localSheetId="7" hidden="1">{#N/A,#N/A,FALSE,"Chi tiÆt"}</definedName>
    <definedName name="wrn.chi._.tiÆt." localSheetId="27" hidden="1">{#N/A,#N/A,FALSE,"Chi tiÆt"}</definedName>
    <definedName name="wrn.chi._.tiÆt." hidden="1">{#N/A,#N/A,FALSE,"Chi tiÆt"}</definedName>
    <definedName name="wrn.CIforms." localSheetId="7" hidden="1">{#N/A,#N/A,FALSE,"EXIT";#N/A,#N/A,FALSE,"Issue";#N/A,#N/A,FALSE,"Summary";#N/A,#N/A,FALSE,"Detail";#N/A,#N/A,FALSE,"Attendance"}</definedName>
    <definedName name="wrn.CIforms." localSheetId="27" hidden="1">{#N/A,#N/A,FALSE,"EXIT";#N/A,#N/A,FALSE,"Issue";#N/A,#N/A,FALSE,"Summary";#N/A,#N/A,FALSE,"Detail";#N/A,#N/A,FALSE,"Attendance"}</definedName>
    <definedName name="wrn.CIforms." hidden="1">{#N/A,#N/A,FALSE,"EXIT";#N/A,#N/A,FALSE,"Issue";#N/A,#N/A,FALSE,"Summary";#N/A,#N/A,FALSE,"Detail";#N/A,#N/A,FALSE,"Attendance"}</definedName>
    <definedName name="wrn.cong." localSheetId="7" hidden="1">{#N/A,#N/A,FALSE,"Sheet1"}</definedName>
    <definedName name="wrn.cong." localSheetId="27" hidden="1">{#N/A,#N/A,FALSE,"Sheet1"}</definedName>
    <definedName name="wrn.cong." hidden="1">{#N/A,#N/A,FALSE,"Sheet1"}</definedName>
    <definedName name="wrn.Contract._.N3." hidden="1">{#N/A,#N/A,FALSE,"N3"}</definedName>
    <definedName name="wrn.Deckblatt." localSheetId="7" hidden="1">{#N/A,#N/A,FALSE,"Status";#N/A,#N/A,FALSE,"Deckblatt 1";#N/A,#N/A,FALSE,"Deckblatt2"}</definedName>
    <definedName name="wrn.Deckblatt." localSheetId="27" hidden="1">{#N/A,#N/A,FALSE,"Status";#N/A,#N/A,FALSE,"Deckblatt 1";#N/A,#N/A,FALSE,"Deckblatt2"}</definedName>
    <definedName name="wrn.Deckblatt." hidden="1">{#N/A,#N/A,FALSE,"Status";#N/A,#N/A,FALSE,"Deckblatt 1";#N/A,#N/A,FALSE,"Deckblatt2"}</definedName>
    <definedName name="wrn.FAforms." localSheetId="7" hidden="1">{#N/A,#N/A,FALSE,"EXIT";#N/A,#N/A,FALSE,"Issues";#N/A,#N/A,FALSE,"Summary";#N/A,#N/A,FALSE,"Detail";#N/A,#N/A,FALSE,"Attendance"}</definedName>
    <definedName name="wrn.FAforms." localSheetId="27" hidden="1">{#N/A,#N/A,FALSE,"EXIT";#N/A,#N/A,FALSE,"Issues";#N/A,#N/A,FALSE,"Summary";#N/A,#N/A,FALSE,"Detail";#N/A,#N/A,FALSE,"Attendance"}</definedName>
    <definedName name="wrn.FAforms." hidden="1">{#N/A,#N/A,FALSE,"EXIT";#N/A,#N/A,FALSE,"Issues";#N/A,#N/A,FALSE,"Summary";#N/A,#N/A,FALSE,"Detail";#N/A,#N/A,FALSE,"Attendance"}</definedName>
    <definedName name="wrn.ggausdr." localSheetId="7"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ggausdr." localSheetId="27"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ggausdr."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KosAG." localSheetId="7" hidden="1">{#N/A,#N/A,FALSE,"AG";#N/A,#N/A,FALSE,"UB-I";#N/A,#N/A,FALSE,"UB--SR_K";#N/A,#N/A,FALSE,"UB-SR_B";#N/A,#N/A,FALSE,"UB-KS";#N/A,#N/A,FALSE,"Kienzle"}</definedName>
    <definedName name="wrn.KosAG." localSheetId="27" hidden="1">{#N/A,#N/A,FALSE,"AG";#N/A,#N/A,FALSE,"UB-I";#N/A,#N/A,FALSE,"UB--SR_K";#N/A,#N/A,FALSE,"UB-SR_B";#N/A,#N/A,FALSE,"UB-KS";#N/A,#N/A,FALSE,"Kienzle"}</definedName>
    <definedName name="wrn.KosAG." hidden="1">{#N/A,#N/A,FALSE,"AG";#N/A,#N/A,FALSE,"UB-I";#N/A,#N/A,FALSE,"UB--SR_K";#N/A,#N/A,FALSE,"UB-SR_B";#N/A,#N/A,FALSE,"UB-KS";#N/A,#N/A,FALSE,"Kienzle"}</definedName>
    <definedName name="wrn.Kosten." localSheetId="7" hidden="1">{#N/A,#N/A,FALSE,"Australien";#N/A,#N/A,FALSE,"Birmingham";#N/A,#N/A,FALSE,"Brasilien";#N/A,#N/A,FALSE,"Prag";#N/A,#N/A,FALSE,"Spanien";#N/A,#N/A,FALSE,"Malaysia ( Com)";#N/A,#N/A,FALSE,"Malaysia (Instr)"}</definedName>
    <definedName name="wrn.Kosten." localSheetId="27" hidden="1">{#N/A,#N/A,FALSE,"Australien";#N/A,#N/A,FALSE,"Birmingham";#N/A,#N/A,FALSE,"Brasilien";#N/A,#N/A,FALSE,"Prag";#N/A,#N/A,FALSE,"Spanien";#N/A,#N/A,FALSE,"Malaysia ( Com)";#N/A,#N/A,FALSE,"Malaysia (Instr)"}</definedName>
    <definedName name="wrn.Kosten." hidden="1">{#N/A,#N/A,FALSE,"Australien";#N/A,#N/A,FALSE,"Birmingham";#N/A,#N/A,FALSE,"Brasilien";#N/A,#N/A,FALSE,"Prag";#N/A,#N/A,FALSE,"Spanien";#N/A,#N/A,FALSE,"Malaysia ( Com)";#N/A,#N/A,FALSE,"Malaysia (Instr)"}</definedName>
    <definedName name="wrn.Monthly._.Statement." localSheetId="7" hidden="1">{#N/A,#N/A,FALSE,"Tabelle2";#N/A,#N/A,FALSE,"Tabelle1"}</definedName>
    <definedName name="wrn.Monthly._.Statement." localSheetId="27" hidden="1">{#N/A,#N/A,FALSE,"Tabelle2";#N/A,#N/A,FALSE,"Tabelle1"}</definedName>
    <definedName name="wrn.Monthly._.Statement." hidden="1">{#N/A,#N/A,FALSE,"Tabelle2";#N/A,#N/A,FALSE,"Tabelle1"}</definedName>
    <definedName name="wrn.PAforms." localSheetId="7" hidden="1">{#N/A,#N/A,FALSE,"EXIT";#N/A,#N/A,FALSE,"Issues";#N/A,#N/A,FALSE,"Summary";#N/A,#N/A,FALSE,"Detail";#N/A,#N/A,FALSE,"Attendance"}</definedName>
    <definedName name="wrn.PAforms." localSheetId="27" hidden="1">{#N/A,#N/A,FALSE,"EXIT";#N/A,#N/A,FALSE,"Issues";#N/A,#N/A,FALSE,"Summary";#N/A,#N/A,FALSE,"Detail";#N/A,#N/A,FALSE,"Attendance"}</definedName>
    <definedName name="wrn.PAforms." hidden="1">{#N/A,#N/A,FALSE,"EXIT";#N/A,#N/A,FALSE,"Issues";#N/A,#N/A,FALSE,"Summary";#N/A,#N/A,FALSE,"Detail";#N/A,#N/A,FALSE,"Attendance"}</definedName>
    <definedName name="wrn.Report." localSheetId="7" hidden="1">{"Offgrid",#N/A,FALSE,"OFFGRID";"Region",#N/A,FALSE,"REGION";"Offgrid -2",#N/A,FALSE,"OFFGRID";"WTP",#N/A,FALSE,"WTP";"WTP -2",#N/A,FALSE,"WTP";"Project",#N/A,FALSE,"PROJECT";"Summary -2",#N/A,FALSE,"SUMMARY"}</definedName>
    <definedName name="wrn.Report." localSheetId="27"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sr." localSheetId="7" hidden="1">{#N/A,#N/A,FALSE,"HCMP"}</definedName>
    <definedName name="wrn.sr." localSheetId="27" hidden="1">{#N/A,#N/A,FALSE,"HCMP"}</definedName>
    <definedName name="wrn.sr." hidden="1">{#N/A,#N/A,FALSE,"HCMP"}</definedName>
    <definedName name="wrn.신규dep._.full._.set." localSheetId="7" hidden="1">{#N/A,#N/A,FALSE,"신규dep";#N/A,#N/A,FALSE,"신규dep-금형상각후";#N/A,#N/A,FALSE,"신규dep-연구비상각후";#N/A,#N/A,FALSE,"신규dep-기계,공구상각후"}</definedName>
    <definedName name="wrn.신규dep._.full._.set." localSheetId="27"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전부인쇄." localSheetId="7" hidden="1">{#N/A,#N/A,FALSE,"단축1";#N/A,#N/A,FALSE,"단축2";#N/A,#N/A,FALSE,"단축3";#N/A,#N/A,FALSE,"장축";#N/A,#N/A,FALSE,"4WD"}</definedName>
    <definedName name="wrn.전부인쇄." localSheetId="27" hidden="1">{#N/A,#N/A,FALSE,"단축1";#N/A,#N/A,FALSE,"단축2";#N/A,#N/A,FALSE,"단축3";#N/A,#N/A,FALSE,"장축";#N/A,#N/A,FALSE,"4WD"}</definedName>
    <definedName name="wrn.전부인쇄." hidden="1">{#N/A,#N/A,FALSE,"단축1";#N/A,#N/A,FALSE,"단축2";#N/A,#N/A,FALSE,"단축3";#N/A,#N/A,FALSE,"장축";#N/A,#N/A,FALSE,"4WD"}</definedName>
    <definedName name="wrnf.report" localSheetId="7" hidden="1">{"Offgrid",#N/A,FALSE,"OFFGRID";"Region",#N/A,FALSE,"REGION";"Offgrid -2",#N/A,FALSE,"OFFGRID";"WTP",#N/A,FALSE,"WTP";"WTP -2",#N/A,FALSE,"WTP";"Project",#N/A,FALSE,"PROJECT";"Summary -2",#N/A,FALSE,"SUMMARY"}</definedName>
    <definedName name="wrnf.report" localSheetId="27"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vu.Komplett." localSheetId="7" hidden="1">{TRUE,TRUE,-0.8,-17,963.6,637.8,FALSE,TRUE,TRUE,TRUE,0,1,#N/A,1,#N/A,18.0487804878049,42.7727272727273,1,FALSE,FALSE,3,TRUE,1,FALSE,100,"Swvu.Komplett.","ACwvu.Komplett.",#N/A,FALSE,FALSE,0.78740157480315,0.393700787401575,0.984251968503937,0.984251968503937,1,"","&amp;RH.LehmhausVV54TQ&amp;D",TRUE,TRUE,FALSE,FALSE,1,#N/A,1,1,"=R1C1:R67C11",FALSE,#N/A,#N/A,FALSE,FALSE,FALSE,9,300,300,FALSE,FALSE,TRUE,TRUE,TRUE}</definedName>
    <definedName name="wvu.Komplett." localSheetId="27" hidden="1">{TRUE,TRUE,-0.8,-17,963.6,637.8,FALSE,TRUE,TRUE,TRUE,0,1,#N/A,1,#N/A,18.0487804878049,42.7727272727273,1,FALSE,FALSE,3,TRUE,1,FALSE,100,"Swvu.Komplett.","ACwvu.Komplett.",#N/A,FALSE,FALSE,0.78740157480315,0.393700787401575,0.984251968503937,0.984251968503937,1,"","&amp;RH.LehmhausVV54TQ&amp;D",TRUE,TRUE,FALSE,FALSE,1,#N/A,1,1,"=R1C1:R67C11",FALSE,#N/A,#N/A,FALSE,FALSE,FALSE,9,300,300,FALSE,FALSE,TRUE,TRUE,TRUE}</definedName>
    <definedName name="wvu.Komplett." hidden="1">{TRUE,TRUE,-0.8,-17,963.6,637.8,FALSE,TRUE,TRUE,TRUE,0,1,#N/A,1,#N/A,18.0487804878049,42.7727272727273,1,FALSE,FALSE,3,TRUE,1,FALSE,100,"Swvu.Komplett.","ACwvu.Komplett.",#N/A,FALSE,FALSE,0.78740157480315,0.393700787401575,0.984251968503937,0.984251968503937,1,"","&amp;RH.LehmhausVV54TQ&amp;D",TRUE,TRUE,FALSE,FALSE,1,#N/A,1,1,"=R1C1:R67C11",FALSE,#N/A,#N/A,FALSE,FALSE,FALSE,9,300,300,FALSE,FALSE,TRUE,TRUE,TRUE}</definedName>
    <definedName name="wvu.Screen." localSheetId="7"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wvu.Screen." localSheetId="27"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wvu.Screen."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ww">#REF!</definedName>
    <definedName name="WWW" localSheetId="7">#REF!</definedName>
    <definedName name="WWW">#REF!</definedName>
    <definedName name="WWW.SCREEN." localSheetId="7"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WWW.SCREEN." localSheetId="27"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WWW.SCREEN."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WYU" localSheetId="7" hidden="1">{#N/A,#N/A,FALSE,"단축1";#N/A,#N/A,FALSE,"단축2";#N/A,#N/A,FALSE,"단축3";#N/A,#N/A,FALSE,"장축";#N/A,#N/A,FALSE,"4WD"}</definedName>
    <definedName name="WYU" localSheetId="27" hidden="1">{#N/A,#N/A,FALSE,"단축1";#N/A,#N/A,FALSE,"단축2";#N/A,#N/A,FALSE,"단축3";#N/A,#N/A,FALSE,"장축";#N/A,#N/A,FALSE,"4WD"}</definedName>
    <definedName name="WYU" hidden="1">{#N/A,#N/A,FALSE,"단축1";#N/A,#N/A,FALSE,"단축2";#N/A,#N/A,FALSE,"단축3";#N/A,#N/A,FALSE,"장축";#N/A,#N/A,FALSE,"4WD"}</definedName>
    <definedName name="W행">#REF!</definedName>
    <definedName name="X" localSheetId="7">#REF!</definedName>
    <definedName name="X">#REF!</definedName>
    <definedName name="x17dnc" localSheetId="7">[3]chitiet!#REF!</definedName>
    <definedName name="x17dnc">[3]chitiet!#REF!</definedName>
    <definedName name="x17dvl" localSheetId="7">[3]chitiet!#REF!</definedName>
    <definedName name="x17dvl">[3]chitiet!#REF!</definedName>
    <definedName name="x17knc" localSheetId="7">[3]chitiet!#REF!</definedName>
    <definedName name="x17knc">[3]chitiet!#REF!</definedName>
    <definedName name="x17kvl" localSheetId="7">[3]chitiet!#REF!</definedName>
    <definedName name="x17kvl">[3]chitiet!#REF!</definedName>
    <definedName name="X1pFCOnc">'[3]CHITIET VL-NC-TT -1p'!#REF!</definedName>
    <definedName name="X1pFCOvc">'[3]CHITIET VL-NC-TT -1p'!#REF!</definedName>
    <definedName name="X1pFCOvl">'[3]CHITIET VL-NC-TT -1p'!#REF!</definedName>
    <definedName name="x1pignc">'[3]lam-moi'!#REF!</definedName>
    <definedName name="X1pIGvc">'[3]CHITIET VL-NC-TT -1p'!#REF!</definedName>
    <definedName name="x1pigvl">'[3]lam-moi'!#REF!</definedName>
    <definedName name="x1pind" localSheetId="7">#REF!</definedName>
    <definedName name="x1pind">#REF!</definedName>
    <definedName name="x1pindnc">'[3]lam-moi'!#REF!</definedName>
    <definedName name="x1pindvl">'[3]lam-moi'!#REF!</definedName>
    <definedName name="x1ping" localSheetId="7">#REF!</definedName>
    <definedName name="x1ping">#REF!</definedName>
    <definedName name="x1pingnc">'[3]lam-moi'!#REF!</definedName>
    <definedName name="x1pingvl">'[3]lam-moi'!#REF!</definedName>
    <definedName name="x1pint" localSheetId="7">#REF!</definedName>
    <definedName name="x1pint">#REF!</definedName>
    <definedName name="x1pintnc">'[3]lam-moi'!#REF!</definedName>
    <definedName name="X1pINTvc">'[3]CHITIET VL-NC-TT -1p'!#REF!</definedName>
    <definedName name="x1pintvl">'[3]lam-moi'!#REF!</definedName>
    <definedName name="x1pitnc">'[3]lam-moi'!#REF!</definedName>
    <definedName name="X1pITvc">'[3]CHITIET VL-NC-TT -1p'!#REF!</definedName>
    <definedName name="x1pitvl">'[3]lam-moi'!#REF!</definedName>
    <definedName name="x20knc">[3]chitiet!#REF!</definedName>
    <definedName name="x20kvl">[3]chitiet!#REF!</definedName>
    <definedName name="x22knc">[3]chitiet!#REF!</definedName>
    <definedName name="x22kvl">[3]chitiet!#REF!</definedName>
    <definedName name="x2mig1nc">'[3]lam-moi'!#REF!</definedName>
    <definedName name="x2mig1vl">'[3]lam-moi'!#REF!</definedName>
    <definedName name="x2min1nc">'[3]lam-moi'!#REF!</definedName>
    <definedName name="x2min1vl">'[3]lam-moi'!#REF!</definedName>
    <definedName name="x2mit1vl">'[3]lam-moi'!#REF!</definedName>
    <definedName name="x2mitnc">'[3]lam-moi'!#REF!</definedName>
    <definedName name="XCCT">0.5</definedName>
    <definedName name="xd" localSheetId="7" hidden="1">{"'Sheet1'!$L$16"}</definedName>
    <definedName name="xd" localSheetId="27" hidden="1">{"'Sheet1'!$L$16"}</definedName>
    <definedName name="xd" hidden="1">{"'Sheet1'!$L$16"}</definedName>
    <definedName name="xdsnc">[3]gtrinh!#REF!</definedName>
    <definedName name="xdsvl">[3]gtrinh!#REF!</definedName>
    <definedName name="XD개선" localSheetId="7" hidden="1">{#N/A,#N/A,FALSE,"단축1";#N/A,#N/A,FALSE,"단축2";#N/A,#N/A,FALSE,"단축3";#N/A,#N/A,FALSE,"장축";#N/A,#N/A,FALSE,"4WD"}</definedName>
    <definedName name="XD개선" localSheetId="27" hidden="1">{#N/A,#N/A,FALSE,"단축1";#N/A,#N/A,FALSE,"단축2";#N/A,#N/A,FALSE,"단축3";#N/A,#N/A,FALSE,"장축";#N/A,#N/A,FALSE,"4WD"}</definedName>
    <definedName name="XD개선" hidden="1">{#N/A,#N/A,FALSE,"단축1";#N/A,#N/A,FALSE,"단축2";#N/A,#N/A,FALSE,"단축3";#N/A,#N/A,FALSE,"장축";#N/A,#N/A,FALSE,"4WD"}</definedName>
    <definedName name="XD설문" localSheetId="7" hidden="1">{#N/A,#N/A,FALSE,"단축1";#N/A,#N/A,FALSE,"단축2";#N/A,#N/A,FALSE,"단축3";#N/A,#N/A,FALSE,"장축";#N/A,#N/A,FALSE,"4WD"}</definedName>
    <definedName name="XD설문" localSheetId="27" hidden="1">{#N/A,#N/A,FALSE,"단축1";#N/A,#N/A,FALSE,"단축2";#N/A,#N/A,FALSE,"단축3";#N/A,#N/A,FALSE,"장축";#N/A,#N/A,FALSE,"4WD"}</definedName>
    <definedName name="XD설문" hidden="1">{#N/A,#N/A,FALSE,"단축1";#N/A,#N/A,FALSE,"단축2";#N/A,#N/A,FALSE,"단축3";#N/A,#N/A,FALSE,"장축";#N/A,#N/A,FALSE,"4WD"}</definedName>
    <definedName name="xd품확일정" localSheetId="7" hidden="1">{#N/A,#N/A,FALSE,"단축1";#N/A,#N/A,FALSE,"단축2";#N/A,#N/A,FALSE,"단축3";#N/A,#N/A,FALSE,"장축";#N/A,#N/A,FALSE,"4WD"}</definedName>
    <definedName name="xd품확일정" localSheetId="27" hidden="1">{#N/A,#N/A,FALSE,"단축1";#N/A,#N/A,FALSE,"단축2";#N/A,#N/A,FALSE,"단축3";#N/A,#N/A,FALSE,"장축";#N/A,#N/A,FALSE,"4WD"}</definedName>
    <definedName name="xd품확일정" hidden="1">{#N/A,#N/A,FALSE,"단축1";#N/A,#N/A,FALSE,"단축2";#N/A,#N/A,FALSE,"단축3";#N/A,#N/A,FALSE,"장축";#N/A,#N/A,FALSE,"4WD"}</definedName>
    <definedName name="xfco">#REF!</definedName>
    <definedName name="xfco3p">#REF!</definedName>
    <definedName name="xfconc">'[3]lam-moi'!#REF!</definedName>
    <definedName name="xfconc3p">'[3]CHITIET VL-NC'!$G$94</definedName>
    <definedName name="xfcotnc" localSheetId="7">#REF!</definedName>
    <definedName name="xfcotnc">#REF!</definedName>
    <definedName name="xfcotvl" localSheetId="7">#REF!</definedName>
    <definedName name="xfcotvl">#REF!</definedName>
    <definedName name="xfcovl" localSheetId="7">'[3]lam-moi'!#REF!</definedName>
    <definedName name="xfcovl">'[3]lam-moi'!#REF!</definedName>
    <definedName name="xfcovl3p">'[3]CHITIET VL-NC'!$G$90</definedName>
    <definedName name="xfnc">'[3]lam-moi'!#REF!</definedName>
    <definedName name="xfvl">'[3]lam-moi'!#REF!</definedName>
    <definedName name="XG¾×¼C" localSheetId="7">#REF!</definedName>
    <definedName name="XG¾×¼C">#REF!</definedName>
    <definedName name="XG¾×¼Ç" localSheetId="7">#REF!</definedName>
    <definedName name="XG¾×¼Ç">#REF!</definedName>
    <definedName name="XG개" localSheetId="7" hidden="1">{#N/A,#N/A,FALSE,"단축1";#N/A,#N/A,FALSE,"단축2";#N/A,#N/A,FALSE,"단축3";#N/A,#N/A,FALSE,"장축";#N/A,#N/A,FALSE,"4WD"}</definedName>
    <definedName name="XG개" localSheetId="27" hidden="1">{#N/A,#N/A,FALSE,"단축1";#N/A,#N/A,FALSE,"단축2";#N/A,#N/A,FALSE,"단축3";#N/A,#N/A,FALSE,"장축";#N/A,#N/A,FALSE,"4WD"}</definedName>
    <definedName name="XG개" hidden="1">{#N/A,#N/A,FALSE,"단축1";#N/A,#N/A,FALSE,"단축2";#N/A,#N/A,FALSE,"단축3";#N/A,#N/A,FALSE,"장축";#N/A,#N/A,FALSE,"4WD"}</definedName>
    <definedName name="XG개선" localSheetId="7" hidden="1">{#N/A,#N/A,FALSE,"단축1";#N/A,#N/A,FALSE,"단축2";#N/A,#N/A,FALSE,"단축3";#N/A,#N/A,FALSE,"장축";#N/A,#N/A,FALSE,"4WD"}</definedName>
    <definedName name="XG개선" localSheetId="27" hidden="1">{#N/A,#N/A,FALSE,"단축1";#N/A,#N/A,FALSE,"단축2";#N/A,#N/A,FALSE,"단축3";#N/A,#N/A,FALSE,"장축";#N/A,#N/A,FALSE,"4WD"}</definedName>
    <definedName name="XG개선" hidden="1">{#N/A,#N/A,FALSE,"단축1";#N/A,#N/A,FALSE,"단축2";#N/A,#N/A,FALSE,"단축3";#N/A,#N/A,FALSE,"장축";#N/A,#N/A,FALSE,"4WD"}</definedName>
    <definedName name="XG액션">#REF!</definedName>
    <definedName name="xh" localSheetId="7">#REF!</definedName>
    <definedName name="xh">#REF!</definedName>
    <definedName name="xhn" localSheetId="7">#REF!</definedName>
    <definedName name="xhn">#REF!</definedName>
    <definedName name="xhnnc" localSheetId="7">'[3]lam-moi'!#REF!</definedName>
    <definedName name="xhnnc">'[3]lam-moi'!#REF!</definedName>
    <definedName name="xhnvl" localSheetId="7">'[3]lam-moi'!#REF!</definedName>
    <definedName name="xhnvl">'[3]lam-moi'!#REF!</definedName>
    <definedName name="xig" localSheetId="7">#REF!</definedName>
    <definedName name="xig">#REF!</definedName>
    <definedName name="xig1" localSheetId="7">#REF!</definedName>
    <definedName name="xig1">#REF!</definedName>
    <definedName name="xig1nc" localSheetId="7">'[3]lam-moi'!#REF!</definedName>
    <definedName name="xig1nc">'[3]lam-moi'!#REF!</definedName>
    <definedName name="xig1p" localSheetId="7">#REF!</definedName>
    <definedName name="xig1p">#REF!</definedName>
    <definedName name="xig1pnc" localSheetId="7">'[3]lam-moi'!#REF!</definedName>
    <definedName name="xig1pnc">'[3]lam-moi'!#REF!</definedName>
    <definedName name="xig1pvl" localSheetId="7">'[3]lam-moi'!#REF!</definedName>
    <definedName name="xig1pvl">'[3]lam-moi'!#REF!</definedName>
    <definedName name="xig1vl" localSheetId="7">'[3]lam-moi'!#REF!</definedName>
    <definedName name="xig1vl">'[3]lam-moi'!#REF!</definedName>
    <definedName name="xig2nc">'[3]lam-moi'!#REF!</definedName>
    <definedName name="xig2vl">'[3]lam-moi'!#REF!</definedName>
    <definedName name="xig3p" localSheetId="7">#REF!</definedName>
    <definedName name="xig3p">#REF!</definedName>
    <definedName name="xiggnc">'[3]CHITIET VL-NC'!$G$57</definedName>
    <definedName name="xiggvl">'[3]CHITIET VL-NC'!$G$53</definedName>
    <definedName name="xignc">'[3]lam-moi'!#REF!</definedName>
    <definedName name="xignc3p" localSheetId="7">#REF!</definedName>
    <definedName name="xignc3p">#REF!</definedName>
    <definedName name="xigvl">'[3]lam-moi'!#REF!</definedName>
    <definedName name="xigvl3p" localSheetId="7">#REF!</definedName>
    <definedName name="xigvl3p">#REF!</definedName>
    <definedName name="xin" localSheetId="7">#REF!</definedName>
    <definedName name="xin">#REF!</definedName>
    <definedName name="xin190" localSheetId="7">#REF!</definedName>
    <definedName name="xin190">#REF!</definedName>
    <definedName name="xin1903p">#REF!</definedName>
    <definedName name="xin190nc">'[3]lam-moi'!#REF!</definedName>
    <definedName name="xin190nc3p">'[3]CHITIET VL-NC'!$G$76</definedName>
    <definedName name="xin190vl">'[3]lam-moi'!#REF!</definedName>
    <definedName name="xin190vl3p">'[3]CHITIET VL-NC'!$G$72</definedName>
    <definedName name="xin2903p" localSheetId="7">#REF!</definedName>
    <definedName name="xin2903p">#REF!</definedName>
    <definedName name="xin290nc3p" localSheetId="7">#REF!</definedName>
    <definedName name="xin290nc3p">#REF!</definedName>
    <definedName name="xin290vl3p" localSheetId="7">#REF!</definedName>
    <definedName name="xin290vl3p">#REF!</definedName>
    <definedName name="xin3p">#REF!</definedName>
    <definedName name="xin901nc">'[3]lam-moi'!#REF!</definedName>
    <definedName name="xin901vl">'[3]lam-moi'!#REF!</definedName>
    <definedName name="xind" localSheetId="7">#REF!</definedName>
    <definedName name="xind">#REF!</definedName>
    <definedName name="xind1p" localSheetId="7">#REF!</definedName>
    <definedName name="xind1p">#REF!</definedName>
    <definedName name="xind1pnc" localSheetId="7">'[3]lam-moi'!#REF!</definedName>
    <definedName name="xind1pnc">'[3]lam-moi'!#REF!</definedName>
    <definedName name="xind1pvl" localSheetId="7">'[3]lam-moi'!#REF!</definedName>
    <definedName name="xind1pvl">'[3]lam-moi'!#REF!</definedName>
    <definedName name="xind3p" localSheetId="7">#REF!</definedName>
    <definedName name="xind3p">#REF!</definedName>
    <definedName name="xindnc" localSheetId="7">'[3]lam-moi'!#REF!</definedName>
    <definedName name="xindnc">'[3]lam-moi'!#REF!</definedName>
    <definedName name="xindnc1p" localSheetId="7">#REF!</definedName>
    <definedName name="xindnc1p">#REF!</definedName>
    <definedName name="xindnc3p">'[3]CHITIET VL-NC'!$G$85</definedName>
    <definedName name="xindvl">'[3]lam-moi'!#REF!</definedName>
    <definedName name="xindvl1p" localSheetId="7">#REF!</definedName>
    <definedName name="xindvl1p">#REF!</definedName>
    <definedName name="xindvl3p">'[3]CHITIET VL-NC'!$G$80</definedName>
    <definedName name="xing1p" localSheetId="7">#REF!</definedName>
    <definedName name="xing1p">#REF!</definedName>
    <definedName name="xing1pnc">'[3]lam-moi'!#REF!</definedName>
    <definedName name="xing1pvl">'[3]lam-moi'!#REF!</definedName>
    <definedName name="xingnc1p" localSheetId="7">#REF!</definedName>
    <definedName name="xingnc1p">#REF!</definedName>
    <definedName name="xingvl1p" localSheetId="7">#REF!</definedName>
    <definedName name="xingvl1p">#REF!</definedName>
    <definedName name="xinnc" localSheetId="7">'[3]lam-moi'!#REF!</definedName>
    <definedName name="xinnc">'[3]lam-moi'!#REF!</definedName>
    <definedName name="xinnc3p" localSheetId="7">#REF!</definedName>
    <definedName name="xinnc3p">#REF!</definedName>
    <definedName name="xint1p" localSheetId="7">#REF!</definedName>
    <definedName name="xint1p">#REF!</definedName>
    <definedName name="xinvl" localSheetId="7">'[3]lam-moi'!#REF!</definedName>
    <definedName name="xinvl">'[3]lam-moi'!#REF!</definedName>
    <definedName name="xinvl3p" localSheetId="7">#REF!</definedName>
    <definedName name="xinvl3p">#REF!</definedName>
    <definedName name="xit" localSheetId="7">#REF!</definedName>
    <definedName name="xit">#REF!</definedName>
    <definedName name="xit1" localSheetId="7">#REF!</definedName>
    <definedName name="xit1">#REF!</definedName>
    <definedName name="xit1nc" localSheetId="7">'[3]lam-moi'!#REF!</definedName>
    <definedName name="xit1nc">'[3]lam-moi'!#REF!</definedName>
    <definedName name="xit1p" localSheetId="7">#REF!</definedName>
    <definedName name="xit1p">#REF!</definedName>
    <definedName name="xit1pnc" localSheetId="7">'[3]lam-moi'!#REF!</definedName>
    <definedName name="xit1pnc">'[3]lam-moi'!#REF!</definedName>
    <definedName name="xit1pvl" localSheetId="7">'[3]lam-moi'!#REF!</definedName>
    <definedName name="xit1pvl">'[3]lam-moi'!#REF!</definedName>
    <definedName name="xit1vl" localSheetId="7">'[3]lam-moi'!#REF!</definedName>
    <definedName name="xit1vl">'[3]lam-moi'!#REF!</definedName>
    <definedName name="xit2nc" localSheetId="7">'[3]lam-moi'!#REF!</definedName>
    <definedName name="xit2nc">'[3]lam-moi'!#REF!</definedName>
    <definedName name="xit2nc3p" localSheetId="7">#REF!</definedName>
    <definedName name="xit2nc3p">#REF!</definedName>
    <definedName name="xit2vl" localSheetId="7">'[3]lam-moi'!#REF!</definedName>
    <definedName name="xit2vl">'[3]lam-moi'!#REF!</definedName>
    <definedName name="xit2vl3p" localSheetId="7">#REF!</definedName>
    <definedName name="xit2vl3p">#REF!</definedName>
    <definedName name="xit3p" localSheetId="7">#REF!</definedName>
    <definedName name="xit3p">#REF!</definedName>
    <definedName name="xitnc" localSheetId="7">'[3]lam-moi'!#REF!</definedName>
    <definedName name="xitnc">'[3]lam-moi'!#REF!</definedName>
    <definedName name="xitnc3p" localSheetId="7">#REF!</definedName>
    <definedName name="xitnc3p">#REF!</definedName>
    <definedName name="xittnc">'[3]CHITIET VL-NC'!$G$48</definedName>
    <definedName name="xittvl">'[3]CHITIET VL-NC'!$G$44</definedName>
    <definedName name="xitvl">'[3]lam-moi'!#REF!</definedName>
    <definedName name="xitvl3p" localSheetId="7">#REF!</definedName>
    <definedName name="xitvl3p">#REF!</definedName>
    <definedName name="xls" hidden="1">{"'Sheet1'!$L$16"}</definedName>
    <definedName name="xlttbninh" localSheetId="7" hidden="1">{"'Sheet1'!$L$16"}</definedName>
    <definedName name="xlttbninh" localSheetId="27" hidden="1">{"'Sheet1'!$L$16"}</definedName>
    <definedName name="xlttbninh" hidden="1">{"'Sheet1'!$L$16"}</definedName>
    <definedName name="xm">[12]gvl!$N$16</definedName>
    <definedName name="xmp40" localSheetId="7">#REF!</definedName>
    <definedName name="xmp40">#REF!</definedName>
    <definedName name="xn" localSheetId="7">#REF!</definedName>
    <definedName name="xn">#REF!</definedName>
    <definedName name="XN2.02" hidden="1">{#N/A,#N/A,FALSE,"Chi tiÆt"}</definedName>
    <definedName name="xnt_ibc" localSheetId="7">#REF!</definedName>
    <definedName name="xnt_ibc">#REF!</definedName>
    <definedName name="xnt_stim" localSheetId="7">#REF!</definedName>
    <definedName name="xnt_stim">#REF!</definedName>
    <definedName name="xr1nc" localSheetId="7">'[3]lam-moi'!#REF!</definedName>
    <definedName name="xr1nc">'[3]lam-moi'!#REF!</definedName>
    <definedName name="xr1vl" localSheetId="7">'[3]lam-moi'!#REF!</definedName>
    <definedName name="xr1vl">'[3]lam-moi'!#REF!</definedName>
    <definedName name="xtr3pnc" localSheetId="7">[3]gtrinh!#REF!</definedName>
    <definedName name="xtr3pnc">[3]gtrinh!#REF!</definedName>
    <definedName name="xtr3pvl" localSheetId="7">[3]gtrinh!#REF!</definedName>
    <definedName name="xtr3pvl">[3]gtrinh!#REF!</definedName>
    <definedName name="xx" localSheetId="7">#REF!</definedName>
    <definedName name="xx">#REF!</definedName>
    <definedName name="Ý_kiến">'[25]Danh muc'!$I$26:$I$29</definedName>
    <definedName name="YEN" localSheetId="7">#REF!</definedName>
    <definedName name="YEN">#REF!</definedName>
    <definedName name="yh" localSheetId="7">#REF!</definedName>
    <definedName name="yh">#REF!</definedName>
    <definedName name="yigjghkjgk" hidden="1">{"'Sheet1'!$L$16"}</definedName>
    <definedName name="yy" localSheetId="7">#REF!</definedName>
    <definedName name="yy">#REF!</definedName>
    <definedName name="Y부서" localSheetId="7">#REF!</definedName>
    <definedName name="Y부서">#REF!</definedName>
    <definedName name="ZXzX" localSheetId="7" hidden="1">{"'Sheet1'!$L$16"}</definedName>
    <definedName name="ZXzX" localSheetId="27" hidden="1">{"'Sheet1'!$L$16"}</definedName>
    <definedName name="ZXzX" hidden="1">{"'Sheet1'!$L$16"}</definedName>
    <definedName name="ZYX" localSheetId="7">#REF!</definedName>
    <definedName name="ZYX">#REF!</definedName>
    <definedName name="ZZ" localSheetId="7">#REF!</definedName>
    <definedName name="ZZ">#REF!</definedName>
    <definedName name="ZZZ" localSheetId="7">#REF!</definedName>
    <definedName name="ZZZ">#REF!</definedName>
    <definedName name="ZZZC">#REF!</definedName>
    <definedName name="π">PI()</definedName>
    <definedName name="ㄱ" localSheetId="7" hidden="1">{#N/A,#N/A,FALSE,"단축1";#N/A,#N/A,FALSE,"단축2";#N/A,#N/A,FALSE,"단축3";#N/A,#N/A,FALSE,"장축";#N/A,#N/A,FALSE,"4WD"}</definedName>
    <definedName name="ㄱ" localSheetId="27" hidden="1">{#N/A,#N/A,FALSE,"단축1";#N/A,#N/A,FALSE,"단축2";#N/A,#N/A,FALSE,"단축3";#N/A,#N/A,FALSE,"장축";#N/A,#N/A,FALSE,"4WD"}</definedName>
    <definedName name="ㄱ" hidden="1">{#N/A,#N/A,FALSE,"단축1";#N/A,#N/A,FALSE,"단축2";#N/A,#N/A,FALSE,"단축3";#N/A,#N/A,FALSE,"장축";#N/A,#N/A,FALSE,"4WD"}</definedName>
    <definedName name="가라" localSheetId="7">#REF!</definedName>
    <definedName name="가라">#REF!</definedName>
    <definedName name="각방안" localSheetId="7" hidden="1">{#N/A,#N/A,FALSE,"단축1";#N/A,#N/A,FALSE,"단축2";#N/A,#N/A,FALSE,"단축3";#N/A,#N/A,FALSE,"장축";#N/A,#N/A,FALSE,"4WD"}</definedName>
    <definedName name="각방안" localSheetId="27" hidden="1">{#N/A,#N/A,FALSE,"단축1";#N/A,#N/A,FALSE,"단축2";#N/A,#N/A,FALSE,"단축3";#N/A,#N/A,FALSE,"장축";#N/A,#N/A,FALSE,"4WD"}</definedName>
    <definedName name="각방안" hidden="1">{#N/A,#N/A,FALSE,"단축1";#N/A,#N/A,FALSE,"단축2";#N/A,#N/A,FALSE,"단축3";#N/A,#N/A,FALSE,"장축";#N/A,#N/A,FALSE,"4WD"}</definedName>
    <definedName name="감속기_실적가_첨부ㅓㅓㅓㅓㅓㅓㅓㅓㅓㅓ">#REF!</definedName>
    <definedName name="개발시험종합" localSheetId="7" hidden="1">#REF!</definedName>
    <definedName name="개발시험종합" hidden="1">#REF!</definedName>
    <definedName name="개발일정수정" localSheetId="7" hidden="1">{#N/A,#N/A,FALSE,"단축1";#N/A,#N/A,FALSE,"단축2";#N/A,#N/A,FALSE,"단축3";#N/A,#N/A,FALSE,"장축";#N/A,#N/A,FALSE,"4WD"}</definedName>
    <definedName name="개발일정수정" localSheetId="27" hidden="1">{#N/A,#N/A,FALSE,"단축1";#N/A,#N/A,FALSE,"단축2";#N/A,#N/A,FALSE,"단축3";#N/A,#N/A,FALSE,"장축";#N/A,#N/A,FALSE,"4WD"}</definedName>
    <definedName name="개발일정수정" hidden="1">{#N/A,#N/A,FALSE,"단축1";#N/A,#N/A,FALSE,"단축2";#N/A,#N/A,FALSE,"단축3";#N/A,#N/A,FALSE,"장축";#N/A,#N/A,FALSE,"4WD"}</definedName>
    <definedName name="개선" localSheetId="7" hidden="1">{#N/A,#N/A,FALSE,"단축1";#N/A,#N/A,FALSE,"단축2";#N/A,#N/A,FALSE,"단축3";#N/A,#N/A,FALSE,"장축";#N/A,#N/A,FALSE,"4WD"}</definedName>
    <definedName name="개선" localSheetId="27" hidden="1">{#N/A,#N/A,FALSE,"단축1";#N/A,#N/A,FALSE,"단축2";#N/A,#N/A,FALSE,"단축3";#N/A,#N/A,FALSE,"장축";#N/A,#N/A,FALSE,"4WD"}</definedName>
    <definedName name="개선" hidden="1">{#N/A,#N/A,FALSE,"단축1";#N/A,#N/A,FALSE,"단축2";#N/A,#N/A,FALSE,"단축3";#N/A,#N/A,FALSE,"장축";#N/A,#N/A,FALSE,"4WD"}</definedName>
    <definedName name="거지기">#N/A</definedName>
    <definedName name="건">#N/A</definedName>
    <definedName name="건의사항">#N/A</definedName>
    <definedName name="견적서">#REF!</definedName>
    <definedName name="경쟁3" localSheetId="7">#REF!</definedName>
    <definedName name="경쟁3">#REF!</definedName>
    <definedName name="공1" localSheetId="7">#REF!</definedName>
    <definedName name="공1">#REF!</definedName>
    <definedName name="공사명">#REF!</definedName>
    <definedName name="공혈">#REF!</definedName>
    <definedName name="공혈문제견본">#REF!</definedName>
    <definedName name="근본">#REF!</definedName>
    <definedName name="기술요청사항" localSheetId="7" hidden="1">{#N/A,#N/A,FALSE,"EXIT";#N/A,#N/A,FALSE,"Issue";#N/A,#N/A,FALSE,"Summary";#N/A,#N/A,FALSE,"Detail";#N/A,#N/A,FALSE,"Attendance"}</definedName>
    <definedName name="기술요청사항" localSheetId="27" hidden="1">{#N/A,#N/A,FALSE,"EXIT";#N/A,#N/A,FALSE,"Issue";#N/A,#N/A,FALSE,"Summary";#N/A,#N/A,FALSE,"Detail";#N/A,#N/A,FALSE,"Attendance"}</definedName>
    <definedName name="기술요청사항" hidden="1">{#N/A,#N/A,FALSE,"EXIT";#N/A,#N/A,FALSE,"Issue";#N/A,#N/A,FALSE,"Summary";#N/A,#N/A,FALSE,"Detail";#N/A,#N/A,FALSE,"Attendance"}</definedName>
    <definedName name="기술확보계획" localSheetId="7" hidden="1">{#N/A,#N/A,FALSE,"EXIT";#N/A,#N/A,FALSE,"Issue";#N/A,#N/A,FALSE,"Summary";#N/A,#N/A,FALSE,"Detail";#N/A,#N/A,FALSE,"Attendance"}</definedName>
    <definedName name="기술확보계획" localSheetId="27" hidden="1">{#N/A,#N/A,FALSE,"EXIT";#N/A,#N/A,FALSE,"Issue";#N/A,#N/A,FALSE,"Summary";#N/A,#N/A,FALSE,"Detail";#N/A,#N/A,FALSE,"Attendance"}</definedName>
    <definedName name="기술확보계획" hidden="1">{#N/A,#N/A,FALSE,"EXIT";#N/A,#N/A,FALSE,"Issue";#N/A,#N/A,FALSE,"Summary";#N/A,#N/A,FALSE,"Detail";#N/A,#N/A,FALSE,"Attendance"}</definedName>
    <definedName name="기안갑" localSheetId="7">#REF!</definedName>
    <definedName name="기안갑">#REF!</definedName>
    <definedName name="기안용지" localSheetId="7">#REF!</definedName>
    <definedName name="기안용지">#REF!</definedName>
    <definedName name="기안을" localSheetId="7">#REF!</definedName>
    <definedName name="기안을">#REF!</definedName>
    <definedName name="기존차문제점">#REF!</definedName>
    <definedName name="ㄴㄴ">#REF!</definedName>
    <definedName name="ㄴㄹ" localSheetId="7" hidden="1">{#N/A,#N/A,FALSE,"Status";#N/A,#N/A,FALSE,"Deckblatt 1";#N/A,#N/A,FALSE,"Deckblatt2"}</definedName>
    <definedName name="ㄴㄹ" localSheetId="27" hidden="1">{#N/A,#N/A,FALSE,"Status";#N/A,#N/A,FALSE,"Deckblatt 1";#N/A,#N/A,FALSE,"Deckblatt2"}</definedName>
    <definedName name="ㄴㄹ" hidden="1">{#N/A,#N/A,FALSE,"Status";#N/A,#N/A,FALSE,"Deckblatt 1";#N/A,#N/A,FALSE,"Deckblatt2"}</definedName>
    <definedName name="ㄴㄹㄹ" localSheetId="7"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ㄹ" localSheetId="27"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ㄹ"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ㄻㄴ" localSheetId="7" hidden="1">{#N/A,#N/A,FALSE,"AG";#N/A,#N/A,FALSE,"GB-I";#N/A,#N/A,FALSE,"GB--SR_K";#N/A,#N/A,FALSE,"GB-SR_B";#N/A,#N/A,FALSE,"GB-KS";#N/A,#N/A,FALSE,"Kammerer";#N/A,#N/A,FALSE,"Kienzle"}</definedName>
    <definedName name="ㄴㄻㄴ" localSheetId="27" hidden="1">{#N/A,#N/A,FALSE,"AG";#N/A,#N/A,FALSE,"GB-I";#N/A,#N/A,FALSE,"GB--SR_K";#N/A,#N/A,FALSE,"GB-SR_B";#N/A,#N/A,FALSE,"GB-KS";#N/A,#N/A,FALSE,"Kammerer";#N/A,#N/A,FALSE,"Kienzle"}</definedName>
    <definedName name="ㄴㄻㄴ" hidden="1">{#N/A,#N/A,FALSE,"AG";#N/A,#N/A,FALSE,"GB-I";#N/A,#N/A,FALSE,"GB--SR_K";#N/A,#N/A,FALSE,"GB-SR_B";#N/A,#N/A,FALSE,"GB-KS";#N/A,#N/A,FALSE,"Kammerer";#N/A,#N/A,FALSE,"Kienzle"}</definedName>
    <definedName name="ㄴㅁㅇㄹ" localSheetId="7">{"XLSHEET.XLA"}</definedName>
    <definedName name="ㄴㅁㅇㄹ" localSheetId="27">{"XLSHEET.XLA"}</definedName>
    <definedName name="ㄴㅁㅇㄹ">{"XLSHEET.XLA"}</definedName>
    <definedName name="ㄴㅇㄻㄴ" localSheetId="7" hidden="1">{#N/A,#N/A,FALSE,"Status";#N/A,#N/A,FALSE,"Deckblatt 1";#N/A,#N/A,FALSE,"Deckblatt2"}</definedName>
    <definedName name="ㄴㅇㄻㄴ" localSheetId="27" hidden="1">{#N/A,#N/A,FALSE,"Status";#N/A,#N/A,FALSE,"Deckblatt 1";#N/A,#N/A,FALSE,"Deckblatt2"}</definedName>
    <definedName name="ㄴㅇㄻㄴ" hidden="1">{#N/A,#N/A,FALSE,"Status";#N/A,#N/A,FALSE,"Deckblatt 1";#N/A,#N/A,FALSE,"Deckblatt2"}</definedName>
    <definedName name="나">#REF!</definedName>
    <definedName name="나라" localSheetId="7">#REF!</definedName>
    <definedName name="나라">#REF!</definedName>
    <definedName name="나무" localSheetId="7">#REF!</definedName>
    <definedName name="나무">#REF!</definedName>
    <definedName name="ㄷ" localSheetId="7" hidden="1">{#N/A,#N/A,FALSE,"AG";#N/A,#N/A,FALSE,"UB-I";#N/A,#N/A,FALSE,"UB--SR_K";#N/A,#N/A,FALSE,"UB-SR_B";#N/A,#N/A,FALSE,"UB-KS";#N/A,#N/A,FALSE,"Kienzle"}</definedName>
    <definedName name="ㄷ" localSheetId="27" hidden="1">{#N/A,#N/A,FALSE,"AG";#N/A,#N/A,FALSE,"UB-I";#N/A,#N/A,FALSE,"UB--SR_K";#N/A,#N/A,FALSE,"UB-SR_B";#N/A,#N/A,FALSE,"UB-KS";#N/A,#N/A,FALSE,"Kienzle"}</definedName>
    <definedName name="ㄷ" hidden="1">{#N/A,#N/A,FALSE,"AG";#N/A,#N/A,FALSE,"UB-I";#N/A,#N/A,FALSE,"UB--SR_K";#N/A,#N/A,FALSE,"UB-SR_B";#N/A,#N/A,FALSE,"UB-KS";#N/A,#N/A,FALSE,"Kienzle"}</definedName>
    <definedName name="ㄷㄱ" localSheetId="7" hidden="1">{#N/A,#N/A,FALSE,"Australien";#N/A,#N/A,FALSE,"Birmingham";#N/A,#N/A,FALSE,"Brasilien";#N/A,#N/A,FALSE,"Prag";#N/A,#N/A,FALSE,"Spanien";#N/A,#N/A,FALSE,"Malaysia ( Com)";#N/A,#N/A,FALSE,"Malaysia (Instr)"}</definedName>
    <definedName name="ㄷㄱ" localSheetId="27" hidden="1">{#N/A,#N/A,FALSE,"Australien";#N/A,#N/A,FALSE,"Birmingham";#N/A,#N/A,FALSE,"Brasilien";#N/A,#N/A,FALSE,"Prag";#N/A,#N/A,FALSE,"Spanien";#N/A,#N/A,FALSE,"Malaysia ( Com)";#N/A,#N/A,FALSE,"Malaysia (Instr)"}</definedName>
    <definedName name="ㄷㄱ" hidden="1">{#N/A,#N/A,FALSE,"Australien";#N/A,#N/A,FALSE,"Birmingham";#N/A,#N/A,FALSE,"Brasilien";#N/A,#N/A,FALSE,"Prag";#N/A,#N/A,FALSE,"Spanien";#N/A,#N/A,FALSE,"Malaysia ( Com)";#N/A,#N/A,FALSE,"Malaysia (Instr)"}</definedName>
    <definedName name="ㄷㄳ" localSheetId="7"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ㄷㄳ" localSheetId="27"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ㄷㄳ"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ㄷㄷㄷㄷㄷㄷㄷㄷㄷ">#REF!</definedName>
    <definedName name="단계별진행일정">#N/A</definedName>
    <definedName name="대">#REF!</definedName>
    <definedName name="대부" localSheetId="7" hidden="1">{#N/A,#N/A,FALSE,"단축1";#N/A,#N/A,FALSE,"단축2";#N/A,#N/A,FALSE,"단축3";#N/A,#N/A,FALSE,"장축";#N/A,#N/A,FALSE,"4WD"}</definedName>
    <definedName name="대부" localSheetId="27" hidden="1">{#N/A,#N/A,FALSE,"단축1";#N/A,#N/A,FALSE,"단축2";#N/A,#N/A,FALSE,"단축3";#N/A,#N/A,FALSE,"장축";#N/A,#N/A,FALSE,"4WD"}</definedName>
    <definedName name="대부" hidden="1">{#N/A,#N/A,FALSE,"단축1";#N/A,#N/A,FALSE,"단축2";#N/A,#N/A,FALSE,"단축3";#N/A,#N/A,FALSE,"장축";#N/A,#N/A,FALSE,"4WD"}</definedName>
    <definedName name="대분류">#N/A</definedName>
    <definedName name="대책" localSheetId="7">{"XLSHEET.XLA"}</definedName>
    <definedName name="대책" localSheetId="27">{"XLSHEET.XLA"}</definedName>
    <definedName name="대책">{"XLSHEET.XLA"}</definedName>
    <definedName name="대책서" localSheetId="7" hidden="1">{#N/A,#N/A,FALSE,"단축1";#N/A,#N/A,FALSE,"단축2";#N/A,#N/A,FALSE,"단축3";#N/A,#N/A,FALSE,"장축";#N/A,#N/A,FALSE,"4WD"}</definedName>
    <definedName name="대책서" localSheetId="27" hidden="1">{#N/A,#N/A,FALSE,"단축1";#N/A,#N/A,FALSE,"단축2";#N/A,#N/A,FALSE,"단축3";#N/A,#N/A,FALSE,"장축";#N/A,#N/A,FALSE,"4WD"}</definedName>
    <definedName name="대책서" hidden="1">{#N/A,#N/A,FALSE,"단축1";#N/A,#N/A,FALSE,"단축2";#N/A,#N/A,FALSE,"단축3";#N/A,#N/A,FALSE,"장축";#N/A,#N/A,FALSE,"4WD"}</definedName>
    <definedName name="ㄹㄹ" localSheetId="7">#REF!</definedName>
    <definedName name="ㄹㄹ">#REF!</definedName>
    <definedName name="ㄹㅇㅀ" localSheetId="7" hidden="1">{#N/A,#N/A,FALSE,"단축1";#N/A,#N/A,FALSE,"단축2";#N/A,#N/A,FALSE,"단축3";#N/A,#N/A,FALSE,"장축";#N/A,#N/A,FALSE,"4WD"}</definedName>
    <definedName name="ㄹㅇㅀ" localSheetId="27" hidden="1">{#N/A,#N/A,FALSE,"단축1";#N/A,#N/A,FALSE,"단축2";#N/A,#N/A,FALSE,"단축3";#N/A,#N/A,FALSE,"장축";#N/A,#N/A,FALSE,"4WD"}</definedName>
    <definedName name="ㄹㅇㅀ" hidden="1">{#N/A,#N/A,FALSE,"단축1";#N/A,#N/A,FALSE,"단축2";#N/A,#N/A,FALSE,"단축3";#N/A,#N/A,FALSE,"장축";#N/A,#N/A,FALSE,"4WD"}</definedName>
    <definedName name="ㄹ호">#REF!</definedName>
    <definedName name="라" localSheetId="7">#REF!</definedName>
    <definedName name="라">#REF!</definedName>
    <definedName name="로커커버" localSheetId="7" hidden="1">{#N/A,#N/A,FALSE,"단축1";#N/A,#N/A,FALSE,"단축2";#N/A,#N/A,FALSE,"단축3";#N/A,#N/A,FALSE,"장축";#N/A,#N/A,FALSE,"4WD"}</definedName>
    <definedName name="로커커버" localSheetId="27" hidden="1">{#N/A,#N/A,FALSE,"단축1";#N/A,#N/A,FALSE,"단축2";#N/A,#N/A,FALSE,"단축3";#N/A,#N/A,FALSE,"장축";#N/A,#N/A,FALSE,"4WD"}</definedName>
    <definedName name="로커커버" hidden="1">{#N/A,#N/A,FALSE,"단축1";#N/A,#N/A,FALSE,"단축2";#N/A,#N/A,FALSE,"단축3";#N/A,#N/A,FALSE,"장축";#N/A,#N/A,FALSE,"4WD"}</definedName>
    <definedName name="릴정" localSheetId="7" hidden="1">{#N/A,#N/A,FALSE,"EXIT";#N/A,#N/A,FALSE,"Issues";#N/A,#N/A,FALSE,"Summary";#N/A,#N/A,FALSE,"Detail";#N/A,#N/A,FALSE,"Team Commit";#N/A,#N/A,FALSE,"Attendance"}</definedName>
    <definedName name="릴정" localSheetId="27" hidden="1">{#N/A,#N/A,FALSE,"EXIT";#N/A,#N/A,FALSE,"Issues";#N/A,#N/A,FALSE,"Summary";#N/A,#N/A,FALSE,"Detail";#N/A,#N/A,FALSE,"Team Commit";#N/A,#N/A,FALSE,"Attendance"}</definedName>
    <definedName name="릴정" hidden="1">{#N/A,#N/A,FALSE,"EXIT";#N/A,#N/A,FALSE,"Issues";#N/A,#N/A,FALSE,"Summary";#N/A,#N/A,FALSE,"Detail";#N/A,#N/A,FALSE,"Team Commit";#N/A,#N/A,FALSE,"Attendance"}</definedName>
    <definedName name="ㅀㅎㄷㄹ" localSheetId="7"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ㅀㅎㄷㄹ" localSheetId="27"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ㅀㅎㄷㄹ"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ㅁ">#N/A</definedName>
    <definedName name="ㅁ480" localSheetId="7">#REF!</definedName>
    <definedName name="ㅁ480">#REF!</definedName>
    <definedName name="ㅁ482" localSheetId="7">#REF!</definedName>
    <definedName name="ㅁ482">#REF!</definedName>
    <definedName name="ㅁ565" localSheetId="7">#REF!</definedName>
    <definedName name="ㅁ565">#REF!</definedName>
    <definedName name="ㅁㄴㄻㄴㅇ" localSheetId="7"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ㄻㄴㅇ" localSheetId="27"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ㄻㄴㅇ"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ㅇㄱ">#REF!</definedName>
    <definedName name="ㅁㄴㅇㄹ" localSheetId="7"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ㅁㄴㅇㄹ" localSheetId="27"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ㅁㄴㅇㄹ"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ㅁㄴㅇㄹㄴㅇㅁ" localSheetId="7" hidden="1">{#N/A,#N/A,FALSE,"Australien";#N/A,#N/A,FALSE,"Birmingham";#N/A,#N/A,FALSE,"Brasilien";#N/A,#N/A,FALSE,"Prag";#N/A,#N/A,FALSE,"Spanien";#N/A,#N/A,FALSE,"Malaysia ( Com)";#N/A,#N/A,FALSE,"Malaysia (Instr)"}</definedName>
    <definedName name="ㅁㄴㅇㄹㄴㅇㅁ" localSheetId="27" hidden="1">{#N/A,#N/A,FALSE,"Australien";#N/A,#N/A,FALSE,"Birmingham";#N/A,#N/A,FALSE,"Brasilien";#N/A,#N/A,FALSE,"Prag";#N/A,#N/A,FALSE,"Spanien";#N/A,#N/A,FALSE,"Malaysia ( Com)";#N/A,#N/A,FALSE,"Malaysia (Instr)"}</definedName>
    <definedName name="ㅁㄴㅇㄹㄴㅇㅁ" hidden="1">{#N/A,#N/A,FALSE,"Australien";#N/A,#N/A,FALSE,"Birmingham";#N/A,#N/A,FALSE,"Brasilien";#N/A,#N/A,FALSE,"Prag";#N/A,#N/A,FALSE,"Spanien";#N/A,#N/A,FALSE,"Malaysia ( Com)";#N/A,#N/A,FALSE,"Malaysia (Instr)"}</definedName>
    <definedName name="ㅁㄴㅇㄻㄴ" localSheetId="7" hidden="1">{#N/A,#N/A,FALSE,"Australien";#N/A,#N/A,FALSE,"Birmingham";#N/A,#N/A,FALSE,"Brasilien";#N/A,#N/A,FALSE,"Prag";#N/A,#N/A,FALSE,"Spanien";#N/A,#N/A,FALSE,"Malaysia ( Com)";#N/A,#N/A,FALSE,"Malaysia (Instr)"}</definedName>
    <definedName name="ㅁㄴㅇㄻㄴ" localSheetId="27" hidden="1">{#N/A,#N/A,FALSE,"Australien";#N/A,#N/A,FALSE,"Birmingham";#N/A,#N/A,FALSE,"Brasilien";#N/A,#N/A,FALSE,"Prag";#N/A,#N/A,FALSE,"Spanien";#N/A,#N/A,FALSE,"Malaysia ( Com)";#N/A,#N/A,FALSE,"Malaysia (Instr)"}</definedName>
    <definedName name="ㅁㄴㅇㄻㄴ" hidden="1">{#N/A,#N/A,FALSE,"Australien";#N/A,#N/A,FALSE,"Birmingham";#N/A,#N/A,FALSE,"Brasilien";#N/A,#N/A,FALSE,"Prag";#N/A,#N/A,FALSE,"Spanien";#N/A,#N/A,FALSE,"Malaysia ( Com)";#N/A,#N/A,FALSE,"Malaysia (Instr)"}</definedName>
    <definedName name="ㅁㄹㄴㅇ">#REF!</definedName>
    <definedName name="ㅁㄹㅇ" localSheetId="7" hidden="1">{#N/A,#N/A,FALSE,"단축1";#N/A,#N/A,FALSE,"단축2";#N/A,#N/A,FALSE,"단축3";#N/A,#N/A,FALSE,"장축";#N/A,#N/A,FALSE,"4WD"}</definedName>
    <definedName name="ㅁㄹㅇ" localSheetId="27" hidden="1">{#N/A,#N/A,FALSE,"단축1";#N/A,#N/A,FALSE,"단축2";#N/A,#N/A,FALSE,"단축3";#N/A,#N/A,FALSE,"장축";#N/A,#N/A,FALSE,"4WD"}</definedName>
    <definedName name="ㅁㄹㅇ" hidden="1">{#N/A,#N/A,FALSE,"단축1";#N/A,#N/A,FALSE,"단축2";#N/A,#N/A,FALSE,"단축3";#N/A,#N/A,FALSE,"장축";#N/A,#N/A,FALSE,"4WD"}</definedName>
    <definedName name="ㅁㅁㅁㅁㅁ" localSheetId="7">#REF!</definedName>
    <definedName name="ㅁㅁㅁㅁㅁ">#REF!</definedName>
    <definedName name="ㅁㅂ">#N/A</definedName>
    <definedName name="ㅁㅇㄱㅎ" localSheetId="7" hidden="1">{#N/A,#N/A,FALSE,"단축1";#N/A,#N/A,FALSE,"단축2";#N/A,#N/A,FALSE,"단축3";#N/A,#N/A,FALSE,"장축";#N/A,#N/A,FALSE,"4WD"}</definedName>
    <definedName name="ㅁㅇㄱㅎ" localSheetId="27" hidden="1">{#N/A,#N/A,FALSE,"단축1";#N/A,#N/A,FALSE,"단축2";#N/A,#N/A,FALSE,"단축3";#N/A,#N/A,FALSE,"장축";#N/A,#N/A,FALSE,"4WD"}</definedName>
    <definedName name="ㅁㅇㄱㅎ" hidden="1">{#N/A,#N/A,FALSE,"단축1";#N/A,#N/A,FALSE,"단축2";#N/A,#N/A,FALSE,"단축3";#N/A,#N/A,FALSE,"장축";#N/A,#N/A,FALSE,"4WD"}</definedName>
    <definedName name="ㅁㅇㄹ" localSheetId="7" hidden="1">{#N/A,#N/A,FALSE,"단축1";#N/A,#N/A,FALSE,"단축2";#N/A,#N/A,FALSE,"단축3";#N/A,#N/A,FALSE,"장축";#N/A,#N/A,FALSE,"4WD"}</definedName>
    <definedName name="ㅁㅇㄹ" localSheetId="27" hidden="1">{#N/A,#N/A,FALSE,"단축1";#N/A,#N/A,FALSE,"단축2";#N/A,#N/A,FALSE,"단축3";#N/A,#N/A,FALSE,"장축";#N/A,#N/A,FALSE,"4WD"}</definedName>
    <definedName name="ㅁㅇㄹ" hidden="1">{#N/A,#N/A,FALSE,"단축1";#N/A,#N/A,FALSE,"단축2";#N/A,#N/A,FALSE,"단축3";#N/A,#N/A,FALSE,"장축";#N/A,#N/A,FALSE,"4WD"}</definedName>
    <definedName name="ㅁㅇㅂㅈㄷㄹㅇ" localSheetId="7" hidden="1">{#N/A,#N/A,FALSE,"단축1";#N/A,#N/A,FALSE,"단축2";#N/A,#N/A,FALSE,"단축3";#N/A,#N/A,FALSE,"장축";#N/A,#N/A,FALSE,"4WD"}</definedName>
    <definedName name="ㅁㅇㅂㅈㄷㄹㅇ" localSheetId="27" hidden="1">{#N/A,#N/A,FALSE,"단축1";#N/A,#N/A,FALSE,"단축2";#N/A,#N/A,FALSE,"단축3";#N/A,#N/A,FALSE,"장축";#N/A,#N/A,FALSE,"4WD"}</definedName>
    <definedName name="ㅁㅇㅂㅈㄷㄹㅇ" hidden="1">{#N/A,#N/A,FALSE,"단축1";#N/A,#N/A,FALSE,"단축2";#N/A,#N/A,FALSE,"단축3";#N/A,#N/A,FALSE,"장축";#N/A,#N/A,FALSE,"4WD"}</definedName>
    <definedName name="ㅁㅈㅂㅈㅂ" hidden="1">#REF!</definedName>
    <definedName name="마크" localSheetId="7">#REF!</definedName>
    <definedName name="마크">#REF!</definedName>
    <definedName name="매크로10">#N/A</definedName>
    <definedName name="매크로11">#N/A</definedName>
    <definedName name="매크로12">#N/A</definedName>
    <definedName name="매크로123">#N/A</definedName>
    <definedName name="매크로1245">#N/A</definedName>
    <definedName name="매크로13">#N/A</definedName>
    <definedName name="매크로14">#N/A</definedName>
    <definedName name="매크로15">#N/A</definedName>
    <definedName name="매크로16">#N/A</definedName>
    <definedName name="매크로17">#N/A</definedName>
    <definedName name="매크로6">#N/A</definedName>
    <definedName name="매크로7">#N/A</definedName>
    <definedName name="매크로8">#N/A</definedName>
    <definedName name="매크로9">#N/A</definedName>
    <definedName name="메일" localSheetId="7" hidden="1">{#N/A,#N/A,FALSE,"EXIT";#N/A,#N/A,FALSE,"Issues";#N/A,#N/A,FALSE,"Summary";#N/A,#N/A,FALSE,"Detail";#N/A,#N/A,FALSE,"Attendance"}</definedName>
    <definedName name="메일" localSheetId="27" hidden="1">{#N/A,#N/A,FALSE,"EXIT";#N/A,#N/A,FALSE,"Issues";#N/A,#N/A,FALSE,"Summary";#N/A,#N/A,FALSE,"Detail";#N/A,#N/A,FALSE,"Attendance"}</definedName>
    <definedName name="메일" hidden="1">{#N/A,#N/A,FALSE,"EXIT";#N/A,#N/A,FALSE,"Issues";#N/A,#N/A,FALSE,"Summary";#N/A,#N/A,FALSE,"Detail";#N/A,#N/A,FALSE,"Attendance"}</definedName>
    <definedName name="모">#REF!</definedName>
    <definedName name="목차" localSheetId="7" hidden="1">{#N/A,#N/A,FALSE,"단축1";#N/A,#N/A,FALSE,"단축2";#N/A,#N/A,FALSE,"단축3";#N/A,#N/A,FALSE,"장축";#N/A,#N/A,FALSE,"4WD"}</definedName>
    <definedName name="목차" localSheetId="27" hidden="1">{#N/A,#N/A,FALSE,"단축1";#N/A,#N/A,FALSE,"단축2";#N/A,#N/A,FALSE,"단축3";#N/A,#N/A,FALSE,"장축";#N/A,#N/A,FALSE,"4WD"}</definedName>
    <definedName name="목차" hidden="1">{#N/A,#N/A,FALSE,"단축1";#N/A,#N/A,FALSE,"단축2";#N/A,#N/A,FALSE,"단축3";#N/A,#N/A,FALSE,"장축";#N/A,#N/A,FALSE,"4WD"}</definedName>
    <definedName name="문제점">#N/A</definedName>
    <definedName name="문제점및건의">#N/A</definedName>
    <definedName name="민">#REF!</definedName>
    <definedName name="밋션별" localSheetId="7">#REF!</definedName>
    <definedName name="밋션별">#REF!</definedName>
    <definedName name="ㅂ">#N/A</definedName>
    <definedName name="ㅂㅈㄷㅌ" localSheetId="7">#REF!</definedName>
    <definedName name="ㅂㅈㄷㅌ">#REF!</definedName>
    <definedName name="바로가기" localSheetId="7" hidden="1">{#N/A,#N/A,FALSE,"단축1";#N/A,#N/A,FALSE,"단축2";#N/A,#N/A,FALSE,"단축3";#N/A,#N/A,FALSE,"장축";#N/A,#N/A,FALSE,"4WD"}</definedName>
    <definedName name="바로가기" localSheetId="27" hidden="1">{#N/A,#N/A,FALSE,"단축1";#N/A,#N/A,FALSE,"단축2";#N/A,#N/A,FALSE,"단축3";#N/A,#N/A,FALSE,"장축";#N/A,#N/A,FALSE,"4WD"}</definedName>
    <definedName name="바로가기" hidden="1">{#N/A,#N/A,FALSE,"단축1";#N/A,#N/A,FALSE,"단축2";#N/A,#N/A,FALSE,"단축3";#N/A,#N/A,FALSE,"장축";#N/A,#N/A,FALSE,"4WD"}</definedName>
    <definedName name="발">#REF!</definedName>
    <definedName name="변경" localSheetId="7">#REF!</definedName>
    <definedName name="변경">#REF!</definedName>
    <definedName name="변경목차" localSheetId="7" hidden="1">{#N/A,#N/A,FALSE,"단축1";#N/A,#N/A,FALSE,"단축2";#N/A,#N/A,FALSE,"단축3";#N/A,#N/A,FALSE,"장축";#N/A,#N/A,FALSE,"4WD"}</definedName>
    <definedName name="변경목차" localSheetId="27" hidden="1">{#N/A,#N/A,FALSE,"단축1";#N/A,#N/A,FALSE,"단축2";#N/A,#N/A,FALSE,"단축3";#N/A,#N/A,FALSE,"장축";#N/A,#N/A,FALSE,"4WD"}</definedName>
    <definedName name="변경목차" hidden="1">{#N/A,#N/A,FALSE,"단축1";#N/A,#N/A,FALSE,"단축2";#N/A,#N/A,FALSE,"단축3";#N/A,#N/A,FALSE,"장축";#N/A,#N/A,FALSE,"4WD"}</definedName>
    <definedName name="볼트수정" localSheetId="7" hidden="1">{#N/A,#N/A,FALSE,"단축1";#N/A,#N/A,FALSE,"단축2";#N/A,#N/A,FALSE,"단축3";#N/A,#N/A,FALSE,"장축";#N/A,#N/A,FALSE,"4WD"}</definedName>
    <definedName name="볼트수정" localSheetId="27" hidden="1">{#N/A,#N/A,FALSE,"단축1";#N/A,#N/A,FALSE,"단축2";#N/A,#N/A,FALSE,"단축3";#N/A,#N/A,FALSE,"장축";#N/A,#N/A,FALSE,"4WD"}</definedName>
    <definedName name="볼트수정" hidden="1">{#N/A,#N/A,FALSE,"단축1";#N/A,#N/A,FALSE,"단축2";#N/A,#N/A,FALSE,"단축3";#N/A,#N/A,FALSE,"장축";#N/A,#N/A,FALSE,"4WD"}</definedName>
    <definedName name="부서">#REF!</definedName>
    <definedName name="부서별예산" localSheetId="7">#REF!</definedName>
    <definedName name="부서별예산">#REF!</definedName>
    <definedName name="비교111" localSheetId="7">#REF!</definedName>
    <definedName name="비교111">#REF!</definedName>
    <definedName name="비교A">#REF!</definedName>
    <definedName name="비목1">#REF!</definedName>
    <definedName name="비목2">#REF!</definedName>
    <definedName name="비목3">#REF!</definedName>
    <definedName name="비목4">#REF!</definedName>
    <definedName name="ㅅㅅ">#REF!</definedName>
    <definedName name="사업투자">#REF!</definedName>
    <definedName name="사업투자1">#REF!</definedName>
    <definedName name="생산일보1">#REF!</definedName>
    <definedName name="생산일지">#REF!</definedName>
    <definedName name="설비">#N/A</definedName>
    <definedName name="셀리카" localSheetId="7" hidden="1">#REF!</definedName>
    <definedName name="셀리카" hidden="1">#REF!</definedName>
    <definedName name="소물_BRKT_SUB_용접RH" localSheetId="7">#REF!</definedName>
    <definedName name="소물_BRKT_SUB_용접RH">#REF!</definedName>
    <definedName name="소뮨" localSheetId="7" hidden="1">{#N/A,#N/A,FALSE,"단축1";#N/A,#N/A,FALSE,"단축2";#N/A,#N/A,FALSE,"단축3";#N/A,#N/A,FALSE,"장축";#N/A,#N/A,FALSE,"4WD"}</definedName>
    <definedName name="소뮨" localSheetId="27" hidden="1">{#N/A,#N/A,FALSE,"단축1";#N/A,#N/A,FALSE,"단축2";#N/A,#N/A,FALSE,"단축3";#N/A,#N/A,FALSE,"장축";#N/A,#N/A,FALSE,"4WD"}</definedName>
    <definedName name="소뮨" hidden="1">{#N/A,#N/A,FALSE,"단축1";#N/A,#N/A,FALSE,"단축2";#N/A,#N/A,FALSE,"단축3";#N/A,#N/A,FALSE,"장축";#N/A,#N/A,FALSE,"4WD"}</definedName>
    <definedName name="쇼바2" localSheetId="7" hidden="1">{#N/A,#N/A,FALSE,"단축1";#N/A,#N/A,FALSE,"단축2";#N/A,#N/A,FALSE,"단축3";#N/A,#N/A,FALSE,"장축";#N/A,#N/A,FALSE,"4WD"}</definedName>
    <definedName name="쇼바2" localSheetId="27" hidden="1">{#N/A,#N/A,FALSE,"단축1";#N/A,#N/A,FALSE,"단축2";#N/A,#N/A,FALSE,"단축3";#N/A,#N/A,FALSE,"장축";#N/A,#N/A,FALSE,"4WD"}</definedName>
    <definedName name="쇼바2" hidden="1">{#N/A,#N/A,FALSE,"단축1";#N/A,#N/A,FALSE,"단축2";#N/A,#N/A,FALSE,"단축3";#N/A,#N/A,FALSE,"장축";#N/A,#N/A,FALSE,"4WD"}</definedName>
    <definedName name="신기술_신공법" localSheetId="7" hidden="1">{#N/A,#N/A,FALSE,"단축1";#N/A,#N/A,FALSE,"단축2";#N/A,#N/A,FALSE,"단축3";#N/A,#N/A,FALSE,"장축";#N/A,#N/A,FALSE,"4WD"}</definedName>
    <definedName name="신기술_신공법" localSheetId="27" hidden="1">{#N/A,#N/A,FALSE,"단축1";#N/A,#N/A,FALSE,"단축2";#N/A,#N/A,FALSE,"단축3";#N/A,#N/A,FALSE,"장축";#N/A,#N/A,FALSE,"4WD"}</definedName>
    <definedName name="신기술_신공법" hidden="1">{#N/A,#N/A,FALSE,"단축1";#N/A,#N/A,FALSE,"단축2";#N/A,#N/A,FALSE,"단축3";#N/A,#N/A,FALSE,"장축";#N/A,#N/A,FALSE,"4WD"}</definedName>
    <definedName name="신뢰">#N/A</definedName>
    <definedName name="신뢰성">#N/A</definedName>
    <definedName name="신차품질일정" localSheetId="7" hidden="1">{#N/A,#N/A,FALSE,"단축1";#N/A,#N/A,FALSE,"단축2";#N/A,#N/A,FALSE,"단축3";#N/A,#N/A,FALSE,"장축";#N/A,#N/A,FALSE,"4WD"}</definedName>
    <definedName name="신차품질일정" localSheetId="27" hidden="1">{#N/A,#N/A,FALSE,"단축1";#N/A,#N/A,FALSE,"단축2";#N/A,#N/A,FALSE,"단축3";#N/A,#N/A,FALSE,"장축";#N/A,#N/A,FALSE,"4WD"}</definedName>
    <definedName name="신차품질일정" hidden="1">{#N/A,#N/A,FALSE,"단축1";#N/A,#N/A,FALSE,"단축2";#N/A,#N/A,FALSE,"단축3";#N/A,#N/A,FALSE,"장축";#N/A,#N/A,FALSE,"4WD"}</definedName>
    <definedName name="실적집계" localSheetId="7" hidden="1">{#N/A,#N/A,FALSE,"단축1";#N/A,#N/A,FALSE,"단축2";#N/A,#N/A,FALSE,"단축3";#N/A,#N/A,FALSE,"장축";#N/A,#N/A,FALSE,"4WD"}</definedName>
    <definedName name="실적집계" localSheetId="27" hidden="1">{#N/A,#N/A,FALSE,"단축1";#N/A,#N/A,FALSE,"단축2";#N/A,#N/A,FALSE,"단축3";#N/A,#N/A,FALSE,"장축";#N/A,#N/A,FALSE,"4WD"}</definedName>
    <definedName name="실적집계" hidden="1">{#N/A,#N/A,FALSE,"단축1";#N/A,#N/A,FALSE,"단축2";#N/A,#N/A,FALSE,"단축3";#N/A,#N/A,FALSE,"장축";#N/A,#N/A,FALSE,"4WD"}</definedName>
    <definedName name="ㅇ426">#REF!</definedName>
    <definedName name="ㅇㄴㅀㅁ" localSheetId="7">{"XLSHEET.XLA"}</definedName>
    <definedName name="ㅇㄴㅀㅁ" localSheetId="27">{"XLSHEET.XLA"}</definedName>
    <definedName name="ㅇㄴㅀㅁ">{"XLSHEET.XLA"}</definedName>
    <definedName name="ㅇㄹ" localSheetId="7" hidden="1">{#N/A,#N/A,FALSE,"단축1";#N/A,#N/A,FALSE,"단축2";#N/A,#N/A,FALSE,"단축3";#N/A,#N/A,FALSE,"장축";#N/A,#N/A,FALSE,"4WD"}</definedName>
    <definedName name="ㅇㄹ" localSheetId="27" hidden="1">{#N/A,#N/A,FALSE,"단축1";#N/A,#N/A,FALSE,"단축2";#N/A,#N/A,FALSE,"단축3";#N/A,#N/A,FALSE,"장축";#N/A,#N/A,FALSE,"4WD"}</definedName>
    <definedName name="ㅇㄹ" hidden="1">{#N/A,#N/A,FALSE,"단축1";#N/A,#N/A,FALSE,"단축2";#N/A,#N/A,FALSE,"단축3";#N/A,#N/A,FALSE,"장축";#N/A,#N/A,FALSE,"4WD"}</definedName>
    <definedName name="ㅇㄹㄴ" localSheetId="7" hidden="1">{#N/A,#N/A,FALSE,"단축1";#N/A,#N/A,FALSE,"단축2";#N/A,#N/A,FALSE,"단축3";#N/A,#N/A,FALSE,"장축";#N/A,#N/A,FALSE,"4WD"}</definedName>
    <definedName name="ㅇㄹㄴ" localSheetId="27" hidden="1">{#N/A,#N/A,FALSE,"단축1";#N/A,#N/A,FALSE,"단축2";#N/A,#N/A,FALSE,"단축3";#N/A,#N/A,FALSE,"장축";#N/A,#N/A,FALSE,"4WD"}</definedName>
    <definedName name="ㅇㄹㄴ" hidden="1">{#N/A,#N/A,FALSE,"단축1";#N/A,#N/A,FALSE,"단축2";#N/A,#N/A,FALSE,"단축3";#N/A,#N/A,FALSE,"장축";#N/A,#N/A,FALSE,"4WD"}</definedName>
    <definedName name="ㅇ롱" localSheetId="7" hidden="1">{#N/A,#N/A,FALSE,"단축1";#N/A,#N/A,FALSE,"단축2";#N/A,#N/A,FALSE,"단축3";#N/A,#N/A,FALSE,"장축";#N/A,#N/A,FALSE,"4WD"}</definedName>
    <definedName name="ㅇ롱" localSheetId="27" hidden="1">{#N/A,#N/A,FALSE,"단축1";#N/A,#N/A,FALSE,"단축2";#N/A,#N/A,FALSE,"단축3";#N/A,#N/A,FALSE,"장축";#N/A,#N/A,FALSE,"4WD"}</definedName>
    <definedName name="ㅇ롱" hidden="1">{#N/A,#N/A,FALSE,"단축1";#N/A,#N/A,FALSE,"단축2";#N/A,#N/A,FALSE,"단축3";#N/A,#N/A,FALSE,"장축";#N/A,#N/A,FALSE,"4WD"}</definedName>
    <definedName name="ㅇ류" localSheetId="7" hidden="1">{#N/A,#N/A,FALSE,"단축1";#N/A,#N/A,FALSE,"단축2";#N/A,#N/A,FALSE,"단축3";#N/A,#N/A,FALSE,"장축";#N/A,#N/A,FALSE,"4WD"}</definedName>
    <definedName name="ㅇ류" localSheetId="27" hidden="1">{#N/A,#N/A,FALSE,"단축1";#N/A,#N/A,FALSE,"단축2";#N/A,#N/A,FALSE,"단축3";#N/A,#N/A,FALSE,"장축";#N/A,#N/A,FALSE,"4WD"}</definedName>
    <definedName name="ㅇ류" hidden="1">{#N/A,#N/A,FALSE,"단축1";#N/A,#N/A,FALSE,"단축2";#N/A,#N/A,FALSE,"단축3";#N/A,#N/A,FALSE,"장축";#N/A,#N/A,FALSE,"4WD"}</definedName>
    <definedName name="ㅇ륭" localSheetId="7" hidden="1">{#N/A,#N/A,FALSE,"단축1";#N/A,#N/A,FALSE,"단축2";#N/A,#N/A,FALSE,"단축3";#N/A,#N/A,FALSE,"장축";#N/A,#N/A,FALSE,"4WD"}</definedName>
    <definedName name="ㅇ륭" localSheetId="27" hidden="1">{#N/A,#N/A,FALSE,"단축1";#N/A,#N/A,FALSE,"단축2";#N/A,#N/A,FALSE,"단축3";#N/A,#N/A,FALSE,"장축";#N/A,#N/A,FALSE,"4WD"}</definedName>
    <definedName name="ㅇ륭" hidden="1">{#N/A,#N/A,FALSE,"단축1";#N/A,#N/A,FALSE,"단축2";#N/A,#N/A,FALSE,"단축3";#N/A,#N/A,FALSE,"장축";#N/A,#N/A,FALSE,"4WD"}</definedName>
    <definedName name="ㅇㄻㄴㅇㄻㄴ">#REF!</definedName>
    <definedName name="ㅇㅀ호" localSheetId="7" hidden="1">{#N/A,#N/A,FALSE,"단축1";#N/A,#N/A,FALSE,"단축2";#N/A,#N/A,FALSE,"단축3";#N/A,#N/A,FALSE,"장축";#N/A,#N/A,FALSE,"4WD"}</definedName>
    <definedName name="ㅇㅀ호" localSheetId="27" hidden="1">{#N/A,#N/A,FALSE,"단축1";#N/A,#N/A,FALSE,"단축2";#N/A,#N/A,FALSE,"단축3";#N/A,#N/A,FALSE,"장축";#N/A,#N/A,FALSE,"4WD"}</definedName>
    <definedName name="ㅇㅀ호" hidden="1">{#N/A,#N/A,FALSE,"단축1";#N/A,#N/A,FALSE,"단축2";#N/A,#N/A,FALSE,"단축3";#N/A,#N/A,FALSE,"장축";#N/A,#N/A,FALSE,"4WD"}</definedName>
    <definedName name="ㅇㅇ" localSheetId="7" hidden="1">{#N/A,#N/A,FALSE,"단축1";#N/A,#N/A,FALSE,"단축2";#N/A,#N/A,FALSE,"단축3";#N/A,#N/A,FALSE,"장축";#N/A,#N/A,FALSE,"4WD"}</definedName>
    <definedName name="ㅇㅇ" localSheetId="27" hidden="1">{#N/A,#N/A,FALSE,"단축1";#N/A,#N/A,FALSE,"단축2";#N/A,#N/A,FALSE,"단축3";#N/A,#N/A,FALSE,"장축";#N/A,#N/A,FALSE,"4WD"}</definedName>
    <definedName name="ㅇㅇ" hidden="1">{#N/A,#N/A,FALSE,"단축1";#N/A,#N/A,FALSE,"단축2";#N/A,#N/A,FALSE,"단축3";#N/A,#N/A,FALSE,"장축";#N/A,#N/A,FALSE,"4WD"}</definedName>
    <definedName name="ㅇㅎㄹ" localSheetId="7" hidden="1">{#N/A,#N/A,FALSE,"단축1";#N/A,#N/A,FALSE,"단축2";#N/A,#N/A,FALSE,"단축3";#N/A,#N/A,FALSE,"장축";#N/A,#N/A,FALSE,"4WD"}</definedName>
    <definedName name="ㅇㅎㄹ" localSheetId="27" hidden="1">{#N/A,#N/A,FALSE,"단축1";#N/A,#N/A,FALSE,"단축2";#N/A,#N/A,FALSE,"단축3";#N/A,#N/A,FALSE,"장축";#N/A,#N/A,FALSE,"4WD"}</definedName>
    <definedName name="ㅇㅎㄹ" hidden="1">{#N/A,#N/A,FALSE,"단축1";#N/A,#N/A,FALSE,"단축2";#N/A,#N/A,FALSE,"단축3";#N/A,#N/A,FALSE,"장축";#N/A,#N/A,FALSE,"4WD"}</definedName>
    <definedName name="ㅇㅎㅇ로ㅓ">#REF!</definedName>
    <definedName name="ㅇ허" localSheetId="7">#REF!</definedName>
    <definedName name="ㅇ허">#REF!</definedName>
    <definedName name="안" localSheetId="7">#REF!</definedName>
    <definedName name="안">#REF!</definedName>
    <definedName name="안길동">#REF!</definedName>
    <definedName name="안현모" localSheetId="7" hidden="1">{#N/A,#N/A,FALSE,"단축1";#N/A,#N/A,FALSE,"단축2";#N/A,#N/A,FALSE,"단축3";#N/A,#N/A,FALSE,"장축";#N/A,#N/A,FALSE,"4WD"}</definedName>
    <definedName name="안현모" localSheetId="27" hidden="1">{#N/A,#N/A,FALSE,"단축1";#N/A,#N/A,FALSE,"단축2";#N/A,#N/A,FALSE,"단축3";#N/A,#N/A,FALSE,"장축";#N/A,#N/A,FALSE,"4WD"}</definedName>
    <definedName name="안현모" hidden="1">{#N/A,#N/A,FALSE,"단축1";#N/A,#N/A,FALSE,"단축2";#N/A,#N/A,FALSE,"단축3";#N/A,#N/A,FALSE,"장축";#N/A,#N/A,FALSE,"4WD"}</definedName>
    <definedName name="양식" localSheetId="7" hidden="1">{#N/A,#N/A,FALSE,"단축1";#N/A,#N/A,FALSE,"단축2";#N/A,#N/A,FALSE,"단축3";#N/A,#N/A,FALSE,"장축";#N/A,#N/A,FALSE,"4WD"}</definedName>
    <definedName name="양식" localSheetId="27" hidden="1">{#N/A,#N/A,FALSE,"단축1";#N/A,#N/A,FALSE,"단축2";#N/A,#N/A,FALSE,"단축3";#N/A,#N/A,FALSE,"장축";#N/A,#N/A,FALSE,"4WD"}</definedName>
    <definedName name="양식" hidden="1">{#N/A,#N/A,FALSE,"단축1";#N/A,#N/A,FALSE,"단축2";#N/A,#N/A,FALSE,"단축3";#N/A,#N/A,FALSE,"장축";#N/A,#N/A,FALSE,"4WD"}</definedName>
    <definedName name="양식1" localSheetId="7" hidden="1">{#N/A,#N/A,FALSE,"단축1";#N/A,#N/A,FALSE,"단축2";#N/A,#N/A,FALSE,"단축3";#N/A,#N/A,FALSE,"장축";#N/A,#N/A,FALSE,"4WD"}</definedName>
    <definedName name="양식1" localSheetId="27" hidden="1">{#N/A,#N/A,FALSE,"단축1";#N/A,#N/A,FALSE,"단축2";#N/A,#N/A,FALSE,"단축3";#N/A,#N/A,FALSE,"장축";#N/A,#N/A,FALSE,"4WD"}</definedName>
    <definedName name="양식1" hidden="1">{#N/A,#N/A,FALSE,"단축1";#N/A,#N/A,FALSE,"단축2";#N/A,#N/A,FALSE,"단축3";#N/A,#N/A,FALSE,"장축";#N/A,#N/A,FALSE,"4WD"}</definedName>
    <definedName name="엉댜ㄷㅈ">#REF!</definedName>
    <definedName name="여여영" localSheetId="7">#REF!</definedName>
    <definedName name="여여영">#REF!</definedName>
    <definedName name="영" localSheetId="7">#REF!</definedName>
    <definedName name="영">#REF!</definedName>
    <definedName name="예산총괄시트설ONLY">#REF!</definedName>
    <definedName name="오" localSheetId="7" hidden="1">{#N/A,#N/A,FALSE,"단축1";#N/A,#N/A,FALSE,"단축2";#N/A,#N/A,FALSE,"단축3";#N/A,#N/A,FALSE,"장축";#N/A,#N/A,FALSE,"4WD"}</definedName>
    <definedName name="오" localSheetId="27" hidden="1">{#N/A,#N/A,FALSE,"단축1";#N/A,#N/A,FALSE,"단축2";#N/A,#N/A,FALSE,"단축3";#N/A,#N/A,FALSE,"장축";#N/A,#N/A,FALSE,"4WD"}</definedName>
    <definedName name="오" hidden="1">{#N/A,#N/A,FALSE,"단축1";#N/A,#N/A,FALSE,"단축2";#N/A,#N/A,FALSE,"단축3";#N/A,#N/A,FALSE,"장축";#N/A,#N/A,FALSE,"4WD"}</definedName>
    <definedName name="원본2">#N/A</definedName>
    <definedName name="유사차" localSheetId="7" hidden="1">{#N/A,#N/A,FALSE,"신규dep";#N/A,#N/A,FALSE,"신규dep-금형상각후";#N/A,#N/A,FALSE,"신규dep-연구비상각후";#N/A,#N/A,FALSE,"신규dep-기계,공구상각후"}</definedName>
    <definedName name="유사차" localSheetId="27" hidden="1">{#N/A,#N/A,FALSE,"신규dep";#N/A,#N/A,FALSE,"신규dep-금형상각후";#N/A,#N/A,FALSE,"신규dep-연구비상각후";#N/A,#N/A,FALSE,"신규dep-기계,공구상각후"}</definedName>
    <definedName name="유사차" hidden="1">{#N/A,#N/A,FALSE,"신규dep";#N/A,#N/A,FALSE,"신규dep-금형상각후";#N/A,#N/A,FALSE,"신규dep-연구비상각후";#N/A,#N/A,FALSE,"신규dep-기계,공구상각후"}</definedName>
    <definedName name="의뢰">#REF!</definedName>
    <definedName name="이동" localSheetId="7">#REF!</definedName>
    <definedName name="이동">#REF!</definedName>
    <definedName name="이혁준" localSheetId="7" hidden="1">{#N/A,#N/A,FALSE,"단축1";#N/A,#N/A,FALSE,"단축2";#N/A,#N/A,FALSE,"단축3";#N/A,#N/A,FALSE,"장축";#N/A,#N/A,FALSE,"4WD"}</definedName>
    <definedName name="이혁준" localSheetId="27" hidden="1">{#N/A,#N/A,FALSE,"단축1";#N/A,#N/A,FALSE,"단축2";#N/A,#N/A,FALSE,"단축3";#N/A,#N/A,FALSE,"장축";#N/A,#N/A,FALSE,"4WD"}</definedName>
    <definedName name="이혁준" hidden="1">{#N/A,#N/A,FALSE,"단축1";#N/A,#N/A,FALSE,"단축2";#N/A,#N/A,FALSE,"단축3";#N/A,#N/A,FALSE,"장축";#N/A,#N/A,FALSE,"4WD"}</definedName>
    <definedName name="임시">#REF!</definedName>
    <definedName name="ㅈㄹ" localSheetId="7" hidden="1">{#N/A,#N/A,FALSE,"단축1";#N/A,#N/A,FALSE,"단축2";#N/A,#N/A,FALSE,"단축3";#N/A,#N/A,FALSE,"장축";#N/A,#N/A,FALSE,"4WD"}</definedName>
    <definedName name="ㅈㄹ" localSheetId="27" hidden="1">{#N/A,#N/A,FALSE,"단축1";#N/A,#N/A,FALSE,"단축2";#N/A,#N/A,FALSE,"단축3";#N/A,#N/A,FALSE,"장축";#N/A,#N/A,FALSE,"4WD"}</definedName>
    <definedName name="ㅈㄹ" hidden="1">{#N/A,#N/A,FALSE,"단축1";#N/A,#N/A,FALSE,"단축2";#N/A,#N/A,FALSE,"단축3";#N/A,#N/A,FALSE,"장축";#N/A,#N/A,FALSE,"4WD"}</definedName>
    <definedName name="자경자야" localSheetId="7">#REF!</definedName>
    <definedName name="자경자야">#REF!</definedName>
    <definedName name="장기투자.94.BB" localSheetId="7">#REF!</definedName>
    <definedName name="장기투자.94.BB">#REF!</definedName>
    <definedName name="장중혁" localSheetId="7">{"XLSHEET.XLA"}</definedName>
    <definedName name="장중혁" localSheetId="27">{"XLSHEET.XLA"}</definedName>
    <definedName name="장중혁">{"XLSHEET.XLA"}</definedName>
    <definedName name="전략1">#REF!</definedName>
    <definedName name="전체현황" localSheetId="7" hidden="1">{#N/A,#N/A,FALSE,"단축1";#N/A,#N/A,FALSE,"단축2";#N/A,#N/A,FALSE,"단축3";#N/A,#N/A,FALSE,"장축";#N/A,#N/A,FALSE,"4WD"}</definedName>
    <definedName name="전체현황" localSheetId="27" hidden="1">{#N/A,#N/A,FALSE,"단축1";#N/A,#N/A,FALSE,"단축2";#N/A,#N/A,FALSE,"단축3";#N/A,#N/A,FALSE,"장축";#N/A,#N/A,FALSE,"4WD"}</definedName>
    <definedName name="전체현황" hidden="1">{#N/A,#N/A,FALSE,"단축1";#N/A,#N/A,FALSE,"단축2";#N/A,#N/A,FALSE,"단축3";#N/A,#N/A,FALSE,"장축";#N/A,#N/A,FALSE,"4WD"}</definedName>
    <definedName name="조사" localSheetId="7">#REF!</definedName>
    <definedName name="조사">#REF!</definedName>
    <definedName name="주요문제점" localSheetId="7">#REF!</definedName>
    <definedName name="주요문제점">#REF!</definedName>
    <definedName name="지그">#N/A</definedName>
    <definedName name="ㅊㄹㄷㄱ" localSheetId="7">#REF!</definedName>
    <definedName name="ㅊㄹㄷㄱ">#REF!</definedName>
    <definedName name="차종" localSheetId="7">#REF!</definedName>
    <definedName name="차종">#REF!</definedName>
    <definedName name="첨부0" localSheetId="7">#REF!</definedName>
    <definedName name="첨부0">#REF!</definedName>
    <definedName name="첨부1">#REF!</definedName>
    <definedName name="첨부1.공급방안">#REF!</definedName>
    <definedName name="첨부2">#REF!</definedName>
    <definedName name="첨첨11">#REF!</definedName>
    <definedName name="ㅋ">#N/A</definedName>
    <definedName name="ㅋㄴㄴㅁ" localSheetId="7">#REF!</definedName>
    <definedName name="ㅋㄴㄴㅁ">#REF!</definedName>
    <definedName name="ㅋㅇㅍ" localSheetId="7" hidden="1">{#N/A,#N/A,FALSE,"단축1";#N/A,#N/A,FALSE,"단축2";#N/A,#N/A,FALSE,"단축3";#N/A,#N/A,FALSE,"장축";#N/A,#N/A,FALSE,"4WD"}</definedName>
    <definedName name="ㅋㅇㅍ" localSheetId="27" hidden="1">{#N/A,#N/A,FALSE,"단축1";#N/A,#N/A,FALSE,"단축2";#N/A,#N/A,FALSE,"단축3";#N/A,#N/A,FALSE,"장축";#N/A,#N/A,FALSE,"4WD"}</definedName>
    <definedName name="ㅋㅇㅍ" hidden="1">{#N/A,#N/A,FALSE,"단축1";#N/A,#N/A,FALSE,"단축2";#N/A,#N/A,FALSE,"단축3";#N/A,#N/A,FALSE,"장축";#N/A,#N/A,FALSE,"4WD"}</definedName>
    <definedName name="ㅋ후ㅊ">#REF!</definedName>
    <definedName name="캐므라" localSheetId="7">#REF!</definedName>
    <definedName name="캐므라">#REF!</definedName>
    <definedName name="쿨링" localSheetId="7">#REF!</definedName>
    <definedName name="쿨링">#REF!</definedName>
    <definedName name="크랑" localSheetId="7" hidden="1">{#N/A,#N/A,FALSE,"단축1";#N/A,#N/A,FALSE,"단축2";#N/A,#N/A,FALSE,"단축3";#N/A,#N/A,FALSE,"장축";#N/A,#N/A,FALSE,"4WD"}</definedName>
    <definedName name="크랑" localSheetId="27" hidden="1">{#N/A,#N/A,FALSE,"단축1";#N/A,#N/A,FALSE,"단축2";#N/A,#N/A,FALSE,"단축3";#N/A,#N/A,FALSE,"장축";#N/A,#N/A,FALSE,"4WD"}</definedName>
    <definedName name="크랑" hidden="1">{#N/A,#N/A,FALSE,"단축1";#N/A,#N/A,FALSE,"단축2";#N/A,#N/A,FALSE,"단축3";#N/A,#N/A,FALSE,"장축";#N/A,#N/A,FALSE,"4WD"}</definedName>
    <definedName name="ㅌㅌㅌㅊㅍ">#REF!</definedName>
    <definedName name="통합1장" localSheetId="7" hidden="1">{#N/A,#N/A,FALSE,"단축1";#N/A,#N/A,FALSE,"단축2";#N/A,#N/A,FALSE,"단축3";#N/A,#N/A,FALSE,"장축";#N/A,#N/A,FALSE,"4WD"}</definedName>
    <definedName name="통합1장" localSheetId="27" hidden="1">{#N/A,#N/A,FALSE,"단축1";#N/A,#N/A,FALSE,"단축2";#N/A,#N/A,FALSE,"단축3";#N/A,#N/A,FALSE,"장축";#N/A,#N/A,FALSE,"4WD"}</definedName>
    <definedName name="통합1장" hidden="1">{#N/A,#N/A,FALSE,"단축1";#N/A,#N/A,FALSE,"단축2";#N/A,#N/A,FALSE,"단축3";#N/A,#N/A,FALSE,"장축";#N/A,#N/A,FALSE,"4WD"}</definedName>
    <definedName name="투자비">#REF!</definedName>
    <definedName name="투자비실적" localSheetId="7" hidden="1">{#N/A,#N/A,FALSE,"단축1";#N/A,#N/A,FALSE,"단축2";#N/A,#N/A,FALSE,"단축3";#N/A,#N/A,FALSE,"장축";#N/A,#N/A,FALSE,"4WD"}</definedName>
    <definedName name="투자비실적" localSheetId="27" hidden="1">{#N/A,#N/A,FALSE,"단축1";#N/A,#N/A,FALSE,"단축2";#N/A,#N/A,FALSE,"단축3";#N/A,#N/A,FALSE,"장축";#N/A,#N/A,FALSE,"4WD"}</definedName>
    <definedName name="투자비실적" hidden="1">{#N/A,#N/A,FALSE,"단축1";#N/A,#N/A,FALSE,"단축2";#N/A,#N/A,FALSE,"단축3";#N/A,#N/A,FALSE,"장축";#N/A,#N/A,FALSE,"4WD"}</definedName>
    <definedName name="패킹" localSheetId="7">#REF!</definedName>
    <definedName name="패킹">#REF!</definedName>
    <definedName name="표지1" localSheetId="7" hidden="1">{#N/A,#N/A,FALSE,"단축1";#N/A,#N/A,FALSE,"단축2";#N/A,#N/A,FALSE,"단축3";#N/A,#N/A,FALSE,"장축";#N/A,#N/A,FALSE,"4WD"}</definedName>
    <definedName name="표지1" localSheetId="27" hidden="1">{#N/A,#N/A,FALSE,"단축1";#N/A,#N/A,FALSE,"단축2";#N/A,#N/A,FALSE,"단축3";#N/A,#N/A,FALSE,"장축";#N/A,#N/A,FALSE,"4WD"}</definedName>
    <definedName name="표지1" hidden="1">{#N/A,#N/A,FALSE,"단축1";#N/A,#N/A,FALSE,"단축2";#N/A,#N/A,FALSE,"단축3";#N/A,#N/A,FALSE,"장축";#N/A,#N/A,FALSE,"4WD"}</definedName>
    <definedName name="품질보고서" localSheetId="7">#REF!</definedName>
    <definedName name="품질보고서">#REF!</definedName>
    <definedName name="품질확보">#N/A</definedName>
    <definedName name="품질확보계획">#N/A</definedName>
    <definedName name="품확" localSheetId="7" hidden="1">{#N/A,#N/A,FALSE,"단축1";#N/A,#N/A,FALSE,"단축2";#N/A,#N/A,FALSE,"단축3";#N/A,#N/A,FALSE,"장축";#N/A,#N/A,FALSE,"4WD"}</definedName>
    <definedName name="품확" localSheetId="27" hidden="1">{#N/A,#N/A,FALSE,"단축1";#N/A,#N/A,FALSE,"단축2";#N/A,#N/A,FALSE,"단축3";#N/A,#N/A,FALSE,"장축";#N/A,#N/A,FALSE,"4WD"}</definedName>
    <definedName name="품확" hidden="1">{#N/A,#N/A,FALSE,"단축1";#N/A,#N/A,FALSE,"단축2";#N/A,#N/A,FALSE,"단축3";#N/A,#N/A,FALSE,"장축";#N/A,#N/A,FALSE,"4WD"}</definedName>
    <definedName name="프렌지" localSheetId="7" hidden="1">{#N/A,#N/A,FALSE,"단축1";#N/A,#N/A,FALSE,"단축2";#N/A,#N/A,FALSE,"단축3";#N/A,#N/A,FALSE,"장축";#N/A,#N/A,FALSE,"4WD"}</definedName>
    <definedName name="프렌지" localSheetId="27" hidden="1">{#N/A,#N/A,FALSE,"단축1";#N/A,#N/A,FALSE,"단축2";#N/A,#N/A,FALSE,"단축3";#N/A,#N/A,FALSE,"장축";#N/A,#N/A,FALSE,"4WD"}</definedName>
    <definedName name="프렌지" hidden="1">{#N/A,#N/A,FALSE,"단축1";#N/A,#N/A,FALSE,"단축2";#N/A,#N/A,FALSE,"단축3";#N/A,#N/A,FALSE,"장축";#N/A,#N/A,FALSE,"4WD"}</definedName>
    <definedName name="ㅎㅎㅎㅎㅎㅎ">#REF!</definedName>
    <definedName name="ㅎ호ㅓㅓㅗ" localSheetId="7" hidden="1">{#N/A,#N/A,FALSE,"단축1";#N/A,#N/A,FALSE,"단축2";#N/A,#N/A,FALSE,"단축3";#N/A,#N/A,FALSE,"장축";#N/A,#N/A,FALSE,"4WD"}</definedName>
    <definedName name="ㅎ호ㅓㅓㅗ" localSheetId="27" hidden="1">{#N/A,#N/A,FALSE,"단축1";#N/A,#N/A,FALSE,"단축2";#N/A,#N/A,FALSE,"단축3";#N/A,#N/A,FALSE,"장축";#N/A,#N/A,FALSE,"4WD"}</definedName>
    <definedName name="ㅎ호ㅓㅓㅗ" hidden="1">{#N/A,#N/A,FALSE,"단축1";#N/A,#N/A,FALSE,"단축2";#N/A,#N/A,FALSE,"단축3";#N/A,#N/A,FALSE,"장축";#N/A,#N/A,FALSE,"4WD"}</definedName>
    <definedName name="협의" localSheetId="7" hidden="1">{#N/A,#N/A,FALSE,"단축1";#N/A,#N/A,FALSE,"단축2";#N/A,#N/A,FALSE,"단축3";#N/A,#N/A,FALSE,"장축";#N/A,#N/A,FALSE,"4WD"}</definedName>
    <definedName name="협의" localSheetId="27" hidden="1">{#N/A,#N/A,FALSE,"단축1";#N/A,#N/A,FALSE,"단축2";#N/A,#N/A,FALSE,"단축3";#N/A,#N/A,FALSE,"장축";#N/A,#N/A,FALSE,"4WD"}</definedName>
    <definedName name="협의" hidden="1">{#N/A,#N/A,FALSE,"단축1";#N/A,#N/A,FALSE,"단축2";#N/A,#N/A,FALSE,"단축3";#N/A,#N/A,FALSE,"장축";#N/A,#N/A,FALSE,"4WD"}</definedName>
    <definedName name="협조전">#REF!</definedName>
    <definedName name="홀" localSheetId="7" hidden="1">{TRUE,TRUE,-0.8,-17,963.6,637.8,FALSE,TRUE,TRUE,TRUE,0,1,#N/A,1,#N/A,18.0487804878049,42.7727272727273,1,FALSE,FALSE,3,TRUE,1,FALSE,100,"Swvu.Komplett.","ACwvu.Komplett.",#N/A,FALSE,FALSE,0.78740157480315,0.393700787401575,0.984251968503937,0.984251968503937,1,"","&amp;RH.LehmhausVV54TQ&amp;D",TRUE,TRUE,FALSE,FALSE,1,#N/A,1,1,"=R1C1:R67C11",FALSE,#N/A,#N/A,FALSE,FALSE,FALSE,9,300,300,FALSE,FALSE,TRUE,TRUE,TRUE}</definedName>
    <definedName name="홀" localSheetId="27" hidden="1">{TRUE,TRUE,-0.8,-17,963.6,637.8,FALSE,TRUE,TRUE,TRUE,0,1,#N/A,1,#N/A,18.0487804878049,42.7727272727273,1,FALSE,FALSE,3,TRUE,1,FALSE,100,"Swvu.Komplett.","ACwvu.Komplett.",#N/A,FALSE,FALSE,0.78740157480315,0.393700787401575,0.984251968503937,0.984251968503937,1,"","&amp;RH.LehmhausVV54TQ&amp;D",TRUE,TRUE,FALSE,FALSE,1,#N/A,1,1,"=R1C1:R67C11",FALSE,#N/A,#N/A,FALSE,FALSE,FALSE,9,300,300,FALSE,FALSE,TRUE,TRUE,TRUE}</definedName>
    <definedName name="홀" hidden="1">{TRUE,TRUE,-0.8,-17,963.6,637.8,FALSE,TRUE,TRUE,TRUE,0,1,#N/A,1,#N/A,18.0487804878049,42.7727272727273,1,FALSE,FALSE,3,TRUE,1,FALSE,100,"Swvu.Komplett.","ACwvu.Komplett.",#N/A,FALSE,FALSE,0.78740157480315,0.393700787401575,0.984251968503937,0.984251968503937,1,"","&amp;RH.LehmhausVV54TQ&amp;D",TRUE,TRUE,FALSE,FALSE,1,#N/A,1,1,"=R1C1:R67C11",FALSE,#N/A,#N/A,FALSE,FALSE,FALSE,9,300,300,FALSE,FALSE,TRUE,TRUE,TRUE}</definedName>
    <definedName name="확" localSheetId="7" hidden="1">{#N/A,#N/A,FALSE,"EXIT";#N/A,#N/A,FALSE,"Issue";#N/A,#N/A,FALSE,"Summary";#N/A,#N/A,FALSE,"Detail";#N/A,#N/A,FALSE,"Attendance"}</definedName>
    <definedName name="확" localSheetId="27" hidden="1">{#N/A,#N/A,FALSE,"EXIT";#N/A,#N/A,FALSE,"Issue";#N/A,#N/A,FALSE,"Summary";#N/A,#N/A,FALSE,"Detail";#N/A,#N/A,FALSE,"Attendance"}</definedName>
    <definedName name="확" hidden="1">{#N/A,#N/A,FALSE,"EXIT";#N/A,#N/A,FALSE,"Issue";#N/A,#N/A,FALSE,"Summary";#N/A,#N/A,FALSE,"Detail";#N/A,#N/A,FALSE,"Attendance"}</definedName>
    <definedName name="확보계획" localSheetId="7" hidden="1">{#N/A,#N/A,FALSE,"EXIT";#N/A,#N/A,FALSE,"Issue";#N/A,#N/A,FALSE,"Summary";#N/A,#N/A,FALSE,"Detail";#N/A,#N/A,FALSE,"Attendance"}</definedName>
    <definedName name="확보계획" localSheetId="27" hidden="1">{#N/A,#N/A,FALSE,"EXIT";#N/A,#N/A,FALSE,"Issue";#N/A,#N/A,FALSE,"Summary";#N/A,#N/A,FALSE,"Detail";#N/A,#N/A,FALSE,"Attendance"}</definedName>
    <definedName name="확보계획" hidden="1">{#N/A,#N/A,FALSE,"EXIT";#N/A,#N/A,FALSE,"Issue";#N/A,#N/A,FALSE,"Summary";#N/A,#N/A,FALSE,"Detail";#N/A,#N/A,FALSE,"Attendance"}</definedName>
    <definedName name="흵____R3_t">#REF!</definedName>
    <definedName name="ㅏㅣㅣㅣ" localSheetId="7" hidden="1">{#N/A,#N/A,FALSE,"단축1";#N/A,#N/A,FALSE,"단축2";#N/A,#N/A,FALSE,"단축3";#N/A,#N/A,FALSE,"장축";#N/A,#N/A,FALSE,"4WD"}</definedName>
    <definedName name="ㅏㅣㅣㅣ" localSheetId="27" hidden="1">{#N/A,#N/A,FALSE,"단축1";#N/A,#N/A,FALSE,"단축2";#N/A,#N/A,FALSE,"단축3";#N/A,#N/A,FALSE,"장축";#N/A,#N/A,FALSE,"4WD"}</definedName>
    <definedName name="ㅏㅣㅣㅣ" hidden="1">{#N/A,#N/A,FALSE,"단축1";#N/A,#N/A,FALSE,"단축2";#N/A,#N/A,FALSE,"단축3";#N/A,#N/A,FALSE,"장축";#N/A,#N/A,FALSE,"4WD"}</definedName>
    <definedName name="ㅔㅔ" localSheetId="7" hidden="1">{#N/A,#N/A,FALSE,"Status";#N/A,#N/A,FALSE,"Deckblatt 1";#N/A,#N/A,FALSE,"Deckblatt2"}</definedName>
    <definedName name="ㅔㅔ" localSheetId="27" hidden="1">{#N/A,#N/A,FALSE,"Status";#N/A,#N/A,FALSE,"Deckblatt 1";#N/A,#N/A,FALSE,"Deckblatt2"}</definedName>
    <definedName name="ㅔㅔ" hidden="1">{#N/A,#N/A,FALSE,"Status";#N/A,#N/A,FALSE,"Deckblatt 1";#N/A,#N/A,FALSE,"Deckblatt2"}</definedName>
    <definedName name="ㅕㅕ">#REF!</definedName>
    <definedName name="ㅜㅜㅜㅡ" localSheetId="7">#REF!</definedName>
    <definedName name="ㅜㅜㅜㅡ">#REF!</definedName>
    <definedName name="ㅠㅍㅇㅌㄹ" localSheetId="7" hidden="1">{#N/A,#N/A,FALSE,"단축1";#N/A,#N/A,FALSE,"단축2";#N/A,#N/A,FALSE,"단축3";#N/A,#N/A,FALSE,"장축";#N/A,#N/A,FALSE,"4WD"}</definedName>
    <definedName name="ㅠㅍㅇㅌㄹ" localSheetId="27" hidden="1">{#N/A,#N/A,FALSE,"단축1";#N/A,#N/A,FALSE,"단축2";#N/A,#N/A,FALSE,"단축3";#N/A,#N/A,FALSE,"장축";#N/A,#N/A,FALSE,"4WD"}</definedName>
    <definedName name="ㅠㅍㅇㅌㄹ" hidden="1">{#N/A,#N/A,FALSE,"단축1";#N/A,#N/A,FALSE,"단축2";#N/A,#N/A,FALSE,"단축3";#N/A,#N/A,FALSE,"장축";#N/A,#N/A,FALSE,"4WD"}</definedName>
    <definedName name="ㅠㅠㅠ" localSheetId="7" hidden="1">#REF!</definedName>
    <definedName name="ㅠㅠㅠ" hidden="1">#REF!</definedName>
    <definedName name="ㅣㅏㅓ일ㄴ어" localSheetId="7" hidden="1">{#N/A,#N/A,FALSE,"Status";#N/A,#N/A,FALSE,"Deckblatt 1";#N/A,#N/A,FALSE,"Deckblatt2"}</definedName>
    <definedName name="ㅣㅏㅓ일ㄴ어" localSheetId="27" hidden="1">{#N/A,#N/A,FALSE,"Status";#N/A,#N/A,FALSE,"Deckblatt 1";#N/A,#N/A,FALSE,"Deckblatt2"}</definedName>
    <definedName name="ㅣㅏㅓ일ㄴ어" hidden="1">{#N/A,#N/A,FALSE,"Status";#N/A,#N/A,FALSE,"Deckblatt 1";#N/A,#N/A,FALSE,"Deckblatt2"}</definedName>
    <definedName name="ㅣㅣㅐㅐㅔ">#REF!</definedName>
    <definedName name="單位阡원_阡￥" localSheetId="7">#REF!</definedName>
    <definedName name="單位阡원_阡￥">#REF!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20" i="230" l="1"/>
  <c r="E12" i="209" l="1"/>
  <c r="E11" i="209"/>
  <c r="E17" i="209"/>
  <c r="G13" i="230"/>
  <c r="F6" i="226"/>
  <c r="D25" i="207"/>
  <c r="F34" i="207"/>
  <c r="D48" i="207" l="1"/>
  <c r="D22" i="207"/>
  <c r="F12" i="207"/>
  <c r="E12" i="207"/>
  <c r="C12" i="207"/>
  <c r="D36" i="207"/>
  <c r="D35" i="207"/>
  <c r="D34" i="207"/>
  <c r="D33" i="207"/>
  <c r="D32" i="207"/>
  <c r="D31" i="207"/>
  <c r="D17" i="207"/>
  <c r="B16" i="207"/>
  <c r="K53" i="150"/>
  <c r="L21" i="150"/>
  <c r="L20" i="150"/>
  <c r="I20" i="150"/>
  <c r="F28" i="210" l="1"/>
  <c r="F8" i="223"/>
  <c r="E14" i="223" l="1"/>
  <c r="E69" i="223"/>
  <c r="E6" i="223"/>
  <c r="E28" i="210"/>
  <c r="F20" i="210" s="1"/>
  <c r="F59" i="240"/>
  <c r="G59" i="240"/>
  <c r="H59" i="240" s="1"/>
  <c r="I59" i="240" s="1"/>
  <c r="J59" i="240" s="1"/>
  <c r="K59" i="240" s="1"/>
  <c r="L59" i="240" s="1"/>
  <c r="M59" i="240" s="1"/>
  <c r="N59" i="240" s="1"/>
  <c r="O59" i="240" s="1"/>
  <c r="P59" i="240" s="1"/>
  <c r="E59" i="240"/>
  <c r="D59" i="240"/>
  <c r="E58" i="240"/>
  <c r="F58" i="240"/>
  <c r="G58" i="240"/>
  <c r="H58" i="240"/>
  <c r="I58" i="240"/>
  <c r="J58" i="240"/>
  <c r="K58" i="240"/>
  <c r="L58" i="240"/>
  <c r="M58" i="240"/>
  <c r="N58" i="240"/>
  <c r="O58" i="240"/>
  <c r="P58" i="240"/>
  <c r="D58" i="240"/>
  <c r="E57" i="240"/>
  <c r="F57" i="240"/>
  <c r="D57" i="240"/>
  <c r="F12" i="240"/>
  <c r="F11" i="240"/>
  <c r="F10" i="240"/>
  <c r="E12" i="240"/>
  <c r="E11" i="240"/>
  <c r="E10" i="240"/>
  <c r="D12" i="240"/>
  <c r="D11" i="240"/>
  <c r="D10" i="240"/>
  <c r="J69" i="239"/>
  <c r="J68" i="239"/>
  <c r="J67" i="239"/>
  <c r="H69" i="239"/>
  <c r="H68" i="239"/>
  <c r="H67" i="239"/>
  <c r="F69" i="239"/>
  <c r="F68" i="239"/>
  <c r="F67" i="239"/>
  <c r="I65" i="239"/>
  <c r="I64" i="239"/>
  <c r="G65" i="239"/>
  <c r="G64" i="239"/>
  <c r="E65" i="239"/>
  <c r="E64" i="239"/>
  <c r="H24" i="239"/>
  <c r="H27" i="239" s="1"/>
  <c r="J24" i="239"/>
  <c r="J27" i="239" s="1"/>
  <c r="H25" i="239"/>
  <c r="J25" i="239"/>
  <c r="H26" i="239"/>
  <c r="J26" i="239"/>
  <c r="G21" i="239"/>
  <c r="G23" i="239" s="1"/>
  <c r="I21" i="239"/>
  <c r="I23" i="239" s="1"/>
  <c r="G22" i="239"/>
  <c r="I22" i="239"/>
  <c r="J15" i="239"/>
  <c r="J14" i="239"/>
  <c r="J13" i="239"/>
  <c r="H15" i="239"/>
  <c r="H14" i="239"/>
  <c r="H13" i="239"/>
  <c r="F15" i="239"/>
  <c r="F14" i="239"/>
  <c r="F13" i="239"/>
  <c r="I11" i="239"/>
  <c r="I10" i="239"/>
  <c r="G11" i="239"/>
  <c r="G10" i="239"/>
  <c r="E11" i="239"/>
  <c r="E10" i="239"/>
  <c r="H167" i="238"/>
  <c r="I167" i="238" s="1"/>
  <c r="J167" i="238" s="1"/>
  <c r="K167" i="238" s="1"/>
  <c r="L167" i="238" s="1"/>
  <c r="M167" i="238" s="1"/>
  <c r="N167" i="238" s="1"/>
  <c r="O167" i="238" s="1"/>
  <c r="P167" i="238" s="1"/>
  <c r="G167" i="238"/>
  <c r="G166" i="238"/>
  <c r="H166" i="238" s="1"/>
  <c r="I166" i="238" s="1"/>
  <c r="J166" i="238" s="1"/>
  <c r="K166" i="238" s="1"/>
  <c r="L166" i="238" s="1"/>
  <c r="M166" i="238" s="1"/>
  <c r="N166" i="238" s="1"/>
  <c r="O166" i="238" s="1"/>
  <c r="P166" i="238" s="1"/>
  <c r="F167" i="238"/>
  <c r="F166" i="238"/>
  <c r="F165" i="238"/>
  <c r="D164" i="238"/>
  <c r="E164" i="238"/>
  <c r="F164" i="238"/>
  <c r="G164" i="238"/>
  <c r="H164" i="238"/>
  <c r="I164" i="238"/>
  <c r="J164" i="238"/>
  <c r="K164" i="238"/>
  <c r="L164" i="238"/>
  <c r="M164" i="238"/>
  <c r="N164" i="238"/>
  <c r="O164" i="238"/>
  <c r="P164" i="238"/>
  <c r="F135" i="238"/>
  <c r="G137" i="238"/>
  <c r="H137" i="238" s="1"/>
  <c r="I137" i="238" s="1"/>
  <c r="J137" i="238" s="1"/>
  <c r="K137" i="238" s="1"/>
  <c r="L137" i="238" s="1"/>
  <c r="M137" i="238" s="1"/>
  <c r="N137" i="238" s="1"/>
  <c r="O137" i="238" s="1"/>
  <c r="P137" i="238" s="1"/>
  <c r="F137" i="238"/>
  <c r="G136" i="238"/>
  <c r="H136" i="238" s="1"/>
  <c r="I136" i="238" s="1"/>
  <c r="J136" i="238" s="1"/>
  <c r="K136" i="238" s="1"/>
  <c r="L136" i="238" s="1"/>
  <c r="M136" i="238" s="1"/>
  <c r="N136" i="238" s="1"/>
  <c r="O136" i="238" s="1"/>
  <c r="P136" i="238" s="1"/>
  <c r="F136" i="238"/>
  <c r="G134" i="238"/>
  <c r="H134" i="238"/>
  <c r="I134" i="238" s="1"/>
  <c r="J134" i="238" s="1"/>
  <c r="K134" i="238" s="1"/>
  <c r="L134" i="238" s="1"/>
  <c r="M134" i="238" s="1"/>
  <c r="N134" i="238" s="1"/>
  <c r="O134" i="238" s="1"/>
  <c r="P134" i="238" s="1"/>
  <c r="G103" i="238"/>
  <c r="H103" i="238" s="1"/>
  <c r="I103" i="238" s="1"/>
  <c r="J103" i="238" s="1"/>
  <c r="K103" i="238" s="1"/>
  <c r="L103" i="238" s="1"/>
  <c r="M103" i="238" s="1"/>
  <c r="N103" i="238" s="1"/>
  <c r="O103" i="238" s="1"/>
  <c r="P103" i="238" s="1"/>
  <c r="F103" i="238"/>
  <c r="G102" i="238"/>
  <c r="H102" i="238" s="1"/>
  <c r="I102" i="238" s="1"/>
  <c r="J102" i="238" s="1"/>
  <c r="K102" i="238" s="1"/>
  <c r="L102" i="238" s="1"/>
  <c r="M102" i="238" s="1"/>
  <c r="N102" i="238" s="1"/>
  <c r="O102" i="238" s="1"/>
  <c r="P102" i="238" s="1"/>
  <c r="F102" i="238"/>
  <c r="N100" i="238"/>
  <c r="O100" i="238" s="1"/>
  <c r="P100" i="238" s="1"/>
  <c r="G100" i="238"/>
  <c r="H100" i="238" s="1"/>
  <c r="I100" i="238" s="1"/>
  <c r="J100" i="238" s="1"/>
  <c r="K100" i="238" s="1"/>
  <c r="L100" i="238" s="1"/>
  <c r="M100" i="238" s="1"/>
  <c r="E101" i="238"/>
  <c r="F101" i="238"/>
  <c r="D101" i="238"/>
  <c r="C164" i="238"/>
  <c r="E66" i="238"/>
  <c r="F66" i="238"/>
  <c r="F67" i="238" s="1"/>
  <c r="D66" i="238"/>
  <c r="G39" i="238"/>
  <c r="H39" i="238" s="1"/>
  <c r="I39" i="238" s="1"/>
  <c r="J39" i="238" s="1"/>
  <c r="K39" i="238" s="1"/>
  <c r="L39" i="238" s="1"/>
  <c r="M39" i="238" s="1"/>
  <c r="N39" i="238" s="1"/>
  <c r="O39" i="238" s="1"/>
  <c r="P39" i="238" s="1"/>
  <c r="E10" i="238"/>
  <c r="F10" i="238"/>
  <c r="D10" i="238"/>
  <c r="D9" i="238"/>
  <c r="E9" i="238" s="1"/>
  <c r="F9" i="238" s="1"/>
  <c r="G9" i="238" s="1"/>
  <c r="H9" i="238" s="1"/>
  <c r="I9" i="238" s="1"/>
  <c r="J9" i="238" s="1"/>
  <c r="K9" i="238" s="1"/>
  <c r="L9" i="238" s="1"/>
  <c r="M9" i="238" s="1"/>
  <c r="N9" i="238" s="1"/>
  <c r="O9" i="238" s="1"/>
  <c r="P9" i="238" s="1"/>
  <c r="C12" i="238"/>
  <c r="D12" i="238" s="1"/>
  <c r="E12" i="238" s="1"/>
  <c r="F12" i="238" s="1"/>
  <c r="G12" i="238" s="1"/>
  <c r="H12" i="238" s="1"/>
  <c r="I12" i="238" s="1"/>
  <c r="J12" i="238" s="1"/>
  <c r="K12" i="238" s="1"/>
  <c r="L12" i="238" s="1"/>
  <c r="M12" i="238" s="1"/>
  <c r="N12" i="238" s="1"/>
  <c r="O12" i="238" s="1"/>
  <c r="P12" i="238" s="1"/>
  <c r="C11" i="238"/>
  <c r="D11" i="238" s="1"/>
  <c r="E11" i="238" s="1"/>
  <c r="F11" i="238" s="1"/>
  <c r="G11" i="238" s="1"/>
  <c r="H11" i="238" s="1"/>
  <c r="I11" i="238" s="1"/>
  <c r="J11" i="238" s="1"/>
  <c r="K11" i="238" s="1"/>
  <c r="L11" i="238" s="1"/>
  <c r="M11" i="238" s="1"/>
  <c r="N11" i="238" s="1"/>
  <c r="O11" i="238" s="1"/>
  <c r="P11" i="238" s="1"/>
  <c r="E40" i="236"/>
  <c r="F40" i="236"/>
  <c r="I40" i="236"/>
  <c r="J40" i="236"/>
  <c r="M40" i="236"/>
  <c r="N40" i="236"/>
  <c r="Q40" i="236"/>
  <c r="D40" i="236"/>
  <c r="E33" i="236"/>
  <c r="F33" i="236"/>
  <c r="G33" i="236"/>
  <c r="G40" i="236" s="1"/>
  <c r="H33" i="236"/>
  <c r="H40" i="236" s="1"/>
  <c r="I33" i="236"/>
  <c r="J33" i="236"/>
  <c r="K33" i="236"/>
  <c r="K40" i="236" s="1"/>
  <c r="L33" i="236"/>
  <c r="L40" i="236" s="1"/>
  <c r="M33" i="236"/>
  <c r="N33" i="236"/>
  <c r="O33" i="236"/>
  <c r="O40" i="236" s="1"/>
  <c r="P33" i="236"/>
  <c r="P40" i="236" s="1"/>
  <c r="Q33" i="236"/>
  <c r="D33" i="236"/>
  <c r="D52" i="237"/>
  <c r="E52" i="237"/>
  <c r="F52" i="237"/>
  <c r="G52" i="237"/>
  <c r="H52" i="237"/>
  <c r="I52" i="237"/>
  <c r="J52" i="237"/>
  <c r="K52" i="237"/>
  <c r="L52" i="237"/>
  <c r="M52" i="237"/>
  <c r="N52" i="237"/>
  <c r="O52" i="237"/>
  <c r="P52" i="237"/>
  <c r="C52" i="237"/>
  <c r="D65" i="238"/>
  <c r="E65" i="238" s="1"/>
  <c r="F65" i="238" s="1"/>
  <c r="G65" i="238" s="1"/>
  <c r="H65" i="238" s="1"/>
  <c r="I65" i="238" s="1"/>
  <c r="J65" i="238" s="1"/>
  <c r="K65" i="238" s="1"/>
  <c r="L65" i="238" s="1"/>
  <c r="M65" i="238" s="1"/>
  <c r="N65" i="238" s="1"/>
  <c r="O65" i="238" s="1"/>
  <c r="P65" i="238" s="1"/>
  <c r="D100" i="238"/>
  <c r="E100" i="238" s="1"/>
  <c r="F100" i="238" s="1"/>
  <c r="D134" i="238"/>
  <c r="E134" i="238" s="1"/>
  <c r="F134" i="238" s="1"/>
  <c r="D86" i="237"/>
  <c r="D85" i="237"/>
  <c r="D84" i="237"/>
  <c r="D83" i="237"/>
  <c r="C86" i="237"/>
  <c r="C85" i="237"/>
  <c r="C84" i="237"/>
  <c r="C83" i="237"/>
  <c r="D9" i="237"/>
  <c r="E9" i="237" s="1"/>
  <c r="F9" i="237" s="1"/>
  <c r="G9" i="237" s="1"/>
  <c r="H9" i="237" s="1"/>
  <c r="I9" i="237" s="1"/>
  <c r="J9" i="237" s="1"/>
  <c r="K9" i="237" s="1"/>
  <c r="L9" i="237" s="1"/>
  <c r="M9" i="237" s="1"/>
  <c r="N9" i="237" s="1"/>
  <c r="O9" i="237" s="1"/>
  <c r="O16" i="237" s="1"/>
  <c r="F12" i="237"/>
  <c r="F13" i="237"/>
  <c r="E10" i="237"/>
  <c r="F10" i="237"/>
  <c r="F11" i="237"/>
  <c r="E13" i="237"/>
  <c r="E12" i="237"/>
  <c r="CI14" i="163"/>
  <c r="CX14" i="163"/>
  <c r="CX13" i="163"/>
  <c r="D13" i="237"/>
  <c r="D12" i="237"/>
  <c r="D11" i="237"/>
  <c r="D10" i="237"/>
  <c r="G37" i="236"/>
  <c r="G36" i="236"/>
  <c r="F37" i="236"/>
  <c r="F36" i="236"/>
  <c r="E37" i="236"/>
  <c r="E36" i="236"/>
  <c r="G35" i="236"/>
  <c r="F35" i="236"/>
  <c r="E35" i="236"/>
  <c r="G34" i="236"/>
  <c r="F34" i="236"/>
  <c r="E34" i="236"/>
  <c r="C44" i="236"/>
  <c r="C43" i="236"/>
  <c r="C42" i="236"/>
  <c r="C41" i="236"/>
  <c r="C37" i="236"/>
  <c r="C36" i="236"/>
  <c r="C35" i="236"/>
  <c r="C34" i="236"/>
  <c r="D43" i="236"/>
  <c r="N16" i="237" l="1"/>
  <c r="M16" i="237"/>
  <c r="P9" i="237"/>
  <c r="L16" i="237"/>
  <c r="K16" i="237"/>
  <c r="J16" i="237"/>
  <c r="G16" i="237"/>
  <c r="I16" i="237"/>
  <c r="H16" i="237"/>
  <c r="F41" i="236"/>
  <c r="E43" i="236"/>
  <c r="E42" i="236"/>
  <c r="F42" i="236"/>
  <c r="D44" i="236"/>
  <c r="D41" i="236"/>
  <c r="G42" i="236"/>
  <c r="E44" i="236"/>
  <c r="G44" i="236"/>
  <c r="G41" i="236"/>
  <c r="F43" i="236"/>
  <c r="F44" i="236"/>
  <c r="D42" i="236"/>
  <c r="G43" i="236"/>
  <c r="E41" i="236"/>
  <c r="P16" i="237" l="1"/>
  <c r="G14" i="206" l="1"/>
  <c r="G15" i="206"/>
  <c r="G9" i="206"/>
  <c r="E141" i="236"/>
  <c r="F141" i="236"/>
  <c r="G141" i="236"/>
  <c r="D141" i="236"/>
  <c r="E6" i="236"/>
  <c r="F6" i="236"/>
  <c r="G6" i="236"/>
  <c r="H97" i="236"/>
  <c r="I97" i="236"/>
  <c r="J97" i="236"/>
  <c r="K97" i="236"/>
  <c r="L97" i="236"/>
  <c r="M97" i="236"/>
  <c r="N97" i="236"/>
  <c r="O97" i="236"/>
  <c r="P97" i="236"/>
  <c r="Q97" i="236"/>
  <c r="G97" i="236"/>
  <c r="B57" i="240"/>
  <c r="C57" i="240"/>
  <c r="C58" i="240"/>
  <c r="C59" i="240"/>
  <c r="C62" i="239"/>
  <c r="E62" i="239"/>
  <c r="E73" i="239" s="1"/>
  <c r="G62" i="239"/>
  <c r="G73" i="239" s="1"/>
  <c r="I62" i="239"/>
  <c r="I73" i="239" s="1"/>
  <c r="C64" i="239"/>
  <c r="D68" i="239"/>
  <c r="C73" i="239"/>
  <c r="B10" i="238"/>
  <c r="B101" i="238"/>
  <c r="B135" i="238"/>
  <c r="B165" i="238"/>
  <c r="D14" i="237"/>
  <c r="D20" i="237" s="1"/>
  <c r="D16" i="237"/>
  <c r="E16" i="237"/>
  <c r="F16" i="237"/>
  <c r="C57" i="236"/>
  <c r="C58" i="236"/>
  <c r="C59" i="236"/>
  <c r="C60" i="236"/>
  <c r="C61" i="236"/>
  <c r="D97" i="236"/>
  <c r="E97" i="236"/>
  <c r="F97" i="236"/>
  <c r="C98" i="236"/>
  <c r="C99" i="236"/>
  <c r="C100" i="236"/>
  <c r="C101" i="236"/>
  <c r="C102" i="236"/>
  <c r="D134" i="236"/>
  <c r="E134" i="236"/>
  <c r="F134" i="236"/>
  <c r="G134" i="236" s="1"/>
  <c r="G144" i="236" s="1"/>
  <c r="G164" i="236" s="1"/>
  <c r="G174" i="236" s="1"/>
  <c r="C135" i="236"/>
  <c r="C136" i="236"/>
  <c r="C137" i="236"/>
  <c r="C138" i="236"/>
  <c r="C139" i="236"/>
  <c r="C140" i="236"/>
  <c r="D144" i="236"/>
  <c r="E144" i="236"/>
  <c r="F144" i="236"/>
  <c r="C145" i="236"/>
  <c r="C146" i="236"/>
  <c r="C147" i="236"/>
  <c r="C148" i="236"/>
  <c r="C149" i="236"/>
  <c r="C150" i="236"/>
  <c r="D164" i="236"/>
  <c r="E164" i="236"/>
  <c r="F164" i="236"/>
  <c r="C165" i="236"/>
  <c r="C175" i="236" s="1"/>
  <c r="G165" i="236"/>
  <c r="C166" i="236"/>
  <c r="C176" i="236" s="1"/>
  <c r="G166" i="236"/>
  <c r="C167" i="236"/>
  <c r="C177" i="236" s="1"/>
  <c r="G167" i="236"/>
  <c r="C168" i="236"/>
  <c r="C178" i="236" s="1"/>
  <c r="G168" i="236"/>
  <c r="C169" i="236"/>
  <c r="C179" i="236" s="1"/>
  <c r="G169" i="236"/>
  <c r="C170" i="236"/>
  <c r="C180" i="236" s="1"/>
  <c r="G170" i="236"/>
  <c r="D174" i="236"/>
  <c r="E174" i="236"/>
  <c r="F174" i="236"/>
  <c r="C17" i="5"/>
  <c r="D14" i="56"/>
  <c r="Y26" i="143"/>
  <c r="F58" i="213"/>
  <c r="H57" i="213"/>
  <c r="G57" i="213"/>
  <c r="F57" i="213"/>
  <c r="F56" i="213"/>
  <c r="G55" i="213"/>
  <c r="H55" i="213"/>
  <c r="F55" i="213"/>
  <c r="H54" i="213"/>
  <c r="G54" i="213"/>
  <c r="F54" i="213"/>
  <c r="H53" i="213"/>
  <c r="G53" i="213"/>
  <c r="F53" i="213"/>
  <c r="F52" i="213"/>
  <c r="G45" i="213"/>
  <c r="H45" i="213"/>
  <c r="F45" i="213"/>
  <c r="H38" i="213"/>
  <c r="G38" i="213"/>
  <c r="F38" i="213"/>
  <c r="F37" i="213"/>
  <c r="J15" i="190"/>
  <c r="K15" i="190"/>
  <c r="L15" i="190"/>
  <c r="I15" i="190"/>
  <c r="E15" i="190"/>
  <c r="F15" i="190"/>
  <c r="G15" i="190"/>
  <c r="D15" i="190"/>
  <c r="K13" i="143"/>
  <c r="F36" i="213" s="1"/>
  <c r="H35" i="213"/>
  <c r="G35" i="213"/>
  <c r="F35" i="213"/>
  <c r="G29" i="213"/>
  <c r="H29" i="213"/>
  <c r="F29" i="213"/>
  <c r="H23" i="213"/>
  <c r="G23" i="213"/>
  <c r="F23" i="213"/>
  <c r="G17" i="213"/>
  <c r="H17" i="213"/>
  <c r="F17" i="213"/>
  <c r="H11" i="213"/>
  <c r="G11" i="213"/>
  <c r="F11" i="213"/>
  <c r="H5" i="213"/>
  <c r="G5" i="213"/>
  <c r="F5" i="213"/>
  <c r="G39" i="183"/>
  <c r="G40" i="183"/>
  <c r="G41" i="183"/>
  <c r="G42" i="183"/>
  <c r="G43" i="183"/>
  <c r="G44" i="183"/>
  <c r="G45" i="183"/>
  <c r="G46" i="183"/>
  <c r="G47" i="183"/>
  <c r="G38" i="183"/>
  <c r="F39" i="183"/>
  <c r="F40" i="183"/>
  <c r="F41" i="183"/>
  <c r="F42" i="183"/>
  <c r="F43" i="183"/>
  <c r="F44" i="183"/>
  <c r="F45" i="183"/>
  <c r="F46" i="183"/>
  <c r="F47" i="183"/>
  <c r="F38" i="183"/>
  <c r="E39" i="183"/>
  <c r="E40" i="183"/>
  <c r="E41" i="183"/>
  <c r="E42" i="183"/>
  <c r="E43" i="183"/>
  <c r="E44" i="183"/>
  <c r="E45" i="183"/>
  <c r="E46" i="183"/>
  <c r="E47" i="183"/>
  <c r="E38" i="183"/>
  <c r="D39" i="183"/>
  <c r="D40" i="183"/>
  <c r="D41" i="183"/>
  <c r="D42" i="183"/>
  <c r="D43" i="183"/>
  <c r="D44" i="183"/>
  <c r="D45" i="183"/>
  <c r="D46" i="183"/>
  <c r="D47" i="183"/>
  <c r="D38" i="183"/>
  <c r="C39" i="183"/>
  <c r="C40" i="183"/>
  <c r="C41" i="183"/>
  <c r="C42" i="183"/>
  <c r="C43" i="183"/>
  <c r="C44" i="183"/>
  <c r="C45" i="183"/>
  <c r="C46" i="183"/>
  <c r="C47" i="183"/>
  <c r="C38" i="183"/>
  <c r="G8" i="183"/>
  <c r="G9" i="183"/>
  <c r="G10" i="183"/>
  <c r="G11" i="183"/>
  <c r="G12" i="183"/>
  <c r="G13" i="183"/>
  <c r="G14" i="183"/>
  <c r="G15" i="183"/>
  <c r="G16" i="183"/>
  <c r="G7" i="183"/>
  <c r="F8" i="183"/>
  <c r="F9" i="183"/>
  <c r="F10" i="183"/>
  <c r="F11" i="183"/>
  <c r="F12" i="183"/>
  <c r="F13" i="183"/>
  <c r="F14" i="183"/>
  <c r="F15" i="183"/>
  <c r="F16" i="183"/>
  <c r="F7" i="183"/>
  <c r="E8" i="183"/>
  <c r="E9" i="183"/>
  <c r="E10" i="183"/>
  <c r="E11" i="183"/>
  <c r="E12" i="183"/>
  <c r="E13" i="183"/>
  <c r="E14" i="183"/>
  <c r="E15" i="183"/>
  <c r="E16" i="183"/>
  <c r="E7" i="183"/>
  <c r="E6" i="183"/>
  <c r="D8" i="183"/>
  <c r="D9" i="183"/>
  <c r="D10" i="183"/>
  <c r="D11" i="183"/>
  <c r="D12" i="183"/>
  <c r="D13" i="183"/>
  <c r="D14" i="183"/>
  <c r="D15" i="183"/>
  <c r="D16" i="183"/>
  <c r="D7" i="183"/>
  <c r="D6" i="183"/>
  <c r="C8" i="183"/>
  <c r="C9" i="183"/>
  <c r="C10" i="183"/>
  <c r="C11" i="183"/>
  <c r="C12" i="183"/>
  <c r="C13" i="183"/>
  <c r="C14" i="183"/>
  <c r="C15" i="183"/>
  <c r="C16" i="183"/>
  <c r="C7" i="183"/>
  <c r="B8" i="183"/>
  <c r="B9" i="183"/>
  <c r="B10" i="183"/>
  <c r="B11" i="183"/>
  <c r="B12" i="183"/>
  <c r="B13" i="183"/>
  <c r="B14" i="183"/>
  <c r="B15" i="183"/>
  <c r="B16" i="183"/>
  <c r="B7" i="183"/>
  <c r="C6" i="183"/>
  <c r="CC5" i="233"/>
  <c r="CA5" i="233"/>
  <c r="BW5" i="233"/>
  <c r="B5" i="182" s="1"/>
  <c r="BV5" i="233"/>
  <c r="BT5" i="233"/>
  <c r="BO5" i="233"/>
  <c r="BN5" i="233"/>
  <c r="BM5" i="233"/>
  <c r="BK5" i="233"/>
  <c r="BJ5" i="233"/>
  <c r="BH5" i="233"/>
  <c r="BF5" i="233"/>
  <c r="BE5" i="233"/>
  <c r="BA5" i="233"/>
  <c r="AZ5" i="233"/>
  <c r="AV5" i="233"/>
  <c r="AT5" i="233"/>
  <c r="AS5" i="233"/>
  <c r="AR5" i="233"/>
  <c r="AP5" i="233"/>
  <c r="AO5" i="233"/>
  <c r="AK5" i="233"/>
  <c r="AJ5" i="233"/>
  <c r="AH5" i="233"/>
  <c r="AG5" i="233"/>
  <c r="AF5" i="233"/>
  <c r="AD5" i="233"/>
  <c r="B6" i="182" s="1"/>
  <c r="B17" i="182" s="1"/>
  <c r="AC5" i="233"/>
  <c r="AA5" i="233"/>
  <c r="Y5" i="233"/>
  <c r="Z5" i="233"/>
  <c r="S5" i="233"/>
  <c r="Q5" i="233"/>
  <c r="B10" i="182" s="1"/>
  <c r="K5" i="233"/>
  <c r="B7" i="182"/>
  <c r="CC16" i="234"/>
  <c r="BV16" i="234"/>
  <c r="BT16" i="234"/>
  <c r="BS16" i="234"/>
  <c r="BK16" i="234" s="1"/>
  <c r="BQ16" i="234"/>
  <c r="BO16" i="234"/>
  <c r="BP16" i="234" s="1"/>
  <c r="BN16" i="234"/>
  <c r="BM16" i="234"/>
  <c r="BE16" i="234"/>
  <c r="BA16" i="234"/>
  <c r="AZ16" i="234"/>
  <c r="BH16" i="234" s="1"/>
  <c r="CA16" i="234" s="1"/>
  <c r="AV16" i="234"/>
  <c r="CF16" i="234" s="1"/>
  <c r="AU16" i="234"/>
  <c r="AT16" i="234"/>
  <c r="AS16" i="234"/>
  <c r="AR16" i="234"/>
  <c r="AP16" i="234"/>
  <c r="AQ16" i="234" s="1"/>
  <c r="CQ16" i="234" s="1"/>
  <c r="AO16" i="234"/>
  <c r="AM16" i="234"/>
  <c r="AK16" i="234"/>
  <c r="AJ16" i="234"/>
  <c r="AH16" i="234"/>
  <c r="AG16" i="234"/>
  <c r="AF16" i="234"/>
  <c r="CG16" i="234" s="1"/>
  <c r="AD16" i="234"/>
  <c r="CU16" i="234" s="1"/>
  <c r="AC16" i="234"/>
  <c r="AA16" i="234"/>
  <c r="AB16" i="234" s="1"/>
  <c r="Z16" i="234"/>
  <c r="Y16" i="234"/>
  <c r="X16" i="234"/>
  <c r="W16" i="234"/>
  <c r="S16" i="234"/>
  <c r="AL16" i="234" s="1"/>
  <c r="Q16" i="234"/>
  <c r="N16" i="234"/>
  <c r="K16" i="234"/>
  <c r="J16" i="234"/>
  <c r="I16" i="234"/>
  <c r="DF16" i="234" s="1"/>
  <c r="H16" i="234"/>
  <c r="G16" i="234"/>
  <c r="F16" i="234"/>
  <c r="E16" i="234"/>
  <c r="D16" i="234"/>
  <c r="C16" i="234"/>
  <c r="DF15" i="234"/>
  <c r="CH15" i="234"/>
  <c r="CC15" i="234"/>
  <c r="BV15" i="234"/>
  <c r="BT15" i="234"/>
  <c r="BS15" i="234"/>
  <c r="BQ15" i="234"/>
  <c r="BO15" i="234"/>
  <c r="BP15" i="234" s="1"/>
  <c r="BN15" i="234"/>
  <c r="BM15" i="234"/>
  <c r="BK15" i="234"/>
  <c r="BJ15" i="234"/>
  <c r="BE15" i="234"/>
  <c r="BA15" i="234"/>
  <c r="AZ15" i="234"/>
  <c r="BH15" i="234" s="1"/>
  <c r="CA15" i="234" s="1"/>
  <c r="AV15" i="234"/>
  <c r="CF15" i="234" s="1"/>
  <c r="AT15" i="234"/>
  <c r="AU15" i="234" s="1"/>
  <c r="AS15" i="234"/>
  <c r="AR15" i="234"/>
  <c r="AQ15" i="234"/>
  <c r="AP15" i="234"/>
  <c r="AO15" i="234"/>
  <c r="AL15" i="234"/>
  <c r="AK15" i="234"/>
  <c r="AJ15" i="234"/>
  <c r="AI15" i="234"/>
  <c r="AH15" i="234"/>
  <c r="AG15" i="234"/>
  <c r="AF15" i="234"/>
  <c r="CG15" i="234" s="1"/>
  <c r="AD15" i="234"/>
  <c r="AC15" i="234"/>
  <c r="DC15" i="234" s="1"/>
  <c r="AA15" i="234"/>
  <c r="AB15" i="234" s="1"/>
  <c r="Z15" i="234"/>
  <c r="Y15" i="234"/>
  <c r="X15" i="234"/>
  <c r="W15" i="234"/>
  <c r="V15" i="234"/>
  <c r="S15" i="234"/>
  <c r="T15" i="234" s="1"/>
  <c r="Q15" i="234"/>
  <c r="N15" i="234"/>
  <c r="K15" i="234"/>
  <c r="J15" i="234"/>
  <c r="I15" i="234"/>
  <c r="H15" i="234"/>
  <c r="G15" i="234"/>
  <c r="F15" i="234"/>
  <c r="E15" i="234"/>
  <c r="D15" i="234"/>
  <c r="C15" i="234"/>
  <c r="CG14" i="234"/>
  <c r="CE14" i="234"/>
  <c r="CC14" i="234"/>
  <c r="BV14" i="234"/>
  <c r="BT14" i="234"/>
  <c r="BS14" i="234"/>
  <c r="BQ14" i="234"/>
  <c r="BO14" i="234"/>
  <c r="BP14" i="234" s="1"/>
  <c r="BN14" i="234"/>
  <c r="BM14" i="234"/>
  <c r="BK14" i="234"/>
  <c r="BE14" i="234"/>
  <c r="BA14" i="234"/>
  <c r="AZ14" i="234"/>
  <c r="BH14" i="234" s="1"/>
  <c r="CA14" i="234" s="1"/>
  <c r="AV14" i="234"/>
  <c r="AT14" i="234"/>
  <c r="AS14" i="234"/>
  <c r="AU14" i="234" s="1"/>
  <c r="AR14" i="234"/>
  <c r="AP14" i="234"/>
  <c r="AQ14" i="234" s="1"/>
  <c r="CQ14" i="234" s="1"/>
  <c r="AO14" i="234"/>
  <c r="AM14" i="234"/>
  <c r="AK14" i="234"/>
  <c r="AJ14" i="234"/>
  <c r="CF14" i="234" s="1"/>
  <c r="AH14" i="234"/>
  <c r="AG14" i="234"/>
  <c r="AF14" i="234"/>
  <c r="AD14" i="234"/>
  <c r="CU14" i="234" s="1"/>
  <c r="AC14" i="234"/>
  <c r="AA14" i="234"/>
  <c r="Z14" i="234"/>
  <c r="AB14" i="234" s="1"/>
  <c r="Y14" i="234"/>
  <c r="X14" i="234"/>
  <c r="W14" i="234"/>
  <c r="T14" i="234"/>
  <c r="V14" i="234" s="1"/>
  <c r="S14" i="234"/>
  <c r="Q14" i="234"/>
  <c r="N14" i="234"/>
  <c r="K14" i="234"/>
  <c r="J14" i="234"/>
  <c r="I14" i="234"/>
  <c r="H14" i="234"/>
  <c r="G14" i="234"/>
  <c r="F14" i="234"/>
  <c r="E14" i="234"/>
  <c r="D14" i="234"/>
  <c r="C14" i="234"/>
  <c r="CH13" i="234"/>
  <c r="CC13" i="234"/>
  <c r="BV13" i="234"/>
  <c r="BK13" i="234" s="1"/>
  <c r="BT13" i="234"/>
  <c r="BS13" i="234"/>
  <c r="BQ13" i="234"/>
  <c r="BP13" i="234"/>
  <c r="BO13" i="234"/>
  <c r="BN13" i="234"/>
  <c r="BM13" i="234"/>
  <c r="BJ13" i="234"/>
  <c r="BH13" i="234"/>
  <c r="CA13" i="234" s="1"/>
  <c r="BE13" i="234"/>
  <c r="BA13" i="234"/>
  <c r="AZ13" i="234"/>
  <c r="AV13" i="234"/>
  <c r="CE13" i="234" s="1"/>
  <c r="AT13" i="234"/>
  <c r="AU13" i="234" s="1"/>
  <c r="AS13" i="234"/>
  <c r="AR13" i="234"/>
  <c r="AP13" i="234"/>
  <c r="AO13" i="234"/>
  <c r="AQ13" i="234" s="1"/>
  <c r="AK13" i="234"/>
  <c r="AJ13" i="234"/>
  <c r="AL13" i="234" s="1"/>
  <c r="AH13" i="234"/>
  <c r="AG13" i="234"/>
  <c r="AF13" i="234"/>
  <c r="CG13" i="234" s="1"/>
  <c r="AD13" i="234"/>
  <c r="CU13" i="234" s="1"/>
  <c r="AC13" i="234"/>
  <c r="DC13" i="234" s="1"/>
  <c r="AB13" i="234"/>
  <c r="AA13" i="234"/>
  <c r="Z13" i="234"/>
  <c r="Y13" i="234"/>
  <c r="X13" i="234"/>
  <c r="W13" i="234"/>
  <c r="T13" i="234"/>
  <c r="S13" i="234"/>
  <c r="BL13" i="234" s="1"/>
  <c r="Q13" i="234"/>
  <c r="AI13" i="234" s="1"/>
  <c r="N13" i="234"/>
  <c r="K13" i="234"/>
  <c r="J13" i="234"/>
  <c r="I13" i="234"/>
  <c r="DB13" i="234" s="1"/>
  <c r="H13" i="234"/>
  <c r="G13" i="234"/>
  <c r="F13" i="234"/>
  <c r="E13" i="234"/>
  <c r="D13" i="234"/>
  <c r="C13" i="234"/>
  <c r="DC12" i="234"/>
  <c r="CU12" i="234"/>
  <c r="CG12" i="234"/>
  <c r="CE12" i="234"/>
  <c r="CC12" i="234"/>
  <c r="BV12" i="234"/>
  <c r="BK12" i="234" s="1"/>
  <c r="BT12" i="234"/>
  <c r="BS12" i="234"/>
  <c r="BQ12" i="234"/>
  <c r="BO12" i="234"/>
  <c r="BP12" i="234" s="1"/>
  <c r="BN12" i="234"/>
  <c r="BM12" i="234"/>
  <c r="BE12" i="234"/>
  <c r="BA12" i="234"/>
  <c r="AZ12" i="234"/>
  <c r="BH12" i="234" s="1"/>
  <c r="CA12" i="234" s="1"/>
  <c r="AV12" i="234"/>
  <c r="BF12" i="234" s="1"/>
  <c r="BW12" i="234" s="1"/>
  <c r="AT12" i="234"/>
  <c r="AU12" i="234" s="1"/>
  <c r="AS12" i="234"/>
  <c r="AR12" i="234"/>
  <c r="AQ12" i="234"/>
  <c r="AP12" i="234"/>
  <c r="AO12" i="234"/>
  <c r="AK12" i="234"/>
  <c r="AJ12" i="234"/>
  <c r="AI12" i="234"/>
  <c r="AH12" i="234"/>
  <c r="AG12" i="234"/>
  <c r="AF12" i="234"/>
  <c r="AD12" i="234"/>
  <c r="AC12" i="234"/>
  <c r="AA12" i="234"/>
  <c r="AB12" i="234" s="1"/>
  <c r="Z12" i="234"/>
  <c r="Y12" i="234"/>
  <c r="X12" i="234"/>
  <c r="W12" i="234"/>
  <c r="S12" i="234"/>
  <c r="Q12" i="234"/>
  <c r="CR12" i="234" s="1"/>
  <c r="N12" i="234"/>
  <c r="K12" i="234"/>
  <c r="J12" i="234"/>
  <c r="I12" i="234"/>
  <c r="H12" i="234"/>
  <c r="G12" i="234"/>
  <c r="F12" i="234"/>
  <c r="E12" i="234"/>
  <c r="D12" i="234"/>
  <c r="C12" i="234"/>
  <c r="DB11" i="234"/>
  <c r="CD11" i="234"/>
  <c r="CC11" i="234"/>
  <c r="BV11" i="234"/>
  <c r="BK11" i="234" s="1"/>
  <c r="BT11" i="234"/>
  <c r="BS11" i="234"/>
  <c r="BQ11" i="234"/>
  <c r="BP11" i="234"/>
  <c r="BO11" i="234"/>
  <c r="BN11" i="234"/>
  <c r="BM11" i="234"/>
  <c r="BF11" i="234"/>
  <c r="BE11" i="234"/>
  <c r="BA11" i="234"/>
  <c r="AZ11" i="234"/>
  <c r="AM11" i="234" s="1"/>
  <c r="AX11" i="234"/>
  <c r="AV11" i="234"/>
  <c r="CE11" i="234" s="1"/>
  <c r="AU11" i="234"/>
  <c r="AT11" i="234"/>
  <c r="AS11" i="234"/>
  <c r="AR11" i="234"/>
  <c r="AP11" i="234"/>
  <c r="AQ11" i="234" s="1"/>
  <c r="AO11" i="234"/>
  <c r="AK11" i="234"/>
  <c r="AJ11" i="234"/>
  <c r="CF11" i="234" s="1"/>
  <c r="AH11" i="234"/>
  <c r="AG11" i="234"/>
  <c r="AF11" i="234"/>
  <c r="CG11" i="234" s="1"/>
  <c r="AD11" i="234"/>
  <c r="AC11" i="234"/>
  <c r="CY11" i="234" s="1"/>
  <c r="AA11" i="234"/>
  <c r="Z11" i="234"/>
  <c r="AB11" i="234" s="1"/>
  <c r="Y11" i="234"/>
  <c r="X11" i="234"/>
  <c r="W11" i="234"/>
  <c r="T11" i="234"/>
  <c r="S11" i="234"/>
  <c r="Q11" i="234"/>
  <c r="CR11" i="234" s="1"/>
  <c r="N11" i="234"/>
  <c r="L11" i="234"/>
  <c r="K11" i="234"/>
  <c r="J11" i="234"/>
  <c r="I11" i="234"/>
  <c r="DF11" i="234" s="1"/>
  <c r="H11" i="234"/>
  <c r="G11" i="234"/>
  <c r="F11" i="234"/>
  <c r="E11" i="234"/>
  <c r="D11" i="234"/>
  <c r="C11" i="234"/>
  <c r="DC10" i="234"/>
  <c r="CH10" i="234"/>
  <c r="CE10" i="234"/>
  <c r="CC10" i="234"/>
  <c r="BV10" i="234"/>
  <c r="BK10" i="234" s="1"/>
  <c r="BT10" i="234"/>
  <c r="BS10" i="234"/>
  <c r="BQ10" i="234"/>
  <c r="BO10" i="234"/>
  <c r="BP10" i="234" s="1"/>
  <c r="BN10" i="234"/>
  <c r="BM10" i="234"/>
  <c r="BJ10" i="234"/>
  <c r="BE10" i="234"/>
  <c r="BA10" i="234"/>
  <c r="AZ10" i="234"/>
  <c r="BH10" i="234" s="1"/>
  <c r="CA10" i="234" s="1"/>
  <c r="AV10" i="234"/>
  <c r="AM10" i="234" s="1"/>
  <c r="AT10" i="234"/>
  <c r="AU10" i="234" s="1"/>
  <c r="AS10" i="234"/>
  <c r="AR10" i="234"/>
  <c r="AP10" i="234"/>
  <c r="AO10" i="234"/>
  <c r="AQ10" i="234" s="1"/>
  <c r="AK10" i="234"/>
  <c r="AJ10" i="234"/>
  <c r="AH10" i="234"/>
  <c r="AG10" i="234"/>
  <c r="AF10" i="234"/>
  <c r="CG10" i="234" s="1"/>
  <c r="AD10" i="234"/>
  <c r="AC10" i="234"/>
  <c r="AA10" i="234"/>
  <c r="AB10" i="234" s="1"/>
  <c r="Z10" i="234"/>
  <c r="Y10" i="234"/>
  <c r="X10" i="234"/>
  <c r="W10" i="234"/>
  <c r="S10" i="234"/>
  <c r="Q10" i="234"/>
  <c r="AI10" i="234" s="1"/>
  <c r="N10" i="234"/>
  <c r="K10" i="234"/>
  <c r="J10" i="234"/>
  <c r="I10" i="234"/>
  <c r="H10" i="234"/>
  <c r="G10" i="234"/>
  <c r="F10" i="234"/>
  <c r="E10" i="234"/>
  <c r="D10" i="234"/>
  <c r="C10" i="234"/>
  <c r="CE9" i="234"/>
  <c r="CC9" i="234"/>
  <c r="BW9" i="234"/>
  <c r="BV9" i="234"/>
  <c r="BK9" i="234" s="1"/>
  <c r="BT9" i="234"/>
  <c r="BR9" i="234" s="1"/>
  <c r="BS9" i="234"/>
  <c r="BQ9" i="234"/>
  <c r="BO9" i="234"/>
  <c r="BP9" i="234" s="1"/>
  <c r="BN9" i="234"/>
  <c r="BM9" i="234"/>
  <c r="BF9" i="234"/>
  <c r="CN9" i="234" s="1"/>
  <c r="BE9" i="234"/>
  <c r="BA9" i="234"/>
  <c r="AZ9" i="234"/>
  <c r="BH9" i="234" s="1"/>
  <c r="CA9" i="234" s="1"/>
  <c r="AX9" i="234"/>
  <c r="AV9" i="234"/>
  <c r="CF9" i="234" s="1"/>
  <c r="AT9" i="234"/>
  <c r="AU9" i="234" s="1"/>
  <c r="AS9" i="234"/>
  <c r="AR9" i="234"/>
  <c r="AQ9" i="234"/>
  <c r="AP9" i="234"/>
  <c r="AO9" i="234"/>
  <c r="AK9" i="234"/>
  <c r="AJ9" i="234"/>
  <c r="AI9" i="234"/>
  <c r="AH9" i="234"/>
  <c r="AG9" i="234"/>
  <c r="AF9" i="234"/>
  <c r="CG9" i="234" s="1"/>
  <c r="AD9" i="234"/>
  <c r="CU9" i="234" s="1"/>
  <c r="AC9" i="234"/>
  <c r="AA9" i="234"/>
  <c r="AB9" i="234" s="1"/>
  <c r="Z9" i="234"/>
  <c r="Y9" i="234"/>
  <c r="X9" i="234"/>
  <c r="W9" i="234"/>
  <c r="S9" i="234"/>
  <c r="Q9" i="234"/>
  <c r="N9" i="234"/>
  <c r="K9" i="234"/>
  <c r="CZ9" i="234" s="1"/>
  <c r="J9" i="234"/>
  <c r="I9" i="234"/>
  <c r="H9" i="234"/>
  <c r="G9" i="234"/>
  <c r="F9" i="234"/>
  <c r="E9" i="234"/>
  <c r="D9" i="234"/>
  <c r="C9" i="234"/>
  <c r="CZ8" i="234"/>
  <c r="CC8" i="234"/>
  <c r="BV8" i="234"/>
  <c r="BK8" i="234" s="1"/>
  <c r="BT8" i="234"/>
  <c r="BS8" i="234"/>
  <c r="BQ8" i="234"/>
  <c r="BO8" i="234"/>
  <c r="BP8" i="234" s="1"/>
  <c r="DB8" i="234" s="1"/>
  <c r="BN8" i="234"/>
  <c r="BM8" i="234"/>
  <c r="BF8" i="234"/>
  <c r="BE8" i="234"/>
  <c r="BA8" i="234"/>
  <c r="AZ8" i="234"/>
  <c r="BH8" i="234" s="1"/>
  <c r="CA8" i="234" s="1"/>
  <c r="AX8" i="234"/>
  <c r="AV8" i="234"/>
  <c r="CF8" i="234" s="1"/>
  <c r="AU8" i="234"/>
  <c r="AT8" i="234"/>
  <c r="AS8" i="234"/>
  <c r="AR8" i="234"/>
  <c r="AP8" i="234"/>
  <c r="AQ8" i="234" s="1"/>
  <c r="AO8" i="234"/>
  <c r="AK8" i="234"/>
  <c r="AJ8" i="234"/>
  <c r="AH8" i="234"/>
  <c r="AG8" i="234"/>
  <c r="AF8" i="234"/>
  <c r="CG8" i="234" s="1"/>
  <c r="AD8" i="234"/>
  <c r="AC8" i="234"/>
  <c r="DC8" i="234" s="1"/>
  <c r="AA8" i="234"/>
  <c r="Z8" i="234"/>
  <c r="Y8" i="234"/>
  <c r="X8" i="234"/>
  <c r="W8" i="234"/>
  <c r="S8" i="234"/>
  <c r="AL8" i="234" s="1"/>
  <c r="Q8" i="234"/>
  <c r="CV8" i="234" s="1"/>
  <c r="N8" i="234"/>
  <c r="K8" i="234"/>
  <c r="J8" i="234"/>
  <c r="I8" i="234"/>
  <c r="DD8" i="234" s="1"/>
  <c r="H8" i="234"/>
  <c r="G8" i="234"/>
  <c r="F8" i="234"/>
  <c r="E8" i="234"/>
  <c r="D8" i="234"/>
  <c r="C8" i="234"/>
  <c r="CC7" i="234"/>
  <c r="BV7" i="234"/>
  <c r="BT7" i="234"/>
  <c r="BS7" i="234"/>
  <c r="BS17" i="234" s="1"/>
  <c r="BQ7" i="234"/>
  <c r="BQ17" i="234" s="1"/>
  <c r="BP7" i="234"/>
  <c r="BO7" i="234"/>
  <c r="BN7" i="234"/>
  <c r="BM7" i="234"/>
  <c r="BM17" i="234" s="1"/>
  <c r="BK7" i="234"/>
  <c r="BE7" i="234"/>
  <c r="BE17" i="234" s="1"/>
  <c r="BA7" i="234"/>
  <c r="BA17" i="234" s="1"/>
  <c r="AZ7" i="234"/>
  <c r="AZ17" i="234" s="1"/>
  <c r="AV7" i="234"/>
  <c r="CF7" i="234" s="1"/>
  <c r="AU7" i="234"/>
  <c r="AT7" i="234"/>
  <c r="AT17" i="234" s="1"/>
  <c r="AS7" i="234"/>
  <c r="AS17" i="234" s="1"/>
  <c r="AR7" i="234"/>
  <c r="AR17" i="234" s="1"/>
  <c r="AP7" i="234"/>
  <c r="AO7" i="234"/>
  <c r="AO17" i="234" s="1"/>
  <c r="AM7" i="234"/>
  <c r="AL7" i="234"/>
  <c r="AK7" i="234"/>
  <c r="AK17" i="234" s="1"/>
  <c r="AJ7" i="234"/>
  <c r="AJ17" i="234" s="1"/>
  <c r="AH7" i="234"/>
  <c r="AG7" i="234"/>
  <c r="AG17" i="234" s="1"/>
  <c r="AF7" i="234"/>
  <c r="CG7" i="234" s="1"/>
  <c r="CG17" i="234" s="1"/>
  <c r="AD7" i="234"/>
  <c r="AC7" i="234"/>
  <c r="AC17" i="234" s="1"/>
  <c r="AA7" i="234"/>
  <c r="Z7" i="234"/>
  <c r="Y7" i="234"/>
  <c r="Y17" i="234" s="1"/>
  <c r="X7" i="234"/>
  <c r="X17" i="234" s="1"/>
  <c r="W7" i="234"/>
  <c r="W17" i="234" s="1"/>
  <c r="S7" i="234"/>
  <c r="Q7" i="234"/>
  <c r="N7" i="234"/>
  <c r="K7" i="234"/>
  <c r="J7" i="234"/>
  <c r="I7" i="234"/>
  <c r="H7" i="234"/>
  <c r="G7" i="234"/>
  <c r="F7" i="234"/>
  <c r="E7" i="234"/>
  <c r="D7" i="234"/>
  <c r="C7" i="234"/>
  <c r="B7" i="234"/>
  <c r="AR6" i="234"/>
  <c r="AP6" i="234"/>
  <c r="AQ6" i="234" s="1"/>
  <c r="AO6" i="234"/>
  <c r="K5" i="234"/>
  <c r="J5" i="234"/>
  <c r="I5" i="234"/>
  <c r="H5" i="234"/>
  <c r="G5" i="234"/>
  <c r="F5" i="234"/>
  <c r="C5" i="234"/>
  <c r="CC18" i="233"/>
  <c r="BV18" i="233"/>
  <c r="BT18" i="233"/>
  <c r="BS18" i="233"/>
  <c r="BQ18" i="233"/>
  <c r="BO18" i="233"/>
  <c r="BN18" i="233"/>
  <c r="BM18" i="233"/>
  <c r="BK18" i="233"/>
  <c r="BJ18" i="233"/>
  <c r="BE18" i="233"/>
  <c r="BA18" i="233"/>
  <c r="AZ18" i="233"/>
  <c r="AV18" i="233"/>
  <c r="AT18" i="233"/>
  <c r="AS18" i="233"/>
  <c r="AR18" i="233"/>
  <c r="AP18" i="233"/>
  <c r="AO18" i="233"/>
  <c r="AK18" i="233"/>
  <c r="AJ18" i="233"/>
  <c r="AH18" i="233"/>
  <c r="AG18" i="233"/>
  <c r="AF18" i="233"/>
  <c r="AD18" i="233"/>
  <c r="AC18" i="233"/>
  <c r="AA18" i="233"/>
  <c r="Z18" i="233"/>
  <c r="Y18" i="233"/>
  <c r="X18" i="233"/>
  <c r="W18" i="233"/>
  <c r="S18" i="233"/>
  <c r="Q18" i="233"/>
  <c r="CC17" i="233"/>
  <c r="BV17" i="233"/>
  <c r="BT17" i="233"/>
  <c r="BS17" i="233"/>
  <c r="BQ17" i="233"/>
  <c r="BO17" i="233"/>
  <c r="BN17" i="233"/>
  <c r="BM17" i="233"/>
  <c r="BK17" i="233"/>
  <c r="BJ17" i="233"/>
  <c r="BE17" i="233"/>
  <c r="BA17" i="233"/>
  <c r="AZ17" i="233"/>
  <c r="AV17" i="233"/>
  <c r="AT17" i="233"/>
  <c r="AS17" i="233"/>
  <c r="AR17" i="233"/>
  <c r="AP17" i="233"/>
  <c r="AO17" i="233"/>
  <c r="AK17" i="233"/>
  <c r="AJ17" i="233"/>
  <c r="AH17" i="233"/>
  <c r="AG17" i="233"/>
  <c r="AF17" i="233"/>
  <c r="AD17" i="233"/>
  <c r="AC17" i="233"/>
  <c r="AA17" i="233"/>
  <c r="Z17" i="233"/>
  <c r="Y17" i="233"/>
  <c r="X17" i="233"/>
  <c r="W17" i="233"/>
  <c r="S17" i="233"/>
  <c r="Q17" i="233"/>
  <c r="DG16" i="233"/>
  <c r="DF16" i="233"/>
  <c r="DC16" i="233"/>
  <c r="DB16" i="233"/>
  <c r="DH16" i="233" s="1"/>
  <c r="CZ16" i="233"/>
  <c r="DD16" i="233" s="1"/>
  <c r="CY16" i="233"/>
  <c r="CU16" i="233"/>
  <c r="CR16" i="233"/>
  <c r="CQ16" i="233"/>
  <c r="CH16" i="233"/>
  <c r="CG16" i="233"/>
  <c r="CF16" i="233"/>
  <c r="CE16" i="233"/>
  <c r="BP16" i="233"/>
  <c r="BL16" i="233"/>
  <c r="BI16" i="233"/>
  <c r="BH16" i="233"/>
  <c r="CA16" i="233" s="1"/>
  <c r="BF16" i="233"/>
  <c r="CX16" i="233" s="1"/>
  <c r="AX16" i="233"/>
  <c r="AU16" i="233"/>
  <c r="AQ16" i="233"/>
  <c r="AM16" i="233"/>
  <c r="AN16" i="233" s="1"/>
  <c r="AL16" i="233"/>
  <c r="AI16" i="233"/>
  <c r="AB16" i="233"/>
  <c r="V16" i="233"/>
  <c r="T16" i="233"/>
  <c r="O16" i="233"/>
  <c r="L16" i="233"/>
  <c r="L16" i="234" s="1"/>
  <c r="CY16" i="234" s="1"/>
  <c r="DF15" i="233"/>
  <c r="DC15" i="233"/>
  <c r="DB15" i="233"/>
  <c r="DH15" i="233" s="1"/>
  <c r="CZ15" i="233"/>
  <c r="DD15" i="233" s="1"/>
  <c r="CU15" i="233"/>
  <c r="CR15" i="233"/>
  <c r="CM15" i="233"/>
  <c r="CH15" i="233"/>
  <c r="CG15" i="233"/>
  <c r="CF15" i="233"/>
  <c r="CE15" i="233"/>
  <c r="BP15" i="233"/>
  <c r="BL15" i="233"/>
  <c r="BH15" i="233"/>
  <c r="CA15" i="233" s="1"/>
  <c r="BF15" i="233"/>
  <c r="BC15" i="233"/>
  <c r="BB15" i="233"/>
  <c r="AU15" i="233"/>
  <c r="AQ15" i="233"/>
  <c r="CQ15" i="233" s="1"/>
  <c r="AM15" i="233"/>
  <c r="AN15" i="233" s="1"/>
  <c r="AL15" i="233"/>
  <c r="AI15" i="233"/>
  <c r="AB15" i="233"/>
  <c r="T15" i="233"/>
  <c r="L15" i="233"/>
  <c r="L15" i="234" s="1"/>
  <c r="DG14" i="233"/>
  <c r="DF14" i="233"/>
  <c r="DD14" i="233"/>
  <c r="DC14" i="233"/>
  <c r="DB14" i="233"/>
  <c r="DH14" i="233" s="1"/>
  <c r="CZ14" i="233"/>
  <c r="CU14" i="233"/>
  <c r="CR14" i="233"/>
  <c r="CN14" i="233"/>
  <c r="CH14" i="233"/>
  <c r="CG14" i="233"/>
  <c r="CF14" i="233"/>
  <c r="CE14" i="233"/>
  <c r="BP14" i="233"/>
  <c r="BL14" i="233"/>
  <c r="BH14" i="233"/>
  <c r="CA14" i="233" s="1"/>
  <c r="BF14" i="233"/>
  <c r="CV14" i="233" s="1"/>
  <c r="AU14" i="233"/>
  <c r="AQ14" i="233"/>
  <c r="CQ14" i="233" s="1"/>
  <c r="AM14" i="233"/>
  <c r="AN14" i="233" s="1"/>
  <c r="AL14" i="233"/>
  <c r="AI14" i="233"/>
  <c r="AB14" i="233"/>
  <c r="V14" i="233"/>
  <c r="T14" i="233"/>
  <c r="L14" i="233"/>
  <c r="L14" i="234" s="1"/>
  <c r="DH13" i="233"/>
  <c r="DF13" i="233"/>
  <c r="DC13" i="233"/>
  <c r="DB13" i="233"/>
  <c r="DG13" i="233" s="1"/>
  <c r="CZ13" i="233"/>
  <c r="DD13" i="233" s="1"/>
  <c r="CU13" i="233"/>
  <c r="CS13" i="233"/>
  <c r="CR13" i="233"/>
  <c r="CR17" i="233" s="1"/>
  <c r="CH13" i="233"/>
  <c r="CG13" i="233"/>
  <c r="CF13" i="233"/>
  <c r="CE13" i="233"/>
  <c r="CD13" i="233"/>
  <c r="CA13" i="233"/>
  <c r="BP13" i="233"/>
  <c r="BL13" i="233"/>
  <c r="BH13" i="233"/>
  <c r="BF13" i="233"/>
  <c r="BI13" i="233" s="1"/>
  <c r="CO13" i="233" s="1"/>
  <c r="BC13" i="233"/>
  <c r="BB13" i="233"/>
  <c r="AU13" i="233"/>
  <c r="AQ13" i="233"/>
  <c r="CQ13" i="233" s="1"/>
  <c r="AM13" i="233"/>
  <c r="AN13" i="233" s="1"/>
  <c r="AL13" i="233"/>
  <c r="AI13" i="233"/>
  <c r="AB13" i="233"/>
  <c r="T13" i="233"/>
  <c r="V13" i="233" s="1"/>
  <c r="O13" i="233"/>
  <c r="O13" i="234" s="1"/>
  <c r="L13" i="233"/>
  <c r="L13" i="234" s="1"/>
  <c r="DF12" i="233"/>
  <c r="DD12" i="233"/>
  <c r="DC12" i="233"/>
  <c r="DB12" i="233"/>
  <c r="DH12" i="233" s="1"/>
  <c r="CZ12" i="233"/>
  <c r="CU12" i="233"/>
  <c r="CR12" i="233"/>
  <c r="CH12" i="233"/>
  <c r="CG12" i="233"/>
  <c r="CF12" i="233"/>
  <c r="CE12" i="233"/>
  <c r="BP12" i="233"/>
  <c r="BL12" i="233"/>
  <c r="BH12" i="233"/>
  <c r="CA12" i="233" s="1"/>
  <c r="BF12" i="233"/>
  <c r="BW12" i="233" s="1"/>
  <c r="AU12" i="233"/>
  <c r="AQ12" i="233"/>
  <c r="CQ12" i="233" s="1"/>
  <c r="AM12" i="233"/>
  <c r="AN12" i="233" s="1"/>
  <c r="AL12" i="233"/>
  <c r="AI12" i="233"/>
  <c r="AB12" i="233"/>
  <c r="V12" i="233"/>
  <c r="T12" i="233"/>
  <c r="L12" i="233"/>
  <c r="L12" i="234" s="1"/>
  <c r="DH11" i="233"/>
  <c r="DF11" i="233"/>
  <c r="DC11" i="233"/>
  <c r="DB11" i="233"/>
  <c r="DG11" i="233" s="1"/>
  <c r="CZ11" i="233"/>
  <c r="DD11" i="233" s="1"/>
  <c r="CY11" i="233"/>
  <c r="CU11" i="233"/>
  <c r="CS11" i="233"/>
  <c r="CR11" i="233"/>
  <c r="CH11" i="233"/>
  <c r="CG11" i="233"/>
  <c r="CF11" i="233"/>
  <c r="CE11" i="233"/>
  <c r="CD11" i="233"/>
  <c r="CA11" i="233"/>
  <c r="BP11" i="233"/>
  <c r="BL11" i="233"/>
  <c r="BH11" i="233"/>
  <c r="BF11" i="233"/>
  <c r="BI11" i="233" s="1"/>
  <c r="CO11" i="233" s="1"/>
  <c r="BC11" i="233"/>
  <c r="BB11" i="233"/>
  <c r="AU11" i="233"/>
  <c r="AQ11" i="233"/>
  <c r="CQ11" i="233" s="1"/>
  <c r="AM11" i="233"/>
  <c r="AN11" i="233" s="1"/>
  <c r="AL11" i="233"/>
  <c r="AI11" i="233"/>
  <c r="AB11" i="233"/>
  <c r="T11" i="233"/>
  <c r="V11" i="233" s="1"/>
  <c r="O11" i="233"/>
  <c r="O11" i="234" s="1"/>
  <c r="DF10" i="233"/>
  <c r="DD10" i="233"/>
  <c r="DC10" i="233"/>
  <c r="DG10" i="233" s="1"/>
  <c r="DB10" i="233"/>
  <c r="DH10" i="233" s="1"/>
  <c r="CZ10" i="233"/>
  <c r="CU10" i="233"/>
  <c r="CR10" i="233"/>
  <c r="CN10" i="233"/>
  <c r="CM10" i="233"/>
  <c r="CH10" i="233"/>
  <c r="CG10" i="233"/>
  <c r="CF10" i="233"/>
  <c r="CE10" i="233"/>
  <c r="BW10" i="233"/>
  <c r="BU10" i="233"/>
  <c r="BP10" i="233"/>
  <c r="BL10" i="233"/>
  <c r="BH10" i="233"/>
  <c r="CA10" i="233" s="1"/>
  <c r="BF10" i="233"/>
  <c r="AU10" i="233"/>
  <c r="AQ10" i="233"/>
  <c r="CQ10" i="233" s="1"/>
  <c r="AN10" i="233"/>
  <c r="AM10" i="233"/>
  <c r="AL10" i="233"/>
  <c r="AI10" i="233"/>
  <c r="AB10" i="233"/>
  <c r="T10" i="233"/>
  <c r="V10" i="233" s="1"/>
  <c r="L10" i="233"/>
  <c r="L10" i="234" s="1"/>
  <c r="DH9" i="233"/>
  <c r="DH18" i="233" s="1"/>
  <c r="DG9" i="233"/>
  <c r="DF9" i="233"/>
  <c r="DF18" i="233" s="1"/>
  <c r="DC9" i="233"/>
  <c r="DB9" i="233"/>
  <c r="DB18" i="233" s="1"/>
  <c r="CZ9" i="233"/>
  <c r="CY9" i="233"/>
  <c r="CX9" i="233"/>
  <c r="CU9" i="233"/>
  <c r="CR9" i="233"/>
  <c r="CR18" i="233" s="1"/>
  <c r="CQ9" i="233"/>
  <c r="CM9" i="233"/>
  <c r="CH9" i="233"/>
  <c r="CH18" i="233" s="1"/>
  <c r="CG9" i="233"/>
  <c r="CF9" i="233"/>
  <c r="CE9" i="233"/>
  <c r="CA9" i="233"/>
  <c r="CA18" i="233" s="1"/>
  <c r="BP9" i="233"/>
  <c r="BL9" i="233"/>
  <c r="BI9" i="233"/>
  <c r="BH9" i="233"/>
  <c r="BH18" i="233" s="1"/>
  <c r="BF9" i="233"/>
  <c r="BC9" i="233"/>
  <c r="BB9" i="233"/>
  <c r="AX9" i="233"/>
  <c r="AU9" i="233"/>
  <c r="AQ9" i="233"/>
  <c r="AN9" i="233"/>
  <c r="AM9" i="233"/>
  <c r="AL9" i="233"/>
  <c r="AL18" i="233" s="1"/>
  <c r="AI9" i="233"/>
  <c r="AI18" i="233" s="1"/>
  <c r="AE9" i="233"/>
  <c r="AB9" i="233"/>
  <c r="AB18" i="233" s="1"/>
  <c r="T9" i="233"/>
  <c r="P9" i="233"/>
  <c r="O9" i="233"/>
  <c r="O9" i="234" s="1"/>
  <c r="L9" i="233"/>
  <c r="L9" i="234" s="1"/>
  <c r="DF8" i="233"/>
  <c r="DD8" i="233"/>
  <c r="DC8" i="233"/>
  <c r="DG8" i="233" s="1"/>
  <c r="DB8" i="233"/>
  <c r="DH8" i="233" s="1"/>
  <c r="CZ8" i="233"/>
  <c r="CY8" i="233"/>
  <c r="CV8" i="233"/>
  <c r="CU8" i="233"/>
  <c r="CR8" i="233"/>
  <c r="CH8" i="233"/>
  <c r="CG8" i="233"/>
  <c r="CF8" i="233"/>
  <c r="CE8" i="233"/>
  <c r="CD8" i="233"/>
  <c r="BP8" i="233"/>
  <c r="BL8" i="233"/>
  <c r="BH8" i="233"/>
  <c r="CA8" i="233" s="1"/>
  <c r="BF8" i="233"/>
  <c r="CN8" i="233" s="1"/>
  <c r="AU8" i="233"/>
  <c r="AQ8" i="233"/>
  <c r="CQ8" i="233" s="1"/>
  <c r="AN8" i="233"/>
  <c r="AM8" i="233"/>
  <c r="AL8" i="233"/>
  <c r="AI8" i="233"/>
  <c r="AB8" i="233"/>
  <c r="V8" i="233"/>
  <c r="T8" i="233"/>
  <c r="L8" i="233"/>
  <c r="L8" i="234" s="1"/>
  <c r="B8" i="233"/>
  <c r="B9" i="233" s="1"/>
  <c r="B9" i="234" s="1"/>
  <c r="DH7" i="233"/>
  <c r="DH17" i="233" s="1"/>
  <c r="DG7" i="233"/>
  <c r="DF7" i="233"/>
  <c r="DF17" i="233" s="1"/>
  <c r="DC7" i="233"/>
  <c r="DB7" i="233"/>
  <c r="CZ7" i="233"/>
  <c r="DD7" i="233" s="1"/>
  <c r="CY7" i="233"/>
  <c r="CX7" i="233"/>
  <c r="CU7" i="233"/>
  <c r="CR7" i="233"/>
  <c r="CQ7" i="233"/>
  <c r="CM7" i="233"/>
  <c r="CH7" i="233"/>
  <c r="CH17" i="233" s="1"/>
  <c r="CG7" i="233"/>
  <c r="CF7" i="233"/>
  <c r="CE7" i="233"/>
  <c r="CA7" i="233"/>
  <c r="BP7" i="233"/>
  <c r="BP17" i="233" s="1"/>
  <c r="BL7" i="233"/>
  <c r="BI7" i="233"/>
  <c r="BH7" i="233"/>
  <c r="BH17" i="233" s="1"/>
  <c r="BF7" i="233"/>
  <c r="BC7" i="233"/>
  <c r="BB7" i="233"/>
  <c r="AX7" i="233"/>
  <c r="AW7" i="233"/>
  <c r="AU7" i="233"/>
  <c r="AQ7" i="233"/>
  <c r="AN7" i="233"/>
  <c r="AM7" i="233"/>
  <c r="AL7" i="233"/>
  <c r="AI7" i="233"/>
  <c r="AE7" i="233"/>
  <c r="AB7" i="233"/>
  <c r="AB17" i="233" s="1"/>
  <c r="T7" i="233"/>
  <c r="L7" i="233"/>
  <c r="DC5" i="233"/>
  <c r="DB5" i="233"/>
  <c r="CG5" i="233"/>
  <c r="CE5" i="233"/>
  <c r="CC5" i="234"/>
  <c r="CA5" i="234"/>
  <c r="BV5" i="234"/>
  <c r="BU5" i="233"/>
  <c r="BT5" i="234"/>
  <c r="BS5" i="233"/>
  <c r="BS5" i="234" s="1"/>
  <c r="BQ5" i="233"/>
  <c r="BQ5" i="234" s="1"/>
  <c r="BP5" i="233"/>
  <c r="BO5" i="234"/>
  <c r="BP5" i="234" s="1"/>
  <c r="BN5" i="234"/>
  <c r="BM5" i="234"/>
  <c r="BK5" i="234"/>
  <c r="BJ5" i="234"/>
  <c r="BH5" i="234"/>
  <c r="CM5" i="233"/>
  <c r="BE5" i="234"/>
  <c r="AZ5" i="234"/>
  <c r="AW5" i="233"/>
  <c r="AT5" i="234"/>
  <c r="AU5" i="234" s="1"/>
  <c r="AS5" i="234"/>
  <c r="AR5" i="234"/>
  <c r="AQ5" i="233"/>
  <c r="AP5" i="234"/>
  <c r="AQ5" i="234" s="1"/>
  <c r="AO5" i="234"/>
  <c r="AK5" i="234"/>
  <c r="CF5" i="233"/>
  <c r="AI5" i="233"/>
  <c r="AH5" i="234"/>
  <c r="AG5" i="234"/>
  <c r="AF5" i="234"/>
  <c r="AE14" i="233"/>
  <c r="AC5" i="234"/>
  <c r="AA5" i="234"/>
  <c r="Z5" i="234"/>
  <c r="Y5" i="234"/>
  <c r="W5" i="233"/>
  <c r="W5" i="234" s="1"/>
  <c r="N5" i="233"/>
  <c r="N5" i="234" s="1"/>
  <c r="L5" i="233"/>
  <c r="M9" i="233" s="1"/>
  <c r="E5" i="233"/>
  <c r="E5" i="234" s="1"/>
  <c r="D5" i="233"/>
  <c r="D5" i="234" s="1"/>
  <c r="D53" i="237" l="1"/>
  <c r="D54" i="237"/>
  <c r="D55" i="237"/>
  <c r="D56" i="237"/>
  <c r="F55" i="237"/>
  <c r="F56" i="237"/>
  <c r="F54" i="237"/>
  <c r="F53" i="237"/>
  <c r="E53" i="237"/>
  <c r="E55" i="237"/>
  <c r="E56" i="237"/>
  <c r="E66" i="239"/>
  <c r="E75" i="239" s="1"/>
  <c r="H16" i="239"/>
  <c r="G66" i="239"/>
  <c r="G76" i="239" s="1"/>
  <c r="G12" i="239"/>
  <c r="H70" i="239"/>
  <c r="H79" i="239" s="1"/>
  <c r="E13" i="240"/>
  <c r="E18" i="240" s="1"/>
  <c r="F70" i="239"/>
  <c r="F78" i="239" s="1"/>
  <c r="E12" i="239"/>
  <c r="C13" i="240"/>
  <c r="C18" i="240" s="1"/>
  <c r="F13" i="240"/>
  <c r="F18" i="240" s="1"/>
  <c r="I66" i="239"/>
  <c r="H134" i="236"/>
  <c r="G7" i="236"/>
  <c r="F7" i="236"/>
  <c r="G171" i="236"/>
  <c r="G180" i="236" s="1"/>
  <c r="F62" i="236"/>
  <c r="G147" i="236"/>
  <c r="D62" i="236"/>
  <c r="F171" i="236"/>
  <c r="F177" i="236" s="1"/>
  <c r="E62" i="236"/>
  <c r="E171" i="236"/>
  <c r="E177" i="236" s="1"/>
  <c r="D148" i="236"/>
  <c r="F14" i="237"/>
  <c r="D171" i="236"/>
  <c r="D21" i="237"/>
  <c r="D18" i="237"/>
  <c r="G62" i="236"/>
  <c r="C14" i="237"/>
  <c r="C18" i="237" s="1"/>
  <c r="D19" i="237"/>
  <c r="D17" i="237"/>
  <c r="D67" i="239"/>
  <c r="J16" i="239"/>
  <c r="C12" i="239"/>
  <c r="C22" i="239" s="1"/>
  <c r="D69" i="239"/>
  <c r="J70" i="239"/>
  <c r="J78" i="239" s="1"/>
  <c r="D16" i="239"/>
  <c r="D25" i="239" s="1"/>
  <c r="C65" i="239"/>
  <c r="I12" i="239"/>
  <c r="J18" i="239" s="1"/>
  <c r="CG5" i="234"/>
  <c r="AM5" i="233"/>
  <c r="M16" i="233"/>
  <c r="BU12" i="233"/>
  <c r="CL12" i="233"/>
  <c r="BR12" i="233"/>
  <c r="DA12" i="233"/>
  <c r="DE12" i="233" s="1"/>
  <c r="CK12" i="233"/>
  <c r="CB12" i="233"/>
  <c r="CJ12" i="233"/>
  <c r="CI12" i="233"/>
  <c r="BY12" i="233"/>
  <c r="CW12" i="233"/>
  <c r="AL17" i="233"/>
  <c r="CA17" i="233"/>
  <c r="CQ18" i="233"/>
  <c r="CL10" i="233"/>
  <c r="BR10" i="233"/>
  <c r="DA10" i="233"/>
  <c r="DE10" i="233" s="1"/>
  <c r="CK10" i="233"/>
  <c r="CB10" i="233"/>
  <c r="CJ10" i="233"/>
  <c r="CI10" i="233"/>
  <c r="CW10" i="233"/>
  <c r="BY10" i="233"/>
  <c r="BW14" i="233"/>
  <c r="CZ17" i="233"/>
  <c r="B8" i="234"/>
  <c r="BF5" i="234"/>
  <c r="BG16" i="233"/>
  <c r="BG9" i="233"/>
  <c r="BG7" i="233"/>
  <c r="BI5" i="233"/>
  <c r="CS5" i="233" s="1"/>
  <c r="CZ18" i="233"/>
  <c r="DD9" i="233"/>
  <c r="DD18" i="233" s="1"/>
  <c r="BG5" i="233"/>
  <c r="P13" i="233"/>
  <c r="CD5" i="233"/>
  <c r="L7" i="234"/>
  <c r="CD7" i="233"/>
  <c r="S5" i="234"/>
  <c r="BL5" i="233"/>
  <c r="AL5" i="233"/>
  <c r="AX5" i="233"/>
  <c r="AY16" i="233" s="1"/>
  <c r="M7" i="233"/>
  <c r="CM8" i="233"/>
  <c r="P11" i="233"/>
  <c r="CN12" i="233"/>
  <c r="AJ5" i="234"/>
  <c r="CZ10" i="234"/>
  <c r="CZ18" i="234" s="1"/>
  <c r="CU10" i="234"/>
  <c r="Q5" i="234"/>
  <c r="R16" i="233"/>
  <c r="R15" i="233"/>
  <c r="R10" i="233"/>
  <c r="R8" i="233"/>
  <c r="R14" i="233"/>
  <c r="R12" i="233"/>
  <c r="CR5" i="233"/>
  <c r="AN5" i="233"/>
  <c r="R11" i="233"/>
  <c r="CQ5" i="233"/>
  <c r="DF5" i="233"/>
  <c r="R9" i="233"/>
  <c r="R7" i="233"/>
  <c r="CW5" i="233"/>
  <c r="R13" i="233"/>
  <c r="AI17" i="233"/>
  <c r="CU5" i="233"/>
  <c r="B9" i="182" s="1"/>
  <c r="O7" i="233"/>
  <c r="CQ17" i="233"/>
  <c r="BW8" i="233"/>
  <c r="BI18" i="233"/>
  <c r="CO9" i="233"/>
  <c r="CS9" i="233"/>
  <c r="BC10" i="233"/>
  <c r="BI10" i="233"/>
  <c r="AX10" i="233"/>
  <c r="CX10" i="233"/>
  <c r="CV10" i="233"/>
  <c r="CN5" i="233"/>
  <c r="CV5" i="233"/>
  <c r="BL18" i="233"/>
  <c r="DG18" i="233"/>
  <c r="BG10" i="233"/>
  <c r="CM14" i="233"/>
  <c r="BC14" i="233"/>
  <c r="BI14" i="233"/>
  <c r="AX14" i="233"/>
  <c r="CX14" i="233"/>
  <c r="Q17" i="234"/>
  <c r="AI7" i="234"/>
  <c r="R7" i="234"/>
  <c r="CR7" i="234"/>
  <c r="AN7" i="234"/>
  <c r="T7" i="234"/>
  <c r="CM12" i="233"/>
  <c r="BC12" i="233"/>
  <c r="BI12" i="233"/>
  <c r="AX12" i="233"/>
  <c r="CX12" i="233"/>
  <c r="BG12" i="233"/>
  <c r="BW5" i="234"/>
  <c r="CB5" i="233"/>
  <c r="CP5" i="233" s="1"/>
  <c r="CI5" i="233"/>
  <c r="BR5" i="233"/>
  <c r="BY5" i="233"/>
  <c r="CK5" i="233"/>
  <c r="DA5" i="233"/>
  <c r="DE5" i="233" s="1"/>
  <c r="CO7" i="233"/>
  <c r="CS7" i="233"/>
  <c r="BC8" i="233"/>
  <c r="BI8" i="233"/>
  <c r="AX8" i="233"/>
  <c r="AY8" i="233" s="1"/>
  <c r="CX8" i="233"/>
  <c r="CX17" i="233" s="1"/>
  <c r="BP18" i="233"/>
  <c r="BG14" i="233"/>
  <c r="V15" i="233"/>
  <c r="CS16" i="233"/>
  <c r="CO16" i="233"/>
  <c r="AX17" i="233"/>
  <c r="DH8" i="234"/>
  <c r="DG8" i="234"/>
  <c r="R5" i="233"/>
  <c r="T5" i="233"/>
  <c r="B11" i="182" s="1"/>
  <c r="L5" i="234"/>
  <c r="M5" i="234" s="1"/>
  <c r="M11" i="233"/>
  <c r="O5" i="233"/>
  <c r="M10" i="233"/>
  <c r="M8" i="233"/>
  <c r="M5" i="233"/>
  <c r="CL5" i="233"/>
  <c r="DH5" i="233"/>
  <c r="DG5" i="233"/>
  <c r="BL17" i="233"/>
  <c r="BG8" i="233"/>
  <c r="B10" i="233"/>
  <c r="CV12" i="233"/>
  <c r="CD12" i="234"/>
  <c r="AW12" i="233"/>
  <c r="CD14" i="234"/>
  <c r="AW14" i="233"/>
  <c r="P16" i="233"/>
  <c r="BY9" i="234"/>
  <c r="CL9" i="234"/>
  <c r="BU9" i="234"/>
  <c r="CK9" i="234"/>
  <c r="CB9" i="234"/>
  <c r="CP9" i="234" s="1"/>
  <c r="CI9" i="234"/>
  <c r="BL10" i="234"/>
  <c r="AL10" i="234"/>
  <c r="BB16" i="233"/>
  <c r="BA5" i="234"/>
  <c r="BB16" i="234" s="1"/>
  <c r="BR5" i="234"/>
  <c r="CM5" i="234"/>
  <c r="CK5" i="234"/>
  <c r="AM17" i="233"/>
  <c r="DB17" i="233"/>
  <c r="AW8" i="233"/>
  <c r="AM18" i="233"/>
  <c r="CD9" i="233"/>
  <c r="M10" i="234"/>
  <c r="AW10" i="233"/>
  <c r="CM11" i="233"/>
  <c r="CM17" i="233" s="1"/>
  <c r="M12" i="233"/>
  <c r="AE12" i="233"/>
  <c r="CY12" i="233"/>
  <c r="DG12" i="233"/>
  <c r="DG17" i="233" s="1"/>
  <c r="CM13" i="233"/>
  <c r="M14" i="233"/>
  <c r="CY14" i="233"/>
  <c r="BG15" i="233"/>
  <c r="DF5" i="234"/>
  <c r="AB8" i="234"/>
  <c r="CD9" i="234"/>
  <c r="AD5" i="234"/>
  <c r="AE15" i="233"/>
  <c r="BB5" i="233"/>
  <c r="CH5" i="233"/>
  <c r="AN17" i="233"/>
  <c r="CU17" i="233"/>
  <c r="T18" i="233"/>
  <c r="AN18" i="233"/>
  <c r="CE18" i="233"/>
  <c r="CM18" i="233"/>
  <c r="CU18" i="233"/>
  <c r="DC18" i="233"/>
  <c r="AE10" i="233"/>
  <c r="CY10" i="233"/>
  <c r="CY18" i="233" s="1"/>
  <c r="BW11" i="233"/>
  <c r="CN11" i="233"/>
  <c r="CV11" i="233"/>
  <c r="O12" i="233"/>
  <c r="BW13" i="233"/>
  <c r="CN13" i="233"/>
  <c r="CV13" i="233"/>
  <c r="O14" i="233"/>
  <c r="DB7" i="234"/>
  <c r="DF7" i="234"/>
  <c r="BB8" i="234"/>
  <c r="CJ5" i="234"/>
  <c r="CX5" i="233"/>
  <c r="T17" i="233"/>
  <c r="CE17" i="233"/>
  <c r="DC17" i="233"/>
  <c r="AE8" i="233"/>
  <c r="AE5" i="233"/>
  <c r="AU5" i="233"/>
  <c r="BC5" i="233"/>
  <c r="CY5" i="233"/>
  <c r="AQ17" i="233"/>
  <c r="BF17" i="233"/>
  <c r="BW7" i="233"/>
  <c r="BX5" i="233" s="1"/>
  <c r="CF17" i="233"/>
  <c r="CN7" i="233"/>
  <c r="CV7" i="233"/>
  <c r="O8" i="233"/>
  <c r="AQ18" i="233"/>
  <c r="BF18" i="233"/>
  <c r="BW9" i="233"/>
  <c r="CF18" i="233"/>
  <c r="CN9" i="233"/>
  <c r="CV9" i="233"/>
  <c r="CV18" i="233" s="1"/>
  <c r="O10" i="233"/>
  <c r="BG11" i="233"/>
  <c r="BB12" i="233"/>
  <c r="BG13" i="233"/>
  <c r="BB14" i="233"/>
  <c r="CC17" i="234"/>
  <c r="CD7" i="234"/>
  <c r="CJ9" i="234"/>
  <c r="CX5" i="234"/>
  <c r="CH5" i="234"/>
  <c r="DC5" i="234"/>
  <c r="AW16" i="233"/>
  <c r="AV5" i="234"/>
  <c r="AW15" i="233"/>
  <c r="BU5" i="234"/>
  <c r="CJ5" i="233"/>
  <c r="CZ5" i="233"/>
  <c r="DD5" i="233" s="1"/>
  <c r="V7" i="233"/>
  <c r="V17" i="233" s="1"/>
  <c r="AU17" i="233"/>
  <c r="CG17" i="233"/>
  <c r="BB8" i="233"/>
  <c r="V9" i="233"/>
  <c r="V18" i="233" s="1"/>
  <c r="AU18" i="233"/>
  <c r="CG18" i="233"/>
  <c r="BB10" i="233"/>
  <c r="AW11" i="233"/>
  <c r="CX11" i="233"/>
  <c r="CD12" i="233"/>
  <c r="AW13" i="233"/>
  <c r="CX13" i="233"/>
  <c r="CD14" i="233"/>
  <c r="AE16" i="233"/>
  <c r="CN8" i="234"/>
  <c r="CM8" i="234"/>
  <c r="BW8" i="234"/>
  <c r="BC8" i="234"/>
  <c r="BI8" i="234"/>
  <c r="CS8" i="234" s="1"/>
  <c r="AN9" i="234"/>
  <c r="DA9" i="234"/>
  <c r="AW9" i="233"/>
  <c r="CX18" i="233"/>
  <c r="CD10" i="233"/>
  <c r="AE11" i="233"/>
  <c r="AX11" i="233"/>
  <c r="M13" i="233"/>
  <c r="AE13" i="233"/>
  <c r="AX13" i="233"/>
  <c r="CY13" i="233"/>
  <c r="CD8" i="234"/>
  <c r="AL9" i="234"/>
  <c r="AL17" i="234" s="1"/>
  <c r="CL12" i="234"/>
  <c r="DA12" i="234"/>
  <c r="DE12" i="234" s="1"/>
  <c r="CB12" i="234"/>
  <c r="CI12" i="234"/>
  <c r="CW12" i="234"/>
  <c r="BY12" i="234"/>
  <c r="CX15" i="233"/>
  <c r="BC16" i="233"/>
  <c r="CD16" i="233"/>
  <c r="AB7" i="234"/>
  <c r="BH7" i="234"/>
  <c r="BP17" i="234"/>
  <c r="CO8" i="234"/>
  <c r="CW8" i="234"/>
  <c r="BJ9" i="234"/>
  <c r="BL9" i="234" s="1"/>
  <c r="CS9" i="234"/>
  <c r="DF10" i="234"/>
  <c r="DB10" i="234"/>
  <c r="DC14" i="234"/>
  <c r="CY14" i="234"/>
  <c r="CH14" i="234"/>
  <c r="AP18" i="234"/>
  <c r="M15" i="233"/>
  <c r="AX15" i="233"/>
  <c r="BI15" i="233"/>
  <c r="CY15" i="233"/>
  <c r="DG15" i="233"/>
  <c r="CM16" i="233"/>
  <c r="BJ8" i="234"/>
  <c r="BL8" i="234" s="1"/>
  <c r="CH8" i="234"/>
  <c r="CX8" i="234"/>
  <c r="DF8" i="234"/>
  <c r="AM9" i="234"/>
  <c r="BC9" i="234"/>
  <c r="CT9" i="234"/>
  <c r="CM13" i="234"/>
  <c r="O16" i="234"/>
  <c r="AZ18" i="234"/>
  <c r="O15" i="233"/>
  <c r="BW16" i="233"/>
  <c r="CN16" i="233"/>
  <c r="CV16" i="233"/>
  <c r="AD17" i="234"/>
  <c r="BJ7" i="234"/>
  <c r="CH7" i="234"/>
  <c r="AM8" i="234"/>
  <c r="AN8" i="234" s="1"/>
  <c r="CQ8" i="234"/>
  <c r="CY8" i="234"/>
  <c r="DB12" i="234"/>
  <c r="DD14" i="234"/>
  <c r="CD15" i="234"/>
  <c r="BK18" i="234"/>
  <c r="DB5" i="234"/>
  <c r="AU17" i="234"/>
  <c r="BK17" i="234"/>
  <c r="CR8" i="234"/>
  <c r="DF9" i="234"/>
  <c r="DD9" i="234"/>
  <c r="CV9" i="234"/>
  <c r="CW9" i="234"/>
  <c r="DH11" i="234"/>
  <c r="BI12" i="234"/>
  <c r="CO12" i="234" s="1"/>
  <c r="CN12" i="234"/>
  <c r="BS18" i="234"/>
  <c r="CD15" i="233"/>
  <c r="AF17" i="234"/>
  <c r="AV17" i="234"/>
  <c r="BT17" i="234"/>
  <c r="CZ7" i="234"/>
  <c r="AW8" i="234"/>
  <c r="R9" i="234"/>
  <c r="CM9" i="234"/>
  <c r="CR10" i="234"/>
  <c r="AN10" i="234"/>
  <c r="CQ10" i="234"/>
  <c r="CV10" i="234"/>
  <c r="T10" i="234"/>
  <c r="R10" i="234"/>
  <c r="CY10" i="234"/>
  <c r="BB11" i="234"/>
  <c r="CK12" i="234"/>
  <c r="CM12" i="234"/>
  <c r="V13" i="234"/>
  <c r="CU15" i="234"/>
  <c r="CZ15" i="234"/>
  <c r="DD15" i="234" s="1"/>
  <c r="CC18" i="234"/>
  <c r="CJ12" i="234"/>
  <c r="CY12" i="234"/>
  <c r="DH13" i="234"/>
  <c r="DG13" i="234"/>
  <c r="BW15" i="233"/>
  <c r="CN15" i="233"/>
  <c r="CV15" i="233"/>
  <c r="Z17" i="234"/>
  <c r="AH17" i="234"/>
  <c r="AP17" i="234"/>
  <c r="AX7" i="234"/>
  <c r="BF7" i="234"/>
  <c r="BN17" i="234"/>
  <c r="BV17" i="234"/>
  <c r="AI8" i="234"/>
  <c r="CE8" i="234"/>
  <c r="CU8" i="234"/>
  <c r="T9" i="234"/>
  <c r="T18" i="234" s="1"/>
  <c r="CQ9" i="234"/>
  <c r="DB9" i="234"/>
  <c r="CD10" i="234"/>
  <c r="V11" i="234"/>
  <c r="BC11" i="234"/>
  <c r="CV11" i="234"/>
  <c r="CN11" i="234"/>
  <c r="BW11" i="234"/>
  <c r="CT12" i="234"/>
  <c r="BC12" i="234"/>
  <c r="BU12" i="234"/>
  <c r="CD13" i="234"/>
  <c r="BJ14" i="234"/>
  <c r="BL14" i="234" s="1"/>
  <c r="CD16" i="234"/>
  <c r="Y18" i="234"/>
  <c r="AO18" i="234"/>
  <c r="AG18" i="234"/>
  <c r="X18" i="234"/>
  <c r="CY18" i="234"/>
  <c r="CQ18" i="234"/>
  <c r="BQ18" i="234"/>
  <c r="AV18" i="234"/>
  <c r="AF18" i="234"/>
  <c r="W18" i="234"/>
  <c r="DF18" i="234"/>
  <c r="BP18" i="234"/>
  <c r="BH18" i="234"/>
  <c r="AU18" i="234"/>
  <c r="AM18" i="234"/>
  <c r="AD18" i="234"/>
  <c r="CG18" i="234"/>
  <c r="BO18" i="234"/>
  <c r="BF18" i="234"/>
  <c r="AT18" i="234"/>
  <c r="AL18" i="234"/>
  <c r="AC18" i="234"/>
  <c r="CV18" i="234"/>
  <c r="BV18" i="234"/>
  <c r="BN18" i="234"/>
  <c r="BE18" i="234"/>
  <c r="AS18" i="234"/>
  <c r="AK18" i="234"/>
  <c r="AB18" i="234"/>
  <c r="S18" i="234"/>
  <c r="CE18" i="234"/>
  <c r="BM18" i="234"/>
  <c r="AR18" i="234"/>
  <c r="AJ18" i="234"/>
  <c r="AA18" i="234"/>
  <c r="Q18" i="234"/>
  <c r="CD18" i="234"/>
  <c r="BT18" i="234"/>
  <c r="BA18" i="234"/>
  <c r="AQ18" i="234"/>
  <c r="Z18" i="234"/>
  <c r="S17" i="234"/>
  <c r="AA17" i="234"/>
  <c r="AQ7" i="234"/>
  <c r="AQ17" i="234" s="1"/>
  <c r="BO17" i="234"/>
  <c r="CE7" i="234"/>
  <c r="CE17" i="234" s="1"/>
  <c r="CM7" i="234"/>
  <c r="CU7" i="234"/>
  <c r="DC7" i="234"/>
  <c r="DC17" i="234" s="1"/>
  <c r="T8" i="234"/>
  <c r="CY9" i="234"/>
  <c r="CX9" i="234"/>
  <c r="CH9" i="234"/>
  <c r="DC9" i="234"/>
  <c r="DC18" i="234" s="1"/>
  <c r="BI9" i="234"/>
  <c r="CO9" i="234" s="1"/>
  <c r="CR9" i="234"/>
  <c r="CR18" i="234" s="1"/>
  <c r="DE9" i="234"/>
  <c r="BC10" i="234"/>
  <c r="AL12" i="234"/>
  <c r="CF13" i="234"/>
  <c r="CV14" i="234"/>
  <c r="BF14" i="234"/>
  <c r="BC14" i="234"/>
  <c r="BB14" i="234"/>
  <c r="AH18" i="234"/>
  <c r="AX10" i="234"/>
  <c r="BF10" i="234"/>
  <c r="AI11" i="234"/>
  <c r="AI18" i="234" s="1"/>
  <c r="CM11" i="234"/>
  <c r="CU11" i="234"/>
  <c r="CU18" i="234" s="1"/>
  <c r="DC11" i="234"/>
  <c r="DG11" i="234" s="1"/>
  <c r="T12" i="234"/>
  <c r="CF12" i="234"/>
  <c r="CV12" i="234"/>
  <c r="AL14" i="234"/>
  <c r="DF14" i="234"/>
  <c r="AM15" i="234"/>
  <c r="AN15" i="234" s="1"/>
  <c r="CQ15" i="234"/>
  <c r="CY15" i="234"/>
  <c r="AN16" i="234"/>
  <c r="BL16" i="234"/>
  <c r="CR16" i="234"/>
  <c r="CZ16" i="234"/>
  <c r="DD16" i="234" s="1"/>
  <c r="BH11" i="234"/>
  <c r="CA11" i="234" s="1"/>
  <c r="CA18" i="234" s="1"/>
  <c r="DF13" i="234"/>
  <c r="BL15" i="234"/>
  <c r="CR15" i="234"/>
  <c r="CF10" i="234"/>
  <c r="CF18" i="234" s="1"/>
  <c r="CW11" i="234"/>
  <c r="BB12" i="234"/>
  <c r="BJ12" i="234"/>
  <c r="BL12" i="234" s="1"/>
  <c r="BR12" i="234"/>
  <c r="CH12" i="234"/>
  <c r="CP12" i="234"/>
  <c r="CX12" i="234"/>
  <c r="DF12" i="234"/>
  <c r="AM13" i="234"/>
  <c r="CQ13" i="234"/>
  <c r="CY13" i="234"/>
  <c r="AN14" i="234"/>
  <c r="CR14" i="234"/>
  <c r="CZ14" i="234"/>
  <c r="AW15" i="234"/>
  <c r="R16" i="234"/>
  <c r="BF16" i="234"/>
  <c r="DB16" i="234"/>
  <c r="AL11" i="234"/>
  <c r="BJ11" i="234"/>
  <c r="BJ18" i="234" s="1"/>
  <c r="BR11" i="234"/>
  <c r="CH11" i="234"/>
  <c r="CH18" i="234" s="1"/>
  <c r="CX11" i="234"/>
  <c r="AM12" i="234"/>
  <c r="AN12" i="234" s="1"/>
  <c r="CQ12" i="234"/>
  <c r="AN13" i="234"/>
  <c r="CR13" i="234"/>
  <c r="CZ13" i="234"/>
  <c r="DD13" i="234" s="1"/>
  <c r="R15" i="234"/>
  <c r="BF15" i="234"/>
  <c r="AX15" i="234" s="1"/>
  <c r="DB15" i="234"/>
  <c r="AI16" i="234"/>
  <c r="CE16" i="234"/>
  <c r="CM16" i="234"/>
  <c r="DC16" i="234"/>
  <c r="CQ11" i="234"/>
  <c r="CZ12" i="234"/>
  <c r="DD12" i="234" s="1"/>
  <c r="DB14" i="234"/>
  <c r="CE15" i="234"/>
  <c r="T16" i="234"/>
  <c r="CV16" i="234"/>
  <c r="AN11" i="234"/>
  <c r="AN18" i="234" s="1"/>
  <c r="CZ11" i="234"/>
  <c r="DD11" i="234" s="1"/>
  <c r="AW12" i="234"/>
  <c r="R13" i="234"/>
  <c r="AX13" i="234"/>
  <c r="BF13" i="234"/>
  <c r="AI14" i="234"/>
  <c r="CV15" i="234"/>
  <c r="AX12" i="234"/>
  <c r="BJ16" i="234"/>
  <c r="CH16" i="234"/>
  <c r="E17" i="240" l="1"/>
  <c r="E19" i="240"/>
  <c r="G75" i="239"/>
  <c r="G77" i="239" s="1"/>
  <c r="H78" i="239"/>
  <c r="E76" i="239"/>
  <c r="E77" i="239" s="1"/>
  <c r="J17" i="239"/>
  <c r="H80" i="239"/>
  <c r="H81" i="239" s="1"/>
  <c r="F18" i="237"/>
  <c r="F17" i="237"/>
  <c r="F19" i="240"/>
  <c r="F17" i="240"/>
  <c r="C17" i="240"/>
  <c r="F79" i="239"/>
  <c r="F80" i="239"/>
  <c r="I75" i="239"/>
  <c r="I76" i="239"/>
  <c r="B8" i="182"/>
  <c r="F6" i="183"/>
  <c r="D26" i="239"/>
  <c r="E21" i="239"/>
  <c r="E22" i="239"/>
  <c r="C19" i="240"/>
  <c r="G17" i="239"/>
  <c r="I134" i="236"/>
  <c r="H144" i="236"/>
  <c r="H164" i="236" s="1"/>
  <c r="H174" i="236" s="1"/>
  <c r="G181" i="236"/>
  <c r="G150" i="236"/>
  <c r="G148" i="236"/>
  <c r="G151" i="236"/>
  <c r="G176" i="236"/>
  <c r="G145" i="236"/>
  <c r="G179" i="236"/>
  <c r="G146" i="236"/>
  <c r="G100" i="236"/>
  <c r="G98" i="236"/>
  <c r="G101" i="236"/>
  <c r="G99" i="236"/>
  <c r="G102" i="236"/>
  <c r="D100" i="236"/>
  <c r="D101" i="236"/>
  <c r="D102" i="236"/>
  <c r="D98" i="236"/>
  <c r="D99" i="236"/>
  <c r="E98" i="236"/>
  <c r="E101" i="236"/>
  <c r="E99" i="236"/>
  <c r="E102" i="236"/>
  <c r="E100" i="236"/>
  <c r="F98" i="236"/>
  <c r="F101" i="236"/>
  <c r="F99" i="236"/>
  <c r="F102" i="236"/>
  <c r="F100" i="236"/>
  <c r="G178" i="236"/>
  <c r="G177" i="236"/>
  <c r="G175" i="236"/>
  <c r="D149" i="236"/>
  <c r="G149" i="236"/>
  <c r="F180" i="236"/>
  <c r="E178" i="236"/>
  <c r="E175" i="236"/>
  <c r="D150" i="236"/>
  <c r="D146" i="236"/>
  <c r="D145" i="236"/>
  <c r="D57" i="237"/>
  <c r="F148" i="236"/>
  <c r="F145" i="236"/>
  <c r="F149" i="236"/>
  <c r="F151" i="236"/>
  <c r="F57" i="237"/>
  <c r="E146" i="236"/>
  <c r="E150" i="236"/>
  <c r="E145" i="236"/>
  <c r="E151" i="236"/>
  <c r="E149" i="236"/>
  <c r="D151" i="236"/>
  <c r="D147" i="236"/>
  <c r="F20" i="237"/>
  <c r="C21" i="237"/>
  <c r="C19" i="237"/>
  <c r="C17" i="237"/>
  <c r="C20" i="237"/>
  <c r="D176" i="236"/>
  <c r="D178" i="236"/>
  <c r="D177" i="236"/>
  <c r="D179" i="236"/>
  <c r="D180" i="236"/>
  <c r="D175" i="236"/>
  <c r="D181" i="236"/>
  <c r="C57" i="237"/>
  <c r="I17" i="239"/>
  <c r="D24" i="239"/>
  <c r="C21" i="239"/>
  <c r="C23" i="239" s="1"/>
  <c r="E17" i="239"/>
  <c r="F147" i="236"/>
  <c r="C66" i="239"/>
  <c r="C75" i="239" s="1"/>
  <c r="E148" i="236"/>
  <c r="E147" i="236"/>
  <c r="F19" i="237"/>
  <c r="F21" i="237"/>
  <c r="F150" i="236"/>
  <c r="J79" i="239"/>
  <c r="J80" i="239"/>
  <c r="D70" i="239"/>
  <c r="D79" i="239" s="1"/>
  <c r="F146" i="236"/>
  <c r="E181" i="236"/>
  <c r="E176" i="236"/>
  <c r="E179" i="236"/>
  <c r="E180" i="236"/>
  <c r="F179" i="236"/>
  <c r="F181" i="236"/>
  <c r="F176" i="236"/>
  <c r="F175" i="236"/>
  <c r="F178" i="236"/>
  <c r="CO5" i="233"/>
  <c r="P5" i="233"/>
  <c r="BD10" i="233"/>
  <c r="U9" i="233"/>
  <c r="U7" i="233"/>
  <c r="U10" i="233"/>
  <c r="BL18" i="234"/>
  <c r="AY12" i="233"/>
  <c r="AY14" i="233"/>
  <c r="CT12" i="233"/>
  <c r="CP12" i="233"/>
  <c r="BI16" i="234"/>
  <c r="CN16" i="234"/>
  <c r="BW16" i="234"/>
  <c r="BG16" i="234"/>
  <c r="AX16" i="234"/>
  <c r="BC16" i="234"/>
  <c r="CU17" i="234"/>
  <c r="DA11" i="234"/>
  <c r="DE11" i="234" s="1"/>
  <c r="BU11" i="234"/>
  <c r="CB11" i="234"/>
  <c r="CI11" i="234"/>
  <c r="BY11" i="234"/>
  <c r="CL11" i="234"/>
  <c r="DG9" i="234"/>
  <c r="DH9" i="234"/>
  <c r="CM15" i="234"/>
  <c r="DH5" i="234"/>
  <c r="DG5" i="234"/>
  <c r="CX16" i="234"/>
  <c r="BH17" i="234"/>
  <c r="CA7" i="234"/>
  <c r="CA17" i="234" s="1"/>
  <c r="DA8" i="234"/>
  <c r="DE8" i="234" s="1"/>
  <c r="CK8" i="234"/>
  <c r="CJ8" i="234"/>
  <c r="CB8" i="234"/>
  <c r="CI8" i="234"/>
  <c r="BY8" i="234"/>
  <c r="CL8" i="234"/>
  <c r="CD17" i="234"/>
  <c r="CV17" i="233"/>
  <c r="BD5" i="233"/>
  <c r="BD7" i="233"/>
  <c r="BD9" i="233"/>
  <c r="BD15" i="233"/>
  <c r="O14" i="234"/>
  <c r="P14" i="233"/>
  <c r="BL11" i="234"/>
  <c r="BC18" i="233"/>
  <c r="B10" i="234"/>
  <c r="B11" i="233"/>
  <c r="U16" i="233"/>
  <c r="V5" i="233"/>
  <c r="U13" i="233"/>
  <c r="U11" i="233"/>
  <c r="U5" i="233"/>
  <c r="U14" i="233"/>
  <c r="U12" i="233"/>
  <c r="U8" i="233"/>
  <c r="CS8" i="233"/>
  <c r="CS17" i="233" s="1"/>
  <c r="CO8" i="233"/>
  <c r="CS12" i="233"/>
  <c r="CO12" i="233"/>
  <c r="CQ7" i="234"/>
  <c r="CQ17" i="234" s="1"/>
  <c r="CS14" i="233"/>
  <c r="CO14" i="233"/>
  <c r="CY17" i="233"/>
  <c r="CO18" i="233"/>
  <c r="BD13" i="233"/>
  <c r="BI5" i="234"/>
  <c r="P5" i="234" s="1"/>
  <c r="BG5" i="234"/>
  <c r="CN5" i="234"/>
  <c r="BG9" i="234"/>
  <c r="V8" i="234"/>
  <c r="BC18" i="234"/>
  <c r="DH10" i="234"/>
  <c r="DG10" i="234"/>
  <c r="AE11" i="234"/>
  <c r="AE14" i="234"/>
  <c r="CU5" i="234"/>
  <c r="AE16" i="234"/>
  <c r="AE7" i="234"/>
  <c r="AE8" i="234"/>
  <c r="CZ5" i="234"/>
  <c r="DD5" i="234" s="1"/>
  <c r="AE5" i="234"/>
  <c r="DH12" i="234"/>
  <c r="DG12" i="234"/>
  <c r="DD10" i="234"/>
  <c r="DD18" i="234" s="1"/>
  <c r="BG8" i="234"/>
  <c r="CI11" i="233"/>
  <c r="BY11" i="233"/>
  <c r="CW11" i="233"/>
  <c r="BX11" i="233"/>
  <c r="BR11" i="233"/>
  <c r="BU11" i="233"/>
  <c r="CL11" i="233"/>
  <c r="CJ11" i="233"/>
  <c r="CB11" i="233"/>
  <c r="DA11" i="233"/>
  <c r="DE11" i="233" s="1"/>
  <c r="CK11" i="233"/>
  <c r="CD18" i="233"/>
  <c r="AY5" i="233"/>
  <c r="BW13" i="234"/>
  <c r="BG13" i="234"/>
  <c r="CX13" i="234"/>
  <c r="BI13" i="234"/>
  <c r="CV13" i="234"/>
  <c r="CN13" i="234"/>
  <c r="CX10" i="234"/>
  <c r="CX18" i="234" s="1"/>
  <c r="BI10" i="234"/>
  <c r="CN10" i="234"/>
  <c r="CN18" i="234" s="1"/>
  <c r="CM10" i="234"/>
  <c r="CM18" i="234" s="1"/>
  <c r="BG10" i="234"/>
  <c r="BW10" i="234"/>
  <c r="CN14" i="234"/>
  <c r="BW14" i="234"/>
  <c r="BG14" i="234"/>
  <c r="AX14" i="234"/>
  <c r="BI14" i="234"/>
  <c r="DB18" i="234"/>
  <c r="CM14" i="234"/>
  <c r="CM17" i="234" s="1"/>
  <c r="BF17" i="234"/>
  <c r="BW7" i="234"/>
  <c r="BG7" i="234"/>
  <c r="BC7" i="234"/>
  <c r="BI7" i="234"/>
  <c r="CN7" i="234"/>
  <c r="CW15" i="233"/>
  <c r="BX15" i="233"/>
  <c r="CL15" i="233"/>
  <c r="BR15" i="233"/>
  <c r="CJ15" i="233"/>
  <c r="CI15" i="233"/>
  <c r="BY15" i="233"/>
  <c r="BU15" i="233"/>
  <c r="CK15" i="233"/>
  <c r="DA15" i="233"/>
  <c r="DE15" i="233" s="1"/>
  <c r="CB15" i="233"/>
  <c r="AE15" i="234"/>
  <c r="CZ17" i="234"/>
  <c r="CJ11" i="234"/>
  <c r="P16" i="234"/>
  <c r="AE9" i="234"/>
  <c r="CX14" i="234"/>
  <c r="AB17" i="234"/>
  <c r="AY13" i="233"/>
  <c r="M9" i="234"/>
  <c r="M13" i="234"/>
  <c r="AW11" i="234"/>
  <c r="AW13" i="234"/>
  <c r="AW14" i="234"/>
  <c r="AW16" i="234"/>
  <c r="AW10" i="234"/>
  <c r="CE5" i="234"/>
  <c r="AW9" i="234"/>
  <c r="AX5" i="234"/>
  <c r="AY13" i="234" s="1"/>
  <c r="AW5" i="234"/>
  <c r="AM5" i="234"/>
  <c r="AN5" i="234" s="1"/>
  <c r="AW7" i="234"/>
  <c r="CF5" i="234"/>
  <c r="CN18" i="233"/>
  <c r="CN17" i="233"/>
  <c r="BU8" i="234"/>
  <c r="U15" i="233"/>
  <c r="BD8" i="233"/>
  <c r="BD12" i="233"/>
  <c r="AN17" i="234"/>
  <c r="BD14" i="233"/>
  <c r="R12" i="234"/>
  <c r="R14" i="234"/>
  <c r="CW5" i="234"/>
  <c r="R11" i="234"/>
  <c r="AI5" i="234"/>
  <c r="R5" i="234"/>
  <c r="CR5" i="234"/>
  <c r="CQ5" i="234"/>
  <c r="T5" i="234"/>
  <c r="U7" i="234" s="1"/>
  <c r="R8" i="234"/>
  <c r="CV5" i="234"/>
  <c r="CT10" i="233"/>
  <c r="CP10" i="233"/>
  <c r="BB13" i="234"/>
  <c r="BB5" i="234"/>
  <c r="BB15" i="234"/>
  <c r="BB7" i="234"/>
  <c r="BB10" i="234"/>
  <c r="BB9" i="234"/>
  <c r="BC5" i="234"/>
  <c r="BD10" i="234" s="1"/>
  <c r="M14" i="234"/>
  <c r="AY9" i="233"/>
  <c r="CB5" i="234"/>
  <c r="CP5" i="234" s="1"/>
  <c r="CT5" i="233"/>
  <c r="CR17" i="234"/>
  <c r="AL5" i="234"/>
  <c r="BL5" i="234"/>
  <c r="DH16" i="234"/>
  <c r="DG16" i="234"/>
  <c r="V10" i="234"/>
  <c r="CH17" i="234"/>
  <c r="DB17" i="234"/>
  <c r="DH7" i="234"/>
  <c r="DG7" i="234"/>
  <c r="AE12" i="234"/>
  <c r="V16" i="234"/>
  <c r="CO15" i="233"/>
  <c r="CS15" i="233"/>
  <c r="BI11" i="234"/>
  <c r="BC13" i="234"/>
  <c r="AY15" i="233"/>
  <c r="BD16" i="233"/>
  <c r="CF17" i="234"/>
  <c r="CY5" i="234"/>
  <c r="BW18" i="233"/>
  <c r="BY9" i="233"/>
  <c r="CW9" i="233"/>
  <c r="CW18" i="233" s="1"/>
  <c r="BX9" i="233"/>
  <c r="BU9" i="233"/>
  <c r="BU18" i="233" s="1"/>
  <c r="CL9" i="233"/>
  <c r="BR9" i="233"/>
  <c r="BR18" i="233" s="1"/>
  <c r="CJ9" i="233"/>
  <c r="CJ18" i="233" s="1"/>
  <c r="DA9" i="233"/>
  <c r="CK9" i="233"/>
  <c r="CK18" i="233" s="1"/>
  <c r="CI9" i="233"/>
  <c r="CI18" i="233" s="1"/>
  <c r="CB9" i="233"/>
  <c r="BW17" i="233"/>
  <c r="BY7" i="233"/>
  <c r="BZ5" i="233" s="1"/>
  <c r="CW7" i="233"/>
  <c r="BX7" i="233"/>
  <c r="BU7" i="233"/>
  <c r="CL7" i="233"/>
  <c r="BR7" i="233"/>
  <c r="BR17" i="233" s="1"/>
  <c r="CI7" i="233"/>
  <c r="DA7" i="233"/>
  <c r="CB7" i="233"/>
  <c r="CJ7" i="233"/>
  <c r="CK7" i="233"/>
  <c r="DD7" i="234"/>
  <c r="DD17" i="234" s="1"/>
  <c r="CI13" i="233"/>
  <c r="BY13" i="233"/>
  <c r="BZ13" i="233" s="1"/>
  <c r="CW13" i="233"/>
  <c r="BX13" i="233"/>
  <c r="BU13" i="233"/>
  <c r="CL13" i="233"/>
  <c r="BR13" i="233"/>
  <c r="CJ13" i="233"/>
  <c r="CB13" i="233"/>
  <c r="DA13" i="233"/>
  <c r="DE13" i="233" s="1"/>
  <c r="CK13" i="233"/>
  <c r="M8" i="234"/>
  <c r="BY5" i="234"/>
  <c r="CL5" i="234"/>
  <c r="DA5" i="234"/>
  <c r="DE5" i="234" s="1"/>
  <c r="CI5" i="234"/>
  <c r="BX5" i="234"/>
  <c r="T17" i="234"/>
  <c r="V7" i="234"/>
  <c r="BD11" i="233"/>
  <c r="CL8" i="233"/>
  <c r="BR8" i="233"/>
  <c r="DA8" i="233"/>
  <c r="DE8" i="233" s="1"/>
  <c r="CK8" i="233"/>
  <c r="CB8" i="233"/>
  <c r="CJ8" i="233"/>
  <c r="CI8" i="233"/>
  <c r="BY8" i="233"/>
  <c r="BZ12" i="233" s="1"/>
  <c r="BX8" i="233"/>
  <c r="CW8" i="233"/>
  <c r="BU8" i="233"/>
  <c r="BX10" i="233"/>
  <c r="DD17" i="233"/>
  <c r="BU14" i="233"/>
  <c r="CL14" i="233"/>
  <c r="BR14" i="233"/>
  <c r="DA14" i="233"/>
  <c r="DE14" i="233" s="1"/>
  <c r="CK14" i="233"/>
  <c r="CB14" i="233"/>
  <c r="CJ14" i="233"/>
  <c r="CI14" i="233"/>
  <c r="BY14" i="233"/>
  <c r="CW14" i="233"/>
  <c r="BX14" i="233"/>
  <c r="BX12" i="233"/>
  <c r="AM17" i="234"/>
  <c r="O8" i="234"/>
  <c r="P8" i="234" s="1"/>
  <c r="P8" i="233"/>
  <c r="M15" i="234"/>
  <c r="CS12" i="234"/>
  <c r="DH14" i="234"/>
  <c r="DG14" i="234"/>
  <c r="V12" i="234"/>
  <c r="AX18" i="234"/>
  <c r="DA16" i="233"/>
  <c r="DE16" i="233" s="1"/>
  <c r="CK16" i="233"/>
  <c r="CB16" i="233"/>
  <c r="CJ16" i="233"/>
  <c r="BY16" i="233"/>
  <c r="CW16" i="233"/>
  <c r="BU16" i="233"/>
  <c r="CL16" i="233"/>
  <c r="BR16" i="233"/>
  <c r="BX16" i="233"/>
  <c r="CI16" i="233"/>
  <c r="AY11" i="233"/>
  <c r="O12" i="234"/>
  <c r="P12" i="234" s="1"/>
  <c r="P12" i="233"/>
  <c r="BI17" i="233"/>
  <c r="CV7" i="234"/>
  <c r="CV17" i="234" s="1"/>
  <c r="AI17" i="234"/>
  <c r="AY10" i="233"/>
  <c r="P9" i="234"/>
  <c r="CD17" i="233"/>
  <c r="BI15" i="234"/>
  <c r="CN15" i="234"/>
  <c r="BW15" i="234"/>
  <c r="BG15" i="234"/>
  <c r="BC15" i="234"/>
  <c r="CX15" i="234"/>
  <c r="BG11" i="234"/>
  <c r="BJ17" i="234"/>
  <c r="BL7" i="234"/>
  <c r="BL17" i="234" s="1"/>
  <c r="O10" i="234"/>
  <c r="P10" i="234" s="1"/>
  <c r="P10" i="233"/>
  <c r="P18" i="233" s="1"/>
  <c r="AE13" i="234"/>
  <c r="V9" i="234"/>
  <c r="V18" i="234" s="1"/>
  <c r="AX17" i="234"/>
  <c r="DH15" i="234"/>
  <c r="DG15" i="234"/>
  <c r="M16" i="234"/>
  <c r="CK11" i="234"/>
  <c r="CX7" i="234"/>
  <c r="CX17" i="234" s="1"/>
  <c r="O15" i="234"/>
  <c r="P15" i="233"/>
  <c r="M11" i="234"/>
  <c r="BG12" i="234"/>
  <c r="DF17" i="234"/>
  <c r="BC17" i="233"/>
  <c r="BR8" i="234"/>
  <c r="M12" i="234"/>
  <c r="AX18" i="233"/>
  <c r="CD5" i="234"/>
  <c r="CS10" i="233"/>
  <c r="CS18" i="233" s="1"/>
  <c r="CO10" i="233"/>
  <c r="CO17" i="233" s="1"/>
  <c r="O7" i="234"/>
  <c r="P7" i="233"/>
  <c r="AE10" i="234"/>
  <c r="CY7" i="234"/>
  <c r="CY17" i="234" s="1"/>
  <c r="M7" i="234"/>
  <c r="BZ10" i="233"/>
  <c r="AY7" i="233"/>
  <c r="E20" i="240" l="1"/>
  <c r="F20" i="240"/>
  <c r="F81" i="239"/>
  <c r="D27" i="239"/>
  <c r="D78" i="239"/>
  <c r="J81" i="239"/>
  <c r="D80" i="239"/>
  <c r="B4" i="182"/>
  <c r="G6" i="183"/>
  <c r="I77" i="239"/>
  <c r="E23" i="239"/>
  <c r="C20" i="240"/>
  <c r="J134" i="236"/>
  <c r="I144" i="236"/>
  <c r="I164" i="236" s="1"/>
  <c r="I174" i="236" s="1"/>
  <c r="F103" i="236"/>
  <c r="D103" i="236"/>
  <c r="E103" i="236"/>
  <c r="G103" i="236"/>
  <c r="C76" i="239"/>
  <c r="C77" i="239" s="1"/>
  <c r="BD16" i="234"/>
  <c r="BD9" i="234"/>
  <c r="BZ15" i="233"/>
  <c r="BI17" i="234"/>
  <c r="CS7" i="234"/>
  <c r="CO7" i="234"/>
  <c r="CO14" i="234"/>
  <c r="CS14" i="234"/>
  <c r="CL13" i="234"/>
  <c r="DA13" i="234"/>
  <c r="DE13" i="234" s="1"/>
  <c r="CK13" i="234"/>
  <c r="BU13" i="234"/>
  <c r="CB13" i="234"/>
  <c r="CI13" i="234"/>
  <c r="BR13" i="234"/>
  <c r="BY13" i="234"/>
  <c r="BX13" i="234"/>
  <c r="CJ13" i="234"/>
  <c r="CW13" i="234"/>
  <c r="CP11" i="233"/>
  <c r="CT11" i="233"/>
  <c r="P14" i="234"/>
  <c r="BX11" i="234"/>
  <c r="P15" i="234"/>
  <c r="AY7" i="234"/>
  <c r="U12" i="234"/>
  <c r="CT14" i="233"/>
  <c r="CP14" i="233"/>
  <c r="CP13" i="233"/>
  <c r="CT13" i="233"/>
  <c r="CL17" i="233"/>
  <c r="BY18" i="233"/>
  <c r="BZ9" i="233"/>
  <c r="CO5" i="234"/>
  <c r="BC17" i="234"/>
  <c r="BD7" i="234"/>
  <c r="AY14" i="234"/>
  <c r="BI18" i="234"/>
  <c r="CS10" i="234"/>
  <c r="CS18" i="234" s="1"/>
  <c r="CO10" i="234"/>
  <c r="CO18" i="234" s="1"/>
  <c r="AY12" i="234"/>
  <c r="CT5" i="234"/>
  <c r="AY16" i="234"/>
  <c r="CS15" i="234"/>
  <c r="CO15" i="234"/>
  <c r="DA18" i="233"/>
  <c r="DE9" i="233"/>
  <c r="DE18" i="233" s="1"/>
  <c r="CT8" i="234"/>
  <c r="CP8" i="234"/>
  <c r="U9" i="234"/>
  <c r="CK17" i="233"/>
  <c r="U16" i="234"/>
  <c r="BW17" i="234"/>
  <c r="CL7" i="234"/>
  <c r="CL17" i="234" s="1"/>
  <c r="CB7" i="234"/>
  <c r="CI7" i="234"/>
  <c r="BY7" i="234"/>
  <c r="BX7" i="234"/>
  <c r="CK7" i="234"/>
  <c r="BU7" i="234"/>
  <c r="DA7" i="234"/>
  <c r="BX12" i="234"/>
  <c r="BX9" i="234"/>
  <c r="CW7" i="234"/>
  <c r="BR7" i="234"/>
  <c r="CJ7" i="234"/>
  <c r="BX14" i="234"/>
  <c r="CL14" i="234"/>
  <c r="DA14" i="234"/>
  <c r="DE14" i="234" s="1"/>
  <c r="CB14" i="234"/>
  <c r="CI14" i="234"/>
  <c r="CW14" i="234"/>
  <c r="BY14" i="234"/>
  <c r="CJ14" i="234"/>
  <c r="BU14" i="234"/>
  <c r="CK14" i="234"/>
  <c r="BR14" i="234"/>
  <c r="U8" i="234"/>
  <c r="B11" i="234"/>
  <c r="B12" i="233"/>
  <c r="CT11" i="234"/>
  <c r="CP11" i="234"/>
  <c r="BY16" i="234"/>
  <c r="BX16" i="234"/>
  <c r="CL16" i="234"/>
  <c r="DA16" i="234"/>
  <c r="DE16" i="234" s="1"/>
  <c r="BU16" i="234"/>
  <c r="CB16" i="234"/>
  <c r="CI16" i="234"/>
  <c r="CJ16" i="234"/>
  <c r="CW16" i="234"/>
  <c r="BR16" i="234"/>
  <c r="CK16" i="234"/>
  <c r="P11" i="234"/>
  <c r="P18" i="234" s="1"/>
  <c r="CO11" i="234"/>
  <c r="CS11" i="234"/>
  <c r="BD15" i="234"/>
  <c r="CP16" i="233"/>
  <c r="CT16" i="233"/>
  <c r="BZ8" i="233"/>
  <c r="BZ5" i="234"/>
  <c r="CJ17" i="233"/>
  <c r="CW17" i="233"/>
  <c r="U10" i="234"/>
  <c r="CT15" i="233"/>
  <c r="CP15" i="233"/>
  <c r="BU17" i="233"/>
  <c r="P17" i="233"/>
  <c r="P7" i="234"/>
  <c r="BD12" i="234"/>
  <c r="CP7" i="233"/>
  <c r="CB17" i="233"/>
  <c r="CT7" i="233"/>
  <c r="BY17" i="233"/>
  <c r="BZ7" i="233"/>
  <c r="CL18" i="233"/>
  <c r="CB10" i="234"/>
  <c r="CI10" i="234"/>
  <c r="CI18" i="234" s="1"/>
  <c r="BY10" i="234"/>
  <c r="BZ8" i="234" s="1"/>
  <c r="BX10" i="234"/>
  <c r="CL10" i="234"/>
  <c r="CL18" i="234" s="1"/>
  <c r="BU10" i="234"/>
  <c r="BU18" i="234" s="1"/>
  <c r="CK10" i="234"/>
  <c r="CK18" i="234" s="1"/>
  <c r="BR10" i="234"/>
  <c r="BR18" i="234" s="1"/>
  <c r="DA10" i="234"/>
  <c r="BW18" i="234"/>
  <c r="CJ10" i="234"/>
  <c r="CJ18" i="234" s="1"/>
  <c r="CW10" i="234"/>
  <c r="CW18" i="234" s="1"/>
  <c r="P13" i="234"/>
  <c r="CO13" i="234"/>
  <c r="CS13" i="234"/>
  <c r="DH18" i="234"/>
  <c r="CO16" i="234"/>
  <c r="CS16" i="234"/>
  <c r="V5" i="234"/>
  <c r="U5" i="234"/>
  <c r="U14" i="234"/>
  <c r="U11" i="234"/>
  <c r="U15" i="234"/>
  <c r="U13" i="234"/>
  <c r="AY5" i="234"/>
  <c r="AY9" i="234"/>
  <c r="AY8" i="234"/>
  <c r="AY11" i="234"/>
  <c r="BY15" i="234"/>
  <c r="BZ15" i="234" s="1"/>
  <c r="BX15" i="234"/>
  <c r="CL15" i="234"/>
  <c r="DA15" i="234"/>
  <c r="DE15" i="234" s="1"/>
  <c r="CB15" i="234"/>
  <c r="CI15" i="234"/>
  <c r="BR15" i="234"/>
  <c r="CJ15" i="234"/>
  <c r="BU15" i="234"/>
  <c r="CK15" i="234"/>
  <c r="CW15" i="234"/>
  <c r="BZ14" i="233"/>
  <c r="V17" i="234"/>
  <c r="DA17" i="233"/>
  <c r="DE7" i="233"/>
  <c r="DG17" i="234"/>
  <c r="BX8" i="234"/>
  <c r="DG18" i="234"/>
  <c r="BZ16" i="233"/>
  <c r="BD11" i="234"/>
  <c r="AY10" i="234"/>
  <c r="CT8" i="233"/>
  <c r="CP8" i="233"/>
  <c r="CI17" i="233"/>
  <c r="CB18" i="233"/>
  <c r="CP9" i="233"/>
  <c r="CP18" i="233" s="1"/>
  <c r="CT9" i="233"/>
  <c r="CT18" i="233" s="1"/>
  <c r="BD13" i="234"/>
  <c r="DH17" i="234"/>
  <c r="BD5" i="234"/>
  <c r="CN17" i="234"/>
  <c r="BZ11" i="233"/>
  <c r="CS5" i="234"/>
  <c r="BD8" i="234"/>
  <c r="BD14" i="234"/>
  <c r="AY15" i="234"/>
  <c r="D81" i="239" l="1"/>
  <c r="K134" i="236"/>
  <c r="J144" i="236"/>
  <c r="J164" i="236" s="1"/>
  <c r="J174" i="236" s="1"/>
  <c r="CP15" i="234"/>
  <c r="CT15" i="234"/>
  <c r="DA18" i="234"/>
  <c r="DE10" i="234"/>
  <c r="DE18" i="234" s="1"/>
  <c r="CP10" i="234"/>
  <c r="CP18" i="234" s="1"/>
  <c r="CT10" i="234"/>
  <c r="CT18" i="234" s="1"/>
  <c r="CB18" i="234"/>
  <c r="P17" i="234"/>
  <c r="DA17" i="234"/>
  <c r="DE7" i="234"/>
  <c r="BZ13" i="234"/>
  <c r="BU17" i="234"/>
  <c r="BZ16" i="234"/>
  <c r="CK17" i="234"/>
  <c r="CO17" i="234"/>
  <c r="CT14" i="234"/>
  <c r="CP14" i="234"/>
  <c r="CJ17" i="234"/>
  <c r="CP13" i="234"/>
  <c r="CT13" i="234"/>
  <c r="CS17" i="234"/>
  <c r="CT17" i="233"/>
  <c r="BZ14" i="234"/>
  <c r="BR17" i="234"/>
  <c r="BY17" i="234"/>
  <c r="BZ7" i="234"/>
  <c r="BZ9" i="234"/>
  <c r="BZ11" i="234"/>
  <c r="CP16" i="234"/>
  <c r="CT16" i="234"/>
  <c r="B12" i="234"/>
  <c r="B13" i="233"/>
  <c r="CW17" i="234"/>
  <c r="CI17" i="234"/>
  <c r="DE17" i="233"/>
  <c r="BZ10" i="234"/>
  <c r="BY18" i="234"/>
  <c r="CP17" i="233"/>
  <c r="CB17" i="234"/>
  <c r="CT7" i="234"/>
  <c r="CT17" i="234" s="1"/>
  <c r="CP7" i="234"/>
  <c r="BZ12" i="234"/>
  <c r="L134" i="236" l="1"/>
  <c r="K144" i="236"/>
  <c r="K164" i="236" s="1"/>
  <c r="K174" i="236" s="1"/>
  <c r="B13" i="234"/>
  <c r="B14" i="233"/>
  <c r="DE17" i="234"/>
  <c r="CP17" i="234"/>
  <c r="M134" i="236" l="1"/>
  <c r="L144" i="236"/>
  <c r="L164" i="236" s="1"/>
  <c r="L174" i="236" s="1"/>
  <c r="B14" i="234"/>
  <c r="B15" i="233"/>
  <c r="N134" i="236" l="1"/>
  <c r="M144" i="236"/>
  <c r="M164" i="236" s="1"/>
  <c r="M174" i="236" s="1"/>
  <c r="B15" i="234"/>
  <c r="B16" i="233"/>
  <c r="B16" i="234" s="1"/>
  <c r="O134" i="236" l="1"/>
  <c r="N144" i="236"/>
  <c r="N164" i="236" s="1"/>
  <c r="N174" i="236" s="1"/>
  <c r="O144" i="236" l="1"/>
  <c r="O164" i="236" s="1"/>
  <c r="O174" i="236" s="1"/>
  <c r="P134" i="236"/>
  <c r="Q134" i="236" l="1"/>
  <c r="Q144" i="236" s="1"/>
  <c r="Q164" i="236" s="1"/>
  <c r="Q174" i="236" s="1"/>
  <c r="P144" i="236"/>
  <c r="P164" i="236" s="1"/>
  <c r="P174" i="236" s="1"/>
  <c r="D13" i="240" l="1"/>
  <c r="D19" i="240" s="1"/>
  <c r="F16" i="239" l="1"/>
  <c r="D17" i="240"/>
  <c r="D18" i="240"/>
  <c r="D20" i="240" l="1"/>
  <c r="F17" i="239"/>
  <c r="F25" i="239"/>
  <c r="F24" i="239"/>
  <c r="H17" i="239"/>
  <c r="F26" i="239"/>
  <c r="F27" i="239" l="1"/>
  <c r="D20" i="183" l="1"/>
  <c r="E20" i="183"/>
  <c r="F20" i="183"/>
  <c r="G20" i="183"/>
  <c r="H20" i="183"/>
  <c r="I20" i="183"/>
  <c r="J20" i="183"/>
  <c r="K20" i="183"/>
  <c r="L20" i="183"/>
  <c r="C20" i="183"/>
  <c r="B39" i="183"/>
  <c r="B40" i="183"/>
  <c r="B41" i="183"/>
  <c r="B42" i="183"/>
  <c r="B43" i="183"/>
  <c r="B44" i="183"/>
  <c r="B45" i="183"/>
  <c r="B46" i="183"/>
  <c r="B38" i="183"/>
  <c r="C214" i="232"/>
  <c r="C213" i="232"/>
  <c r="C212" i="232"/>
  <c r="C211" i="232"/>
  <c r="C210" i="232"/>
  <c r="C209" i="232"/>
  <c r="C208" i="232"/>
  <c r="C207" i="232"/>
  <c r="C206" i="232"/>
  <c r="C205" i="232"/>
  <c r="C204" i="232"/>
  <c r="C203" i="232"/>
  <c r="C202" i="232"/>
  <c r="C201" i="232"/>
  <c r="C200" i="232"/>
  <c r="C199" i="232"/>
  <c r="C198" i="232"/>
  <c r="C197" i="232"/>
  <c r="C196" i="232"/>
  <c r="C195" i="232"/>
  <c r="C194" i="232"/>
  <c r="C193" i="232"/>
  <c r="C192" i="232"/>
  <c r="C191" i="232"/>
  <c r="C190" i="232"/>
  <c r="C189" i="232"/>
  <c r="C188" i="232"/>
  <c r="C187" i="232"/>
  <c r="C186" i="232"/>
  <c r="C185" i="232"/>
  <c r="C184" i="232"/>
  <c r="C183" i="232"/>
  <c r="C182" i="232"/>
  <c r="C181" i="232"/>
  <c r="C180" i="232"/>
  <c r="C179" i="232"/>
  <c r="C178" i="232"/>
  <c r="C177" i="232"/>
  <c r="C176" i="232"/>
  <c r="C175" i="232"/>
  <c r="C174" i="232"/>
  <c r="C173" i="232"/>
  <c r="C172" i="232"/>
  <c r="C171" i="232"/>
  <c r="C170" i="232"/>
  <c r="C169" i="232"/>
  <c r="C168" i="232"/>
  <c r="C167" i="232"/>
  <c r="C166" i="232"/>
  <c r="C165" i="232"/>
  <c r="C164" i="232"/>
  <c r="C163" i="232"/>
  <c r="C162" i="232"/>
  <c r="C161" i="232"/>
  <c r="C160" i="232"/>
  <c r="C159" i="232"/>
  <c r="C158" i="232"/>
  <c r="C157" i="232"/>
  <c r="C156" i="232"/>
  <c r="C155" i="232"/>
  <c r="C154" i="232"/>
  <c r="C153" i="232"/>
  <c r="C152" i="232"/>
  <c r="C151" i="232"/>
  <c r="C150" i="232"/>
  <c r="C149" i="232"/>
  <c r="C148" i="232"/>
  <c r="C147" i="232"/>
  <c r="C146" i="232"/>
  <c r="C145" i="232"/>
  <c r="C144" i="232"/>
  <c r="C143" i="232"/>
  <c r="C142" i="232"/>
  <c r="C141" i="232"/>
  <c r="C140" i="232"/>
  <c r="C139" i="232"/>
  <c r="C138" i="232"/>
  <c r="C137" i="232"/>
  <c r="C136" i="232"/>
  <c r="C135" i="232"/>
  <c r="C134" i="232"/>
  <c r="C133" i="232"/>
  <c r="C132" i="232"/>
  <c r="C131" i="232"/>
  <c r="C130" i="232"/>
  <c r="C129" i="232"/>
  <c r="C128" i="232"/>
  <c r="C127" i="232"/>
  <c r="C126" i="232"/>
  <c r="C125" i="232"/>
  <c r="C124" i="232"/>
  <c r="C123" i="232"/>
  <c r="C122" i="232"/>
  <c r="C121" i="232"/>
  <c r="C120" i="232"/>
  <c r="C119" i="232"/>
  <c r="C118" i="232"/>
  <c r="C117" i="232"/>
  <c r="C116" i="232"/>
  <c r="C115" i="232"/>
  <c r="C114" i="232"/>
  <c r="C113" i="232"/>
  <c r="C112" i="232"/>
  <c r="C111" i="232"/>
  <c r="C110" i="232"/>
  <c r="C109" i="232"/>
  <c r="C108" i="232"/>
  <c r="C107" i="232"/>
  <c r="C106" i="232"/>
  <c r="C105" i="232"/>
  <c r="C104" i="232"/>
  <c r="C103" i="232"/>
  <c r="C215" i="232" s="1"/>
  <c r="C216" i="232" s="1"/>
  <c r="C102" i="232"/>
  <c r="C101" i="232"/>
  <c r="C100" i="232"/>
  <c r="C99" i="232"/>
  <c r="C98" i="232"/>
  <c r="C97" i="232"/>
  <c r="C96" i="232"/>
  <c r="F43" i="232"/>
  <c r="F47" i="232" s="1"/>
  <c r="E43" i="232"/>
  <c r="E48" i="232" s="1"/>
  <c r="D43" i="232"/>
  <c r="D48" i="232" s="1"/>
  <c r="C43" i="232"/>
  <c r="C47" i="232" s="1"/>
  <c r="D40" i="232"/>
  <c r="F36" i="232"/>
  <c r="F40" i="232" s="1"/>
  <c r="E36" i="232"/>
  <c r="E41" i="232" s="1"/>
  <c r="D36" i="232"/>
  <c r="D41" i="232" s="1"/>
  <c r="C36" i="232"/>
  <c r="C41" i="232" s="1"/>
  <c r="D34" i="232"/>
  <c r="C34" i="232"/>
  <c r="C33" i="232"/>
  <c r="F29" i="232"/>
  <c r="F33" i="232" s="1"/>
  <c r="E29" i="232"/>
  <c r="E34" i="232" s="1"/>
  <c r="D29" i="232"/>
  <c r="D33" i="232" s="1"/>
  <c r="C29" i="232"/>
  <c r="D20" i="232"/>
  <c r="D15" i="232" s="1"/>
  <c r="D47" i="232" l="1"/>
  <c r="E47" i="232"/>
  <c r="G47" i="232"/>
  <c r="C40" i="232"/>
  <c r="E40" i="232"/>
  <c r="F41" i="232"/>
  <c r="G41" i="232" s="1"/>
  <c r="F34" i="232"/>
  <c r="G40" i="232"/>
  <c r="G34" i="232"/>
  <c r="C48" i="232"/>
  <c r="E33" i="232"/>
  <c r="G33" i="232" s="1"/>
  <c r="F48" i="232"/>
  <c r="G48" i="232" l="1"/>
  <c r="C49" i="232"/>
  <c r="D14" i="232" s="1"/>
  <c r="D16" i="232" s="1"/>
  <c r="D12" i="232" s="1"/>
  <c r="F75" i="210" l="1"/>
  <c r="C19" i="210"/>
  <c r="F22" i="210" s="1"/>
  <c r="F27" i="210" s="1"/>
  <c r="F23" i="210" s="1"/>
  <c r="E39" i="207"/>
  <c r="G28" i="204"/>
  <c r="G20" i="204"/>
  <c r="G12" i="204"/>
  <c r="G6" i="204"/>
  <c r="D17" i="56"/>
  <c r="D16" i="56"/>
  <c r="H9" i="206"/>
  <c r="I9" i="206" s="1"/>
  <c r="J9" i="206" s="1"/>
  <c r="K9" i="206" s="1"/>
  <c r="L9" i="206" s="1"/>
  <c r="M9" i="206" s="1"/>
  <c r="N9" i="206" s="1"/>
  <c r="O9" i="206" s="1"/>
  <c r="P9" i="206" s="1"/>
  <c r="G10" i="206"/>
  <c r="H10" i="206" s="1"/>
  <c r="I10" i="206" s="1"/>
  <c r="J10" i="206" s="1"/>
  <c r="K10" i="206" s="1"/>
  <c r="L10" i="206" s="1"/>
  <c r="M10" i="206" s="1"/>
  <c r="N10" i="206" s="1"/>
  <c r="O10" i="206" s="1"/>
  <c r="P10" i="206" s="1"/>
  <c r="G8" i="206"/>
  <c r="H8" i="206" s="1"/>
  <c r="I8" i="206" s="1"/>
  <c r="J8" i="206" s="1"/>
  <c r="K8" i="206" s="1"/>
  <c r="L8" i="206" s="1"/>
  <c r="M8" i="206" s="1"/>
  <c r="N8" i="206" s="1"/>
  <c r="O8" i="206" s="1"/>
  <c r="P8" i="206" s="1"/>
  <c r="I65" i="150"/>
  <c r="I63" i="150"/>
  <c r="I61" i="150"/>
  <c r="I59" i="150"/>
  <c r="I57" i="150"/>
  <c r="I55" i="150"/>
  <c r="I53" i="150"/>
  <c r="I44" i="150"/>
  <c r="I42" i="150"/>
  <c r="I40" i="150"/>
  <c r="I38" i="150"/>
  <c r="I36" i="150"/>
  <c r="I34" i="150"/>
  <c r="I32" i="150"/>
  <c r="I21" i="150"/>
  <c r="I15" i="150"/>
  <c r="I14" i="150"/>
  <c r="I10" i="150"/>
  <c r="I9" i="150"/>
  <c r="H65" i="150"/>
  <c r="H63" i="150"/>
  <c r="H61" i="150"/>
  <c r="H59" i="150"/>
  <c r="H57" i="150"/>
  <c r="H55" i="150"/>
  <c r="H53" i="150"/>
  <c r="H44" i="150"/>
  <c r="H42" i="150"/>
  <c r="H40" i="150"/>
  <c r="H38" i="150"/>
  <c r="H36" i="150"/>
  <c r="H34" i="150"/>
  <c r="H32" i="150"/>
  <c r="H21" i="150"/>
  <c r="H20" i="150"/>
  <c r="H15" i="150"/>
  <c r="H14" i="150"/>
  <c r="H10" i="150"/>
  <c r="H9" i="150"/>
  <c r="G6" i="210"/>
  <c r="H6" i="210"/>
  <c r="I6" i="210"/>
  <c r="J6" i="210"/>
  <c r="K6" i="210"/>
  <c r="L6" i="210"/>
  <c r="M6" i="210"/>
  <c r="N6" i="210"/>
  <c r="O6" i="210"/>
  <c r="G7" i="210"/>
  <c r="H7" i="210"/>
  <c r="I7" i="210"/>
  <c r="J7" i="210"/>
  <c r="K7" i="210"/>
  <c r="L7" i="210"/>
  <c r="M7" i="210"/>
  <c r="N7" i="210"/>
  <c r="O7" i="210"/>
  <c r="F7" i="210"/>
  <c r="F6" i="210"/>
  <c r="B7" i="210"/>
  <c r="B6" i="210"/>
  <c r="F6" i="209"/>
  <c r="G6" i="209"/>
  <c r="H6" i="209"/>
  <c r="I6" i="209"/>
  <c r="J6" i="209"/>
  <c r="K6" i="209"/>
  <c r="L6" i="209"/>
  <c r="M6" i="209"/>
  <c r="N6" i="209"/>
  <c r="F7" i="209"/>
  <c r="G7" i="209"/>
  <c r="H7" i="209"/>
  <c r="I7" i="209"/>
  <c r="J7" i="209"/>
  <c r="K7" i="209"/>
  <c r="L7" i="209"/>
  <c r="M7" i="209"/>
  <c r="N7" i="209"/>
  <c r="E7" i="209"/>
  <c r="E6" i="209"/>
  <c r="B7" i="209"/>
  <c r="B6" i="209"/>
  <c r="D12" i="209"/>
  <c r="D11" i="209"/>
  <c r="D18" i="209"/>
  <c r="D19" i="209"/>
  <c r="D20" i="209"/>
  <c r="D21" i="209"/>
  <c r="D17" i="209"/>
  <c r="D35" i="209"/>
  <c r="D36" i="209"/>
  <c r="D37" i="209"/>
  <c r="D38" i="209"/>
  <c r="D34" i="209"/>
  <c r="C68" i="196"/>
  <c r="E39" i="210" s="1"/>
  <c r="C69" i="196"/>
  <c r="E40" i="210" s="1"/>
  <c r="C70" i="196"/>
  <c r="E61" i="210" s="1"/>
  <c r="C67" i="196"/>
  <c r="E38" i="210" s="1"/>
  <c r="D42" i="209" l="1"/>
  <c r="D27" i="209"/>
  <c r="D28" i="209"/>
  <c r="D29" i="209"/>
  <c r="D30" i="209"/>
  <c r="D26" i="209"/>
  <c r="E47" i="209"/>
  <c r="E48" i="209"/>
  <c r="E46" i="209"/>
  <c r="K32" i="150" l="1"/>
  <c r="C20" i="5" l="1"/>
  <c r="C19" i="5"/>
  <c r="E3" i="56" l="1"/>
  <c r="F3" i="56" s="1"/>
  <c r="G3" i="56" s="1"/>
  <c r="H3" i="56" s="1"/>
  <c r="I3" i="56" s="1"/>
  <c r="J3" i="56" s="1"/>
  <c r="K3" i="56" s="1"/>
  <c r="L3" i="56" s="1"/>
  <c r="M3" i="56" s="1"/>
  <c r="F73" i="210" l="1"/>
  <c r="E74" i="210"/>
  <c r="E51" i="210"/>
  <c r="E49" i="210"/>
  <c r="E48" i="210"/>
  <c r="E47" i="210"/>
  <c r="E46" i="210"/>
  <c r="E44" i="210"/>
  <c r="E45" i="210"/>
  <c r="F38" i="210" l="1"/>
  <c r="G38" i="210" s="1"/>
  <c r="H38" i="210" s="1"/>
  <c r="I38" i="210" s="1"/>
  <c r="J38" i="210" s="1"/>
  <c r="K38" i="210" s="1"/>
  <c r="L38" i="210" s="1"/>
  <c r="M38" i="210" s="1"/>
  <c r="N38" i="210" s="1"/>
  <c r="O38" i="210" s="1"/>
  <c r="E36" i="210"/>
  <c r="E35" i="210"/>
  <c r="C15" i="210" l="1"/>
  <c r="G24" i="210"/>
  <c r="H24" i="210"/>
  <c r="I24" i="210"/>
  <c r="J24" i="210"/>
  <c r="K24" i="210"/>
  <c r="L24" i="210"/>
  <c r="M24" i="210"/>
  <c r="N24" i="210"/>
  <c r="O24" i="210"/>
  <c r="F24" i="210"/>
  <c r="N69" i="223"/>
  <c r="N70" i="223"/>
  <c r="N71" i="223"/>
  <c r="N72" i="223"/>
  <c r="F69" i="223"/>
  <c r="G69" i="223"/>
  <c r="H69" i="223"/>
  <c r="I69" i="223"/>
  <c r="J69" i="223"/>
  <c r="K69" i="223"/>
  <c r="L69" i="223"/>
  <c r="M69" i="223"/>
  <c r="F70" i="223"/>
  <c r="G70" i="223"/>
  <c r="H70" i="223"/>
  <c r="I70" i="223"/>
  <c r="J70" i="223"/>
  <c r="K70" i="223"/>
  <c r="L70" i="223"/>
  <c r="M70" i="223"/>
  <c r="F71" i="223"/>
  <c r="G71" i="223"/>
  <c r="H71" i="223"/>
  <c r="I71" i="223"/>
  <c r="J71" i="223"/>
  <c r="K71" i="223"/>
  <c r="L71" i="223"/>
  <c r="M71" i="223"/>
  <c r="F72" i="223"/>
  <c r="G72" i="223"/>
  <c r="H72" i="223"/>
  <c r="I72" i="223"/>
  <c r="J72" i="223"/>
  <c r="K72" i="223"/>
  <c r="L72" i="223"/>
  <c r="M72" i="223"/>
  <c r="E70" i="223"/>
  <c r="E71" i="223"/>
  <c r="E72" i="223"/>
  <c r="D72" i="223"/>
  <c r="E64" i="223"/>
  <c r="D65" i="223"/>
  <c r="E62" i="223" s="1"/>
  <c r="F57" i="223"/>
  <c r="G57" i="223"/>
  <c r="E57" i="223"/>
  <c r="F51" i="223"/>
  <c r="E51" i="223"/>
  <c r="E45" i="223"/>
  <c r="E39" i="223"/>
  <c r="F33" i="223"/>
  <c r="G33" i="223"/>
  <c r="E33" i="223"/>
  <c r="F27" i="223"/>
  <c r="G27" i="223"/>
  <c r="E27" i="223"/>
  <c r="D58" i="223"/>
  <c r="E55" i="223" s="1"/>
  <c r="D52" i="223"/>
  <c r="E49" i="223" s="1"/>
  <c r="E65" i="223" l="1"/>
  <c r="F62" i="223" s="1"/>
  <c r="E52" i="223"/>
  <c r="F49" i="223" s="1"/>
  <c r="E58" i="223"/>
  <c r="F55" i="223" s="1"/>
  <c r="F58" i="223" s="1"/>
  <c r="G55" i="223" s="1"/>
  <c r="D46" i="223"/>
  <c r="E43" i="223" s="1"/>
  <c r="D40" i="223"/>
  <c r="D34" i="223"/>
  <c r="F65" i="223" l="1"/>
  <c r="G62" i="223" s="1"/>
  <c r="G65" i="223" s="1"/>
  <c r="H62" i="223" s="1"/>
  <c r="H65" i="223" s="1"/>
  <c r="I62" i="223" s="1"/>
  <c r="I65" i="223" s="1"/>
  <c r="J62" i="223" s="1"/>
  <c r="J65" i="223" s="1"/>
  <c r="K62" i="223" s="1"/>
  <c r="K65" i="223" s="1"/>
  <c r="L62" i="223" s="1"/>
  <c r="L65" i="223" s="1"/>
  <c r="M62" i="223" s="1"/>
  <c r="M65" i="223" s="1"/>
  <c r="N62" i="223" s="1"/>
  <c r="N65" i="223" s="1"/>
  <c r="F64" i="223"/>
  <c r="F52" i="223"/>
  <c r="G49" i="223" s="1"/>
  <c r="G58" i="223"/>
  <c r="H55" i="223" s="1"/>
  <c r="E46" i="223"/>
  <c r="F43" i="223" s="1"/>
  <c r="H57" i="223" l="1"/>
  <c r="H58" i="223" s="1"/>
  <c r="I55" i="223" s="1"/>
  <c r="I58" i="223" s="1"/>
  <c r="J55" i="223" s="1"/>
  <c r="J58" i="223" s="1"/>
  <c r="K55" i="223" s="1"/>
  <c r="K58" i="223" s="1"/>
  <c r="L55" i="223" s="1"/>
  <c r="L58" i="223" s="1"/>
  <c r="M55" i="223" s="1"/>
  <c r="M58" i="223" s="1"/>
  <c r="N55" i="223" s="1"/>
  <c r="N58" i="223" s="1"/>
  <c r="G51" i="223"/>
  <c r="G52" i="223" s="1"/>
  <c r="H49" i="223" s="1"/>
  <c r="H52" i="223" s="1"/>
  <c r="I49" i="223" s="1"/>
  <c r="I52" i="223" s="1"/>
  <c r="J49" i="223" s="1"/>
  <c r="J52" i="223" s="1"/>
  <c r="K49" i="223" s="1"/>
  <c r="K52" i="223" s="1"/>
  <c r="L49" i="223" s="1"/>
  <c r="L52" i="223" s="1"/>
  <c r="M49" i="223" s="1"/>
  <c r="M52" i="223" s="1"/>
  <c r="N49" i="223" s="1"/>
  <c r="N52" i="223" s="1"/>
  <c r="F45" i="223"/>
  <c r="F46" i="223" s="1"/>
  <c r="G43" i="223" s="1"/>
  <c r="G45" i="223" s="1"/>
  <c r="G46" i="223" s="1"/>
  <c r="H43" i="223" s="1"/>
  <c r="H46" i="223" l="1"/>
  <c r="I43" i="223" s="1"/>
  <c r="I46" i="223" s="1"/>
  <c r="J43" i="223" s="1"/>
  <c r="J46" i="223" s="1"/>
  <c r="K43" i="223" s="1"/>
  <c r="K46" i="223" s="1"/>
  <c r="L43" i="223" s="1"/>
  <c r="L46" i="223" s="1"/>
  <c r="M43" i="223" s="1"/>
  <c r="M46" i="223" s="1"/>
  <c r="N43" i="223" s="1"/>
  <c r="N46" i="223" s="1"/>
  <c r="D28" i="223" l="1"/>
  <c r="E25" i="223" s="1"/>
  <c r="E28" i="223" s="1"/>
  <c r="F25" i="223" s="1"/>
  <c r="E37" i="223"/>
  <c r="E40" i="223" s="1"/>
  <c r="F37" i="223" s="1"/>
  <c r="E31" i="223"/>
  <c r="E34" i="223" s="1"/>
  <c r="F31" i="223" s="1"/>
  <c r="F34" i="223" s="1"/>
  <c r="G31" i="223" s="1"/>
  <c r="E20" i="223"/>
  <c r="F20" i="223" s="1"/>
  <c r="D21" i="223"/>
  <c r="E18" i="223" s="1"/>
  <c r="F14" i="223"/>
  <c r="D15" i="223"/>
  <c r="E12" i="223" s="1"/>
  <c r="E8" i="223"/>
  <c r="D9" i="223"/>
  <c r="E9" i="223" s="1"/>
  <c r="F39" i="223" l="1"/>
  <c r="F40" i="223" s="1"/>
  <c r="G37" i="223" s="1"/>
  <c r="F28" i="223"/>
  <c r="G25" i="223" s="1"/>
  <c r="G28" i="223" s="1"/>
  <c r="H25" i="223" s="1"/>
  <c r="G34" i="223"/>
  <c r="H31" i="223" s="1"/>
  <c r="E21" i="223"/>
  <c r="F18" i="223" s="1"/>
  <c r="F21" i="223" s="1"/>
  <c r="G18" i="223" s="1"/>
  <c r="G20" i="223" s="1"/>
  <c r="G21" i="223" s="1"/>
  <c r="H18" i="223" s="1"/>
  <c r="H21" i="223" s="1"/>
  <c r="I18" i="223" s="1"/>
  <c r="I21" i="223" s="1"/>
  <c r="J18" i="223" s="1"/>
  <c r="J21" i="223" s="1"/>
  <c r="K18" i="223" s="1"/>
  <c r="K21" i="223" s="1"/>
  <c r="L18" i="223" s="1"/>
  <c r="L21" i="223" s="1"/>
  <c r="M18" i="223" s="1"/>
  <c r="M21" i="223" s="1"/>
  <c r="N18" i="223" s="1"/>
  <c r="N21" i="223" s="1"/>
  <c r="E15" i="223"/>
  <c r="F12" i="223" s="1"/>
  <c r="F15" i="223" s="1"/>
  <c r="G12" i="223" s="1"/>
  <c r="H33" i="223" l="1"/>
  <c r="H34" i="223" s="1"/>
  <c r="I31" i="223" s="1"/>
  <c r="I34" i="223" s="1"/>
  <c r="J31" i="223" s="1"/>
  <c r="J34" i="223" s="1"/>
  <c r="K31" i="223" s="1"/>
  <c r="K34" i="223" s="1"/>
  <c r="L31" i="223" s="1"/>
  <c r="L34" i="223" s="1"/>
  <c r="M31" i="223" s="1"/>
  <c r="M34" i="223" s="1"/>
  <c r="N31" i="223" s="1"/>
  <c r="N34" i="223" s="1"/>
  <c r="G39" i="223"/>
  <c r="G40" i="223"/>
  <c r="H37" i="223" s="1"/>
  <c r="H40" i="223" s="1"/>
  <c r="I37" i="223" s="1"/>
  <c r="I40" i="223" s="1"/>
  <c r="J37" i="223" s="1"/>
  <c r="J40" i="223" s="1"/>
  <c r="K37" i="223" s="1"/>
  <c r="K40" i="223" s="1"/>
  <c r="L37" i="223" s="1"/>
  <c r="L40" i="223" s="1"/>
  <c r="M37" i="223" s="1"/>
  <c r="M40" i="223" s="1"/>
  <c r="N37" i="223" s="1"/>
  <c r="N40" i="223" s="1"/>
  <c r="H27" i="223"/>
  <c r="H28" i="223" s="1"/>
  <c r="I25" i="223" s="1"/>
  <c r="I28" i="223" s="1"/>
  <c r="J25" i="223" s="1"/>
  <c r="J28" i="223" s="1"/>
  <c r="K25" i="223" s="1"/>
  <c r="K28" i="223" s="1"/>
  <c r="L25" i="223" s="1"/>
  <c r="L28" i="223" s="1"/>
  <c r="M25" i="223" s="1"/>
  <c r="M28" i="223" s="1"/>
  <c r="N25" i="223" s="1"/>
  <c r="N28" i="223" s="1"/>
  <c r="G14" i="223"/>
  <c r="G15" i="223" s="1"/>
  <c r="H12" i="223" s="1"/>
  <c r="H15" i="223" s="1"/>
  <c r="I12" i="223" l="1"/>
  <c r="I15" i="223" s="1"/>
  <c r="J12" i="223" l="1"/>
  <c r="J15" i="223" s="1"/>
  <c r="K12" i="223" l="1"/>
  <c r="K15" i="223" l="1"/>
  <c r="L12" i="223" s="1"/>
  <c r="L15" i="223" s="1"/>
  <c r="M12" i="223" s="1"/>
  <c r="M15" i="223" s="1"/>
  <c r="N12" i="223" s="1"/>
  <c r="N15" i="223" s="1"/>
  <c r="R84" i="159" l="1"/>
  <c r="M84" i="159"/>
  <c r="H84" i="159"/>
  <c r="AU4" i="159" l="1"/>
  <c r="AT4" i="159"/>
  <c r="AV4" i="159"/>
  <c r="AQ35" i="159"/>
  <c r="AP35" i="159"/>
  <c r="AO35" i="159"/>
  <c r="AN35" i="159"/>
  <c r="AQ16" i="159"/>
  <c r="AP16" i="159"/>
  <c r="AO16" i="159"/>
  <c r="AN16" i="159"/>
  <c r="AQ12" i="159"/>
  <c r="AP12" i="159"/>
  <c r="AO12" i="159"/>
  <c r="AN12" i="159"/>
  <c r="BA59" i="159"/>
  <c r="AZ59" i="159"/>
  <c r="AY59" i="159"/>
  <c r="AX59" i="159"/>
  <c r="BK64" i="159"/>
  <c r="BJ64" i="159"/>
  <c r="BI64" i="159"/>
  <c r="BH64" i="159"/>
  <c r="BK63" i="159"/>
  <c r="BJ63" i="159"/>
  <c r="BI63" i="159"/>
  <c r="BH63" i="159"/>
  <c r="BK62" i="159"/>
  <c r="BJ62" i="159"/>
  <c r="BI62" i="159"/>
  <c r="BH62" i="159"/>
  <c r="BK61" i="159"/>
  <c r="BJ61" i="159"/>
  <c r="BI61" i="159"/>
  <c r="BH61" i="159"/>
  <c r="BK60" i="159"/>
  <c r="BJ60" i="159"/>
  <c r="BI60" i="159"/>
  <c r="BH60" i="159"/>
  <c r="BF64" i="159"/>
  <c r="BE64" i="159"/>
  <c r="BD64" i="159"/>
  <c r="BC64" i="159"/>
  <c r="BF63" i="159"/>
  <c r="BE63" i="159"/>
  <c r="BD63" i="159"/>
  <c r="BC63" i="159"/>
  <c r="BF62" i="159"/>
  <c r="BE62" i="159"/>
  <c r="BD62" i="159"/>
  <c r="BC62" i="159"/>
  <c r="BF61" i="159"/>
  <c r="BE61" i="159"/>
  <c r="BD61" i="159"/>
  <c r="BC61" i="159"/>
  <c r="BF60" i="159"/>
  <c r="BE60" i="159"/>
  <c r="BD60" i="159"/>
  <c r="BC60" i="159"/>
  <c r="BA64" i="159"/>
  <c r="AZ64" i="159"/>
  <c r="AY64" i="159"/>
  <c r="AX64" i="159"/>
  <c r="BA63" i="159"/>
  <c r="AZ63" i="159"/>
  <c r="AY63" i="159"/>
  <c r="AX63" i="159"/>
  <c r="BA62" i="159"/>
  <c r="AZ62" i="159"/>
  <c r="AY62" i="159"/>
  <c r="AX62" i="159"/>
  <c r="BA61" i="159"/>
  <c r="AZ61" i="159"/>
  <c r="AY61" i="159"/>
  <c r="AX61" i="159"/>
  <c r="BA60" i="159"/>
  <c r="AZ60" i="159"/>
  <c r="AY60" i="159"/>
  <c r="AX60" i="159"/>
  <c r="AU117" i="159"/>
  <c r="AN117" i="159"/>
  <c r="AO117" i="159"/>
  <c r="AI117" i="159"/>
  <c r="AJ117" i="159"/>
  <c r="L25" i="158"/>
  <c r="F25" i="158"/>
  <c r="E25" i="158"/>
  <c r="L23" i="158" l="1"/>
  <c r="E23" i="158"/>
  <c r="F23" i="158" s="1"/>
  <c r="L20" i="158"/>
  <c r="L18" i="158"/>
  <c r="E20" i="158"/>
  <c r="E18" i="158"/>
  <c r="L15" i="158"/>
  <c r="D15" i="158"/>
  <c r="E15" i="158" s="1"/>
  <c r="L9" i="158"/>
  <c r="E9" i="158"/>
  <c r="E12" i="158"/>
  <c r="L12" i="158"/>
  <c r="AP4" i="159"/>
  <c r="AK4" i="159"/>
  <c r="H16" i="230" l="1"/>
  <c r="J16" i="230"/>
  <c r="L16" i="230"/>
  <c r="N16" i="230"/>
  <c r="P16" i="230"/>
  <c r="R16" i="230"/>
  <c r="T16" i="230"/>
  <c r="T58" i="230" s="1"/>
  <c r="V16" i="230"/>
  <c r="V58" i="230" s="1"/>
  <c r="X16" i="230"/>
  <c r="Z16" i="230"/>
  <c r="H58" i="230"/>
  <c r="J58" i="230"/>
  <c r="L58" i="230"/>
  <c r="N58" i="230"/>
  <c r="P58" i="230"/>
  <c r="R58" i="230"/>
  <c r="X58" i="230"/>
  <c r="Z58" i="230"/>
  <c r="L43" i="230"/>
  <c r="H33" i="230"/>
  <c r="J33" i="230"/>
  <c r="L33" i="230"/>
  <c r="N33" i="230"/>
  <c r="P33" i="230"/>
  <c r="R33" i="230"/>
  <c r="T33" i="230"/>
  <c r="V33" i="230"/>
  <c r="X33" i="230"/>
  <c r="Z33" i="230"/>
  <c r="AA41" i="230"/>
  <c r="Y41" i="230"/>
  <c r="W41" i="230"/>
  <c r="U41" i="230"/>
  <c r="S41" i="230"/>
  <c r="Q41" i="230"/>
  <c r="O41" i="230"/>
  <c r="M41" i="230"/>
  <c r="K41" i="230"/>
  <c r="I41" i="230"/>
  <c r="Z41" i="230"/>
  <c r="X41" i="230"/>
  <c r="V41" i="230"/>
  <c r="T41" i="230"/>
  <c r="R41" i="230"/>
  <c r="P41" i="230"/>
  <c r="N41" i="230"/>
  <c r="L41" i="230"/>
  <c r="J41" i="230"/>
  <c r="G51" i="230"/>
  <c r="G48" i="230"/>
  <c r="G45" i="230"/>
  <c r="G38" i="230"/>
  <c r="G35" i="230"/>
  <c r="G33" i="230" s="1"/>
  <c r="G25" i="230"/>
  <c r="G22" i="230"/>
  <c r="G19" i="230"/>
  <c r="G18" i="230"/>
  <c r="G17" i="230"/>
  <c r="G14" i="230"/>
  <c r="G11" i="230" s="1"/>
  <c r="F173" i="229"/>
  <c r="G41" i="230"/>
  <c r="F41" i="230" s="1"/>
  <c r="G16" i="230" l="1"/>
  <c r="E40" i="214"/>
  <c r="J144" i="213" s="1"/>
  <c r="F40" i="214"/>
  <c r="K144" i="213" s="1"/>
  <c r="G40" i="214"/>
  <c r="L144" i="213" s="1"/>
  <c r="H40" i="214"/>
  <c r="M144" i="213" s="1"/>
  <c r="I40" i="214"/>
  <c r="N144" i="213" s="1"/>
  <c r="J40" i="214"/>
  <c r="O144" i="213" s="1"/>
  <c r="K40" i="214"/>
  <c r="P144" i="213" s="1"/>
  <c r="L40" i="214"/>
  <c r="Q144" i="213" s="1"/>
  <c r="M40" i="214"/>
  <c r="R144" i="213" s="1"/>
  <c r="E34" i="214"/>
  <c r="F34" i="214"/>
  <c r="G34" i="214"/>
  <c r="H34" i="214"/>
  <c r="I34" i="214"/>
  <c r="J34" i="214"/>
  <c r="K34" i="214"/>
  <c r="L34" i="214"/>
  <c r="M34" i="214"/>
  <c r="E28" i="214"/>
  <c r="F28" i="214"/>
  <c r="G28" i="214"/>
  <c r="H28" i="214"/>
  <c r="I28" i="214"/>
  <c r="J28" i="214"/>
  <c r="K28" i="214"/>
  <c r="L28" i="214"/>
  <c r="M28" i="214"/>
  <c r="D40" i="214"/>
  <c r="I144" i="213" s="1"/>
  <c r="D34" i="214"/>
  <c r="D28" i="214"/>
  <c r="E20" i="214"/>
  <c r="J94" i="213" s="1"/>
  <c r="F20" i="214"/>
  <c r="K94" i="213" s="1"/>
  <c r="G20" i="214"/>
  <c r="L94" i="213" s="1"/>
  <c r="H20" i="214"/>
  <c r="M94" i="213" s="1"/>
  <c r="I20" i="214"/>
  <c r="N113" i="213" s="1"/>
  <c r="J20" i="214"/>
  <c r="O113" i="213" s="1"/>
  <c r="K20" i="214"/>
  <c r="P94" i="213" s="1"/>
  <c r="L20" i="214"/>
  <c r="Q94" i="213" s="1"/>
  <c r="M20" i="214"/>
  <c r="R94" i="213" s="1"/>
  <c r="E21" i="214"/>
  <c r="J95" i="213" s="1"/>
  <c r="F21" i="214"/>
  <c r="K95" i="213" s="1"/>
  <c r="G21" i="214"/>
  <c r="L114" i="213" s="1"/>
  <c r="H21" i="214"/>
  <c r="M114" i="213" s="1"/>
  <c r="I21" i="214"/>
  <c r="N95" i="213" s="1"/>
  <c r="J21" i="214"/>
  <c r="O95" i="213" s="1"/>
  <c r="K21" i="214"/>
  <c r="P95" i="213" s="1"/>
  <c r="L21" i="214"/>
  <c r="Q95" i="213" s="1"/>
  <c r="M21" i="214"/>
  <c r="R95" i="213" s="1"/>
  <c r="E22" i="214"/>
  <c r="J115" i="213" s="1"/>
  <c r="F22" i="214"/>
  <c r="K115" i="213" s="1"/>
  <c r="G22" i="214"/>
  <c r="L96" i="213" s="1"/>
  <c r="H22" i="214"/>
  <c r="M96" i="213" s="1"/>
  <c r="I22" i="214"/>
  <c r="N96" i="213" s="1"/>
  <c r="J22" i="214"/>
  <c r="O96" i="213" s="1"/>
  <c r="K22" i="214"/>
  <c r="P96" i="213" s="1"/>
  <c r="L22" i="214"/>
  <c r="Q96" i="213" s="1"/>
  <c r="M22" i="214"/>
  <c r="R115" i="213" s="1"/>
  <c r="D20" i="214"/>
  <c r="I94" i="213" s="1"/>
  <c r="D21" i="214"/>
  <c r="I95" i="213" s="1"/>
  <c r="D22" i="214"/>
  <c r="I96" i="213" s="1"/>
  <c r="D6" i="215"/>
  <c r="E6" i="215"/>
  <c r="F6" i="215"/>
  <c r="G6" i="215"/>
  <c r="H6" i="215"/>
  <c r="I6" i="215"/>
  <c r="J6" i="215"/>
  <c r="K6" i="215"/>
  <c r="L6" i="215"/>
  <c r="M6" i="215"/>
  <c r="D7" i="215"/>
  <c r="E7" i="215"/>
  <c r="F7" i="215"/>
  <c r="G7" i="215"/>
  <c r="H7" i="215"/>
  <c r="I7" i="215"/>
  <c r="J7" i="215"/>
  <c r="K7" i="215"/>
  <c r="L7" i="215"/>
  <c r="M7" i="215"/>
  <c r="B7" i="215"/>
  <c r="B6" i="215"/>
  <c r="L68" i="150"/>
  <c r="D11" i="214"/>
  <c r="H11" i="230"/>
  <c r="D10" i="214" s="1"/>
  <c r="E6" i="214"/>
  <c r="F6" i="214"/>
  <c r="G6" i="214"/>
  <c r="H6" i="214"/>
  <c r="I6" i="214"/>
  <c r="J6" i="214"/>
  <c r="K6" i="214"/>
  <c r="L6" i="214"/>
  <c r="M6" i="214"/>
  <c r="E7" i="214"/>
  <c r="F7" i="214"/>
  <c r="G7" i="214"/>
  <c r="H7" i="214"/>
  <c r="I7" i="214"/>
  <c r="J7" i="214"/>
  <c r="K7" i="214"/>
  <c r="L7" i="214"/>
  <c r="M7" i="214"/>
  <c r="D7" i="214"/>
  <c r="D6" i="214"/>
  <c r="B7" i="214"/>
  <c r="B6" i="214"/>
  <c r="D12" i="214"/>
  <c r="H44" i="230"/>
  <c r="J15" i="230"/>
  <c r="L15" i="230" s="1"/>
  <c r="N15" i="230" s="1"/>
  <c r="P15" i="230" s="1"/>
  <c r="R15" i="230" s="1"/>
  <c r="T15" i="230" s="1"/>
  <c r="V15" i="230" s="1"/>
  <c r="X15" i="230" s="1"/>
  <c r="Z15" i="230" s="1"/>
  <c r="J17" i="230"/>
  <c r="L17" i="230" s="1"/>
  <c r="J18" i="230"/>
  <c r="J19" i="230"/>
  <c r="L19" i="230" s="1"/>
  <c r="N19" i="230" s="1"/>
  <c r="P19" i="230" s="1"/>
  <c r="R19" i="230" s="1"/>
  <c r="T19" i="230" s="1"/>
  <c r="V19" i="230" s="1"/>
  <c r="X19" i="230" s="1"/>
  <c r="Z19" i="230" s="1"/>
  <c r="J22" i="230"/>
  <c r="L22" i="230" s="1"/>
  <c r="N22" i="230" s="1"/>
  <c r="P22" i="230" s="1"/>
  <c r="R22" i="230" s="1"/>
  <c r="T22" i="230" s="1"/>
  <c r="V22" i="230" s="1"/>
  <c r="X22" i="230" s="1"/>
  <c r="Z22" i="230" s="1"/>
  <c r="J25" i="230"/>
  <c r="L25" i="230" s="1"/>
  <c r="N25" i="230" s="1"/>
  <c r="P25" i="230" s="1"/>
  <c r="R25" i="230" s="1"/>
  <c r="T25" i="230" s="1"/>
  <c r="V25" i="230" s="1"/>
  <c r="X25" i="230" s="1"/>
  <c r="Z25" i="230" s="1"/>
  <c r="J34" i="230"/>
  <c r="L34" i="230" s="1"/>
  <c r="N34" i="230" s="1"/>
  <c r="P34" i="230" s="1"/>
  <c r="R34" i="230" s="1"/>
  <c r="T34" i="230" s="1"/>
  <c r="V34" i="230" s="1"/>
  <c r="X34" i="230" s="1"/>
  <c r="Z34" i="230" s="1"/>
  <c r="J35" i="230"/>
  <c r="J38" i="230"/>
  <c r="L38" i="230" s="1"/>
  <c r="N38" i="230" s="1"/>
  <c r="P38" i="230" s="1"/>
  <c r="R38" i="230" s="1"/>
  <c r="T38" i="230" s="1"/>
  <c r="V38" i="230" s="1"/>
  <c r="X38" i="230" s="1"/>
  <c r="Z38" i="230" s="1"/>
  <c r="J43" i="230"/>
  <c r="N43" i="230" s="1"/>
  <c r="P43" i="230" s="1"/>
  <c r="R43" i="230" s="1"/>
  <c r="T43" i="230" s="1"/>
  <c r="V43" i="230" s="1"/>
  <c r="X43" i="230" s="1"/>
  <c r="Z43" i="230" s="1"/>
  <c r="J45" i="230"/>
  <c r="L45" i="230" s="1"/>
  <c r="J48" i="230"/>
  <c r="L48" i="230" s="1"/>
  <c r="N48" i="230" s="1"/>
  <c r="P48" i="230" s="1"/>
  <c r="R48" i="230" s="1"/>
  <c r="T48" i="230" s="1"/>
  <c r="V48" i="230" s="1"/>
  <c r="X48" i="230" s="1"/>
  <c r="Z48" i="230" s="1"/>
  <c r="J51" i="230"/>
  <c r="L51" i="230" s="1"/>
  <c r="N51" i="230" s="1"/>
  <c r="P51" i="230" s="1"/>
  <c r="R51" i="230" s="1"/>
  <c r="T51" i="230" s="1"/>
  <c r="V51" i="230" s="1"/>
  <c r="X51" i="230" s="1"/>
  <c r="Z51" i="230" s="1"/>
  <c r="J52" i="230"/>
  <c r="L52" i="230" s="1"/>
  <c r="P52" i="230" s="1"/>
  <c r="R52" i="230" s="1"/>
  <c r="T52" i="230" s="1"/>
  <c r="V52" i="230" s="1"/>
  <c r="J53" i="230"/>
  <c r="L53" i="230" s="1"/>
  <c r="P53" i="230" s="1"/>
  <c r="R53" i="230" s="1"/>
  <c r="T53" i="230" s="1"/>
  <c r="V53" i="230" s="1"/>
  <c r="J56" i="230"/>
  <c r="L56" i="230" s="1"/>
  <c r="N56" i="230" s="1"/>
  <c r="P56" i="230" s="1"/>
  <c r="R56" i="230" s="1"/>
  <c r="T56" i="230" s="1"/>
  <c r="V56" i="230" s="1"/>
  <c r="X56" i="230" s="1"/>
  <c r="Z56" i="230" s="1"/>
  <c r="J14" i="230"/>
  <c r="L14" i="230" s="1"/>
  <c r="N14" i="230" s="1"/>
  <c r="P14" i="230" s="1"/>
  <c r="R14" i="230" s="1"/>
  <c r="T14" i="230" s="1"/>
  <c r="V14" i="230" s="1"/>
  <c r="X14" i="230" s="1"/>
  <c r="Z14" i="230" s="1"/>
  <c r="J13" i="230"/>
  <c r="L13" i="230" s="1"/>
  <c r="L11" i="230" l="1"/>
  <c r="F10" i="214" s="1"/>
  <c r="E12" i="214"/>
  <c r="L35" i="230"/>
  <c r="N35" i="230" s="1"/>
  <c r="N17" i="230"/>
  <c r="D13" i="214"/>
  <c r="D9" i="214" s="1"/>
  <c r="J11" i="230"/>
  <c r="E10" i="214" s="1"/>
  <c r="E11" i="214"/>
  <c r="J44" i="230"/>
  <c r="E13" i="214" s="1"/>
  <c r="K96" i="213"/>
  <c r="M95" i="213"/>
  <c r="O94" i="213"/>
  <c r="Q115" i="213"/>
  <c r="I115" i="213"/>
  <c r="K114" i="213"/>
  <c r="M113" i="213"/>
  <c r="R96" i="213"/>
  <c r="J96" i="213"/>
  <c r="L95" i="213"/>
  <c r="N94" i="213"/>
  <c r="P115" i="213"/>
  <c r="R114" i="213"/>
  <c r="J114" i="213"/>
  <c r="L113" i="213"/>
  <c r="O115" i="213"/>
  <c r="Q114" i="213"/>
  <c r="I114" i="213"/>
  <c r="K113" i="213"/>
  <c r="N115" i="213"/>
  <c r="P114" i="213"/>
  <c r="R113" i="213"/>
  <c r="J113" i="213"/>
  <c r="M115" i="213"/>
  <c r="O114" i="213"/>
  <c r="Q113" i="213"/>
  <c r="I113" i="213"/>
  <c r="L115" i="213"/>
  <c r="N114" i="213"/>
  <c r="P113" i="213"/>
  <c r="L44" i="230"/>
  <c r="F13" i="214" s="1"/>
  <c r="N45" i="230"/>
  <c r="G12" i="214"/>
  <c r="P35" i="230"/>
  <c r="N13" i="230"/>
  <c r="N11" i="230" s="1"/>
  <c r="G10" i="214" s="1"/>
  <c r="L18" i="230"/>
  <c r="N18" i="230" s="1"/>
  <c r="P18" i="230" s="1"/>
  <c r="R18" i="230" s="1"/>
  <c r="T18" i="230" s="1"/>
  <c r="V18" i="230" s="1"/>
  <c r="X18" i="230" s="1"/>
  <c r="Z18" i="230" s="1"/>
  <c r="F12" i="214" l="1"/>
  <c r="E9" i="214"/>
  <c r="P17" i="230"/>
  <c r="G11" i="214"/>
  <c r="F11" i="214"/>
  <c r="F9" i="214" s="1"/>
  <c r="H12" i="214"/>
  <c r="R35" i="230"/>
  <c r="P13" i="230"/>
  <c r="P11" i="230" s="1"/>
  <c r="H10" i="214" s="1"/>
  <c r="P45" i="230"/>
  <c r="N44" i="230"/>
  <c r="R17" i="230" l="1"/>
  <c r="H11" i="214"/>
  <c r="G13" i="214"/>
  <c r="G9" i="214" s="1"/>
  <c r="P44" i="230"/>
  <c r="H13" i="214" s="1"/>
  <c r="H9" i="214" s="1"/>
  <c r="R45" i="230"/>
  <c r="R13" i="230"/>
  <c r="R11" i="230" s="1"/>
  <c r="I10" i="214" s="1"/>
  <c r="T35" i="230"/>
  <c r="I12" i="214"/>
  <c r="T17" i="230" l="1"/>
  <c r="I11" i="214"/>
  <c r="V35" i="230"/>
  <c r="J12" i="214"/>
  <c r="T45" i="230"/>
  <c r="R44" i="230"/>
  <c r="I13" i="214" s="1"/>
  <c r="T13" i="230"/>
  <c r="T11" i="230" s="1"/>
  <c r="J10" i="214" s="1"/>
  <c r="I9" i="214" l="1"/>
  <c r="V17" i="230"/>
  <c r="J11" i="214"/>
  <c r="V13" i="230"/>
  <c r="V11" i="230" s="1"/>
  <c r="K10" i="214" s="1"/>
  <c r="T44" i="230"/>
  <c r="V45" i="230"/>
  <c r="K12" i="214"/>
  <c r="X35" i="230"/>
  <c r="J13" i="214" l="1"/>
  <c r="J9" i="214" s="1"/>
  <c r="X17" i="230"/>
  <c r="K11" i="214"/>
  <c r="L12" i="214"/>
  <c r="Z35" i="230"/>
  <c r="M12" i="214" s="1"/>
  <c r="X45" i="230"/>
  <c r="V44" i="230"/>
  <c r="K13" i="214" s="1"/>
  <c r="X13" i="230"/>
  <c r="X11" i="230" s="1"/>
  <c r="L10" i="214" s="1"/>
  <c r="K9" i="214" l="1"/>
  <c r="Z17" i="230"/>
  <c r="M11" i="214" s="1"/>
  <c r="L11" i="214"/>
  <c r="Z45" i="230"/>
  <c r="Z44" i="230" s="1"/>
  <c r="M13" i="214" s="1"/>
  <c r="X44" i="230"/>
  <c r="L13" i="214" s="1"/>
  <c r="Z13" i="230"/>
  <c r="Z11" i="230" s="1"/>
  <c r="M10" i="214" s="1"/>
  <c r="M9" i="214" l="1"/>
  <c r="L9" i="214"/>
  <c r="L36" i="158" l="1"/>
  <c r="L28" i="158"/>
  <c r="L32" i="158"/>
  <c r="L30" i="158"/>
  <c r="L29" i="158"/>
  <c r="G49" i="230"/>
  <c r="G50" i="230" s="1"/>
  <c r="G46" i="230"/>
  <c r="G39" i="230"/>
  <c r="G5" i="230"/>
  <c r="F179" i="229"/>
  <c r="E179" i="229"/>
  <c r="F178" i="229"/>
  <c r="E178" i="229"/>
  <c r="F177" i="229"/>
  <c r="E177" i="229"/>
  <c r="F176" i="229"/>
  <c r="E176" i="229"/>
  <c r="F175" i="229"/>
  <c r="E175" i="229"/>
  <c r="F174" i="229"/>
  <c r="E174" i="229"/>
  <c r="E173" i="229"/>
  <c r="G52" i="230" l="1"/>
  <c r="G54" i="230"/>
  <c r="G55" i="230"/>
  <c r="G53" i="230"/>
  <c r="G21" i="230"/>
  <c r="G24" i="230"/>
  <c r="G23" i="230"/>
  <c r="G27" i="230"/>
  <c r="G26" i="230"/>
  <c r="G29" i="230"/>
  <c r="G28" i="230"/>
  <c r="G40" i="230"/>
  <c r="G37" i="230"/>
  <c r="G36" i="230"/>
  <c r="G47" i="230"/>
  <c r="G44" i="230"/>
  <c r="G58" i="230" s="1"/>
  <c r="H177" i="229"/>
  <c r="H176" i="229"/>
  <c r="H178" i="229"/>
  <c r="H174" i="229"/>
  <c r="H179" i="229"/>
  <c r="H175" i="229"/>
  <c r="H173" i="229"/>
  <c r="F180" i="229"/>
  <c r="E7" i="207"/>
  <c r="F7" i="207"/>
  <c r="G7" i="207"/>
  <c r="H7" i="207"/>
  <c r="I7" i="207"/>
  <c r="J7" i="207"/>
  <c r="K7" i="207"/>
  <c r="L7" i="207"/>
  <c r="M7" i="207"/>
  <c r="D7" i="207"/>
  <c r="E6" i="207"/>
  <c r="F6" i="207"/>
  <c r="G6" i="207"/>
  <c r="H6" i="207"/>
  <c r="I6" i="207"/>
  <c r="J6" i="207"/>
  <c r="K6" i="207"/>
  <c r="L6" i="207"/>
  <c r="M6" i="207"/>
  <c r="D6" i="207"/>
  <c r="C43" i="209" l="1"/>
  <c r="C39" i="209"/>
  <c r="C31" i="209"/>
  <c r="E53" i="213" l="1"/>
  <c r="E35" i="213"/>
  <c r="H47" i="226"/>
  <c r="I47" i="226" s="1"/>
  <c r="G47" i="226"/>
  <c r="F47" i="226"/>
  <c r="E29" i="215"/>
  <c r="F29" i="215"/>
  <c r="G29" i="215"/>
  <c r="H29" i="215"/>
  <c r="I29" i="215"/>
  <c r="J29" i="215"/>
  <c r="K29" i="215"/>
  <c r="L29" i="215"/>
  <c r="M29" i="215"/>
  <c r="D29" i="215"/>
  <c r="E23" i="215"/>
  <c r="F23" i="215"/>
  <c r="D23" i="215"/>
  <c r="F17" i="215"/>
  <c r="G17" i="215"/>
  <c r="H17" i="215"/>
  <c r="I17" i="215"/>
  <c r="J17" i="215"/>
  <c r="K17" i="215"/>
  <c r="L17" i="215"/>
  <c r="M17" i="215"/>
  <c r="E17" i="215"/>
  <c r="D17" i="215"/>
  <c r="E20" i="226"/>
  <c r="E21" i="226" s="1"/>
  <c r="E32" i="226"/>
  <c r="E35" i="226" s="1"/>
  <c r="F51" i="226"/>
  <c r="F52" i="226" s="1"/>
  <c r="G51" i="226"/>
  <c r="G52" i="226" s="1"/>
  <c r="H51" i="226"/>
  <c r="H52" i="226" s="1"/>
  <c r="I51" i="226"/>
  <c r="I52" i="226" s="1"/>
  <c r="J51" i="226"/>
  <c r="J54" i="226" s="1"/>
  <c r="K51" i="226"/>
  <c r="K54" i="226" s="1"/>
  <c r="L51" i="226"/>
  <c r="L53" i="226" s="1"/>
  <c r="M51" i="226"/>
  <c r="M53" i="226" s="1"/>
  <c r="N51" i="226"/>
  <c r="N52" i="226" s="1"/>
  <c r="O51" i="226"/>
  <c r="O52" i="226" s="1"/>
  <c r="E51" i="226"/>
  <c r="E54" i="226" s="1"/>
  <c r="F32" i="226"/>
  <c r="G32" i="226"/>
  <c r="H32" i="226"/>
  <c r="I32" i="226"/>
  <c r="J32" i="226"/>
  <c r="K32" i="226"/>
  <c r="L32" i="226"/>
  <c r="M32" i="226"/>
  <c r="N32" i="226"/>
  <c r="O32" i="226"/>
  <c r="J47" i="226" l="1"/>
  <c r="G23" i="215"/>
  <c r="E33" i="226"/>
  <c r="E34" i="226"/>
  <c r="E22" i="226"/>
  <c r="K53" i="226"/>
  <c r="J53" i="226"/>
  <c r="E53" i="226"/>
  <c r="H53" i="226"/>
  <c r="E52" i="226"/>
  <c r="M52" i="226"/>
  <c r="N54" i="226"/>
  <c r="J52" i="226"/>
  <c r="I54" i="226"/>
  <c r="H54" i="226"/>
  <c r="F54" i="226"/>
  <c r="O54" i="226"/>
  <c r="G54" i="226"/>
  <c r="I53" i="226"/>
  <c r="K52" i="226"/>
  <c r="M54" i="226"/>
  <c r="O53" i="226"/>
  <c r="G53" i="226"/>
  <c r="L54" i="226"/>
  <c r="N53" i="226"/>
  <c r="F53" i="226"/>
  <c r="L52" i="226"/>
  <c r="K47" i="226" l="1"/>
  <c r="H23" i="215"/>
  <c r="I23" i="215" l="1"/>
  <c r="L47" i="226"/>
  <c r="J23" i="215" l="1"/>
  <c r="M47" i="226"/>
  <c r="K23" i="215" l="1"/>
  <c r="N47" i="226"/>
  <c r="L23" i="215" l="1"/>
  <c r="O47" i="226"/>
  <c r="M23" i="215" s="1"/>
  <c r="J161" i="213" l="1"/>
  <c r="K161" i="213" s="1"/>
  <c r="L161" i="213" s="1"/>
  <c r="M161" i="213" s="1"/>
  <c r="N161" i="213" s="1"/>
  <c r="O161" i="213" s="1"/>
  <c r="P161" i="213" s="1"/>
  <c r="Q161" i="213" s="1"/>
  <c r="R161" i="213" s="1"/>
  <c r="R90" i="213"/>
  <c r="Q90" i="213"/>
  <c r="P90" i="213"/>
  <c r="O90" i="213"/>
  <c r="N90" i="213"/>
  <c r="M90" i="213"/>
  <c r="L90" i="213"/>
  <c r="K90" i="213"/>
  <c r="J90" i="213"/>
  <c r="I90" i="213"/>
  <c r="R89" i="213"/>
  <c r="Q89" i="213"/>
  <c r="P89" i="213"/>
  <c r="O89" i="213"/>
  <c r="N89" i="213"/>
  <c r="M89" i="213"/>
  <c r="L89" i="213"/>
  <c r="K89" i="213"/>
  <c r="J89" i="213"/>
  <c r="I89" i="213"/>
  <c r="R88" i="213"/>
  <c r="Q88" i="213"/>
  <c r="P88" i="213"/>
  <c r="O88" i="213"/>
  <c r="N88" i="213"/>
  <c r="M88" i="213"/>
  <c r="L88" i="213"/>
  <c r="K88" i="213"/>
  <c r="J88" i="213"/>
  <c r="I88" i="213"/>
  <c r="E89" i="213" l="1"/>
  <c r="E90" i="213"/>
  <c r="E88" i="213"/>
  <c r="J136" i="213" l="1"/>
  <c r="K136" i="213"/>
  <c r="L136" i="213"/>
  <c r="M136" i="213"/>
  <c r="N136" i="213"/>
  <c r="O136" i="213"/>
  <c r="P136" i="213"/>
  <c r="Q136" i="213"/>
  <c r="R136" i="213"/>
  <c r="I136" i="213"/>
  <c r="I121" i="213"/>
  <c r="J121" i="213"/>
  <c r="K121" i="213"/>
  <c r="L121" i="213"/>
  <c r="M121" i="213"/>
  <c r="N121" i="213"/>
  <c r="O121" i="213"/>
  <c r="P121" i="213"/>
  <c r="Q121" i="213"/>
  <c r="R121" i="213"/>
  <c r="J104" i="213"/>
  <c r="K104" i="213"/>
  <c r="L104" i="213"/>
  <c r="M104" i="213"/>
  <c r="N104" i="213"/>
  <c r="O104" i="213"/>
  <c r="P104" i="213"/>
  <c r="Q104" i="213"/>
  <c r="R104" i="213"/>
  <c r="I104" i="213"/>
  <c r="E94" i="213"/>
  <c r="E95" i="213"/>
  <c r="E96" i="213"/>
  <c r="F48" i="209"/>
  <c r="G48" i="209" s="1"/>
  <c r="H48" i="209" s="1"/>
  <c r="I48" i="209" s="1"/>
  <c r="J48" i="209" s="1"/>
  <c r="K48" i="209" s="1"/>
  <c r="L48" i="209" s="1"/>
  <c r="M48" i="209" s="1"/>
  <c r="N48" i="209" s="1"/>
  <c r="F47" i="209"/>
  <c r="F46" i="209"/>
  <c r="C23" i="209"/>
  <c r="E104" i="213" l="1"/>
  <c r="N43" i="213"/>
  <c r="M43" i="213"/>
  <c r="L43" i="213"/>
  <c r="K43" i="213"/>
  <c r="R43" i="213"/>
  <c r="J43" i="213"/>
  <c r="Q43" i="213"/>
  <c r="P43" i="213"/>
  <c r="O43" i="213"/>
  <c r="E144" i="213"/>
  <c r="E121" i="213"/>
  <c r="I43" i="213"/>
  <c r="E136" i="213"/>
  <c r="G47" i="209"/>
  <c r="G46" i="209"/>
  <c r="AU5" i="227"/>
  <c r="AU6" i="227"/>
  <c r="AU7" i="227"/>
  <c r="AU8" i="227"/>
  <c r="AU9" i="227"/>
  <c r="AU10" i="227"/>
  <c r="AU11" i="227"/>
  <c r="AU12" i="227"/>
  <c r="AU13" i="227"/>
  <c r="AU14" i="227"/>
  <c r="AU15" i="227"/>
  <c r="AU16" i="227"/>
  <c r="AU17" i="227"/>
  <c r="AU18" i="227"/>
  <c r="AU19" i="227"/>
  <c r="AU20" i="227"/>
  <c r="AU21" i="227"/>
  <c r="AU22" i="227"/>
  <c r="AU23" i="227"/>
  <c r="AU24" i="227"/>
  <c r="AU25" i="227"/>
  <c r="AU26" i="227"/>
  <c r="AU27" i="227"/>
  <c r="AU28" i="227"/>
  <c r="AU29" i="227"/>
  <c r="AU30" i="227"/>
  <c r="AU31" i="227"/>
  <c r="AU32" i="227"/>
  <c r="AU33" i="227"/>
  <c r="AU34" i="227"/>
  <c r="AU35" i="227"/>
  <c r="AU36" i="227"/>
  <c r="AU37" i="227"/>
  <c r="AU38" i="227"/>
  <c r="AU39" i="227"/>
  <c r="AU40" i="227"/>
  <c r="AU41" i="227"/>
  <c r="AU42" i="227"/>
  <c r="AU43" i="227"/>
  <c r="AU44" i="227"/>
  <c r="AU45" i="227"/>
  <c r="AU46" i="227"/>
  <c r="AU47" i="227"/>
  <c r="AU48" i="227"/>
  <c r="AU49" i="227"/>
  <c r="AU50" i="227"/>
  <c r="AU51" i="227"/>
  <c r="AU52" i="227"/>
  <c r="AU53" i="227"/>
  <c r="AU54" i="227"/>
  <c r="AU55" i="227"/>
  <c r="AU56" i="227"/>
  <c r="AU57" i="227"/>
  <c r="AU58" i="227"/>
  <c r="AU59" i="227"/>
  <c r="AU60" i="227"/>
  <c r="AU61" i="227"/>
  <c r="AU62" i="227"/>
  <c r="AU63" i="227"/>
  <c r="AU64" i="227"/>
  <c r="AU65" i="227"/>
  <c r="AU66" i="227"/>
  <c r="AU67" i="227"/>
  <c r="AU68" i="227"/>
  <c r="AU69" i="227"/>
  <c r="AU70" i="227"/>
  <c r="AU71" i="227"/>
  <c r="AU72" i="227"/>
  <c r="AU73" i="227"/>
  <c r="AU74" i="227"/>
  <c r="AU75" i="227"/>
  <c r="AU76" i="227"/>
  <c r="AU77" i="227"/>
  <c r="AU78" i="227"/>
  <c r="AU79" i="227"/>
  <c r="AU80" i="227"/>
  <c r="AU81" i="227"/>
  <c r="AU82" i="227"/>
  <c r="AU83" i="227"/>
  <c r="AU84" i="227"/>
  <c r="AU85" i="227"/>
  <c r="AU86" i="227"/>
  <c r="AU87" i="227"/>
  <c r="AU88" i="227"/>
  <c r="AU89" i="227"/>
  <c r="AU90" i="227"/>
  <c r="AU91" i="227"/>
  <c r="AU92" i="227"/>
  <c r="AU93" i="227"/>
  <c r="AU94" i="227"/>
  <c r="AU95" i="227"/>
  <c r="AU96" i="227"/>
  <c r="AU97" i="227"/>
  <c r="AU98" i="227"/>
  <c r="AU99" i="227"/>
  <c r="AU100" i="227"/>
  <c r="AU101" i="227"/>
  <c r="AU102" i="227"/>
  <c r="AU103" i="227"/>
  <c r="AU104" i="227"/>
  <c r="AU105" i="227"/>
  <c r="AU106" i="227"/>
  <c r="AU107" i="227"/>
  <c r="AU108" i="227"/>
  <c r="AU109" i="227"/>
  <c r="AU110" i="227"/>
  <c r="AU111" i="227"/>
  <c r="AU112" i="227"/>
  <c r="AU113" i="227"/>
  <c r="AU114" i="227"/>
  <c r="AU115" i="227"/>
  <c r="AS195" i="227" s="1"/>
  <c r="AU116" i="227"/>
  <c r="AS197" i="227" s="1"/>
  <c r="AU117" i="227"/>
  <c r="AU118" i="227"/>
  <c r="AU119" i="227"/>
  <c r="AU120" i="227"/>
  <c r="AU121" i="227"/>
  <c r="AU122" i="227"/>
  <c r="AU123" i="227"/>
  <c r="AU124" i="227"/>
  <c r="AU125" i="227"/>
  <c r="AU126" i="227"/>
  <c r="AU127" i="227"/>
  <c r="AU128" i="227"/>
  <c r="E25" i="226" s="1"/>
  <c r="AU129" i="227"/>
  <c r="AU130" i="227"/>
  <c r="AU131" i="227"/>
  <c r="AU132" i="227"/>
  <c r="AU133" i="227"/>
  <c r="AU134" i="227"/>
  <c r="AU135" i="227"/>
  <c r="AU136" i="227"/>
  <c r="AU137" i="227"/>
  <c r="AU138" i="227"/>
  <c r="AU139" i="227"/>
  <c r="AU140" i="227"/>
  <c r="AU141" i="227"/>
  <c r="AU142" i="227"/>
  <c r="AU143" i="227"/>
  <c r="AU144" i="227"/>
  <c r="AU145" i="227"/>
  <c r="AU146" i="227"/>
  <c r="AU147" i="227"/>
  <c r="AU148" i="227"/>
  <c r="AU149" i="227"/>
  <c r="AU150" i="227"/>
  <c r="AU151" i="227"/>
  <c r="AU152" i="227"/>
  <c r="AS194" i="227" s="1"/>
  <c r="AU153" i="227"/>
  <c r="AU154" i="227"/>
  <c r="AU155" i="227"/>
  <c r="AU156" i="227"/>
  <c r="AU157" i="227"/>
  <c r="AU158" i="227"/>
  <c r="AU159" i="227"/>
  <c r="AU160" i="227"/>
  <c r="AU161" i="227"/>
  <c r="AU162" i="227"/>
  <c r="AU163" i="227"/>
  <c r="AU164" i="227"/>
  <c r="AU165" i="227"/>
  <c r="AU166" i="227"/>
  <c r="AU167" i="227"/>
  <c r="AU168" i="227"/>
  <c r="AU169" i="227"/>
  <c r="AU170" i="227"/>
  <c r="AU171" i="227"/>
  <c r="AU172" i="227"/>
  <c r="AU173" i="227"/>
  <c r="AS202" i="227" s="1"/>
  <c r="AU174" i="227"/>
  <c r="E115" i="213" l="1"/>
  <c r="E113" i="213"/>
  <c r="E114" i="213"/>
  <c r="E43" i="213"/>
  <c r="AS210" i="227"/>
  <c r="E17" i="226"/>
  <c r="E40" i="226"/>
  <c r="AS205" i="227"/>
  <c r="E55" i="226"/>
  <c r="AS201" i="227"/>
  <c r="E41" i="226"/>
  <c r="AS209" i="227"/>
  <c r="AS203" i="227"/>
  <c r="AS204" i="227"/>
  <c r="AS193" i="227"/>
  <c r="AS200" i="227"/>
  <c r="AS189" i="227"/>
  <c r="H47" i="209"/>
  <c r="H46" i="209"/>
  <c r="AS196" i="227"/>
  <c r="AS191" i="227"/>
  <c r="AS190" i="227"/>
  <c r="AS213" i="227"/>
  <c r="E57" i="226" l="1"/>
  <c r="E56" i="226"/>
  <c r="E59" i="226"/>
  <c r="E58" i="226"/>
  <c r="I47" i="209"/>
  <c r="I46" i="209"/>
  <c r="J150" i="213"/>
  <c r="J50" i="213" s="1"/>
  <c r="K150" i="213"/>
  <c r="K50" i="213" s="1"/>
  <c r="L150" i="213"/>
  <c r="L50" i="213" s="1"/>
  <c r="M150" i="213"/>
  <c r="M50" i="213" s="1"/>
  <c r="N150" i="213"/>
  <c r="N50" i="213" s="1"/>
  <c r="O150" i="213"/>
  <c r="O50" i="213" s="1"/>
  <c r="P150" i="213"/>
  <c r="P50" i="213" s="1"/>
  <c r="Q150" i="213"/>
  <c r="Q50" i="213" s="1"/>
  <c r="R150" i="213"/>
  <c r="R50" i="213" s="1"/>
  <c r="I150" i="213"/>
  <c r="I191" i="227"/>
  <c r="H191" i="227"/>
  <c r="F191" i="227"/>
  <c r="G191" i="227"/>
  <c r="E5" i="226"/>
  <c r="E26" i="226" s="1"/>
  <c r="AS242" i="227"/>
  <c r="M234" i="227"/>
  <c r="E219" i="227"/>
  <c r="E231" i="227" s="1"/>
  <c r="E234" i="227" s="1"/>
  <c r="AS185" i="227"/>
  <c r="R183" i="227"/>
  <c r="D182" i="227"/>
  <c r="AM179" i="227"/>
  <c r="AM180" i="227" s="1"/>
  <c r="AL179" i="227"/>
  <c r="AL180" i="227" s="1"/>
  <c r="AK179" i="227"/>
  <c r="AK180" i="227" s="1"/>
  <c r="AJ179" i="227"/>
  <c r="AJ180" i="227" s="1"/>
  <c r="AI179" i="227"/>
  <c r="AI180" i="227" s="1"/>
  <c r="AH179" i="227"/>
  <c r="AH180" i="227" s="1"/>
  <c r="AG179" i="227"/>
  <c r="AG180" i="227" s="1"/>
  <c r="AF179" i="227"/>
  <c r="AF180" i="227" s="1"/>
  <c r="AE179" i="227"/>
  <c r="AE180" i="227" s="1"/>
  <c r="AD179" i="227"/>
  <c r="AD180" i="227" s="1"/>
  <c r="AC179" i="227"/>
  <c r="AC180" i="227" s="1"/>
  <c r="AB179" i="227"/>
  <c r="AB180" i="227" s="1"/>
  <c r="AU176" i="227"/>
  <c r="M176" i="227"/>
  <c r="AT176" i="227" s="1"/>
  <c r="L176" i="227"/>
  <c r="N176" i="227" s="1"/>
  <c r="Q176" i="227" s="1"/>
  <c r="R176" i="227" s="1"/>
  <c r="S176" i="227" s="1"/>
  <c r="AS176" i="227" s="1"/>
  <c r="M174" i="227"/>
  <c r="AT174" i="227" s="1"/>
  <c r="L174" i="227"/>
  <c r="N174" i="227" s="1"/>
  <c r="Q174" i="227" s="1"/>
  <c r="R174" i="227" s="1"/>
  <c r="S174" i="227" s="1"/>
  <c r="AS174" i="227" s="1"/>
  <c r="L173" i="227"/>
  <c r="N173" i="227" s="1"/>
  <c r="Q173" i="227" s="1"/>
  <c r="R173" i="227" s="1"/>
  <c r="S173" i="227" s="1"/>
  <c r="AS173" i="227" s="1"/>
  <c r="K173" i="227"/>
  <c r="M173" i="227" s="1"/>
  <c r="AT173" i="227" s="1"/>
  <c r="L172" i="227"/>
  <c r="N172" i="227" s="1"/>
  <c r="Q172" i="227" s="1"/>
  <c r="R172" i="227" s="1"/>
  <c r="S172" i="227" s="1"/>
  <c r="AS172" i="227" s="1"/>
  <c r="K172" i="227"/>
  <c r="M172" i="227" s="1"/>
  <c r="AT172" i="227" s="1"/>
  <c r="L171" i="227"/>
  <c r="N171" i="227" s="1"/>
  <c r="Q171" i="227" s="1"/>
  <c r="R171" i="227" s="1"/>
  <c r="S171" i="227" s="1"/>
  <c r="AS171" i="227" s="1"/>
  <c r="K171" i="227"/>
  <c r="M171" i="227" s="1"/>
  <c r="AT171" i="227" s="1"/>
  <c r="L170" i="227"/>
  <c r="N170" i="227" s="1"/>
  <c r="Q170" i="227" s="1"/>
  <c r="R170" i="227" s="1"/>
  <c r="S170" i="227" s="1"/>
  <c r="AS170" i="227" s="1"/>
  <c r="K170" i="227"/>
  <c r="M170" i="227" s="1"/>
  <c r="AT170" i="227" s="1"/>
  <c r="L169" i="227"/>
  <c r="N169" i="227" s="1"/>
  <c r="Q169" i="227" s="1"/>
  <c r="R169" i="227" s="1"/>
  <c r="S169" i="227" s="1"/>
  <c r="AS169" i="227" s="1"/>
  <c r="K169" i="227"/>
  <c r="M169" i="227" s="1"/>
  <c r="AT169" i="227" s="1"/>
  <c r="L168" i="227"/>
  <c r="N168" i="227" s="1"/>
  <c r="Q168" i="227" s="1"/>
  <c r="R168" i="227" s="1"/>
  <c r="S168" i="227" s="1"/>
  <c r="AS168" i="227" s="1"/>
  <c r="K168" i="227"/>
  <c r="M168" i="227" s="1"/>
  <c r="AT168" i="227" s="1"/>
  <c r="L167" i="227"/>
  <c r="N167" i="227" s="1"/>
  <c r="Q167" i="227" s="1"/>
  <c r="R167" i="227" s="1"/>
  <c r="S167" i="227" s="1"/>
  <c r="AS167" i="227" s="1"/>
  <c r="K167" i="227"/>
  <c r="M167" i="227" s="1"/>
  <c r="AT167" i="227" s="1"/>
  <c r="O166" i="227"/>
  <c r="L166" i="227"/>
  <c r="K166" i="227"/>
  <c r="J166" i="227"/>
  <c r="I166" i="227"/>
  <c r="S165" i="227"/>
  <c r="AS165" i="227" s="1"/>
  <c r="L165" i="227"/>
  <c r="N165" i="227" s="1"/>
  <c r="Q165" i="227" s="1"/>
  <c r="R165" i="227" s="1"/>
  <c r="K165" i="227"/>
  <c r="M165" i="227" s="1"/>
  <c r="AT165" i="227" s="1"/>
  <c r="L164" i="227"/>
  <c r="N164" i="227" s="1"/>
  <c r="Q164" i="227" s="1"/>
  <c r="R164" i="227" s="1"/>
  <c r="S164" i="227" s="1"/>
  <c r="AS164" i="227" s="1"/>
  <c r="K164" i="227"/>
  <c r="M164" i="227" s="1"/>
  <c r="AT164" i="227" s="1"/>
  <c r="L163" i="227"/>
  <c r="N163" i="227" s="1"/>
  <c r="Q163" i="227" s="1"/>
  <c r="R163" i="227" s="1"/>
  <c r="S163" i="227" s="1"/>
  <c r="AS163" i="227" s="1"/>
  <c r="K163" i="227"/>
  <c r="M163" i="227" s="1"/>
  <c r="AT163" i="227" s="1"/>
  <c r="L162" i="227"/>
  <c r="N162" i="227" s="1"/>
  <c r="Q162" i="227" s="1"/>
  <c r="R162" i="227" s="1"/>
  <c r="S162" i="227" s="1"/>
  <c r="AS162" i="227" s="1"/>
  <c r="K162" i="227"/>
  <c r="M162" i="227" s="1"/>
  <c r="AT162" i="227" s="1"/>
  <c r="L161" i="227"/>
  <c r="N161" i="227" s="1"/>
  <c r="Q161" i="227" s="1"/>
  <c r="R161" i="227" s="1"/>
  <c r="S161" i="227" s="1"/>
  <c r="AS161" i="227" s="1"/>
  <c r="K161" i="227"/>
  <c r="M161" i="227" s="1"/>
  <c r="AT161" i="227" s="1"/>
  <c r="L160" i="227"/>
  <c r="N160" i="227" s="1"/>
  <c r="Q160" i="227" s="1"/>
  <c r="R160" i="227" s="1"/>
  <c r="S160" i="227" s="1"/>
  <c r="AS160" i="227" s="1"/>
  <c r="K160" i="227"/>
  <c r="M160" i="227" s="1"/>
  <c r="AT160" i="227" s="1"/>
  <c r="L159" i="227"/>
  <c r="N159" i="227" s="1"/>
  <c r="Q159" i="227" s="1"/>
  <c r="R159" i="227" s="1"/>
  <c r="S159" i="227" s="1"/>
  <c r="AS159" i="227" s="1"/>
  <c r="K159" i="227"/>
  <c r="M159" i="227" s="1"/>
  <c r="AT159" i="227" s="1"/>
  <c r="L158" i="227"/>
  <c r="N158" i="227" s="1"/>
  <c r="Q158" i="227" s="1"/>
  <c r="R158" i="227" s="1"/>
  <c r="S158" i="227" s="1"/>
  <c r="AS158" i="227" s="1"/>
  <c r="K158" i="227"/>
  <c r="M158" i="227" s="1"/>
  <c r="AT158" i="227" s="1"/>
  <c r="L157" i="227"/>
  <c r="N157" i="227" s="1"/>
  <c r="Q157" i="227" s="1"/>
  <c r="R157" i="227" s="1"/>
  <c r="S157" i="227" s="1"/>
  <c r="AS157" i="227" s="1"/>
  <c r="K157" i="227"/>
  <c r="M157" i="227" s="1"/>
  <c r="AT157" i="227" s="1"/>
  <c r="L156" i="227"/>
  <c r="N156" i="227" s="1"/>
  <c r="Q156" i="227" s="1"/>
  <c r="R156" i="227" s="1"/>
  <c r="S156" i="227" s="1"/>
  <c r="AS156" i="227" s="1"/>
  <c r="K156" i="227"/>
  <c r="M156" i="227" s="1"/>
  <c r="AT156" i="227" s="1"/>
  <c r="L155" i="227"/>
  <c r="N155" i="227" s="1"/>
  <c r="Q155" i="227" s="1"/>
  <c r="R155" i="227" s="1"/>
  <c r="S155" i="227" s="1"/>
  <c r="AS155" i="227" s="1"/>
  <c r="K155" i="227"/>
  <c r="M155" i="227" s="1"/>
  <c r="AT155" i="227" s="1"/>
  <c r="L154" i="227"/>
  <c r="N154" i="227" s="1"/>
  <c r="Q154" i="227" s="1"/>
  <c r="R154" i="227" s="1"/>
  <c r="S154" i="227" s="1"/>
  <c r="AS154" i="227" s="1"/>
  <c r="K154" i="227"/>
  <c r="M154" i="227" s="1"/>
  <c r="AT154" i="227" s="1"/>
  <c r="L153" i="227"/>
  <c r="N153" i="227" s="1"/>
  <c r="Q153" i="227" s="1"/>
  <c r="R153" i="227" s="1"/>
  <c r="S153" i="227" s="1"/>
  <c r="AS153" i="227" s="1"/>
  <c r="K153" i="227"/>
  <c r="M153" i="227" s="1"/>
  <c r="AT153" i="227" s="1"/>
  <c r="L152" i="227"/>
  <c r="N152" i="227" s="1"/>
  <c r="Q152" i="227" s="1"/>
  <c r="R152" i="227" s="1"/>
  <c r="S152" i="227" s="1"/>
  <c r="AS152" i="227" s="1"/>
  <c r="K152" i="227"/>
  <c r="M152" i="227" s="1"/>
  <c r="AT152" i="227" s="1"/>
  <c r="L151" i="227"/>
  <c r="N151" i="227" s="1"/>
  <c r="Q151" i="227" s="1"/>
  <c r="R151" i="227" s="1"/>
  <c r="S151" i="227" s="1"/>
  <c r="AS151" i="227" s="1"/>
  <c r="K151" i="227"/>
  <c r="M151" i="227" s="1"/>
  <c r="AT151" i="227" s="1"/>
  <c r="L150" i="227"/>
  <c r="N150" i="227" s="1"/>
  <c r="Q150" i="227" s="1"/>
  <c r="R150" i="227" s="1"/>
  <c r="S150" i="227" s="1"/>
  <c r="AS150" i="227" s="1"/>
  <c r="K150" i="227"/>
  <c r="M150" i="227" s="1"/>
  <c r="AT150" i="227" s="1"/>
  <c r="L149" i="227"/>
  <c r="N149" i="227" s="1"/>
  <c r="Q149" i="227" s="1"/>
  <c r="R149" i="227" s="1"/>
  <c r="S149" i="227" s="1"/>
  <c r="AS149" i="227" s="1"/>
  <c r="K149" i="227"/>
  <c r="M149" i="227" s="1"/>
  <c r="AT149" i="227" s="1"/>
  <c r="L148" i="227"/>
  <c r="N148" i="227" s="1"/>
  <c r="Q148" i="227" s="1"/>
  <c r="R148" i="227" s="1"/>
  <c r="S148" i="227" s="1"/>
  <c r="AS148" i="227" s="1"/>
  <c r="K148" i="227"/>
  <c r="M148" i="227" s="1"/>
  <c r="AT148" i="227" s="1"/>
  <c r="L147" i="227"/>
  <c r="N147" i="227" s="1"/>
  <c r="Q147" i="227" s="1"/>
  <c r="R147" i="227" s="1"/>
  <c r="S147" i="227" s="1"/>
  <c r="AS147" i="227" s="1"/>
  <c r="K147" i="227"/>
  <c r="M147" i="227" s="1"/>
  <c r="AT147" i="227" s="1"/>
  <c r="L146" i="227"/>
  <c r="N146" i="227" s="1"/>
  <c r="Q146" i="227" s="1"/>
  <c r="R146" i="227" s="1"/>
  <c r="S146" i="227" s="1"/>
  <c r="AS146" i="227" s="1"/>
  <c r="K146" i="227"/>
  <c r="M146" i="227" s="1"/>
  <c r="AT146" i="227" s="1"/>
  <c r="L145" i="227"/>
  <c r="N145" i="227" s="1"/>
  <c r="Q145" i="227" s="1"/>
  <c r="R145" i="227" s="1"/>
  <c r="S145" i="227" s="1"/>
  <c r="AS145" i="227" s="1"/>
  <c r="K145" i="227"/>
  <c r="M145" i="227" s="1"/>
  <c r="AT145" i="227" s="1"/>
  <c r="L144" i="227"/>
  <c r="N144" i="227" s="1"/>
  <c r="Q144" i="227" s="1"/>
  <c r="R144" i="227" s="1"/>
  <c r="S144" i="227" s="1"/>
  <c r="AS144" i="227" s="1"/>
  <c r="K144" i="227"/>
  <c r="M144" i="227" s="1"/>
  <c r="AT144" i="227" s="1"/>
  <c r="L143" i="227"/>
  <c r="N143" i="227" s="1"/>
  <c r="Q143" i="227" s="1"/>
  <c r="R143" i="227" s="1"/>
  <c r="S143" i="227" s="1"/>
  <c r="AS143" i="227" s="1"/>
  <c r="K143" i="227"/>
  <c r="M143" i="227" s="1"/>
  <c r="AT143" i="227" s="1"/>
  <c r="L142" i="227"/>
  <c r="N142" i="227" s="1"/>
  <c r="Q142" i="227" s="1"/>
  <c r="R142" i="227" s="1"/>
  <c r="S142" i="227" s="1"/>
  <c r="AS142" i="227" s="1"/>
  <c r="K142" i="227"/>
  <c r="M142" i="227" s="1"/>
  <c r="AT142" i="227" s="1"/>
  <c r="L141" i="227"/>
  <c r="N141" i="227" s="1"/>
  <c r="Q141" i="227" s="1"/>
  <c r="R141" i="227" s="1"/>
  <c r="S141" i="227" s="1"/>
  <c r="AS141" i="227" s="1"/>
  <c r="K141" i="227"/>
  <c r="M141" i="227" s="1"/>
  <c r="AT141" i="227" s="1"/>
  <c r="L140" i="227"/>
  <c r="N140" i="227" s="1"/>
  <c r="Q140" i="227" s="1"/>
  <c r="R140" i="227" s="1"/>
  <c r="S140" i="227" s="1"/>
  <c r="AS140" i="227" s="1"/>
  <c r="K140" i="227"/>
  <c r="M140" i="227" s="1"/>
  <c r="AT140" i="227" s="1"/>
  <c r="L139" i="227"/>
  <c r="N139" i="227" s="1"/>
  <c r="Q139" i="227" s="1"/>
  <c r="R139" i="227" s="1"/>
  <c r="S139" i="227" s="1"/>
  <c r="AS139" i="227" s="1"/>
  <c r="K139" i="227"/>
  <c r="M139" i="227" s="1"/>
  <c r="AT139" i="227" s="1"/>
  <c r="L138" i="227"/>
  <c r="N138" i="227" s="1"/>
  <c r="Q138" i="227" s="1"/>
  <c r="R138" i="227" s="1"/>
  <c r="S138" i="227" s="1"/>
  <c r="AS138" i="227" s="1"/>
  <c r="K138" i="227"/>
  <c r="M138" i="227" s="1"/>
  <c r="AT138" i="227" s="1"/>
  <c r="L137" i="227"/>
  <c r="N137" i="227" s="1"/>
  <c r="Q137" i="227" s="1"/>
  <c r="R137" i="227" s="1"/>
  <c r="S137" i="227" s="1"/>
  <c r="AS137" i="227" s="1"/>
  <c r="K137" i="227"/>
  <c r="M137" i="227" s="1"/>
  <c r="AT137" i="227" s="1"/>
  <c r="L136" i="227"/>
  <c r="N136" i="227" s="1"/>
  <c r="Q136" i="227" s="1"/>
  <c r="R136" i="227" s="1"/>
  <c r="S136" i="227" s="1"/>
  <c r="AS136" i="227" s="1"/>
  <c r="K136" i="227"/>
  <c r="M136" i="227" s="1"/>
  <c r="AT136" i="227" s="1"/>
  <c r="L135" i="227"/>
  <c r="N135" i="227" s="1"/>
  <c r="Q135" i="227" s="1"/>
  <c r="R135" i="227" s="1"/>
  <c r="S135" i="227" s="1"/>
  <c r="AS135" i="227" s="1"/>
  <c r="K135" i="227"/>
  <c r="M135" i="227" s="1"/>
  <c r="AT135" i="227" s="1"/>
  <c r="L134" i="227"/>
  <c r="N134" i="227" s="1"/>
  <c r="Q134" i="227" s="1"/>
  <c r="R134" i="227" s="1"/>
  <c r="S134" i="227" s="1"/>
  <c r="AS134" i="227" s="1"/>
  <c r="K134" i="227"/>
  <c r="M134" i="227" s="1"/>
  <c r="AT134" i="227" s="1"/>
  <c r="L133" i="227"/>
  <c r="N133" i="227" s="1"/>
  <c r="Q133" i="227" s="1"/>
  <c r="R133" i="227" s="1"/>
  <c r="S133" i="227" s="1"/>
  <c r="AS133" i="227" s="1"/>
  <c r="K133" i="227"/>
  <c r="M133" i="227" s="1"/>
  <c r="AT133" i="227" s="1"/>
  <c r="L132" i="227"/>
  <c r="N132" i="227" s="1"/>
  <c r="Q132" i="227" s="1"/>
  <c r="R132" i="227" s="1"/>
  <c r="S132" i="227" s="1"/>
  <c r="AS132" i="227" s="1"/>
  <c r="K132" i="227"/>
  <c r="M132" i="227" s="1"/>
  <c r="AT132" i="227" s="1"/>
  <c r="L131" i="227"/>
  <c r="N131" i="227" s="1"/>
  <c r="Q131" i="227" s="1"/>
  <c r="R131" i="227" s="1"/>
  <c r="S131" i="227" s="1"/>
  <c r="AS131" i="227" s="1"/>
  <c r="K131" i="227"/>
  <c r="M131" i="227" s="1"/>
  <c r="AT131" i="227" s="1"/>
  <c r="W130" i="227"/>
  <c r="L130" i="227"/>
  <c r="N130" i="227" s="1"/>
  <c r="Q130" i="227" s="1"/>
  <c r="R130" i="227" s="1"/>
  <c r="S130" i="227" s="1"/>
  <c r="AS130" i="227" s="1"/>
  <c r="K130" i="227"/>
  <c r="M130" i="227" s="1"/>
  <c r="AT130" i="227" s="1"/>
  <c r="L129" i="227"/>
  <c r="N129" i="227" s="1"/>
  <c r="Q129" i="227" s="1"/>
  <c r="R129" i="227" s="1"/>
  <c r="S129" i="227" s="1"/>
  <c r="AS129" i="227" s="1"/>
  <c r="K129" i="227"/>
  <c r="M129" i="227" s="1"/>
  <c r="AT129" i="227" s="1"/>
  <c r="I129" i="227"/>
  <c r="W128" i="227"/>
  <c r="L128" i="227"/>
  <c r="N128" i="227" s="1"/>
  <c r="Q128" i="227" s="1"/>
  <c r="R128" i="227" s="1"/>
  <c r="S128" i="227" s="1"/>
  <c r="AS128" i="227" s="1"/>
  <c r="K128" i="227"/>
  <c r="M128" i="227" s="1"/>
  <c r="AT128" i="227" s="1"/>
  <c r="I128" i="227"/>
  <c r="L127" i="227"/>
  <c r="N127" i="227" s="1"/>
  <c r="Q127" i="227" s="1"/>
  <c r="R127" i="227" s="1"/>
  <c r="S127" i="227" s="1"/>
  <c r="AS127" i="227" s="1"/>
  <c r="K127" i="227"/>
  <c r="M127" i="227" s="1"/>
  <c r="AT127" i="227" s="1"/>
  <c r="L126" i="227"/>
  <c r="N126" i="227" s="1"/>
  <c r="Q126" i="227" s="1"/>
  <c r="R126" i="227" s="1"/>
  <c r="S126" i="227" s="1"/>
  <c r="AS126" i="227" s="1"/>
  <c r="K126" i="227"/>
  <c r="M126" i="227" s="1"/>
  <c r="AT126" i="227" s="1"/>
  <c r="I126" i="227"/>
  <c r="L125" i="227"/>
  <c r="N125" i="227" s="1"/>
  <c r="Q125" i="227" s="1"/>
  <c r="R125" i="227" s="1"/>
  <c r="S125" i="227" s="1"/>
  <c r="AS125" i="227" s="1"/>
  <c r="K125" i="227"/>
  <c r="M125" i="227" s="1"/>
  <c r="AT125" i="227" s="1"/>
  <c r="I125" i="227"/>
  <c r="L124" i="227"/>
  <c r="N124" i="227" s="1"/>
  <c r="Q124" i="227" s="1"/>
  <c r="R124" i="227" s="1"/>
  <c r="S124" i="227" s="1"/>
  <c r="AS124" i="227" s="1"/>
  <c r="K124" i="227"/>
  <c r="M124" i="227" s="1"/>
  <c r="AT124" i="227" s="1"/>
  <c r="I124" i="227"/>
  <c r="L123" i="227"/>
  <c r="N123" i="227" s="1"/>
  <c r="Q123" i="227" s="1"/>
  <c r="R123" i="227" s="1"/>
  <c r="S123" i="227" s="1"/>
  <c r="AS123" i="227" s="1"/>
  <c r="K123" i="227"/>
  <c r="M123" i="227" s="1"/>
  <c r="AT123" i="227" s="1"/>
  <c r="I123" i="227"/>
  <c r="L122" i="227"/>
  <c r="N122" i="227" s="1"/>
  <c r="Q122" i="227" s="1"/>
  <c r="R122" i="227" s="1"/>
  <c r="S122" i="227" s="1"/>
  <c r="AS122" i="227" s="1"/>
  <c r="K122" i="227"/>
  <c r="M122" i="227" s="1"/>
  <c r="AT122" i="227" s="1"/>
  <c r="I122" i="227"/>
  <c r="L121" i="227"/>
  <c r="N121" i="227" s="1"/>
  <c r="Q121" i="227" s="1"/>
  <c r="R121" i="227" s="1"/>
  <c r="S121" i="227" s="1"/>
  <c r="AS121" i="227" s="1"/>
  <c r="K121" i="227"/>
  <c r="M121" i="227" s="1"/>
  <c r="AT121" i="227" s="1"/>
  <c r="I121" i="227"/>
  <c r="L120" i="227"/>
  <c r="N120" i="227" s="1"/>
  <c r="Q120" i="227" s="1"/>
  <c r="R120" i="227" s="1"/>
  <c r="S120" i="227" s="1"/>
  <c r="AS120" i="227" s="1"/>
  <c r="K120" i="227"/>
  <c r="M120" i="227" s="1"/>
  <c r="AT120" i="227" s="1"/>
  <c r="I120" i="227"/>
  <c r="L119" i="227"/>
  <c r="N119" i="227" s="1"/>
  <c r="Q119" i="227" s="1"/>
  <c r="R119" i="227" s="1"/>
  <c r="S119" i="227" s="1"/>
  <c r="AS119" i="227" s="1"/>
  <c r="K119" i="227"/>
  <c r="M119" i="227" s="1"/>
  <c r="AT119" i="227" s="1"/>
  <c r="L118" i="227"/>
  <c r="N118" i="227" s="1"/>
  <c r="Q118" i="227" s="1"/>
  <c r="R118" i="227" s="1"/>
  <c r="S118" i="227" s="1"/>
  <c r="AS118" i="227" s="1"/>
  <c r="K118" i="227"/>
  <c r="M118" i="227" s="1"/>
  <c r="AT118" i="227" s="1"/>
  <c r="L117" i="227"/>
  <c r="N117" i="227" s="1"/>
  <c r="Q117" i="227" s="1"/>
  <c r="R117" i="227" s="1"/>
  <c r="S117" i="227" s="1"/>
  <c r="AS117" i="227" s="1"/>
  <c r="K117" i="227"/>
  <c r="M117" i="227" s="1"/>
  <c r="AT117" i="227" s="1"/>
  <c r="L116" i="227"/>
  <c r="N116" i="227" s="1"/>
  <c r="Q116" i="227" s="1"/>
  <c r="R116" i="227" s="1"/>
  <c r="S116" i="227" s="1"/>
  <c r="AS116" i="227" s="1"/>
  <c r="K116" i="227"/>
  <c r="M116" i="227" s="1"/>
  <c r="AT116" i="227" s="1"/>
  <c r="L115" i="227"/>
  <c r="N115" i="227" s="1"/>
  <c r="Q115" i="227" s="1"/>
  <c r="R115" i="227" s="1"/>
  <c r="S115" i="227" s="1"/>
  <c r="AS115" i="227" s="1"/>
  <c r="K115" i="227"/>
  <c r="M115" i="227" s="1"/>
  <c r="AT115" i="227" s="1"/>
  <c r="L114" i="227"/>
  <c r="N114" i="227" s="1"/>
  <c r="Q114" i="227" s="1"/>
  <c r="R114" i="227" s="1"/>
  <c r="S114" i="227" s="1"/>
  <c r="AS114" i="227" s="1"/>
  <c r="K114" i="227"/>
  <c r="M114" i="227" s="1"/>
  <c r="AT114" i="227" s="1"/>
  <c r="L113" i="227"/>
  <c r="K113" i="227"/>
  <c r="J113" i="227"/>
  <c r="L112" i="227"/>
  <c r="K112" i="227"/>
  <c r="J112" i="227"/>
  <c r="I112" i="227"/>
  <c r="L111" i="227"/>
  <c r="N111" i="227" s="1"/>
  <c r="Q111" i="227" s="1"/>
  <c r="R111" i="227" s="1"/>
  <c r="S111" i="227" s="1"/>
  <c r="AS111" i="227" s="1"/>
  <c r="K111" i="227"/>
  <c r="M111" i="227" s="1"/>
  <c r="AT111" i="227" s="1"/>
  <c r="L110" i="227"/>
  <c r="N110" i="227" s="1"/>
  <c r="Q110" i="227" s="1"/>
  <c r="R110" i="227" s="1"/>
  <c r="S110" i="227" s="1"/>
  <c r="AS110" i="227" s="1"/>
  <c r="K110" i="227"/>
  <c r="M110" i="227" s="1"/>
  <c r="AT110" i="227" s="1"/>
  <c r="L109" i="227"/>
  <c r="N109" i="227" s="1"/>
  <c r="Q109" i="227" s="1"/>
  <c r="R109" i="227" s="1"/>
  <c r="S109" i="227" s="1"/>
  <c r="AS109" i="227" s="1"/>
  <c r="K109" i="227"/>
  <c r="M109" i="227" s="1"/>
  <c r="AT109" i="227" s="1"/>
  <c r="L108" i="227"/>
  <c r="N108" i="227" s="1"/>
  <c r="Q108" i="227" s="1"/>
  <c r="R108" i="227" s="1"/>
  <c r="S108" i="227" s="1"/>
  <c r="AS108" i="227" s="1"/>
  <c r="K108" i="227"/>
  <c r="M108" i="227" s="1"/>
  <c r="AT108" i="227" s="1"/>
  <c r="L107" i="227"/>
  <c r="N107" i="227" s="1"/>
  <c r="Q107" i="227" s="1"/>
  <c r="R107" i="227" s="1"/>
  <c r="S107" i="227" s="1"/>
  <c r="AS107" i="227" s="1"/>
  <c r="K107" i="227"/>
  <c r="M107" i="227" s="1"/>
  <c r="AT107" i="227" s="1"/>
  <c r="I107" i="227"/>
  <c r="L106" i="227"/>
  <c r="N106" i="227" s="1"/>
  <c r="Q106" i="227" s="1"/>
  <c r="R106" i="227" s="1"/>
  <c r="S106" i="227" s="1"/>
  <c r="AS106" i="227" s="1"/>
  <c r="K106" i="227"/>
  <c r="M106" i="227" s="1"/>
  <c r="AT106" i="227" s="1"/>
  <c r="I106" i="227"/>
  <c r="L105" i="227"/>
  <c r="N105" i="227" s="1"/>
  <c r="Q105" i="227" s="1"/>
  <c r="R105" i="227" s="1"/>
  <c r="S105" i="227" s="1"/>
  <c r="AS105" i="227" s="1"/>
  <c r="K105" i="227"/>
  <c r="M105" i="227" s="1"/>
  <c r="AT105" i="227" s="1"/>
  <c r="I105" i="227"/>
  <c r="L104" i="227"/>
  <c r="N104" i="227" s="1"/>
  <c r="Q104" i="227" s="1"/>
  <c r="R104" i="227" s="1"/>
  <c r="S104" i="227" s="1"/>
  <c r="AS104" i="227" s="1"/>
  <c r="K104" i="227"/>
  <c r="M104" i="227" s="1"/>
  <c r="AT104" i="227" s="1"/>
  <c r="I104" i="227"/>
  <c r="L103" i="227"/>
  <c r="N103" i="227" s="1"/>
  <c r="Q103" i="227" s="1"/>
  <c r="R103" i="227" s="1"/>
  <c r="S103" i="227" s="1"/>
  <c r="AS103" i="227" s="1"/>
  <c r="K103" i="227"/>
  <c r="M103" i="227" s="1"/>
  <c r="AT103" i="227" s="1"/>
  <c r="I103" i="227"/>
  <c r="E103" i="227"/>
  <c r="L102" i="227"/>
  <c r="N102" i="227" s="1"/>
  <c r="Q102" i="227" s="1"/>
  <c r="R102" i="227" s="1"/>
  <c r="S102" i="227" s="1"/>
  <c r="AS102" i="227" s="1"/>
  <c r="K102" i="227"/>
  <c r="M102" i="227" s="1"/>
  <c r="AT102" i="227" s="1"/>
  <c r="I102" i="227"/>
  <c r="E102" i="227"/>
  <c r="L101" i="227"/>
  <c r="N101" i="227" s="1"/>
  <c r="Q101" i="227" s="1"/>
  <c r="R101" i="227" s="1"/>
  <c r="S101" i="227" s="1"/>
  <c r="AS101" i="227" s="1"/>
  <c r="K101" i="227"/>
  <c r="M101" i="227" s="1"/>
  <c r="AT101" i="227" s="1"/>
  <c r="I101" i="227"/>
  <c r="L100" i="227"/>
  <c r="N100" i="227" s="1"/>
  <c r="Q100" i="227" s="1"/>
  <c r="R100" i="227" s="1"/>
  <c r="S100" i="227" s="1"/>
  <c r="AS100" i="227" s="1"/>
  <c r="K100" i="227"/>
  <c r="M100" i="227" s="1"/>
  <c r="AT100" i="227" s="1"/>
  <c r="I100" i="227"/>
  <c r="E100" i="227"/>
  <c r="L99" i="227"/>
  <c r="N99" i="227" s="1"/>
  <c r="Q99" i="227" s="1"/>
  <c r="R99" i="227" s="1"/>
  <c r="S99" i="227" s="1"/>
  <c r="AS99" i="227" s="1"/>
  <c r="K99" i="227"/>
  <c r="M99" i="227" s="1"/>
  <c r="AT99" i="227" s="1"/>
  <c r="I99" i="227"/>
  <c r="E99" i="227"/>
  <c r="W98" i="227"/>
  <c r="L98" i="227"/>
  <c r="N98" i="227" s="1"/>
  <c r="Q98" i="227" s="1"/>
  <c r="R98" i="227" s="1"/>
  <c r="S98" i="227" s="1"/>
  <c r="AS98" i="227" s="1"/>
  <c r="K98" i="227"/>
  <c r="M98" i="227" s="1"/>
  <c r="AT98" i="227" s="1"/>
  <c r="I98" i="227"/>
  <c r="E98" i="227"/>
  <c r="L97" i="227"/>
  <c r="N97" i="227" s="1"/>
  <c r="Q97" i="227" s="1"/>
  <c r="R97" i="227" s="1"/>
  <c r="S97" i="227" s="1"/>
  <c r="AS97" i="227" s="1"/>
  <c r="K97" i="227"/>
  <c r="M97" i="227" s="1"/>
  <c r="AT97" i="227" s="1"/>
  <c r="I97" i="227"/>
  <c r="E97" i="227"/>
  <c r="L96" i="227"/>
  <c r="N96" i="227" s="1"/>
  <c r="Q96" i="227" s="1"/>
  <c r="R96" i="227" s="1"/>
  <c r="S96" i="227" s="1"/>
  <c r="AS96" i="227" s="1"/>
  <c r="K96" i="227"/>
  <c r="M96" i="227" s="1"/>
  <c r="AT96" i="227" s="1"/>
  <c r="I96" i="227"/>
  <c r="E96" i="227"/>
  <c r="L95" i="227"/>
  <c r="N95" i="227" s="1"/>
  <c r="Q95" i="227" s="1"/>
  <c r="R95" i="227" s="1"/>
  <c r="S95" i="227" s="1"/>
  <c r="AS95" i="227" s="1"/>
  <c r="K95" i="227"/>
  <c r="M95" i="227" s="1"/>
  <c r="AT95" i="227" s="1"/>
  <c r="I95" i="227"/>
  <c r="E95" i="227"/>
  <c r="L94" i="227"/>
  <c r="N94" i="227" s="1"/>
  <c r="Q94" i="227" s="1"/>
  <c r="R94" i="227" s="1"/>
  <c r="S94" i="227" s="1"/>
  <c r="AS94" i="227" s="1"/>
  <c r="K94" i="227"/>
  <c r="M94" i="227" s="1"/>
  <c r="AT94" i="227" s="1"/>
  <c r="I94" i="227"/>
  <c r="L93" i="227"/>
  <c r="N93" i="227" s="1"/>
  <c r="Q93" i="227" s="1"/>
  <c r="K93" i="227"/>
  <c r="M93" i="227" s="1"/>
  <c r="AT93" i="227" s="1"/>
  <c r="I93" i="227"/>
  <c r="E93" i="227"/>
  <c r="N92" i="227"/>
  <c r="Q92" i="227" s="1"/>
  <c r="R92" i="227" s="1"/>
  <c r="S92" i="227" s="1"/>
  <c r="AS92" i="227" s="1"/>
  <c r="M92" i="227"/>
  <c r="AT92" i="227" s="1"/>
  <c r="I92" i="227"/>
  <c r="E92" i="227"/>
  <c r="N91" i="227"/>
  <c r="Q91" i="227" s="1"/>
  <c r="R91" i="227" s="1"/>
  <c r="S91" i="227" s="1"/>
  <c r="AS91" i="227" s="1"/>
  <c r="M91" i="227"/>
  <c r="AT91" i="227" s="1"/>
  <c r="I91" i="227"/>
  <c r="E91" i="227"/>
  <c r="L90" i="227"/>
  <c r="N90" i="227" s="1"/>
  <c r="Q90" i="227" s="1"/>
  <c r="R90" i="227" s="1"/>
  <c r="S90" i="227" s="1"/>
  <c r="AS90" i="227" s="1"/>
  <c r="K90" i="227"/>
  <c r="M90" i="227" s="1"/>
  <c r="AT90" i="227" s="1"/>
  <c r="I90" i="227"/>
  <c r="L89" i="227"/>
  <c r="N89" i="227" s="1"/>
  <c r="Q89" i="227" s="1"/>
  <c r="R89" i="227" s="1"/>
  <c r="S89" i="227" s="1"/>
  <c r="AS89" i="227" s="1"/>
  <c r="K89" i="227"/>
  <c r="M89" i="227" s="1"/>
  <c r="AT89" i="227" s="1"/>
  <c r="I89" i="227"/>
  <c r="E89" i="227"/>
  <c r="L88" i="227"/>
  <c r="N88" i="227" s="1"/>
  <c r="Q88" i="227" s="1"/>
  <c r="R88" i="227" s="1"/>
  <c r="S88" i="227" s="1"/>
  <c r="AS88" i="227" s="1"/>
  <c r="K88" i="227"/>
  <c r="M88" i="227" s="1"/>
  <c r="AT88" i="227" s="1"/>
  <c r="L87" i="227"/>
  <c r="N87" i="227" s="1"/>
  <c r="Q87" i="227" s="1"/>
  <c r="R87" i="227" s="1"/>
  <c r="S87" i="227" s="1"/>
  <c r="AS87" i="227" s="1"/>
  <c r="K87" i="227"/>
  <c r="M87" i="227" s="1"/>
  <c r="AT87" i="227" s="1"/>
  <c r="L86" i="227"/>
  <c r="N86" i="227" s="1"/>
  <c r="Q86" i="227" s="1"/>
  <c r="R86" i="227" s="1"/>
  <c r="S86" i="227" s="1"/>
  <c r="AS86" i="227" s="1"/>
  <c r="K86" i="227"/>
  <c r="M86" i="227" s="1"/>
  <c r="AT86" i="227" s="1"/>
  <c r="L85" i="227"/>
  <c r="N85" i="227" s="1"/>
  <c r="Q85" i="227" s="1"/>
  <c r="R85" i="227" s="1"/>
  <c r="S85" i="227" s="1"/>
  <c r="AS85" i="227" s="1"/>
  <c r="K85" i="227"/>
  <c r="M85" i="227" s="1"/>
  <c r="AT85" i="227" s="1"/>
  <c r="L84" i="227"/>
  <c r="N84" i="227" s="1"/>
  <c r="Q84" i="227" s="1"/>
  <c r="R84" i="227" s="1"/>
  <c r="S84" i="227" s="1"/>
  <c r="AS84" i="227" s="1"/>
  <c r="K84" i="227"/>
  <c r="M84" i="227" s="1"/>
  <c r="AT84" i="227" s="1"/>
  <c r="L83" i="227"/>
  <c r="N83" i="227" s="1"/>
  <c r="Q83" i="227" s="1"/>
  <c r="R83" i="227" s="1"/>
  <c r="S83" i="227" s="1"/>
  <c r="AS83" i="227" s="1"/>
  <c r="K83" i="227"/>
  <c r="M83" i="227" s="1"/>
  <c r="AT83" i="227" s="1"/>
  <c r="L82" i="227"/>
  <c r="N82" i="227" s="1"/>
  <c r="Q82" i="227" s="1"/>
  <c r="R82" i="227" s="1"/>
  <c r="S82" i="227" s="1"/>
  <c r="AS82" i="227" s="1"/>
  <c r="K82" i="227"/>
  <c r="M82" i="227" s="1"/>
  <c r="AT82" i="227" s="1"/>
  <c r="L81" i="227"/>
  <c r="N81" i="227" s="1"/>
  <c r="Q81" i="227" s="1"/>
  <c r="R81" i="227" s="1"/>
  <c r="S81" i="227" s="1"/>
  <c r="AS81" i="227" s="1"/>
  <c r="K81" i="227"/>
  <c r="M81" i="227" s="1"/>
  <c r="AT81" i="227" s="1"/>
  <c r="L80" i="227"/>
  <c r="N80" i="227" s="1"/>
  <c r="Q80" i="227" s="1"/>
  <c r="R80" i="227" s="1"/>
  <c r="S80" i="227" s="1"/>
  <c r="AS80" i="227" s="1"/>
  <c r="K80" i="227"/>
  <c r="M80" i="227" s="1"/>
  <c r="AT80" i="227" s="1"/>
  <c r="I80" i="227"/>
  <c r="L79" i="227"/>
  <c r="N79" i="227" s="1"/>
  <c r="Q79" i="227" s="1"/>
  <c r="R79" i="227" s="1"/>
  <c r="S79" i="227" s="1"/>
  <c r="AS79" i="227" s="1"/>
  <c r="K79" i="227"/>
  <c r="M79" i="227" s="1"/>
  <c r="AT79" i="227" s="1"/>
  <c r="I79" i="227"/>
  <c r="L78" i="227"/>
  <c r="N78" i="227" s="1"/>
  <c r="Q78" i="227" s="1"/>
  <c r="R78" i="227" s="1"/>
  <c r="S78" i="227" s="1"/>
  <c r="AS78" i="227" s="1"/>
  <c r="K78" i="227"/>
  <c r="M78" i="227" s="1"/>
  <c r="AT78" i="227" s="1"/>
  <c r="I78" i="227"/>
  <c r="L77" i="227"/>
  <c r="N77" i="227" s="1"/>
  <c r="Q77" i="227" s="1"/>
  <c r="R77" i="227" s="1"/>
  <c r="S77" i="227" s="1"/>
  <c r="AS77" i="227" s="1"/>
  <c r="K77" i="227"/>
  <c r="M77" i="227" s="1"/>
  <c r="AT77" i="227" s="1"/>
  <c r="I77" i="227"/>
  <c r="L76" i="227"/>
  <c r="N76" i="227" s="1"/>
  <c r="Q76" i="227" s="1"/>
  <c r="R76" i="227" s="1"/>
  <c r="S76" i="227" s="1"/>
  <c r="AS76" i="227" s="1"/>
  <c r="K76" i="227"/>
  <c r="M76" i="227" s="1"/>
  <c r="AT76" i="227" s="1"/>
  <c r="I76" i="227"/>
  <c r="R75" i="227"/>
  <c r="S75" i="227" s="1"/>
  <c r="AS75" i="227" s="1"/>
  <c r="L75" i="227"/>
  <c r="N75" i="227" s="1"/>
  <c r="K75" i="227"/>
  <c r="M75" i="227" s="1"/>
  <c r="AT75" i="227" s="1"/>
  <c r="E75" i="227"/>
  <c r="L74" i="227"/>
  <c r="N74" i="227" s="1"/>
  <c r="Q74" i="227" s="1"/>
  <c r="R74" i="227" s="1"/>
  <c r="S74" i="227" s="1"/>
  <c r="AS74" i="227" s="1"/>
  <c r="K74" i="227"/>
  <c r="M74" i="227" s="1"/>
  <c r="AT74" i="227" s="1"/>
  <c r="L73" i="227"/>
  <c r="N73" i="227" s="1"/>
  <c r="Q73" i="227" s="1"/>
  <c r="R73" i="227" s="1"/>
  <c r="S73" i="227" s="1"/>
  <c r="AS73" i="227" s="1"/>
  <c r="K73" i="227"/>
  <c r="M73" i="227" s="1"/>
  <c r="AT73" i="227" s="1"/>
  <c r="L72" i="227"/>
  <c r="N72" i="227" s="1"/>
  <c r="Q72" i="227" s="1"/>
  <c r="R72" i="227" s="1"/>
  <c r="S72" i="227" s="1"/>
  <c r="AS72" i="227" s="1"/>
  <c r="K72" i="227"/>
  <c r="M72" i="227" s="1"/>
  <c r="AT72" i="227" s="1"/>
  <c r="L71" i="227"/>
  <c r="N71" i="227" s="1"/>
  <c r="Q71" i="227" s="1"/>
  <c r="R71" i="227" s="1"/>
  <c r="S71" i="227" s="1"/>
  <c r="AS71" i="227" s="1"/>
  <c r="K71" i="227"/>
  <c r="M71" i="227" s="1"/>
  <c r="AT71" i="227" s="1"/>
  <c r="L70" i="227"/>
  <c r="N70" i="227" s="1"/>
  <c r="Q70" i="227" s="1"/>
  <c r="R70" i="227" s="1"/>
  <c r="S70" i="227" s="1"/>
  <c r="AS70" i="227" s="1"/>
  <c r="K70" i="227"/>
  <c r="M70" i="227" s="1"/>
  <c r="AT70" i="227" s="1"/>
  <c r="L69" i="227"/>
  <c r="N69" i="227" s="1"/>
  <c r="Q69" i="227" s="1"/>
  <c r="R69" i="227" s="1"/>
  <c r="S69" i="227" s="1"/>
  <c r="AS69" i="227" s="1"/>
  <c r="K69" i="227"/>
  <c r="M69" i="227" s="1"/>
  <c r="AT69" i="227" s="1"/>
  <c r="I69" i="227"/>
  <c r="E69" i="227"/>
  <c r="L68" i="227"/>
  <c r="N68" i="227" s="1"/>
  <c r="Q68" i="227" s="1"/>
  <c r="R68" i="227" s="1"/>
  <c r="S68" i="227" s="1"/>
  <c r="AS68" i="227" s="1"/>
  <c r="K68" i="227"/>
  <c r="M68" i="227" s="1"/>
  <c r="AT68" i="227" s="1"/>
  <c r="I68" i="227"/>
  <c r="E68" i="227"/>
  <c r="L67" i="227"/>
  <c r="N67" i="227" s="1"/>
  <c r="Q67" i="227" s="1"/>
  <c r="R67" i="227" s="1"/>
  <c r="S67" i="227" s="1"/>
  <c r="AS67" i="227" s="1"/>
  <c r="K67" i="227"/>
  <c r="M67" i="227" s="1"/>
  <c r="AT67" i="227" s="1"/>
  <c r="I67" i="227"/>
  <c r="E67" i="227"/>
  <c r="L66" i="227"/>
  <c r="N66" i="227" s="1"/>
  <c r="Q66" i="227" s="1"/>
  <c r="R66" i="227" s="1"/>
  <c r="S66" i="227" s="1"/>
  <c r="AS66" i="227" s="1"/>
  <c r="K66" i="227"/>
  <c r="M66" i="227" s="1"/>
  <c r="AT66" i="227" s="1"/>
  <c r="I66" i="227"/>
  <c r="E66" i="227"/>
  <c r="L65" i="227"/>
  <c r="N65" i="227" s="1"/>
  <c r="Q65" i="227" s="1"/>
  <c r="R65" i="227" s="1"/>
  <c r="S65" i="227" s="1"/>
  <c r="AS65" i="227" s="1"/>
  <c r="K65" i="227"/>
  <c r="M65" i="227" s="1"/>
  <c r="AT65" i="227" s="1"/>
  <c r="I65" i="227"/>
  <c r="E65" i="227"/>
  <c r="L64" i="227"/>
  <c r="N64" i="227" s="1"/>
  <c r="Q64" i="227" s="1"/>
  <c r="R64" i="227" s="1"/>
  <c r="S64" i="227" s="1"/>
  <c r="AS64" i="227" s="1"/>
  <c r="K64" i="227"/>
  <c r="M64" i="227" s="1"/>
  <c r="AT64" i="227" s="1"/>
  <c r="I64" i="227"/>
  <c r="E64" i="227"/>
  <c r="L63" i="227"/>
  <c r="N63" i="227" s="1"/>
  <c r="Q63" i="227" s="1"/>
  <c r="R63" i="227" s="1"/>
  <c r="S63" i="227" s="1"/>
  <c r="AS63" i="227" s="1"/>
  <c r="K63" i="227"/>
  <c r="M63" i="227" s="1"/>
  <c r="AT63" i="227" s="1"/>
  <c r="I63" i="227"/>
  <c r="E63" i="227"/>
  <c r="L62" i="227"/>
  <c r="N62" i="227" s="1"/>
  <c r="Q62" i="227" s="1"/>
  <c r="R62" i="227" s="1"/>
  <c r="S62" i="227" s="1"/>
  <c r="AS62" i="227" s="1"/>
  <c r="K62" i="227"/>
  <c r="M62" i="227" s="1"/>
  <c r="AT62" i="227" s="1"/>
  <c r="I62" i="227"/>
  <c r="E62" i="227"/>
  <c r="L61" i="227"/>
  <c r="N61" i="227" s="1"/>
  <c r="Q61" i="227" s="1"/>
  <c r="R61" i="227" s="1"/>
  <c r="S61" i="227" s="1"/>
  <c r="AS61" i="227" s="1"/>
  <c r="K61" i="227"/>
  <c r="M61" i="227" s="1"/>
  <c r="AT61" i="227" s="1"/>
  <c r="I61" i="227"/>
  <c r="E61" i="227"/>
  <c r="L60" i="227"/>
  <c r="N60" i="227" s="1"/>
  <c r="Q60" i="227" s="1"/>
  <c r="R60" i="227" s="1"/>
  <c r="S60" i="227" s="1"/>
  <c r="AS60" i="227" s="1"/>
  <c r="K60" i="227"/>
  <c r="M60" i="227" s="1"/>
  <c r="AT60" i="227" s="1"/>
  <c r="I60" i="227"/>
  <c r="E60" i="227"/>
  <c r="L59" i="227"/>
  <c r="N59" i="227" s="1"/>
  <c r="Q59" i="227" s="1"/>
  <c r="R59" i="227" s="1"/>
  <c r="S59" i="227" s="1"/>
  <c r="AS59" i="227" s="1"/>
  <c r="K59" i="227"/>
  <c r="M59" i="227" s="1"/>
  <c r="AT59" i="227" s="1"/>
  <c r="L58" i="227"/>
  <c r="N58" i="227" s="1"/>
  <c r="Q58" i="227" s="1"/>
  <c r="R58" i="227" s="1"/>
  <c r="S58" i="227" s="1"/>
  <c r="AS58" i="227" s="1"/>
  <c r="K58" i="227"/>
  <c r="M58" i="227" s="1"/>
  <c r="AT58" i="227" s="1"/>
  <c r="L57" i="227"/>
  <c r="N57" i="227" s="1"/>
  <c r="Q57" i="227" s="1"/>
  <c r="R57" i="227" s="1"/>
  <c r="S57" i="227" s="1"/>
  <c r="AS57" i="227" s="1"/>
  <c r="K57" i="227"/>
  <c r="M57" i="227" s="1"/>
  <c r="AT57" i="227" s="1"/>
  <c r="I57" i="227"/>
  <c r="E57" i="227"/>
  <c r="L56" i="227"/>
  <c r="N56" i="227" s="1"/>
  <c r="Q56" i="227" s="1"/>
  <c r="R56" i="227" s="1"/>
  <c r="S56" i="227" s="1"/>
  <c r="AS56" i="227" s="1"/>
  <c r="K56" i="227"/>
  <c r="M56" i="227" s="1"/>
  <c r="AT56" i="227" s="1"/>
  <c r="I56" i="227"/>
  <c r="E56" i="227"/>
  <c r="L55" i="227"/>
  <c r="N55" i="227" s="1"/>
  <c r="Q55" i="227" s="1"/>
  <c r="R55" i="227" s="1"/>
  <c r="S55" i="227" s="1"/>
  <c r="AS55" i="227" s="1"/>
  <c r="K55" i="227"/>
  <c r="M55" i="227" s="1"/>
  <c r="AT55" i="227" s="1"/>
  <c r="L54" i="227"/>
  <c r="N54" i="227" s="1"/>
  <c r="Q54" i="227" s="1"/>
  <c r="R54" i="227" s="1"/>
  <c r="S54" i="227" s="1"/>
  <c r="AS54" i="227" s="1"/>
  <c r="K54" i="227"/>
  <c r="M54" i="227" s="1"/>
  <c r="AT54" i="227" s="1"/>
  <c r="I54" i="227"/>
  <c r="E54" i="227"/>
  <c r="N53" i="227"/>
  <c r="Q53" i="227" s="1"/>
  <c r="M53" i="227"/>
  <c r="AT53" i="227" s="1"/>
  <c r="I53" i="227"/>
  <c r="E53" i="227"/>
  <c r="N52" i="227"/>
  <c r="Q52" i="227" s="1"/>
  <c r="R52" i="227" s="1"/>
  <c r="S52" i="227" s="1"/>
  <c r="AS52" i="227" s="1"/>
  <c r="M52" i="227"/>
  <c r="AT52" i="227" s="1"/>
  <c r="I52" i="227"/>
  <c r="E52" i="227"/>
  <c r="L51" i="227"/>
  <c r="N51" i="227" s="1"/>
  <c r="Q51" i="227" s="1"/>
  <c r="R51" i="227" s="1"/>
  <c r="S51" i="227" s="1"/>
  <c r="K51" i="227"/>
  <c r="M51" i="227" s="1"/>
  <c r="AT51" i="227" s="1"/>
  <c r="I51" i="227"/>
  <c r="N50" i="227"/>
  <c r="Q50" i="227" s="1"/>
  <c r="R50" i="227" s="1"/>
  <c r="S50" i="227" s="1"/>
  <c r="AS50" i="227" s="1"/>
  <c r="M50" i="227"/>
  <c r="AT50" i="227" s="1"/>
  <c r="I50" i="227"/>
  <c r="E50" i="227"/>
  <c r="N49" i="227"/>
  <c r="Q49" i="227" s="1"/>
  <c r="R49" i="227" s="1"/>
  <c r="S49" i="227" s="1"/>
  <c r="AS49" i="227" s="1"/>
  <c r="M49" i="227"/>
  <c r="AT49" i="227" s="1"/>
  <c r="I49" i="227"/>
  <c r="E49" i="227"/>
  <c r="L48" i="227"/>
  <c r="N48" i="227" s="1"/>
  <c r="Q48" i="227" s="1"/>
  <c r="R48" i="227" s="1"/>
  <c r="S48" i="227" s="1"/>
  <c r="AS48" i="227" s="1"/>
  <c r="K48" i="227"/>
  <c r="M48" i="227" s="1"/>
  <c r="AT48" i="227" s="1"/>
  <c r="I48" i="227"/>
  <c r="E48" i="227"/>
  <c r="L47" i="227"/>
  <c r="N47" i="227" s="1"/>
  <c r="Q47" i="227" s="1"/>
  <c r="K47" i="227"/>
  <c r="M47" i="227" s="1"/>
  <c r="AT47" i="227" s="1"/>
  <c r="I47" i="227"/>
  <c r="E47" i="227"/>
  <c r="L46" i="227"/>
  <c r="N46" i="227" s="1"/>
  <c r="Q46" i="227" s="1"/>
  <c r="R46" i="227" s="1"/>
  <c r="S46" i="227" s="1"/>
  <c r="AS46" i="227" s="1"/>
  <c r="K46" i="227"/>
  <c r="M46" i="227" s="1"/>
  <c r="AT46" i="227" s="1"/>
  <c r="I46" i="227"/>
  <c r="E46" i="227"/>
  <c r="L45" i="227"/>
  <c r="N45" i="227" s="1"/>
  <c r="Q45" i="227" s="1"/>
  <c r="R45" i="227" s="1"/>
  <c r="S45" i="227" s="1"/>
  <c r="AS45" i="227" s="1"/>
  <c r="K45" i="227"/>
  <c r="M45" i="227" s="1"/>
  <c r="AT45" i="227" s="1"/>
  <c r="I45" i="227"/>
  <c r="E45" i="227"/>
  <c r="L44" i="227"/>
  <c r="N44" i="227" s="1"/>
  <c r="Q44" i="227" s="1"/>
  <c r="R44" i="227" s="1"/>
  <c r="S44" i="227" s="1"/>
  <c r="AS44" i="227" s="1"/>
  <c r="K44" i="227"/>
  <c r="M44" i="227" s="1"/>
  <c r="AT44" i="227" s="1"/>
  <c r="I44" i="227"/>
  <c r="E44" i="227"/>
  <c r="L43" i="227"/>
  <c r="N43" i="227" s="1"/>
  <c r="Q43" i="227" s="1"/>
  <c r="R43" i="227" s="1"/>
  <c r="S43" i="227" s="1"/>
  <c r="AS43" i="227" s="1"/>
  <c r="K43" i="227"/>
  <c r="M43" i="227" s="1"/>
  <c r="AT43" i="227" s="1"/>
  <c r="I43" i="227"/>
  <c r="E43" i="227"/>
  <c r="L42" i="227"/>
  <c r="N42" i="227" s="1"/>
  <c r="Q42" i="227" s="1"/>
  <c r="R42" i="227" s="1"/>
  <c r="S42" i="227" s="1"/>
  <c r="AS42" i="227" s="1"/>
  <c r="K42" i="227"/>
  <c r="M42" i="227" s="1"/>
  <c r="AT42" i="227" s="1"/>
  <c r="I42" i="227"/>
  <c r="E42" i="227"/>
  <c r="L41" i="227"/>
  <c r="N41" i="227" s="1"/>
  <c r="Q41" i="227" s="1"/>
  <c r="R41" i="227" s="1"/>
  <c r="S41" i="227" s="1"/>
  <c r="AS41" i="227" s="1"/>
  <c r="K41" i="227"/>
  <c r="M41" i="227" s="1"/>
  <c r="AT41" i="227" s="1"/>
  <c r="I41" i="227"/>
  <c r="E41" i="227"/>
  <c r="N40" i="227"/>
  <c r="Q40" i="227" s="1"/>
  <c r="R40" i="227" s="1"/>
  <c r="S40" i="227" s="1"/>
  <c r="AS40" i="227" s="1"/>
  <c r="M40" i="227"/>
  <c r="AT40" i="227" s="1"/>
  <c r="I40" i="227"/>
  <c r="E40" i="227"/>
  <c r="L39" i="227"/>
  <c r="N39" i="227" s="1"/>
  <c r="Q39" i="227" s="1"/>
  <c r="R39" i="227" s="1"/>
  <c r="S39" i="227" s="1"/>
  <c r="AS39" i="227" s="1"/>
  <c r="K39" i="227"/>
  <c r="M39" i="227" s="1"/>
  <c r="AT39" i="227" s="1"/>
  <c r="I39" i="227"/>
  <c r="E39" i="227"/>
  <c r="L38" i="227"/>
  <c r="N38" i="227" s="1"/>
  <c r="Q38" i="227" s="1"/>
  <c r="R38" i="227" s="1"/>
  <c r="S38" i="227" s="1"/>
  <c r="AS38" i="227" s="1"/>
  <c r="K38" i="227"/>
  <c r="M38" i="227" s="1"/>
  <c r="AT38" i="227" s="1"/>
  <c r="I38" i="227"/>
  <c r="E38" i="227"/>
  <c r="L37" i="227"/>
  <c r="N37" i="227" s="1"/>
  <c r="Q37" i="227" s="1"/>
  <c r="R37" i="227" s="1"/>
  <c r="S37" i="227" s="1"/>
  <c r="AS37" i="227" s="1"/>
  <c r="K37" i="227"/>
  <c r="M37" i="227" s="1"/>
  <c r="AT37" i="227" s="1"/>
  <c r="I37" i="227"/>
  <c r="E37" i="227"/>
  <c r="L36" i="227"/>
  <c r="N36" i="227" s="1"/>
  <c r="Q36" i="227" s="1"/>
  <c r="K36" i="227"/>
  <c r="M36" i="227" s="1"/>
  <c r="AT36" i="227" s="1"/>
  <c r="I36" i="227"/>
  <c r="E36" i="227"/>
  <c r="L35" i="227"/>
  <c r="N35" i="227" s="1"/>
  <c r="Q35" i="227" s="1"/>
  <c r="R35" i="227" s="1"/>
  <c r="S35" i="227" s="1"/>
  <c r="AS35" i="227" s="1"/>
  <c r="K35" i="227"/>
  <c r="M35" i="227" s="1"/>
  <c r="AT35" i="227" s="1"/>
  <c r="I35" i="227"/>
  <c r="E35" i="227"/>
  <c r="L34" i="227"/>
  <c r="N34" i="227" s="1"/>
  <c r="Q34" i="227" s="1"/>
  <c r="R34" i="227" s="1"/>
  <c r="S34" i="227" s="1"/>
  <c r="AS34" i="227" s="1"/>
  <c r="K34" i="227"/>
  <c r="M34" i="227" s="1"/>
  <c r="AT34" i="227" s="1"/>
  <c r="I34" i="227"/>
  <c r="L33" i="227"/>
  <c r="N33" i="227" s="1"/>
  <c r="Q33" i="227" s="1"/>
  <c r="R33" i="227" s="1"/>
  <c r="S33" i="227" s="1"/>
  <c r="AS33" i="227" s="1"/>
  <c r="K33" i="227"/>
  <c r="M33" i="227" s="1"/>
  <c r="AT33" i="227" s="1"/>
  <c r="I33" i="227"/>
  <c r="L32" i="227"/>
  <c r="N32" i="227" s="1"/>
  <c r="Q32" i="227" s="1"/>
  <c r="R32" i="227" s="1"/>
  <c r="S32" i="227" s="1"/>
  <c r="AS32" i="227" s="1"/>
  <c r="K32" i="227"/>
  <c r="M32" i="227" s="1"/>
  <c r="AT32" i="227" s="1"/>
  <c r="I32" i="227"/>
  <c r="E32" i="227"/>
  <c r="L31" i="227"/>
  <c r="N31" i="227" s="1"/>
  <c r="Q31" i="227" s="1"/>
  <c r="R31" i="227" s="1"/>
  <c r="S31" i="227" s="1"/>
  <c r="AS31" i="227" s="1"/>
  <c r="K31" i="227"/>
  <c r="M31" i="227" s="1"/>
  <c r="AT31" i="227" s="1"/>
  <c r="I31" i="227"/>
  <c r="E31" i="227"/>
  <c r="L30" i="227"/>
  <c r="N30" i="227" s="1"/>
  <c r="Q30" i="227" s="1"/>
  <c r="R30" i="227" s="1"/>
  <c r="S30" i="227" s="1"/>
  <c r="AS30" i="227" s="1"/>
  <c r="K30" i="227"/>
  <c r="M30" i="227" s="1"/>
  <c r="AT30" i="227" s="1"/>
  <c r="I30" i="227"/>
  <c r="E30" i="227"/>
  <c r="L29" i="227"/>
  <c r="N29" i="227" s="1"/>
  <c r="Q29" i="227" s="1"/>
  <c r="R29" i="227" s="1"/>
  <c r="S29" i="227" s="1"/>
  <c r="AS29" i="227" s="1"/>
  <c r="K29" i="227"/>
  <c r="M29" i="227" s="1"/>
  <c r="AT29" i="227" s="1"/>
  <c r="I29" i="227"/>
  <c r="E29" i="227"/>
  <c r="L28" i="227"/>
  <c r="N28" i="227" s="1"/>
  <c r="Q28" i="227" s="1"/>
  <c r="R28" i="227" s="1"/>
  <c r="S28" i="227" s="1"/>
  <c r="AS28" i="227" s="1"/>
  <c r="K28" i="227"/>
  <c r="M28" i="227" s="1"/>
  <c r="AT28" i="227" s="1"/>
  <c r="I28" i="227"/>
  <c r="E28" i="227"/>
  <c r="N27" i="227"/>
  <c r="Q27" i="227" s="1"/>
  <c r="M27" i="227"/>
  <c r="AT27" i="227" s="1"/>
  <c r="I27" i="227"/>
  <c r="E27" i="227"/>
  <c r="L26" i="227"/>
  <c r="N26" i="227" s="1"/>
  <c r="Q26" i="227" s="1"/>
  <c r="R26" i="227" s="1"/>
  <c r="S26" i="227" s="1"/>
  <c r="AS26" i="227" s="1"/>
  <c r="K26" i="227"/>
  <c r="M26" i="227" s="1"/>
  <c r="AT26" i="227" s="1"/>
  <c r="I26" i="227"/>
  <c r="E26" i="227"/>
  <c r="L25" i="227"/>
  <c r="N25" i="227" s="1"/>
  <c r="Q25" i="227" s="1"/>
  <c r="R25" i="227" s="1"/>
  <c r="S25" i="227" s="1"/>
  <c r="AS25" i="227" s="1"/>
  <c r="K25" i="227"/>
  <c r="M25" i="227" s="1"/>
  <c r="AT25" i="227" s="1"/>
  <c r="I25" i="227"/>
  <c r="E25" i="227"/>
  <c r="N24" i="227"/>
  <c r="Q24" i="227" s="1"/>
  <c r="R24" i="227" s="1"/>
  <c r="S24" i="227" s="1"/>
  <c r="AS24" i="227" s="1"/>
  <c r="M24" i="227"/>
  <c r="AT24" i="227" s="1"/>
  <c r="I24" i="227"/>
  <c r="E24" i="227"/>
  <c r="N23" i="227"/>
  <c r="Q23" i="227" s="1"/>
  <c r="R23" i="227" s="1"/>
  <c r="S23" i="227" s="1"/>
  <c r="AS23" i="227" s="1"/>
  <c r="M23" i="227"/>
  <c r="AT23" i="227" s="1"/>
  <c r="I23" i="227"/>
  <c r="E23" i="227"/>
  <c r="L22" i="227"/>
  <c r="N22" i="227" s="1"/>
  <c r="Q22" i="227" s="1"/>
  <c r="R22" i="227" s="1"/>
  <c r="S22" i="227" s="1"/>
  <c r="AS22" i="227" s="1"/>
  <c r="K22" i="227"/>
  <c r="M22" i="227" s="1"/>
  <c r="AT22" i="227" s="1"/>
  <c r="I22" i="227"/>
  <c r="E22" i="227"/>
  <c r="L21" i="227"/>
  <c r="N21" i="227" s="1"/>
  <c r="Q21" i="227" s="1"/>
  <c r="R21" i="227" s="1"/>
  <c r="S21" i="227" s="1"/>
  <c r="AS21" i="227" s="1"/>
  <c r="K21" i="227"/>
  <c r="M21" i="227" s="1"/>
  <c r="AT21" i="227" s="1"/>
  <c r="I21" i="227"/>
  <c r="E21" i="227"/>
  <c r="L20" i="227"/>
  <c r="N20" i="227" s="1"/>
  <c r="Q20" i="227" s="1"/>
  <c r="R20" i="227" s="1"/>
  <c r="S20" i="227" s="1"/>
  <c r="AS20" i="227" s="1"/>
  <c r="K20" i="227"/>
  <c r="M20" i="227" s="1"/>
  <c r="AT20" i="227" s="1"/>
  <c r="I20" i="227"/>
  <c r="E20" i="227"/>
  <c r="L19" i="227"/>
  <c r="N19" i="227" s="1"/>
  <c r="Q19" i="227" s="1"/>
  <c r="R19" i="227" s="1"/>
  <c r="S19" i="227" s="1"/>
  <c r="AS19" i="227" s="1"/>
  <c r="K19" i="227"/>
  <c r="M19" i="227" s="1"/>
  <c r="AT19" i="227" s="1"/>
  <c r="I19" i="227"/>
  <c r="E19" i="227"/>
  <c r="L18" i="227"/>
  <c r="N18" i="227" s="1"/>
  <c r="Q18" i="227" s="1"/>
  <c r="R18" i="227" s="1"/>
  <c r="S18" i="227" s="1"/>
  <c r="AS18" i="227" s="1"/>
  <c r="K18" i="227"/>
  <c r="M18" i="227" s="1"/>
  <c r="AT18" i="227" s="1"/>
  <c r="I18" i="227"/>
  <c r="E18" i="227"/>
  <c r="L17" i="227"/>
  <c r="N17" i="227" s="1"/>
  <c r="Q17" i="227" s="1"/>
  <c r="R17" i="227" s="1"/>
  <c r="S17" i="227" s="1"/>
  <c r="AS17" i="227" s="1"/>
  <c r="K17" i="227"/>
  <c r="M17" i="227" s="1"/>
  <c r="AT17" i="227" s="1"/>
  <c r="I17" i="227"/>
  <c r="E17" i="227"/>
  <c r="L16" i="227"/>
  <c r="N16" i="227" s="1"/>
  <c r="Q16" i="227" s="1"/>
  <c r="R16" i="227" s="1"/>
  <c r="S16" i="227" s="1"/>
  <c r="AS16" i="227" s="1"/>
  <c r="K16" i="227"/>
  <c r="M16" i="227" s="1"/>
  <c r="AT16" i="227" s="1"/>
  <c r="I16" i="227"/>
  <c r="E16" i="227"/>
  <c r="L15" i="227"/>
  <c r="N15" i="227" s="1"/>
  <c r="Q15" i="227" s="1"/>
  <c r="R15" i="227" s="1"/>
  <c r="S15" i="227" s="1"/>
  <c r="AS15" i="227" s="1"/>
  <c r="K15" i="227"/>
  <c r="M15" i="227" s="1"/>
  <c r="AT15" i="227" s="1"/>
  <c r="I15" i="227"/>
  <c r="E15" i="227"/>
  <c r="L14" i="227"/>
  <c r="N14" i="227" s="1"/>
  <c r="Q14" i="227" s="1"/>
  <c r="K14" i="227"/>
  <c r="M14" i="227" s="1"/>
  <c r="AT14" i="227" s="1"/>
  <c r="I14" i="227"/>
  <c r="E14" i="227"/>
  <c r="L13" i="227"/>
  <c r="N13" i="227" s="1"/>
  <c r="Q13" i="227" s="1"/>
  <c r="K13" i="227"/>
  <c r="M13" i="227" s="1"/>
  <c r="AT13" i="227" s="1"/>
  <c r="I13" i="227"/>
  <c r="E13" i="227"/>
  <c r="M12" i="227"/>
  <c r="AT12" i="227" s="1"/>
  <c r="L12" i="227"/>
  <c r="N12" i="227" s="1"/>
  <c r="Q12" i="227" s="1"/>
  <c r="R12" i="227" s="1"/>
  <c r="S12" i="227" s="1"/>
  <c r="AS12" i="227" s="1"/>
  <c r="I12" i="227"/>
  <c r="E12" i="227"/>
  <c r="N11" i="227"/>
  <c r="Q11" i="227" s="1"/>
  <c r="R11" i="227" s="1"/>
  <c r="S11" i="227" s="1"/>
  <c r="AS11" i="227" s="1"/>
  <c r="M11" i="227"/>
  <c r="AT11" i="227" s="1"/>
  <c r="I11" i="227"/>
  <c r="E11" i="227"/>
  <c r="M10" i="227"/>
  <c r="AT10" i="227" s="1"/>
  <c r="L10" i="227"/>
  <c r="N10" i="227" s="1"/>
  <c r="Q10" i="227" s="1"/>
  <c r="R10" i="227" s="1"/>
  <c r="S10" i="227" s="1"/>
  <c r="AS10" i="227" s="1"/>
  <c r="I10" i="227"/>
  <c r="E10" i="227"/>
  <c r="M9" i="227"/>
  <c r="AT9" i="227" s="1"/>
  <c r="L9" i="227"/>
  <c r="N9" i="227" s="1"/>
  <c r="Q9" i="227" s="1"/>
  <c r="R9" i="227" s="1"/>
  <c r="S9" i="227" s="1"/>
  <c r="AS9" i="227" s="1"/>
  <c r="I9" i="227"/>
  <c r="E9" i="227"/>
  <c r="M8" i="227"/>
  <c r="AT8" i="227" s="1"/>
  <c r="L8" i="227"/>
  <c r="N8" i="227" s="1"/>
  <c r="Q8" i="227" s="1"/>
  <c r="R8" i="227" s="1"/>
  <c r="S8" i="227" s="1"/>
  <c r="AS8" i="227" s="1"/>
  <c r="I8" i="227"/>
  <c r="E8" i="227"/>
  <c r="M7" i="227"/>
  <c r="AT7" i="227" s="1"/>
  <c r="L7" i="227"/>
  <c r="N7" i="227" s="1"/>
  <c r="Q7" i="227" s="1"/>
  <c r="I7" i="227"/>
  <c r="E7" i="227"/>
  <c r="M6" i="227"/>
  <c r="AT6" i="227" s="1"/>
  <c r="L6" i="227"/>
  <c r="I6" i="227"/>
  <c r="E6" i="227"/>
  <c r="M5" i="227"/>
  <c r="AT5" i="227" s="1"/>
  <c r="L5" i="227"/>
  <c r="I5" i="227"/>
  <c r="E5" i="227"/>
  <c r="N4" i="227"/>
  <c r="M4" i="227"/>
  <c r="I50" i="213" l="1"/>
  <c r="E50" i="213" s="1"/>
  <c r="E150" i="213"/>
  <c r="J47" i="209"/>
  <c r="J46" i="209"/>
  <c r="AV48" i="227"/>
  <c r="BA94" i="227"/>
  <c r="BA98" i="227"/>
  <c r="BA102" i="227"/>
  <c r="BA107" i="227"/>
  <c r="BA111" i="227"/>
  <c r="AZ126" i="227"/>
  <c r="BB132" i="227"/>
  <c r="BB136" i="227"/>
  <c r="BA140" i="227"/>
  <c r="BA144" i="227"/>
  <c r="BA148" i="227"/>
  <c r="BA152" i="227"/>
  <c r="BA156" i="227"/>
  <c r="BA164" i="227"/>
  <c r="AV170" i="227"/>
  <c r="BA160" i="227"/>
  <c r="AV28" i="227"/>
  <c r="BA80" i="227"/>
  <c r="BC84" i="227"/>
  <c r="BB57" i="227"/>
  <c r="BA62" i="227"/>
  <c r="BA66" i="227"/>
  <c r="BB90" i="227"/>
  <c r="BC92" i="227"/>
  <c r="AZ118" i="227"/>
  <c r="AX129" i="227"/>
  <c r="BB120" i="227"/>
  <c r="AY131" i="227"/>
  <c r="BA139" i="227"/>
  <c r="BB143" i="227"/>
  <c r="AX147" i="227"/>
  <c r="AX151" i="227"/>
  <c r="AX155" i="227"/>
  <c r="AX159" i="227"/>
  <c r="AX163" i="227"/>
  <c r="AY115" i="227"/>
  <c r="AZ17" i="227"/>
  <c r="AZ21" i="227"/>
  <c r="AZ25" i="227"/>
  <c r="AZ29" i="227"/>
  <c r="BA82" i="227"/>
  <c r="BC86" i="227"/>
  <c r="AZ33" i="227"/>
  <c r="AX61" i="227"/>
  <c r="BA99" i="227"/>
  <c r="BB116" i="227"/>
  <c r="AV125" i="227"/>
  <c r="AV128" i="227"/>
  <c r="BB44" i="227"/>
  <c r="AV44" i="227"/>
  <c r="BD44" i="227"/>
  <c r="BE44" i="227"/>
  <c r="AZ44" i="227"/>
  <c r="BA44" i="227"/>
  <c r="BC44" i="227"/>
  <c r="AX44" i="227"/>
  <c r="AY44" i="227"/>
  <c r="AY54" i="227"/>
  <c r="AX54" i="227"/>
  <c r="BB54" i="227"/>
  <c r="AZ54" i="227"/>
  <c r="BC54" i="227"/>
  <c r="BA54" i="227"/>
  <c r="AV54" i="227"/>
  <c r="BD54" i="227"/>
  <c r="AW54" i="227"/>
  <c r="BE54" i="227"/>
  <c r="BB70" i="227"/>
  <c r="BC70" i="227"/>
  <c r="BE70" i="227"/>
  <c r="AW70" i="227"/>
  <c r="AX70" i="227"/>
  <c r="AY70" i="227"/>
  <c r="BD70" i="227"/>
  <c r="AV70" i="227"/>
  <c r="AZ70" i="227"/>
  <c r="BE74" i="227"/>
  <c r="AW74" i="227"/>
  <c r="AY74" i="227"/>
  <c r="BB74" i="227"/>
  <c r="BC74" i="227"/>
  <c r="AX74" i="227"/>
  <c r="BD74" i="227"/>
  <c r="AV74" i="227"/>
  <c r="AZ74" i="227"/>
  <c r="AY79" i="227"/>
  <c r="AZ79" i="227"/>
  <c r="BA79" i="227"/>
  <c r="BE79" i="227"/>
  <c r="AW79" i="227"/>
  <c r="BB79" i="227"/>
  <c r="BC79" i="227"/>
  <c r="AV79" i="227"/>
  <c r="BD79" i="227"/>
  <c r="AX79" i="227"/>
  <c r="AZ104" i="227"/>
  <c r="AW104" i="227"/>
  <c r="AX104" i="227"/>
  <c r="BA104" i="227"/>
  <c r="BE104" i="227"/>
  <c r="BC104" i="227"/>
  <c r="BD104" i="227"/>
  <c r="AY104" i="227"/>
  <c r="BB104" i="227"/>
  <c r="AV104" i="227"/>
  <c r="BB48" i="227"/>
  <c r="BE48" i="227"/>
  <c r="BD48" i="227"/>
  <c r="AX48" i="227"/>
  <c r="AY48" i="227"/>
  <c r="AZ48" i="227"/>
  <c r="BA48" i="227"/>
  <c r="BC48" i="227"/>
  <c r="AW48" i="227"/>
  <c r="BD83" i="227"/>
  <c r="BE83" i="227"/>
  <c r="AV83" i="227"/>
  <c r="AW83" i="227"/>
  <c r="AY83" i="227"/>
  <c r="BB83" i="227"/>
  <c r="AZ83" i="227"/>
  <c r="BC83" i="227"/>
  <c r="AX83" i="227"/>
  <c r="BA83" i="227"/>
  <c r="AY107" i="227"/>
  <c r="AZ107" i="227"/>
  <c r="BB107" i="227"/>
  <c r="BC107" i="227"/>
  <c r="AV107" i="227"/>
  <c r="BD107" i="227"/>
  <c r="AX107" i="227"/>
  <c r="BE107" i="227"/>
  <c r="AW107" i="227"/>
  <c r="AW136" i="227"/>
  <c r="BD136" i="227"/>
  <c r="BE136" i="227"/>
  <c r="BA136" i="227"/>
  <c r="AV136" i="227"/>
  <c r="AX136" i="227"/>
  <c r="AZ136" i="227"/>
  <c r="BC136" i="227"/>
  <c r="AY136" i="227"/>
  <c r="AX160" i="227"/>
  <c r="AY160" i="227"/>
  <c r="AZ160" i="227"/>
  <c r="BB160" i="227"/>
  <c r="BC160" i="227"/>
  <c r="AV160" i="227"/>
  <c r="BD160" i="227"/>
  <c r="BE160" i="227"/>
  <c r="AW160" i="227"/>
  <c r="BD10" i="227"/>
  <c r="AW10" i="227"/>
  <c r="BE10" i="227"/>
  <c r="AY10" i="227"/>
  <c r="AZ10" i="227"/>
  <c r="BB10" i="227"/>
  <c r="BC10" i="227"/>
  <c r="AV10" i="227"/>
  <c r="AX10" i="227"/>
  <c r="BA10" i="227"/>
  <c r="AW57" i="227"/>
  <c r="BE57" i="227"/>
  <c r="AV57" i="227"/>
  <c r="AX57" i="227"/>
  <c r="AY57" i="227"/>
  <c r="AZ57" i="227"/>
  <c r="BA57" i="227"/>
  <c r="BC57" i="227"/>
  <c r="BD57" i="227"/>
  <c r="BA100" i="227"/>
  <c r="AX100" i="227"/>
  <c r="AZ100" i="227"/>
  <c r="AY100" i="227"/>
  <c r="BB100" i="227"/>
  <c r="BC100" i="227"/>
  <c r="BE100" i="227"/>
  <c r="AV100" i="227"/>
  <c r="BD100" i="227"/>
  <c r="AW100" i="227"/>
  <c r="AZ105" i="227"/>
  <c r="AZ114" i="227"/>
  <c r="AV114" i="227"/>
  <c r="BB114" i="227"/>
  <c r="AW114" i="227"/>
  <c r="AY114" i="227"/>
  <c r="BD114" i="227"/>
  <c r="BC114" i="227"/>
  <c r="BE114" i="227"/>
  <c r="AX114" i="227"/>
  <c r="BA114" i="227"/>
  <c r="AV118" i="227"/>
  <c r="BD118" i="227"/>
  <c r="BE118" i="227"/>
  <c r="AW118" i="227"/>
  <c r="AX118" i="227"/>
  <c r="BC118" i="227"/>
  <c r="BA118" i="227"/>
  <c r="BB118" i="227"/>
  <c r="AY118" i="227"/>
  <c r="BB121" i="227"/>
  <c r="BD121" i="227"/>
  <c r="BE121" i="227"/>
  <c r="AZ121" i="227"/>
  <c r="BA121" i="227"/>
  <c r="BC121" i="227"/>
  <c r="AW121" i="227"/>
  <c r="AX121" i="227"/>
  <c r="AV121" i="227"/>
  <c r="AY121" i="227"/>
  <c r="AV127" i="227"/>
  <c r="AV129" i="227"/>
  <c r="AY129" i="227"/>
  <c r="AZ129" i="227"/>
  <c r="BB129" i="227"/>
  <c r="BD129" i="227"/>
  <c r="BE129" i="227"/>
  <c r="BA129" i="227"/>
  <c r="BC129" i="227"/>
  <c r="AW129" i="227"/>
  <c r="AV133" i="227"/>
  <c r="AX167" i="227"/>
  <c r="AX171" i="227"/>
  <c r="AV176" i="227"/>
  <c r="AX42" i="227"/>
  <c r="AZ42" i="227"/>
  <c r="BB42" i="227"/>
  <c r="BA42" i="227"/>
  <c r="BC42" i="227"/>
  <c r="AV42" i="227"/>
  <c r="BD42" i="227"/>
  <c r="AW42" i="227"/>
  <c r="BE42" i="227"/>
  <c r="AY42" i="227"/>
  <c r="AW44" i="227"/>
  <c r="AX123" i="227"/>
  <c r="AY123" i="227"/>
  <c r="AZ123" i="227"/>
  <c r="BB123" i="227"/>
  <c r="BD123" i="227"/>
  <c r="AV123" i="227"/>
  <c r="BC123" i="227"/>
  <c r="BE123" i="227"/>
  <c r="BA123" i="227"/>
  <c r="AW123" i="227"/>
  <c r="AW174" i="227"/>
  <c r="BC174" i="227"/>
  <c r="BB174" i="227"/>
  <c r="AY174" i="227"/>
  <c r="BA174" i="227"/>
  <c r="AX174" i="227"/>
  <c r="BE174" i="227"/>
  <c r="BD174" i="227"/>
  <c r="AZ174" i="227"/>
  <c r="AV40" i="227"/>
  <c r="AW40" i="227"/>
  <c r="BC40" i="227"/>
  <c r="BB40" i="227"/>
  <c r="BD40" i="227"/>
  <c r="BE40" i="227"/>
  <c r="AZ40" i="227"/>
  <c r="BA40" i="227"/>
  <c r="AX40" i="227"/>
  <c r="AY40" i="227"/>
  <c r="BD126" i="227"/>
  <c r="AW126" i="227"/>
  <c r="AV126" i="227"/>
  <c r="BE126" i="227"/>
  <c r="BB126" i="227"/>
  <c r="AX126" i="227"/>
  <c r="AY126" i="227"/>
  <c r="BC126" i="227"/>
  <c r="BA126" i="227"/>
  <c r="AY148" i="227"/>
  <c r="AZ148" i="227"/>
  <c r="BD148" i="227"/>
  <c r="BB148" i="227"/>
  <c r="BC148" i="227"/>
  <c r="AV148" i="227"/>
  <c r="AX148" i="227"/>
  <c r="AW148" i="227"/>
  <c r="BE148" i="227"/>
  <c r="BA71" i="227"/>
  <c r="BE71" i="227"/>
  <c r="AW71" i="227"/>
  <c r="AZ71" i="227"/>
  <c r="BB71" i="227"/>
  <c r="AV71" i="227"/>
  <c r="BD71" i="227"/>
  <c r="BC71" i="227"/>
  <c r="AY71" i="227"/>
  <c r="AX71" i="227"/>
  <c r="AW92" i="227"/>
  <c r="BE92" i="227"/>
  <c r="AX92" i="227"/>
  <c r="BD92" i="227"/>
  <c r="AZ92" i="227"/>
  <c r="BB92" i="227"/>
  <c r="BA92" i="227"/>
  <c r="AY92" i="227"/>
  <c r="AV92" i="227"/>
  <c r="AW16" i="227"/>
  <c r="AV16" i="227"/>
  <c r="BB16" i="227"/>
  <c r="BD16" i="227"/>
  <c r="BE16" i="227"/>
  <c r="AY16" i="227"/>
  <c r="BC16" i="227"/>
  <c r="AX16" i="227"/>
  <c r="AZ16" i="227"/>
  <c r="BA16" i="227"/>
  <c r="AV18" i="227"/>
  <c r="BD18" i="227"/>
  <c r="AW18" i="227"/>
  <c r="BE18" i="227"/>
  <c r="AY18" i="227"/>
  <c r="AX18" i="227"/>
  <c r="AZ18" i="227"/>
  <c r="BA18" i="227"/>
  <c r="BB18" i="227"/>
  <c r="BC18" i="227"/>
  <c r="BA20" i="227"/>
  <c r="BC20" i="227"/>
  <c r="BB20" i="227"/>
  <c r="BD20" i="227"/>
  <c r="BE20" i="227"/>
  <c r="AV20" i="227"/>
  <c r="AW20" i="227"/>
  <c r="AY20" i="227"/>
  <c r="AX20" i="227"/>
  <c r="AZ20" i="227"/>
  <c r="AW22" i="227"/>
  <c r="BE22" i="227"/>
  <c r="AY22" i="227"/>
  <c r="AX22" i="227"/>
  <c r="BB22" i="227"/>
  <c r="AZ22" i="227"/>
  <c r="BC22" i="227"/>
  <c r="AV22" i="227"/>
  <c r="BD22" i="227"/>
  <c r="BA22" i="227"/>
  <c r="AW24" i="227"/>
  <c r="AV24" i="227"/>
  <c r="BC24" i="227"/>
  <c r="BB24" i="227"/>
  <c r="BD24" i="227"/>
  <c r="AX24" i="227"/>
  <c r="BE24" i="227"/>
  <c r="AY24" i="227"/>
  <c r="AZ24" i="227"/>
  <c r="BA24" i="227"/>
  <c r="BE26" i="227"/>
  <c r="AY26" i="227"/>
  <c r="AX26" i="227"/>
  <c r="BB26" i="227"/>
  <c r="AZ26" i="227"/>
  <c r="BC26" i="227"/>
  <c r="BA26" i="227"/>
  <c r="AV26" i="227"/>
  <c r="BD26" i="227"/>
  <c r="AW26" i="227"/>
  <c r="AW28" i="227"/>
  <c r="BB28" i="227"/>
  <c r="BD28" i="227"/>
  <c r="AY28" i="227"/>
  <c r="BE28" i="227"/>
  <c r="AZ28" i="227"/>
  <c r="BA28" i="227"/>
  <c r="BC28" i="227"/>
  <c r="AX28" i="227"/>
  <c r="AY30" i="227"/>
  <c r="AX30" i="227"/>
  <c r="BB30" i="227"/>
  <c r="AZ30" i="227"/>
  <c r="BC30" i="227"/>
  <c r="BA30" i="227"/>
  <c r="AV30" i="227"/>
  <c r="BD30" i="227"/>
  <c r="AW30" i="227"/>
  <c r="BE30" i="227"/>
  <c r="AV32" i="227"/>
  <c r="AW32" i="227"/>
  <c r="BD32" i="227"/>
  <c r="BE32" i="227"/>
  <c r="AX32" i="227"/>
  <c r="AY32" i="227"/>
  <c r="AZ32" i="227"/>
  <c r="BA32" i="227"/>
  <c r="BC32" i="227"/>
  <c r="BB32" i="227"/>
  <c r="BB80" i="227"/>
  <c r="BC80" i="227"/>
  <c r="AY80" i="227"/>
  <c r="AZ80" i="227"/>
  <c r="AV80" i="227"/>
  <c r="BD80" i="227"/>
  <c r="AW80" i="227"/>
  <c r="BE80" i="227"/>
  <c r="AX80" i="227"/>
  <c r="BE84" i="227"/>
  <c r="AY84" i="227"/>
  <c r="AV84" i="227"/>
  <c r="BD84" i="227"/>
  <c r="AX84" i="227"/>
  <c r="BA84" i="227"/>
  <c r="AZ84" i="227"/>
  <c r="BB84" i="227"/>
  <c r="AW84" i="227"/>
  <c r="AY88" i="227"/>
  <c r="BB88" i="227"/>
  <c r="AW88" i="227"/>
  <c r="BC88" i="227"/>
  <c r="AX88" i="227"/>
  <c r="BA88" i="227"/>
  <c r="AV88" i="227"/>
  <c r="BD88" i="227"/>
  <c r="AZ88" i="227"/>
  <c r="BE88" i="227"/>
  <c r="AY105" i="227"/>
  <c r="BB105" i="227"/>
  <c r="BC105" i="227"/>
  <c r="AX105" i="227"/>
  <c r="BA105" i="227"/>
  <c r="AW105" i="227"/>
  <c r="AV105" i="227"/>
  <c r="BD105" i="227"/>
  <c r="BE105" i="227"/>
  <c r="AW108" i="227"/>
  <c r="BB108" i="227"/>
  <c r="AX108" i="227"/>
  <c r="BE108" i="227"/>
  <c r="BC108" i="227"/>
  <c r="AV108" i="227"/>
  <c r="BD108" i="227"/>
  <c r="BA108" i="227"/>
  <c r="AY108" i="227"/>
  <c r="AZ108" i="227"/>
  <c r="AZ124" i="227"/>
  <c r="BA124" i="227"/>
  <c r="BC124" i="227"/>
  <c r="AW124" i="227"/>
  <c r="BB124" i="227"/>
  <c r="AY124" i="227"/>
  <c r="AV124" i="227"/>
  <c r="BE124" i="227"/>
  <c r="BD124" i="227"/>
  <c r="AX124" i="227"/>
  <c r="AY127" i="227"/>
  <c r="AX127" i="227"/>
  <c r="BD127" i="227"/>
  <c r="BB127" i="227"/>
  <c r="AZ127" i="227"/>
  <c r="BA127" i="227"/>
  <c r="AW127" i="227"/>
  <c r="BE127" i="227"/>
  <c r="BC127" i="227"/>
  <c r="AX133" i="227"/>
  <c r="AY133" i="227"/>
  <c r="BB133" i="227"/>
  <c r="BC133" i="227"/>
  <c r="BD133" i="227"/>
  <c r="AZ133" i="227"/>
  <c r="AW133" i="227"/>
  <c r="BE133" i="227"/>
  <c r="BA133" i="227"/>
  <c r="BB137" i="227"/>
  <c r="BD137" i="227"/>
  <c r="AW137" i="227"/>
  <c r="BC137" i="227"/>
  <c r="BE137" i="227"/>
  <c r="BA137" i="227"/>
  <c r="AV137" i="227"/>
  <c r="AY137" i="227"/>
  <c r="AX137" i="227"/>
  <c r="AZ137" i="227"/>
  <c r="BA141" i="227"/>
  <c r="BB141" i="227"/>
  <c r="AZ141" i="227"/>
  <c r="BC141" i="227"/>
  <c r="AV141" i="227"/>
  <c r="BD141" i="227"/>
  <c r="AX141" i="227"/>
  <c r="AW141" i="227"/>
  <c r="BE141" i="227"/>
  <c r="AY141" i="227"/>
  <c r="AW145" i="227"/>
  <c r="BE145" i="227"/>
  <c r="AV145" i="227"/>
  <c r="AX145" i="227"/>
  <c r="BA145" i="227"/>
  <c r="BB145" i="227"/>
  <c r="BC145" i="227"/>
  <c r="BD145" i="227"/>
  <c r="AZ145" i="227"/>
  <c r="AY145" i="227"/>
  <c r="BA149" i="227"/>
  <c r="BE149" i="227"/>
  <c r="AX149" i="227"/>
  <c r="AV149" i="227"/>
  <c r="AW149" i="227"/>
  <c r="AY149" i="227"/>
  <c r="AZ149" i="227"/>
  <c r="BB149" i="227"/>
  <c r="BC149" i="227"/>
  <c r="BD149" i="227"/>
  <c r="BA153" i="227"/>
  <c r="AV153" i="227"/>
  <c r="AY153" i="227"/>
  <c r="BB153" i="227"/>
  <c r="AZ153" i="227"/>
  <c r="AX153" i="227"/>
  <c r="BC153" i="227"/>
  <c r="BD153" i="227"/>
  <c r="AW153" i="227"/>
  <c r="BE153" i="227"/>
  <c r="BA157" i="227"/>
  <c r="AX157" i="227"/>
  <c r="BC157" i="227"/>
  <c r="AV157" i="227"/>
  <c r="BD157" i="227"/>
  <c r="BB157" i="227"/>
  <c r="BE157" i="227"/>
  <c r="AW157" i="227"/>
  <c r="AY157" i="227"/>
  <c r="AZ157" i="227"/>
  <c r="BA161" i="227"/>
  <c r="K41" i="226" s="1"/>
  <c r="BD161" i="227"/>
  <c r="N41" i="226" s="1"/>
  <c r="BE161" i="227"/>
  <c r="O41" i="226" s="1"/>
  <c r="AW161" i="227"/>
  <c r="G41" i="226" s="1"/>
  <c r="AX161" i="227"/>
  <c r="H41" i="226" s="1"/>
  <c r="AY161" i="227"/>
  <c r="I41" i="226" s="1"/>
  <c r="AZ161" i="227"/>
  <c r="J41" i="226" s="1"/>
  <c r="AV161" i="227"/>
  <c r="F41" i="226" s="1"/>
  <c r="BB161" i="227"/>
  <c r="L41" i="226" s="1"/>
  <c r="BC161" i="227"/>
  <c r="M41" i="226" s="1"/>
  <c r="AY167" i="227"/>
  <c r="AW167" i="227"/>
  <c r="BB167" i="227"/>
  <c r="BE167" i="227"/>
  <c r="AZ167" i="227"/>
  <c r="BD167" i="227"/>
  <c r="AV167" i="227"/>
  <c r="BC167" i="227"/>
  <c r="BA167" i="227"/>
  <c r="AY171" i="227"/>
  <c r="AW171" i="227"/>
  <c r="BB171" i="227"/>
  <c r="BD171" i="227"/>
  <c r="BE171" i="227"/>
  <c r="BC171" i="227"/>
  <c r="AV171" i="227"/>
  <c r="AZ171" i="227"/>
  <c r="BA171" i="227"/>
  <c r="AZ37" i="227"/>
  <c r="AZ41" i="227"/>
  <c r="AZ45" i="227"/>
  <c r="AZ49" i="227"/>
  <c r="V51" i="227"/>
  <c r="AS51" i="227"/>
  <c r="AZ51" i="227" s="1"/>
  <c r="BB58" i="227"/>
  <c r="AZ58" i="227"/>
  <c r="BC58" i="227"/>
  <c r="BD58" i="227"/>
  <c r="AW58" i="227"/>
  <c r="BE58" i="227"/>
  <c r="AY58" i="227"/>
  <c r="AV58" i="227"/>
  <c r="AX58" i="227"/>
  <c r="BA58" i="227"/>
  <c r="AV72" i="227"/>
  <c r="AY72" i="227"/>
  <c r="BD72" i="227"/>
  <c r="BB72" i="227"/>
  <c r="AW72" i="227"/>
  <c r="BC72" i="227"/>
  <c r="BE72" i="227"/>
  <c r="AX72" i="227"/>
  <c r="AZ72" i="227"/>
  <c r="BA72" i="227"/>
  <c r="AY75" i="227"/>
  <c r="BA75" i="227"/>
  <c r="BB75" i="227"/>
  <c r="BC75" i="227"/>
  <c r="AV75" i="227"/>
  <c r="BD75" i="227"/>
  <c r="AX75" i="227"/>
  <c r="AW75" i="227"/>
  <c r="AZ75" i="227"/>
  <c r="BE75" i="227"/>
  <c r="BA78" i="227"/>
  <c r="BA95" i="227"/>
  <c r="AZ97" i="227"/>
  <c r="AZ101" i="227"/>
  <c r="BA103" i="227"/>
  <c r="AV115" i="227"/>
  <c r="AX115" i="227"/>
  <c r="AZ115" i="227"/>
  <c r="BB115" i="227"/>
  <c r="BD115" i="227"/>
  <c r="BC115" i="227"/>
  <c r="BA115" i="227"/>
  <c r="AW115" i="227"/>
  <c r="BE115" i="227"/>
  <c r="BD119" i="227"/>
  <c r="BE119" i="227"/>
  <c r="AZ119" i="227"/>
  <c r="AY119" i="227"/>
  <c r="BC119" i="227"/>
  <c r="BB119" i="227"/>
  <c r="BA119" i="227"/>
  <c r="AW119" i="227"/>
  <c r="AV119" i="227"/>
  <c r="AX119" i="227"/>
  <c r="BD130" i="227"/>
  <c r="N55" i="226" s="1"/>
  <c r="AV130" i="227"/>
  <c r="F55" i="226" s="1"/>
  <c r="BA130" i="227"/>
  <c r="K55" i="226" s="1"/>
  <c r="BB130" i="227"/>
  <c r="L55" i="226" s="1"/>
  <c r="AY130" i="227"/>
  <c r="I55" i="226" s="1"/>
  <c r="AZ130" i="227"/>
  <c r="J55" i="226" s="1"/>
  <c r="BE130" i="227"/>
  <c r="O55" i="226" s="1"/>
  <c r="BC130" i="227"/>
  <c r="M55" i="226" s="1"/>
  <c r="AX130" i="227"/>
  <c r="H55" i="226" s="1"/>
  <c r="AW130" i="227"/>
  <c r="G55" i="226" s="1"/>
  <c r="AZ134" i="227"/>
  <c r="AV142" i="227"/>
  <c r="AV146" i="227"/>
  <c r="AV150" i="227"/>
  <c r="AV154" i="227"/>
  <c r="AV158" i="227"/>
  <c r="AV162" i="227"/>
  <c r="BA165" i="227"/>
  <c r="BE165" i="227"/>
  <c r="AX165" i="227"/>
  <c r="BD165" i="227"/>
  <c r="AY165" i="227"/>
  <c r="BB165" i="227"/>
  <c r="BC165" i="227"/>
  <c r="AV165" i="227"/>
  <c r="AW165" i="227"/>
  <c r="AZ165" i="227"/>
  <c r="BA168" i="227"/>
  <c r="BA172" i="227"/>
  <c r="AX46" i="227"/>
  <c r="AZ46" i="227"/>
  <c r="BA46" i="227"/>
  <c r="BC46" i="227"/>
  <c r="AV46" i="227"/>
  <c r="BD46" i="227"/>
  <c r="AW46" i="227"/>
  <c r="BE46" i="227"/>
  <c r="BB46" i="227"/>
  <c r="AY46" i="227"/>
  <c r="AV87" i="227"/>
  <c r="BE87" i="227"/>
  <c r="AZ87" i="227"/>
  <c r="BA87" i="227"/>
  <c r="BD87" i="227"/>
  <c r="AW87" i="227"/>
  <c r="AY87" i="227"/>
  <c r="BB87" i="227"/>
  <c r="AX87" i="227"/>
  <c r="BC87" i="227"/>
  <c r="BE94" i="227"/>
  <c r="AX94" i="227"/>
  <c r="BC94" i="227"/>
  <c r="AZ94" i="227"/>
  <c r="BD94" i="227"/>
  <c r="AV94" i="227"/>
  <c r="AY94" i="227"/>
  <c r="BB94" i="227"/>
  <c r="AW94" i="227"/>
  <c r="BE102" i="227"/>
  <c r="AX102" i="227"/>
  <c r="BB102" i="227"/>
  <c r="AW102" i="227"/>
  <c r="BD102" i="227"/>
  <c r="AV102" i="227"/>
  <c r="AZ102" i="227"/>
  <c r="BC102" i="227"/>
  <c r="AY102" i="227"/>
  <c r="AW140" i="227"/>
  <c r="AZ140" i="227"/>
  <c r="BC140" i="227"/>
  <c r="BD140" i="227"/>
  <c r="AV140" i="227"/>
  <c r="AX140" i="227"/>
  <c r="AY140" i="227"/>
  <c r="BB140" i="227"/>
  <c r="BE140" i="227"/>
  <c r="AY152" i="227"/>
  <c r="AZ152" i="227"/>
  <c r="BD152" i="227"/>
  <c r="BB152" i="227"/>
  <c r="BC152" i="227"/>
  <c r="AV152" i="227"/>
  <c r="AX152" i="227"/>
  <c r="BE152" i="227"/>
  <c r="AW152" i="227"/>
  <c r="AX164" i="227"/>
  <c r="AY164" i="227"/>
  <c r="BD164" i="227"/>
  <c r="AZ164" i="227"/>
  <c r="BC164" i="227"/>
  <c r="AV164" i="227"/>
  <c r="BB164" i="227"/>
  <c r="BE164" i="227"/>
  <c r="AW164" i="227"/>
  <c r="AV174" i="227"/>
  <c r="AV8" i="227"/>
  <c r="AW8" i="227"/>
  <c r="BA8" i="227"/>
  <c r="BC8" i="227"/>
  <c r="BB8" i="227"/>
  <c r="BD8" i="227"/>
  <c r="BE8" i="227"/>
  <c r="AZ8" i="227"/>
  <c r="AY8" i="227"/>
  <c r="AX8" i="227"/>
  <c r="BB64" i="227"/>
  <c r="BC64" i="227"/>
  <c r="AY64" i="227"/>
  <c r="BD64" i="227"/>
  <c r="AW64" i="227"/>
  <c r="BE64" i="227"/>
  <c r="AX64" i="227"/>
  <c r="AZ64" i="227"/>
  <c r="BA64" i="227"/>
  <c r="AV64" i="227"/>
  <c r="BC68" i="227"/>
  <c r="BA68" i="227"/>
  <c r="AV68" i="227"/>
  <c r="BB68" i="227"/>
  <c r="BD68" i="227"/>
  <c r="AW68" i="227"/>
  <c r="BE68" i="227"/>
  <c r="AX68" i="227"/>
  <c r="AZ68" i="227"/>
  <c r="AY68" i="227"/>
  <c r="BE90" i="227"/>
  <c r="AW90" i="227"/>
  <c r="AY90" i="227"/>
  <c r="BA90" i="227"/>
  <c r="AV90" i="227"/>
  <c r="BC90" i="227"/>
  <c r="BD90" i="227"/>
  <c r="AZ90" i="227"/>
  <c r="AX90" i="227"/>
  <c r="BA35" i="227"/>
  <c r="AZ35" i="227"/>
  <c r="AV35" i="227"/>
  <c r="BE35" i="227"/>
  <c r="AW35" i="227"/>
  <c r="AX35" i="227"/>
  <c r="BB35" i="227"/>
  <c r="BC35" i="227"/>
  <c r="BD35" i="227"/>
  <c r="AY35" i="227"/>
  <c r="AX43" i="227"/>
  <c r="BA43" i="227"/>
  <c r="AV43" i="227"/>
  <c r="BC43" i="227"/>
  <c r="BD43" i="227"/>
  <c r="AW43" i="227"/>
  <c r="AZ43" i="227"/>
  <c r="BB43" i="227"/>
  <c r="AY43" i="227"/>
  <c r="BE43" i="227"/>
  <c r="AW101" i="227"/>
  <c r="BC101" i="227"/>
  <c r="BB101" i="227"/>
  <c r="AY101" i="227"/>
  <c r="AV101" i="227"/>
  <c r="BD101" i="227"/>
  <c r="AX101" i="227"/>
  <c r="BA101" i="227"/>
  <c r="BE101" i="227"/>
  <c r="AZ158" i="227"/>
  <c r="BC158" i="227"/>
  <c r="BB158" i="227"/>
  <c r="AY158" i="227"/>
  <c r="BD158" i="227"/>
  <c r="BA158" i="227"/>
  <c r="BE158" i="227"/>
  <c r="AW158" i="227"/>
  <c r="AX158" i="227"/>
  <c r="AZ162" i="227"/>
  <c r="BC162" i="227"/>
  <c r="BB162" i="227"/>
  <c r="BA162" i="227"/>
  <c r="AX162" i="227"/>
  <c r="BE162" i="227"/>
  <c r="BD162" i="227"/>
  <c r="AW162" i="227"/>
  <c r="AY162" i="227"/>
  <c r="AX168" i="227"/>
  <c r="AY168" i="227"/>
  <c r="AZ168" i="227"/>
  <c r="BB168" i="227"/>
  <c r="BC168" i="227"/>
  <c r="AV168" i="227"/>
  <c r="BD168" i="227"/>
  <c r="BE168" i="227"/>
  <c r="AW168" i="227"/>
  <c r="BD172" i="227"/>
  <c r="AY172" i="227"/>
  <c r="AV172" i="227"/>
  <c r="AX172" i="227"/>
  <c r="BC172" i="227"/>
  <c r="BB172" i="227"/>
  <c r="AZ172" i="227"/>
  <c r="BE172" i="227"/>
  <c r="AW172" i="227"/>
  <c r="AV52" i="227"/>
  <c r="AW52" i="227"/>
  <c r="BB52" i="227"/>
  <c r="AX52" i="227"/>
  <c r="BD52" i="227"/>
  <c r="AY52" i="227"/>
  <c r="AZ52" i="227"/>
  <c r="BA52" i="227"/>
  <c r="BC52" i="227"/>
  <c r="AW117" i="227"/>
  <c r="BB117" i="227"/>
  <c r="BC117" i="227"/>
  <c r="BD117" i="227"/>
  <c r="AX117" i="227"/>
  <c r="AY117" i="227"/>
  <c r="BA117" i="227"/>
  <c r="AZ117" i="227"/>
  <c r="BE117" i="227"/>
  <c r="AW38" i="227"/>
  <c r="BE38" i="227"/>
  <c r="AY38" i="227"/>
  <c r="AX38" i="227"/>
  <c r="BB38" i="227"/>
  <c r="BA38" i="227"/>
  <c r="BC38" i="227"/>
  <c r="AV38" i="227"/>
  <c r="BD38" i="227"/>
  <c r="AZ38" i="227"/>
  <c r="BE98" i="227"/>
  <c r="AX98" i="227"/>
  <c r="AV98" i="227"/>
  <c r="BB98" i="227"/>
  <c r="AZ98" i="227"/>
  <c r="AY98" i="227"/>
  <c r="BD98" i="227"/>
  <c r="AW98" i="227"/>
  <c r="BC98" i="227"/>
  <c r="BE132" i="227"/>
  <c r="BD132" i="227"/>
  <c r="AW132" i="227"/>
  <c r="AZ132" i="227"/>
  <c r="BA132" i="227"/>
  <c r="AV132" i="227"/>
  <c r="BC132" i="227"/>
  <c r="AX132" i="227"/>
  <c r="AY132" i="227"/>
  <c r="AX60" i="227"/>
  <c r="BE60" i="227"/>
  <c r="AV60" i="227"/>
  <c r="AZ60" i="227"/>
  <c r="AW60" i="227"/>
  <c r="BD60" i="227"/>
  <c r="BB60" i="227"/>
  <c r="AY60" i="227"/>
  <c r="BA60" i="227"/>
  <c r="BC60" i="227"/>
  <c r="AZ39" i="227"/>
  <c r="AX39" i="227"/>
  <c r="AW39" i="227"/>
  <c r="BB39" i="227"/>
  <c r="AV39" i="227"/>
  <c r="BC39" i="227"/>
  <c r="AY39" i="227"/>
  <c r="BD39" i="227"/>
  <c r="BA39" i="227"/>
  <c r="BE39" i="227"/>
  <c r="AZ85" i="227"/>
  <c r="BB85" i="227"/>
  <c r="AV85" i="227"/>
  <c r="BC85" i="227"/>
  <c r="AW85" i="227"/>
  <c r="AX85" i="227"/>
  <c r="BE85" i="227"/>
  <c r="AY85" i="227"/>
  <c r="BD85" i="227"/>
  <c r="BA85" i="227"/>
  <c r="AX95" i="227"/>
  <c r="AY95" i="227"/>
  <c r="AZ95" i="227"/>
  <c r="BB95" i="227"/>
  <c r="BD95" i="227"/>
  <c r="AV95" i="227"/>
  <c r="BC95" i="227"/>
  <c r="AW95" i="227"/>
  <c r="BE95" i="227"/>
  <c r="AX103" i="227"/>
  <c r="AY103" i="227"/>
  <c r="AZ103" i="227"/>
  <c r="BB103" i="227"/>
  <c r="BD103" i="227"/>
  <c r="AV103" i="227"/>
  <c r="BC103" i="227"/>
  <c r="AW103" i="227"/>
  <c r="BE103" i="227"/>
  <c r="AV134" i="227"/>
  <c r="AW134" i="227"/>
  <c r="AX134" i="227"/>
  <c r="BE134" i="227"/>
  <c r="BD134" i="227"/>
  <c r="AY134" i="227"/>
  <c r="BA134" i="227"/>
  <c r="BC134" i="227"/>
  <c r="BB134" i="227"/>
  <c r="AW150" i="227"/>
  <c r="BB150" i="227"/>
  <c r="AZ150" i="227"/>
  <c r="BC150" i="227"/>
  <c r="BE150" i="227"/>
  <c r="AY150" i="227"/>
  <c r="BD150" i="227"/>
  <c r="BA150" i="227"/>
  <c r="AX150" i="227"/>
  <c r="AY33" i="227"/>
  <c r="BB33" i="227"/>
  <c r="BD33" i="227"/>
  <c r="BE33" i="227"/>
  <c r="AV33" i="227"/>
  <c r="AW33" i="227"/>
  <c r="AX33" i="227"/>
  <c r="BC33" i="227"/>
  <c r="BA33" i="227"/>
  <c r="AV59" i="227"/>
  <c r="AZ59" i="227"/>
  <c r="BC59" i="227"/>
  <c r="AX59" i="227"/>
  <c r="BB59" i="227"/>
  <c r="BD59" i="227"/>
  <c r="BE59" i="227"/>
  <c r="AW59" i="227"/>
  <c r="AY59" i="227"/>
  <c r="BA59" i="227"/>
  <c r="AY61" i="227"/>
  <c r="BD61" i="227"/>
  <c r="AV61" i="227"/>
  <c r="BB61" i="227"/>
  <c r="AZ61" i="227"/>
  <c r="BA61" i="227"/>
  <c r="BC61" i="227"/>
  <c r="AW61" i="227"/>
  <c r="BE61" i="227"/>
  <c r="BB63" i="227"/>
  <c r="BE63" i="227"/>
  <c r="AY63" i="227"/>
  <c r="BA63" i="227"/>
  <c r="AW63" i="227"/>
  <c r="AZ63" i="227"/>
  <c r="AX63" i="227"/>
  <c r="AV63" i="227"/>
  <c r="BC63" i="227"/>
  <c r="BD63" i="227"/>
  <c r="AV65" i="227"/>
  <c r="BC65" i="227"/>
  <c r="BD65" i="227"/>
  <c r="AY65" i="227"/>
  <c r="BB65" i="227"/>
  <c r="AX65" i="227"/>
  <c r="BA65" i="227"/>
  <c r="AZ65" i="227"/>
  <c r="AW65" i="227"/>
  <c r="BE65" i="227"/>
  <c r="BB67" i="227"/>
  <c r="AY67" i="227"/>
  <c r="AZ67" i="227"/>
  <c r="BA67" i="227"/>
  <c r="BE67" i="227"/>
  <c r="AW67" i="227"/>
  <c r="BD67" i="227"/>
  <c r="AV67" i="227"/>
  <c r="BC67" i="227"/>
  <c r="AX67" i="227"/>
  <c r="AV69" i="227"/>
  <c r="AW69" i="227"/>
  <c r="BD69" i="227"/>
  <c r="BE69" i="227"/>
  <c r="AX69" i="227"/>
  <c r="AY69" i="227"/>
  <c r="AZ69" i="227"/>
  <c r="BB69" i="227"/>
  <c r="BA69" i="227"/>
  <c r="BC69" i="227"/>
  <c r="BC73" i="227"/>
  <c r="BD73" i="227"/>
  <c r="AX73" i="227"/>
  <c r="AY73" i="227"/>
  <c r="AZ73" i="227"/>
  <c r="BB73" i="227"/>
  <c r="AW73" i="227"/>
  <c r="AV73" i="227"/>
  <c r="BE73" i="227"/>
  <c r="BA73" i="227"/>
  <c r="BD91" i="227"/>
  <c r="AV91" i="227"/>
  <c r="AW91" i="227"/>
  <c r="BA91" i="227"/>
  <c r="AZ91" i="227"/>
  <c r="BE91" i="227"/>
  <c r="BC91" i="227"/>
  <c r="AY91" i="227"/>
  <c r="AX91" i="227"/>
  <c r="BB91" i="227"/>
  <c r="AX99" i="227"/>
  <c r="AY99" i="227"/>
  <c r="AZ99" i="227"/>
  <c r="BB99" i="227"/>
  <c r="BD99" i="227"/>
  <c r="AV99" i="227"/>
  <c r="BC99" i="227"/>
  <c r="BE99" i="227"/>
  <c r="AW99" i="227"/>
  <c r="BA106" i="227"/>
  <c r="BB106" i="227"/>
  <c r="BD106" i="227"/>
  <c r="BE106" i="227"/>
  <c r="AV106" i="227"/>
  <c r="AW106" i="227"/>
  <c r="AX106" i="227"/>
  <c r="AY106" i="227"/>
  <c r="AZ106" i="227"/>
  <c r="BC106" i="227"/>
  <c r="BE116" i="227"/>
  <c r="AW116" i="227"/>
  <c r="BD116" i="227"/>
  <c r="BA116" i="227"/>
  <c r="BC116" i="227"/>
  <c r="AV116" i="227"/>
  <c r="AZ116" i="227"/>
  <c r="AY116" i="227"/>
  <c r="AX116" i="227"/>
  <c r="AX125" i="227"/>
  <c r="BB125" i="227"/>
  <c r="AZ125" i="227"/>
  <c r="AY125" i="227"/>
  <c r="BD125" i="227"/>
  <c r="BE125" i="227"/>
  <c r="BA125" i="227"/>
  <c r="BC125" i="227"/>
  <c r="AW125" i="227"/>
  <c r="BA128" i="227"/>
  <c r="BD128" i="227"/>
  <c r="BE128" i="227"/>
  <c r="AZ128" i="227"/>
  <c r="BB128" i="227"/>
  <c r="BC128" i="227"/>
  <c r="AX128" i="227"/>
  <c r="AY128" i="227"/>
  <c r="AW128" i="227"/>
  <c r="AX34" i="227"/>
  <c r="BC34" i="227"/>
  <c r="BA34" i="227"/>
  <c r="AV34" i="227"/>
  <c r="AZ34" i="227"/>
  <c r="BB34" i="227"/>
  <c r="BE34" i="227"/>
  <c r="BD34" i="227"/>
  <c r="AW34" i="227"/>
  <c r="AY34" i="227"/>
  <c r="AX50" i="227"/>
  <c r="AZ50" i="227"/>
  <c r="BB50" i="227"/>
  <c r="BC50" i="227"/>
  <c r="AV50" i="227"/>
  <c r="AW50" i="227"/>
  <c r="BE50" i="227"/>
  <c r="BA50" i="227"/>
  <c r="BD50" i="227"/>
  <c r="AY50" i="227"/>
  <c r="BA96" i="227"/>
  <c r="AX96" i="227"/>
  <c r="AZ96" i="227"/>
  <c r="BB96" i="227"/>
  <c r="AV96" i="227"/>
  <c r="BD96" i="227"/>
  <c r="BE96" i="227"/>
  <c r="AY96" i="227"/>
  <c r="BC96" i="227"/>
  <c r="AW96" i="227"/>
  <c r="BB111" i="227"/>
  <c r="BC111" i="227"/>
  <c r="BD111" i="227"/>
  <c r="AX111" i="227"/>
  <c r="AV111" i="227"/>
  <c r="AY111" i="227"/>
  <c r="AZ111" i="227"/>
  <c r="BE111" i="227"/>
  <c r="AW111" i="227"/>
  <c r="AZ144" i="227"/>
  <c r="BB144" i="227"/>
  <c r="BC144" i="227"/>
  <c r="BD144" i="227"/>
  <c r="AX144" i="227"/>
  <c r="AV144" i="227"/>
  <c r="AY144" i="227"/>
  <c r="BE144" i="227"/>
  <c r="AW144" i="227"/>
  <c r="AX156" i="227"/>
  <c r="AY156" i="227"/>
  <c r="AZ156" i="227"/>
  <c r="BB156" i="227"/>
  <c r="BC156" i="227"/>
  <c r="AV156" i="227"/>
  <c r="BD156" i="227"/>
  <c r="BE156" i="227"/>
  <c r="AW156" i="227"/>
  <c r="AW170" i="227"/>
  <c r="BC170" i="227"/>
  <c r="BB170" i="227"/>
  <c r="AZ170" i="227"/>
  <c r="BD170" i="227"/>
  <c r="BA170" i="227"/>
  <c r="AX170" i="227"/>
  <c r="BE170" i="227"/>
  <c r="AY170" i="227"/>
  <c r="AW12" i="227"/>
  <c r="BA12" i="227"/>
  <c r="BC12" i="227"/>
  <c r="BB12" i="227"/>
  <c r="BD12" i="227"/>
  <c r="BE12" i="227"/>
  <c r="AY12" i="227"/>
  <c r="AX12" i="227"/>
  <c r="AZ12" i="227"/>
  <c r="AZ55" i="227"/>
  <c r="BB55" i="227"/>
  <c r="L40" i="226" s="1"/>
  <c r="BC55" i="227"/>
  <c r="BD55" i="227"/>
  <c r="BE55" i="227"/>
  <c r="AY55" i="227"/>
  <c r="AV55" i="227"/>
  <c r="AW55" i="227"/>
  <c r="BA55" i="227"/>
  <c r="AX55" i="227"/>
  <c r="BE62" i="227"/>
  <c r="AW62" i="227"/>
  <c r="AY62" i="227"/>
  <c r="AX62" i="227"/>
  <c r="BB62" i="227"/>
  <c r="BC62" i="227"/>
  <c r="AZ62" i="227"/>
  <c r="BD62" i="227"/>
  <c r="AV62" i="227"/>
  <c r="AY66" i="227"/>
  <c r="BB66" i="227"/>
  <c r="BC66" i="227"/>
  <c r="BE66" i="227"/>
  <c r="AX66" i="227"/>
  <c r="AW66" i="227"/>
  <c r="BD66" i="227"/>
  <c r="AV66" i="227"/>
  <c r="AZ66" i="227"/>
  <c r="BD77" i="227"/>
  <c r="AX77" i="227"/>
  <c r="AY77" i="227"/>
  <c r="AZ77" i="227"/>
  <c r="BE77" i="227"/>
  <c r="BB77" i="227"/>
  <c r="BC77" i="227"/>
  <c r="AV77" i="227"/>
  <c r="AW77" i="227"/>
  <c r="BA77" i="227"/>
  <c r="AV12" i="227"/>
  <c r="AV37" i="227"/>
  <c r="AW37" i="227"/>
  <c r="AX37" i="227"/>
  <c r="AY37" i="227"/>
  <c r="BD37" i="227"/>
  <c r="BB37" i="227"/>
  <c r="BE37" i="227"/>
  <c r="BC37" i="227"/>
  <c r="BA37" i="227"/>
  <c r="BB41" i="227"/>
  <c r="BD41" i="227"/>
  <c r="AV41" i="227"/>
  <c r="AX41" i="227"/>
  <c r="AY41" i="227"/>
  <c r="BA41" i="227"/>
  <c r="AW41" i="227"/>
  <c r="BC41" i="227"/>
  <c r="BE41" i="227"/>
  <c r="AV45" i="227"/>
  <c r="AY45" i="227"/>
  <c r="AX45" i="227"/>
  <c r="BD45" i="227"/>
  <c r="BB45" i="227"/>
  <c r="BE45" i="227"/>
  <c r="AW45" i="227"/>
  <c r="BA45" i="227"/>
  <c r="BC45" i="227"/>
  <c r="AV49" i="227"/>
  <c r="AX49" i="227"/>
  <c r="BB49" i="227"/>
  <c r="AY49" i="227"/>
  <c r="BD49" i="227"/>
  <c r="BE49" i="227"/>
  <c r="BA49" i="227"/>
  <c r="BC49" i="227"/>
  <c r="AW49" i="227"/>
  <c r="AY78" i="227"/>
  <c r="BB78" i="227"/>
  <c r="BC78" i="227"/>
  <c r="BE78" i="227"/>
  <c r="AW78" i="227"/>
  <c r="AX78" i="227"/>
  <c r="BD78" i="227"/>
  <c r="AV78" i="227"/>
  <c r="AZ78" i="227"/>
  <c r="BA81" i="227"/>
  <c r="BD81" i="227"/>
  <c r="BE81" i="227"/>
  <c r="AV81" i="227"/>
  <c r="AW81" i="227"/>
  <c r="BC81" i="227"/>
  <c r="AX81" i="227"/>
  <c r="AY81" i="227"/>
  <c r="AZ81" i="227"/>
  <c r="BB81" i="227"/>
  <c r="AW97" i="227"/>
  <c r="BB97" i="227"/>
  <c r="BC97" i="227"/>
  <c r="AV97" i="227"/>
  <c r="BE97" i="227"/>
  <c r="BD97" i="227"/>
  <c r="AX97" i="227"/>
  <c r="AY97" i="227"/>
  <c r="BA97" i="227"/>
  <c r="AX109" i="227"/>
  <c r="AZ109" i="227"/>
  <c r="BA109" i="227"/>
  <c r="BC109" i="227"/>
  <c r="BB109" i="227"/>
  <c r="AY109" i="227"/>
  <c r="AW109" i="227"/>
  <c r="BE109" i="227"/>
  <c r="AV109" i="227"/>
  <c r="BD109" i="227"/>
  <c r="BD122" i="227"/>
  <c r="AW122" i="227"/>
  <c r="AZ122" i="227"/>
  <c r="BA122" i="227"/>
  <c r="BB122" i="227"/>
  <c r="AV122" i="227"/>
  <c r="AX122" i="227"/>
  <c r="BE122" i="227"/>
  <c r="AY122" i="227"/>
  <c r="BC122" i="227"/>
  <c r="BD138" i="227"/>
  <c r="AV138" i="227"/>
  <c r="AW138" i="227"/>
  <c r="BB138" i="227"/>
  <c r="AZ138" i="227"/>
  <c r="BA138" i="227"/>
  <c r="AY138" i="227"/>
  <c r="BE138" i="227"/>
  <c r="AX138" i="227"/>
  <c r="BC138" i="227"/>
  <c r="AZ142" i="227"/>
  <c r="BC142" i="227"/>
  <c r="BB142" i="227"/>
  <c r="AX142" i="227"/>
  <c r="BE142" i="227"/>
  <c r="AW142" i="227"/>
  <c r="BA142" i="227"/>
  <c r="BD142" i="227"/>
  <c r="AY142" i="227"/>
  <c r="AW146" i="227"/>
  <c r="AZ146" i="227"/>
  <c r="BC146" i="227"/>
  <c r="BB146" i="227"/>
  <c r="AY146" i="227"/>
  <c r="BA146" i="227"/>
  <c r="BE146" i="227"/>
  <c r="BD146" i="227"/>
  <c r="AX146" i="227"/>
  <c r="AZ154" i="227"/>
  <c r="BC154" i="227"/>
  <c r="BB154" i="227"/>
  <c r="BA154" i="227"/>
  <c r="AY154" i="227"/>
  <c r="BE154" i="227"/>
  <c r="AW154" i="227"/>
  <c r="AX154" i="227"/>
  <c r="BD154" i="227"/>
  <c r="BD9" i="227"/>
  <c r="BE9" i="227"/>
  <c r="AV9" i="227"/>
  <c r="AX9" i="227"/>
  <c r="AW9" i="227"/>
  <c r="AY9" i="227"/>
  <c r="BB9" i="227"/>
  <c r="BA9" i="227"/>
  <c r="BC9" i="227"/>
  <c r="AV56" i="227"/>
  <c r="AW56" i="227"/>
  <c r="AZ56" i="227"/>
  <c r="BB56" i="227"/>
  <c r="BA56" i="227"/>
  <c r="AY56" i="227"/>
  <c r="BC56" i="227"/>
  <c r="BE56" i="227"/>
  <c r="BD56" i="227"/>
  <c r="AX56" i="227"/>
  <c r="AZ9" i="227"/>
  <c r="AV11" i="227"/>
  <c r="BA11" i="227"/>
  <c r="AW11" i="227"/>
  <c r="BE11" i="227"/>
  <c r="AZ11" i="227"/>
  <c r="AX11" i="227"/>
  <c r="BB11" i="227"/>
  <c r="AY11" i="227"/>
  <c r="BC11" i="227"/>
  <c r="BD11" i="227"/>
  <c r="AZ15" i="227"/>
  <c r="BB15" i="227"/>
  <c r="BC15" i="227"/>
  <c r="BE15" i="227"/>
  <c r="BA15" i="227"/>
  <c r="AY15" i="227"/>
  <c r="AW15" i="227"/>
  <c r="AV15" i="227"/>
  <c r="AX15" i="227"/>
  <c r="BD15" i="227"/>
  <c r="BB17" i="227"/>
  <c r="BD17" i="227"/>
  <c r="BE17" i="227"/>
  <c r="AW17" i="227"/>
  <c r="AV17" i="227"/>
  <c r="AX17" i="227"/>
  <c r="AY17" i="227"/>
  <c r="BC17" i="227"/>
  <c r="BA17" i="227"/>
  <c r="BA19" i="227"/>
  <c r="AW19" i="227"/>
  <c r="BE19" i="227"/>
  <c r="AZ19" i="227"/>
  <c r="BB19" i="227"/>
  <c r="AV19" i="227"/>
  <c r="AX19" i="227"/>
  <c r="BC19" i="227"/>
  <c r="AY19" i="227"/>
  <c r="BD19" i="227"/>
  <c r="AW21" i="227"/>
  <c r="AX21" i="227"/>
  <c r="AY21" i="227"/>
  <c r="BB21" i="227"/>
  <c r="BE21" i="227"/>
  <c r="AV21" i="227"/>
  <c r="BD21" i="227"/>
  <c r="BC21" i="227"/>
  <c r="BA21" i="227"/>
  <c r="BD23" i="227"/>
  <c r="BA23" i="227"/>
  <c r="AZ23" i="227"/>
  <c r="BC23" i="227"/>
  <c r="AW23" i="227"/>
  <c r="AV23" i="227"/>
  <c r="AX23" i="227"/>
  <c r="AY23" i="227"/>
  <c r="BB23" i="227"/>
  <c r="BE23" i="227"/>
  <c r="BB25" i="227"/>
  <c r="BD25" i="227"/>
  <c r="BE25" i="227"/>
  <c r="AW25" i="227"/>
  <c r="AV25" i="227"/>
  <c r="AX25" i="227"/>
  <c r="AY25" i="227"/>
  <c r="BA25" i="227"/>
  <c r="BC25" i="227"/>
  <c r="AV29" i="227"/>
  <c r="AW29" i="227"/>
  <c r="AX29" i="227"/>
  <c r="AY29" i="227"/>
  <c r="BD29" i="227"/>
  <c r="BB29" i="227"/>
  <c r="BE29" i="227"/>
  <c r="BC29" i="227"/>
  <c r="BA29" i="227"/>
  <c r="BD31" i="227"/>
  <c r="AX31" i="227"/>
  <c r="AV31" i="227"/>
  <c r="AY31" i="227"/>
  <c r="BE31" i="227"/>
  <c r="AW31" i="227"/>
  <c r="BB31" i="227"/>
  <c r="BA31" i="227"/>
  <c r="AZ31" i="227"/>
  <c r="BC31" i="227"/>
  <c r="BE52" i="227"/>
  <c r="BA70" i="227"/>
  <c r="BA74" i="227"/>
  <c r="BB76" i="227"/>
  <c r="BE76" i="227"/>
  <c r="AX76" i="227"/>
  <c r="AZ76" i="227"/>
  <c r="AV76" i="227"/>
  <c r="BD76" i="227"/>
  <c r="AW76" i="227"/>
  <c r="AY76" i="227"/>
  <c r="BA76" i="227"/>
  <c r="BC76" i="227"/>
  <c r="BB82" i="227"/>
  <c r="BC82" i="227"/>
  <c r="BE82" i="227"/>
  <c r="AW82" i="227"/>
  <c r="AX82" i="227"/>
  <c r="AY82" i="227"/>
  <c r="AV82" i="227"/>
  <c r="AZ82" i="227"/>
  <c r="BD82" i="227"/>
  <c r="AW86" i="227"/>
  <c r="BA86" i="227"/>
  <c r="BE86" i="227"/>
  <c r="AY86" i="227"/>
  <c r="BB86" i="227"/>
  <c r="BD86" i="227"/>
  <c r="AX86" i="227"/>
  <c r="AZ86" i="227"/>
  <c r="AV86" i="227"/>
  <c r="AV89" i="227"/>
  <c r="BC89" i="227"/>
  <c r="BD89" i="227"/>
  <c r="BE89" i="227"/>
  <c r="AW89" i="227"/>
  <c r="AZ89" i="227"/>
  <c r="AY89" i="227"/>
  <c r="AX89" i="227"/>
  <c r="BB89" i="227"/>
  <c r="BA89" i="227"/>
  <c r="BB110" i="227"/>
  <c r="BE110" i="227"/>
  <c r="AV110" i="227"/>
  <c r="AY110" i="227"/>
  <c r="AW110" i="227"/>
  <c r="BD110" i="227"/>
  <c r="AZ110" i="227"/>
  <c r="BC110" i="227"/>
  <c r="BA110" i="227"/>
  <c r="AX110" i="227"/>
  <c r="AV117" i="227"/>
  <c r="AW120" i="227"/>
  <c r="AV120" i="227"/>
  <c r="AX120" i="227"/>
  <c r="AZ120" i="227"/>
  <c r="BD120" i="227"/>
  <c r="BE120" i="227"/>
  <c r="BA120" i="227"/>
  <c r="BC120" i="227"/>
  <c r="AY120" i="227"/>
  <c r="AW131" i="227"/>
  <c r="BC131" i="227"/>
  <c r="BD131" i="227"/>
  <c r="AV131" i="227"/>
  <c r="AX131" i="227"/>
  <c r="AZ131" i="227"/>
  <c r="BB131" i="227"/>
  <c r="BA131" i="227"/>
  <c r="BE131" i="227"/>
  <c r="BD135" i="227"/>
  <c r="AY135" i="227"/>
  <c r="BA135" i="227"/>
  <c r="BB135" i="227"/>
  <c r="AW135" i="227"/>
  <c r="BC135" i="227"/>
  <c r="BE135" i="227"/>
  <c r="AV135" i="227"/>
  <c r="AX135" i="227"/>
  <c r="AZ135" i="227"/>
  <c r="AV139" i="227"/>
  <c r="AW139" i="227"/>
  <c r="BD139" i="227"/>
  <c r="AY139" i="227"/>
  <c r="BE139" i="227"/>
  <c r="AX139" i="227"/>
  <c r="BB139" i="227"/>
  <c r="BC139" i="227"/>
  <c r="AZ139" i="227"/>
  <c r="AX143" i="227"/>
  <c r="AW143" i="227"/>
  <c r="BE143" i="227"/>
  <c r="AY143" i="227"/>
  <c r="BC143" i="227"/>
  <c r="BA143" i="227"/>
  <c r="AZ143" i="227"/>
  <c r="BD143" i="227"/>
  <c r="AV143" i="227"/>
  <c r="AY147" i="227"/>
  <c r="AW147" i="227"/>
  <c r="BB147" i="227"/>
  <c r="BE147" i="227"/>
  <c r="BC147" i="227"/>
  <c r="BA147" i="227"/>
  <c r="BD147" i="227"/>
  <c r="AV147" i="227"/>
  <c r="AZ147" i="227"/>
  <c r="AY151" i="227"/>
  <c r="AW151" i="227"/>
  <c r="BE151" i="227"/>
  <c r="BB151" i="227"/>
  <c r="BD151" i="227"/>
  <c r="AV151" i="227"/>
  <c r="BA151" i="227"/>
  <c r="BC151" i="227"/>
  <c r="AZ151" i="227"/>
  <c r="AY155" i="227"/>
  <c r="AW155" i="227"/>
  <c r="BE155" i="227"/>
  <c r="BD155" i="227"/>
  <c r="BC155" i="227"/>
  <c r="AV155" i="227"/>
  <c r="BA155" i="227"/>
  <c r="BB155" i="227"/>
  <c r="AZ155" i="227"/>
  <c r="AY159" i="227"/>
  <c r="AW159" i="227"/>
  <c r="BE159" i="227"/>
  <c r="BB159" i="227"/>
  <c r="AZ159" i="227"/>
  <c r="BC159" i="227"/>
  <c r="BD159" i="227"/>
  <c r="AV159" i="227"/>
  <c r="BA159" i="227"/>
  <c r="AY163" i="227"/>
  <c r="AW163" i="227"/>
  <c r="BE163" i="227"/>
  <c r="BC163" i="227"/>
  <c r="BB163" i="227"/>
  <c r="BA163" i="227"/>
  <c r="AZ163" i="227"/>
  <c r="BD163" i="227"/>
  <c r="AV163" i="227"/>
  <c r="BA169" i="227"/>
  <c r="AV169" i="227"/>
  <c r="BD169" i="227"/>
  <c r="BE169" i="227"/>
  <c r="AX169" i="227"/>
  <c r="AW169" i="227"/>
  <c r="AY169" i="227"/>
  <c r="AZ169" i="227"/>
  <c r="BB169" i="227"/>
  <c r="BC169" i="227"/>
  <c r="BB173" i="227"/>
  <c r="L44" i="226" s="1"/>
  <c r="AY173" i="227"/>
  <c r="I44" i="226" s="1"/>
  <c r="BC173" i="227"/>
  <c r="M44" i="226" s="1"/>
  <c r="BD173" i="227"/>
  <c r="N44" i="226" s="1"/>
  <c r="AZ173" i="227"/>
  <c r="J44" i="226" s="1"/>
  <c r="BA173" i="227"/>
  <c r="K44" i="226" s="1"/>
  <c r="AV173" i="227"/>
  <c r="F44" i="226" s="1"/>
  <c r="BE173" i="227"/>
  <c r="O44" i="226" s="1"/>
  <c r="AX173" i="227"/>
  <c r="H44" i="226" s="1"/>
  <c r="AW173" i="227"/>
  <c r="G44" i="226" s="1"/>
  <c r="N166" i="227"/>
  <c r="Q166" i="227" s="1"/>
  <c r="R166" i="227" s="1"/>
  <c r="S166" i="227" s="1"/>
  <c r="AS166" i="227" s="1"/>
  <c r="E67" i="226"/>
  <c r="E68" i="226" s="1"/>
  <c r="E14" i="226"/>
  <c r="E19" i="226"/>
  <c r="E13" i="226"/>
  <c r="E62" i="226"/>
  <c r="E48" i="226"/>
  <c r="E50" i="226" s="1"/>
  <c r="E44" i="226"/>
  <c r="AS223" i="227"/>
  <c r="AS224" i="227" s="1"/>
  <c r="AS239" i="227"/>
  <c r="AS240" i="227" s="1"/>
  <c r="M113" i="227"/>
  <c r="AT113" i="227" s="1"/>
  <c r="N112" i="227"/>
  <c r="Q112" i="227" s="1"/>
  <c r="R112" i="227" s="1"/>
  <c r="S112" i="227" s="1"/>
  <c r="AS112" i="227" s="1"/>
  <c r="N113" i="227"/>
  <c r="Q113" i="227" s="1"/>
  <c r="R113" i="227" s="1"/>
  <c r="S113" i="227" s="1"/>
  <c r="AS113" i="227" s="1"/>
  <c r="M112" i="227"/>
  <c r="AT112" i="227" s="1"/>
  <c r="AU177" i="227"/>
  <c r="AS216" i="227"/>
  <c r="AS217" i="227" s="1"/>
  <c r="AS219" i="227"/>
  <c r="AS245" i="227"/>
  <c r="AS247" i="227" s="1"/>
  <c r="AS234" i="227"/>
  <c r="N6" i="227"/>
  <c r="Q6" i="227" s="1"/>
  <c r="R6" i="227" s="1"/>
  <c r="S6" i="227" s="1"/>
  <c r="AS6" i="227" s="1"/>
  <c r="R53" i="227"/>
  <c r="S53" i="227" s="1"/>
  <c r="AS53" i="227" s="1"/>
  <c r="AZ53" i="227" s="1"/>
  <c r="V75" i="227"/>
  <c r="M166" i="227"/>
  <c r="AT166" i="227" s="1"/>
  <c r="V18" i="227"/>
  <c r="N5" i="227"/>
  <c r="Q5" i="227" s="1"/>
  <c r="V19" i="227"/>
  <c r="R7" i="227"/>
  <c r="S7" i="227" s="1"/>
  <c r="AS7" i="227" s="1"/>
  <c r="V15" i="227"/>
  <c r="V16" i="227"/>
  <c r="V12" i="227"/>
  <c r="R14" i="227"/>
  <c r="S14" i="227" s="1"/>
  <c r="AS14" i="227" s="1"/>
  <c r="V17" i="227"/>
  <c r="V24" i="227"/>
  <c r="R93" i="227"/>
  <c r="S93" i="227" s="1"/>
  <c r="AS93" i="227" s="1"/>
  <c r="R13" i="227"/>
  <c r="S13" i="227" s="1"/>
  <c r="AS13" i="227" s="1"/>
  <c r="AZ13" i="227" s="1"/>
  <c r="R36" i="227"/>
  <c r="S36" i="227" s="1"/>
  <c r="AS36" i="227" s="1"/>
  <c r="R27" i="227"/>
  <c r="S27" i="227" s="1"/>
  <c r="AS27" i="227" s="1"/>
  <c r="V48" i="227"/>
  <c r="R47" i="227"/>
  <c r="S47" i="227" s="1"/>
  <c r="AS47" i="227" s="1"/>
  <c r="AS233" i="227"/>
  <c r="V50" i="227"/>
  <c r="AX176" i="227"/>
  <c r="BE176" i="227"/>
  <c r="AW176" i="227"/>
  <c r="BD176" i="227"/>
  <c r="BC176" i="227"/>
  <c r="BB176" i="227"/>
  <c r="AZ176" i="227"/>
  <c r="BA176" i="227"/>
  <c r="AY176" i="227"/>
  <c r="I2" i="207"/>
  <c r="E17" i="199"/>
  <c r="L11" i="150"/>
  <c r="L16" i="150" s="1"/>
  <c r="M7" i="150"/>
  <c r="M11" i="150" s="1"/>
  <c r="D8" i="150"/>
  <c r="E8" i="150"/>
  <c r="G40" i="226" l="1"/>
  <c r="M56" i="226"/>
  <c r="M57" i="226"/>
  <c r="M59" i="226"/>
  <c r="M58" i="226"/>
  <c r="F40" i="226"/>
  <c r="O59" i="226"/>
  <c r="O56" i="226"/>
  <c r="O58" i="226"/>
  <c r="O57" i="226"/>
  <c r="I40" i="226"/>
  <c r="J58" i="226"/>
  <c r="J57" i="226"/>
  <c r="J59" i="226"/>
  <c r="J56" i="226"/>
  <c r="O40" i="226"/>
  <c r="I58" i="226"/>
  <c r="I59" i="226"/>
  <c r="I57" i="226"/>
  <c r="I56" i="226"/>
  <c r="N40" i="226"/>
  <c r="L57" i="226"/>
  <c r="L56" i="226"/>
  <c r="L58" i="226"/>
  <c r="L59" i="226"/>
  <c r="M40" i="226"/>
  <c r="K57" i="226"/>
  <c r="K56" i="226"/>
  <c r="K58" i="226"/>
  <c r="K59" i="226"/>
  <c r="G59" i="226"/>
  <c r="G58" i="226"/>
  <c r="G57" i="226"/>
  <c r="G56" i="226"/>
  <c r="F56" i="226"/>
  <c r="F58" i="226"/>
  <c r="F57" i="226"/>
  <c r="F59" i="226"/>
  <c r="H40" i="226"/>
  <c r="K40" i="226"/>
  <c r="J40" i="226"/>
  <c r="H59" i="226"/>
  <c r="H56" i="226"/>
  <c r="H58" i="226"/>
  <c r="H57" i="226"/>
  <c r="N56" i="226"/>
  <c r="N59" i="226"/>
  <c r="N58" i="226"/>
  <c r="N57" i="226"/>
  <c r="E38" i="226"/>
  <c r="E45" i="226"/>
  <c r="E46" i="226"/>
  <c r="K47" i="209"/>
  <c r="K46" i="209"/>
  <c r="AV166" i="227"/>
  <c r="AR15" i="227"/>
  <c r="AR85" i="227"/>
  <c r="AR104" i="227"/>
  <c r="AR131" i="227"/>
  <c r="AR71" i="227"/>
  <c r="AR143" i="227"/>
  <c r="AR76" i="227"/>
  <c r="AR60" i="227"/>
  <c r="AR132" i="227"/>
  <c r="AR140" i="227"/>
  <c r="AR58" i="227"/>
  <c r="AR105" i="227"/>
  <c r="AR88" i="227"/>
  <c r="AR100" i="227"/>
  <c r="AR63" i="227"/>
  <c r="AR79" i="227"/>
  <c r="AR45" i="227"/>
  <c r="AR122" i="227"/>
  <c r="AR138" i="227"/>
  <c r="AR67" i="227"/>
  <c r="AR83" i="227"/>
  <c r="AR169" i="227"/>
  <c r="AR139" i="227"/>
  <c r="AR17" i="227"/>
  <c r="AR97" i="227"/>
  <c r="AR64" i="227"/>
  <c r="AR25" i="227"/>
  <c r="AR55" i="227"/>
  <c r="AR91" i="227"/>
  <c r="AR23" i="227"/>
  <c r="AR62" i="227"/>
  <c r="AR168" i="227"/>
  <c r="AR43" i="227"/>
  <c r="AR11" i="227"/>
  <c r="AR125" i="227"/>
  <c r="AR115" i="227"/>
  <c r="AR21" i="227"/>
  <c r="AR19" i="227"/>
  <c r="AR59" i="227"/>
  <c r="AR151" i="227"/>
  <c r="AR65" i="227"/>
  <c r="AR127" i="227"/>
  <c r="AV113" i="227"/>
  <c r="AR41" i="227"/>
  <c r="AR52" i="227"/>
  <c r="AR109" i="227"/>
  <c r="AR156" i="227"/>
  <c r="AR31" i="227"/>
  <c r="AR50" i="227"/>
  <c r="AR99" i="227"/>
  <c r="AR101" i="227"/>
  <c r="AR137" i="227"/>
  <c r="AR135" i="227"/>
  <c r="AR120" i="227"/>
  <c r="AR162" i="227"/>
  <c r="AR35" i="227"/>
  <c r="AR161" i="227"/>
  <c r="AR110" i="227"/>
  <c r="AR164" i="227"/>
  <c r="AR123" i="227"/>
  <c r="AR121" i="227"/>
  <c r="AR72" i="227"/>
  <c r="AR26" i="227"/>
  <c r="AR44" i="227"/>
  <c r="AR173" i="227"/>
  <c r="AR86" i="227"/>
  <c r="AR38" i="227"/>
  <c r="AR46" i="227"/>
  <c r="AR149" i="227"/>
  <c r="AR148" i="227"/>
  <c r="AR57" i="227"/>
  <c r="AR107" i="227"/>
  <c r="AR82" i="227"/>
  <c r="AR29" i="227"/>
  <c r="AR9" i="227"/>
  <c r="AR77" i="227"/>
  <c r="AR12" i="227"/>
  <c r="AR33" i="227"/>
  <c r="AR8" i="227"/>
  <c r="AR75" i="227"/>
  <c r="AR157" i="227"/>
  <c r="AR153" i="227"/>
  <c r="AR124" i="227"/>
  <c r="AR20" i="227"/>
  <c r="AR40" i="227"/>
  <c r="AZ93" i="227"/>
  <c r="AX93" i="227"/>
  <c r="BD93" i="227"/>
  <c r="AV93" i="227"/>
  <c r="BE93" i="227"/>
  <c r="AW93" i="227"/>
  <c r="AY93" i="227"/>
  <c r="BB93" i="227"/>
  <c r="BA93" i="227"/>
  <c r="BC93" i="227"/>
  <c r="AR49" i="227"/>
  <c r="AR69" i="227"/>
  <c r="AR150" i="227"/>
  <c r="AR94" i="227"/>
  <c r="AR114" i="227"/>
  <c r="AR10" i="227"/>
  <c r="BB166" i="227"/>
  <c r="L67" i="226" s="1"/>
  <c r="AZ166" i="227"/>
  <c r="J67" i="226" s="1"/>
  <c r="BC166" i="227"/>
  <c r="M67" i="226" s="1"/>
  <c r="AY166" i="227"/>
  <c r="I67" i="226" s="1"/>
  <c r="AX166" i="227"/>
  <c r="H67" i="226" s="1"/>
  <c r="BE166" i="227"/>
  <c r="O67" i="226" s="1"/>
  <c r="AW166" i="227"/>
  <c r="BA166" i="227"/>
  <c r="K67" i="226" s="1"/>
  <c r="BD166" i="227"/>
  <c r="N67" i="226" s="1"/>
  <c r="AR155" i="227"/>
  <c r="AR154" i="227"/>
  <c r="AR66" i="227"/>
  <c r="AR170" i="227"/>
  <c r="AR96" i="227"/>
  <c r="AR116" i="227"/>
  <c r="AR158" i="227"/>
  <c r="AR165" i="227"/>
  <c r="AR130" i="227"/>
  <c r="AV51" i="227"/>
  <c r="BC51" i="227"/>
  <c r="BA51" i="227"/>
  <c r="BD51" i="227"/>
  <c r="BE51" i="227"/>
  <c r="AY51" i="227"/>
  <c r="AW51" i="227"/>
  <c r="BB51" i="227"/>
  <c r="AX51" i="227"/>
  <c r="AR171" i="227"/>
  <c r="AR80" i="227"/>
  <c r="AR16" i="227"/>
  <c r="AR92" i="227"/>
  <c r="AR126" i="227"/>
  <c r="AR118" i="227"/>
  <c r="AR48" i="227"/>
  <c r="AR70" i="227"/>
  <c r="AR146" i="227"/>
  <c r="AR78" i="227"/>
  <c r="AR54" i="227"/>
  <c r="BB27" i="227"/>
  <c r="BE27" i="227"/>
  <c r="BC27" i="227"/>
  <c r="AX27" i="227"/>
  <c r="AV27" i="227"/>
  <c r="AY27" i="227"/>
  <c r="BA27" i="227"/>
  <c r="AZ27" i="227"/>
  <c r="BD27" i="227"/>
  <c r="AW27" i="227"/>
  <c r="BB53" i="227"/>
  <c r="BD53" i="227"/>
  <c r="AV53" i="227"/>
  <c r="AX53" i="227"/>
  <c r="AY53" i="227"/>
  <c r="BC53" i="227"/>
  <c r="BA53" i="227"/>
  <c r="BE53" i="227"/>
  <c r="AW53" i="227"/>
  <c r="AR144" i="227"/>
  <c r="AR34" i="227"/>
  <c r="AR106" i="227"/>
  <c r="AR117" i="227"/>
  <c r="AR145" i="227"/>
  <c r="AR141" i="227"/>
  <c r="AR108" i="227"/>
  <c r="AR84" i="227"/>
  <c r="AR18" i="227"/>
  <c r="AR42" i="227"/>
  <c r="AR74" i="227"/>
  <c r="AZ47" i="227"/>
  <c r="BC47" i="227"/>
  <c r="AW47" i="227"/>
  <c r="AY47" i="227"/>
  <c r="BD47" i="227"/>
  <c r="AV47" i="227"/>
  <c r="BE47" i="227"/>
  <c r="AX47" i="227"/>
  <c r="BA47" i="227"/>
  <c r="BE14" i="227"/>
  <c r="AY14" i="227"/>
  <c r="AX14" i="227"/>
  <c r="BB14" i="227"/>
  <c r="AZ14" i="227"/>
  <c r="BC14" i="227"/>
  <c r="BA14" i="227"/>
  <c r="AV14" i="227"/>
  <c r="BD14" i="227"/>
  <c r="AW14" i="227"/>
  <c r="AR111" i="227"/>
  <c r="AR128" i="227"/>
  <c r="AR134" i="227"/>
  <c r="AR103" i="227"/>
  <c r="AR95" i="227"/>
  <c r="AR68" i="227"/>
  <c r="AR119" i="227"/>
  <c r="AR167" i="227"/>
  <c r="AR30" i="227"/>
  <c r="AR24" i="227"/>
  <c r="AR22" i="227"/>
  <c r="AR160" i="227"/>
  <c r="AR81" i="227"/>
  <c r="AR73" i="227"/>
  <c r="AR90" i="227"/>
  <c r="BD36" i="227"/>
  <c r="BE36" i="227"/>
  <c r="AX36" i="227"/>
  <c r="AV36" i="227"/>
  <c r="AY36" i="227"/>
  <c r="AW36" i="227"/>
  <c r="AZ36" i="227"/>
  <c r="BA36" i="227"/>
  <c r="BC36" i="227"/>
  <c r="BB36" i="227"/>
  <c r="BD6" i="227"/>
  <c r="AW6" i="227"/>
  <c r="BE6" i="227"/>
  <c r="AY6" i="227"/>
  <c r="AZ6" i="227"/>
  <c r="BA6" i="227"/>
  <c r="BB6" i="227"/>
  <c r="BC6" i="227"/>
  <c r="AV6" i="227"/>
  <c r="AX6" i="227"/>
  <c r="AY113" i="227"/>
  <c r="I13" i="226" s="1"/>
  <c r="AZ113" i="227"/>
  <c r="J13" i="226" s="1"/>
  <c r="BA113" i="227"/>
  <c r="BD113" i="227"/>
  <c r="N13" i="226" s="1"/>
  <c r="AW113" i="227"/>
  <c r="G13" i="226" s="1"/>
  <c r="BB113" i="227"/>
  <c r="L13" i="226" s="1"/>
  <c r="BC113" i="227"/>
  <c r="M13" i="226" s="1"/>
  <c r="AX113" i="227"/>
  <c r="H13" i="226" s="1"/>
  <c r="BE113" i="227"/>
  <c r="O13" i="226" s="1"/>
  <c r="AW13" i="227"/>
  <c r="AX13" i="227"/>
  <c r="AY13" i="227"/>
  <c r="BB13" i="227"/>
  <c r="BE13" i="227"/>
  <c r="AV13" i="227"/>
  <c r="BD13" i="227"/>
  <c r="BC13" i="227"/>
  <c r="BA13" i="227"/>
  <c r="BA7" i="227"/>
  <c r="BE7" i="227"/>
  <c r="AZ7" i="227"/>
  <c r="AV7" i="227"/>
  <c r="BB7" i="227"/>
  <c r="BC7" i="227"/>
  <c r="AW7" i="227"/>
  <c r="AX7" i="227"/>
  <c r="BD7" i="227"/>
  <c r="AY7" i="227"/>
  <c r="AZ112" i="227"/>
  <c r="J17" i="226" s="1"/>
  <c r="BA112" i="227"/>
  <c r="K17" i="226" s="1"/>
  <c r="BB112" i="227"/>
  <c r="L17" i="226" s="1"/>
  <c r="BE112" i="227"/>
  <c r="O17" i="226" s="1"/>
  <c r="AW112" i="227"/>
  <c r="G17" i="226" s="1"/>
  <c r="AX112" i="227"/>
  <c r="H17" i="226" s="1"/>
  <c r="BD112" i="227"/>
  <c r="N17" i="226" s="1"/>
  <c r="AY112" i="227"/>
  <c r="I17" i="226" s="1"/>
  <c r="AV112" i="227"/>
  <c r="F17" i="226" s="1"/>
  <c r="BC112" i="227"/>
  <c r="M17" i="226" s="1"/>
  <c r="AR163" i="227"/>
  <c r="AR159" i="227"/>
  <c r="AR147" i="227"/>
  <c r="AR89" i="227"/>
  <c r="AR56" i="227"/>
  <c r="AR142" i="227"/>
  <c r="AR37" i="227"/>
  <c r="AR61" i="227"/>
  <c r="AR39" i="227"/>
  <c r="AR98" i="227"/>
  <c r="AR172" i="227"/>
  <c r="AR152" i="227"/>
  <c r="AR102" i="227"/>
  <c r="AR87" i="227"/>
  <c r="BB47" i="227"/>
  <c r="AR133" i="227"/>
  <c r="AR32" i="227"/>
  <c r="AR28" i="227"/>
  <c r="AR174" i="227"/>
  <c r="AR129" i="227"/>
  <c r="AR136" i="227"/>
  <c r="AS241" i="227"/>
  <c r="E29" i="226"/>
  <c r="F13" i="226"/>
  <c r="E28" i="226"/>
  <c r="E27" i="226"/>
  <c r="F67" i="226"/>
  <c r="E71" i="226"/>
  <c r="E70" i="226"/>
  <c r="E69" i="226"/>
  <c r="E49" i="226"/>
  <c r="E73" i="226"/>
  <c r="M14" i="226"/>
  <c r="E63" i="226"/>
  <c r="K14" i="226"/>
  <c r="J62" i="226"/>
  <c r="H62" i="226"/>
  <c r="O62" i="226"/>
  <c r="L62" i="226"/>
  <c r="I62" i="226"/>
  <c r="F14" i="226"/>
  <c r="N14" i="226"/>
  <c r="L14" i="226"/>
  <c r="K62" i="226"/>
  <c r="I14" i="226"/>
  <c r="AS225" i="227"/>
  <c r="H14" i="226"/>
  <c r="F62" i="226"/>
  <c r="O14" i="226"/>
  <c r="G67" i="226"/>
  <c r="N62" i="226"/>
  <c r="G14" i="226"/>
  <c r="M62" i="226"/>
  <c r="G62" i="226"/>
  <c r="J14" i="226"/>
  <c r="AS258" i="227"/>
  <c r="AS249" i="227"/>
  <c r="AS246" i="227"/>
  <c r="V53" i="227"/>
  <c r="R5" i="227"/>
  <c r="S5" i="227" s="1"/>
  <c r="AS5" i="227" s="1"/>
  <c r="AS226" i="227"/>
  <c r="AS227" i="227"/>
  <c r="AR176" i="227"/>
  <c r="V27" i="227"/>
  <c r="V6" i="227"/>
  <c r="AS248" i="227"/>
  <c r="V93" i="227"/>
  <c r="V47" i="227"/>
  <c r="V14" i="227"/>
  <c r="V36" i="227"/>
  <c r="K25" i="226"/>
  <c r="J25" i="226"/>
  <c r="I25" i="226"/>
  <c r="G25" i="226"/>
  <c r="F25" i="226"/>
  <c r="N25" i="226"/>
  <c r="L25" i="226"/>
  <c r="M25" i="226"/>
  <c r="H25" i="226"/>
  <c r="AS218" i="227"/>
  <c r="AS221" i="227"/>
  <c r="AS220" i="227"/>
  <c r="AS235" i="227"/>
  <c r="AS236" i="227"/>
  <c r="V13" i="227"/>
  <c r="V7" i="227"/>
  <c r="E64" i="226"/>
  <c r="N7" i="150"/>
  <c r="E18" i="226"/>
  <c r="J35" i="224"/>
  <c r="K35" i="224"/>
  <c r="L35" i="224"/>
  <c r="M35" i="224"/>
  <c r="N35" i="224"/>
  <c r="D114" i="224"/>
  <c r="D86" i="224"/>
  <c r="D56" i="224"/>
  <c r="D48" i="224"/>
  <c r="I35" i="224"/>
  <c r="H35" i="224"/>
  <c r="G35" i="224"/>
  <c r="F30" i="224"/>
  <c r="D27" i="224"/>
  <c r="F27" i="224" s="1"/>
  <c r="F26" i="224"/>
  <c r="F21" i="224"/>
  <c r="F20" i="224"/>
  <c r="D18" i="224"/>
  <c r="F18" i="224" s="1"/>
  <c r="F17" i="224"/>
  <c r="F15" i="224"/>
  <c r="E11" i="224"/>
  <c r="E35" i="224" s="1"/>
  <c r="E10" i="224"/>
  <c r="D8" i="224"/>
  <c r="E7" i="224"/>
  <c r="O25" i="226" l="1"/>
  <c r="L47" i="209"/>
  <c r="L46" i="209"/>
  <c r="AR113" i="227"/>
  <c r="AR6" i="227"/>
  <c r="AR14" i="227"/>
  <c r="AR27" i="227"/>
  <c r="AR36" i="227"/>
  <c r="AR53" i="227"/>
  <c r="AR13" i="227"/>
  <c r="AR166" i="227"/>
  <c r="BA5" i="227"/>
  <c r="BA177" i="227" s="1"/>
  <c r="BB5" i="227"/>
  <c r="BB177" i="227" s="1"/>
  <c r="BC5" i="227"/>
  <c r="BC177" i="227" s="1"/>
  <c r="AV5" i="227"/>
  <c r="BD5" i="227"/>
  <c r="BD177" i="227" s="1"/>
  <c r="AX5" i="227"/>
  <c r="AX177" i="227" s="1"/>
  <c r="AW5" i="227"/>
  <c r="AW177" i="227" s="1"/>
  <c r="AY5" i="227"/>
  <c r="AY177" i="227" s="1"/>
  <c r="BE5" i="227"/>
  <c r="AZ5" i="227"/>
  <c r="AZ177" i="227" s="1"/>
  <c r="AR93" i="227"/>
  <c r="AR7" i="227"/>
  <c r="AR47" i="227"/>
  <c r="AR112" i="227"/>
  <c r="AR51" i="227"/>
  <c r="K13" i="226"/>
  <c r="J20" i="226"/>
  <c r="G48" i="226"/>
  <c r="H48" i="226"/>
  <c r="H20" i="226"/>
  <c r="I20" i="226"/>
  <c r="F48" i="226"/>
  <c r="J48" i="226"/>
  <c r="J38" i="226" s="1"/>
  <c r="K48" i="226"/>
  <c r="K38" i="226" s="1"/>
  <c r="L48" i="226"/>
  <c r="L38" i="226" s="1"/>
  <c r="F20" i="226"/>
  <c r="BE177" i="227"/>
  <c r="K20" i="226"/>
  <c r="L20" i="226"/>
  <c r="N20" i="226"/>
  <c r="M48" i="226"/>
  <c r="M38" i="226" s="1"/>
  <c r="M20" i="226"/>
  <c r="I48" i="226"/>
  <c r="I38" i="226" s="1"/>
  <c r="O20" i="226"/>
  <c r="N48" i="226"/>
  <c r="N38" i="226" s="1"/>
  <c r="G20" i="226"/>
  <c r="O48" i="226"/>
  <c r="O38" i="226" s="1"/>
  <c r="V5" i="227"/>
  <c r="O7" i="150"/>
  <c r="N11" i="150"/>
  <c r="F33" i="224"/>
  <c r="F35" i="224"/>
  <c r="F34" i="224"/>
  <c r="F32" i="224" s="1"/>
  <c r="D34" i="224" s="1"/>
  <c r="E33" i="224"/>
  <c r="E8" i="224"/>
  <c r="E34" i="224" s="1"/>
  <c r="F38" i="226" l="1"/>
  <c r="H38" i="226"/>
  <c r="G38" i="226"/>
  <c r="M47" i="209"/>
  <c r="M46" i="209"/>
  <c r="AR5" i="227"/>
  <c r="F73" i="226"/>
  <c r="J73" i="226"/>
  <c r="G73" i="226"/>
  <c r="H73" i="226"/>
  <c r="I73" i="226"/>
  <c r="N73" i="226"/>
  <c r="L73" i="226"/>
  <c r="M73" i="226"/>
  <c r="O73" i="226"/>
  <c r="K73" i="226"/>
  <c r="AV177" i="227"/>
  <c r="P7" i="150"/>
  <c r="O11" i="150"/>
  <c r="E32" i="224"/>
  <c r="D33" i="224"/>
  <c r="N47" i="209" l="1"/>
  <c r="N46" i="209"/>
  <c r="Q7" i="150"/>
  <c r="P11" i="150"/>
  <c r="F6" i="223"/>
  <c r="F9" i="223" l="1"/>
  <c r="G6" i="223" s="1"/>
  <c r="G9" i="223" s="1"/>
  <c r="R7" i="150"/>
  <c r="Q11" i="150"/>
  <c r="S7" i="150" l="1"/>
  <c r="R11" i="150"/>
  <c r="H6" i="223"/>
  <c r="H9" i="223" s="1"/>
  <c r="T7" i="150" l="1"/>
  <c r="S11" i="150"/>
  <c r="I6" i="223"/>
  <c r="I9" i="223" s="1"/>
  <c r="U7" i="150" l="1"/>
  <c r="U11" i="150" s="1"/>
  <c r="T11" i="150"/>
  <c r="J6" i="223"/>
  <c r="J9" i="223" s="1"/>
  <c r="K6" i="223" l="1"/>
  <c r="K9" i="223" s="1"/>
  <c r="L6" i="223" s="1"/>
  <c r="L9" i="223" s="1"/>
  <c r="M6" i="223" s="1"/>
  <c r="M9" i="223" s="1"/>
  <c r="N6" i="223" s="1"/>
  <c r="N9" i="223" s="1"/>
  <c r="F29" i="224" l="1"/>
  <c r="Z107" i="143" l="1"/>
  <c r="AA13" i="143"/>
  <c r="AA8" i="143"/>
  <c r="AA7" i="143"/>
  <c r="AK29" i="143"/>
  <c r="AL29" i="143"/>
  <c r="AC98" i="143"/>
  <c r="AC113" i="143"/>
  <c r="AC129" i="143"/>
  <c r="AC128" i="143" s="1"/>
  <c r="AC145" i="143"/>
  <c r="AG56" i="159"/>
  <c r="AF56" i="159"/>
  <c r="AE56" i="159"/>
  <c r="AD56" i="159"/>
  <c r="AB56" i="159"/>
  <c r="AA56" i="159"/>
  <c r="Z56" i="159"/>
  <c r="Y56" i="159"/>
  <c r="AG59" i="159"/>
  <c r="AF59" i="159"/>
  <c r="AE59" i="159"/>
  <c r="AD59" i="159"/>
  <c r="AB59" i="159"/>
  <c r="AA59" i="159"/>
  <c r="Z59" i="159"/>
  <c r="Y59" i="159"/>
  <c r="W59" i="159"/>
  <c r="V59" i="159"/>
  <c r="U59" i="159"/>
  <c r="T59" i="159"/>
  <c r="R59" i="159"/>
  <c r="Q59" i="159"/>
  <c r="P59" i="159"/>
  <c r="O59" i="159"/>
  <c r="M59" i="159"/>
  <c r="L59" i="159"/>
  <c r="K59" i="159"/>
  <c r="J59" i="159"/>
  <c r="U56" i="159"/>
  <c r="V56" i="159"/>
  <c r="W56" i="159"/>
  <c r="T56" i="159"/>
  <c r="M56" i="159"/>
  <c r="M82" i="163" s="1"/>
  <c r="R96" i="143"/>
  <c r="X96" i="143"/>
  <c r="Y96" i="143"/>
  <c r="AE96" i="143"/>
  <c r="AK96" i="143"/>
  <c r="AL96" i="143"/>
  <c r="Q96" i="143"/>
  <c r="J96" i="143"/>
  <c r="K96" i="143"/>
  <c r="Z149" i="163"/>
  <c r="AA149" i="163"/>
  <c r="AB149" i="163"/>
  <c r="Z131" i="163"/>
  <c r="AA131" i="163"/>
  <c r="AB131" i="163"/>
  <c r="Z132" i="163"/>
  <c r="AA132" i="163"/>
  <c r="AB132" i="163"/>
  <c r="Z133" i="163"/>
  <c r="AA133" i="163"/>
  <c r="AB133" i="163"/>
  <c r="Z134" i="163"/>
  <c r="AA134" i="163"/>
  <c r="AB134" i="163"/>
  <c r="Z135" i="163"/>
  <c r="AA135" i="163"/>
  <c r="AB135" i="163"/>
  <c r="Z136" i="163"/>
  <c r="AA136" i="163"/>
  <c r="AB136" i="163"/>
  <c r="Z137" i="163"/>
  <c r="AA137" i="163"/>
  <c r="AB137" i="163"/>
  <c r="Z138" i="163"/>
  <c r="AA138" i="163"/>
  <c r="AB138" i="163"/>
  <c r="Z139" i="163"/>
  <c r="AA139" i="163"/>
  <c r="AB139" i="163"/>
  <c r="Z140" i="163"/>
  <c r="AA140" i="163"/>
  <c r="AB140" i="163"/>
  <c r="Z141" i="163"/>
  <c r="AA141" i="163"/>
  <c r="AB141" i="163"/>
  <c r="Z142" i="163"/>
  <c r="AA142" i="163"/>
  <c r="AB142" i="163"/>
  <c r="Z143" i="163"/>
  <c r="AA143" i="163"/>
  <c r="AB143" i="163"/>
  <c r="Z144" i="163"/>
  <c r="AA144" i="163"/>
  <c r="AB144" i="163"/>
  <c r="Z145" i="163"/>
  <c r="AA145" i="163"/>
  <c r="AB145" i="163"/>
  <c r="Z146" i="163"/>
  <c r="AA146" i="163"/>
  <c r="AB146" i="163"/>
  <c r="Z147" i="163"/>
  <c r="AA147" i="163"/>
  <c r="AB147" i="163"/>
  <c r="Z148" i="163"/>
  <c r="AA148" i="163"/>
  <c r="AB148" i="163"/>
  <c r="Y132" i="163"/>
  <c r="Y133" i="163"/>
  <c r="Y134" i="163"/>
  <c r="Y135" i="163"/>
  <c r="Y136" i="163"/>
  <c r="Y137" i="163"/>
  <c r="Y138" i="163"/>
  <c r="Y139" i="163"/>
  <c r="Y140" i="163"/>
  <c r="Y141" i="163"/>
  <c r="Y142" i="163"/>
  <c r="Y143" i="163"/>
  <c r="Y144" i="163"/>
  <c r="Y145" i="163"/>
  <c r="Y146" i="163"/>
  <c r="Y147" i="163"/>
  <c r="Y148" i="163"/>
  <c r="Y149" i="163"/>
  <c r="Y131" i="163"/>
  <c r="AM81" i="143"/>
  <c r="Y15" i="143"/>
  <c r="W15" i="143"/>
  <c r="V15" i="143"/>
  <c r="U15" i="143"/>
  <c r="T15" i="143"/>
  <c r="S15" i="143"/>
  <c r="R15" i="143"/>
  <c r="P15" i="143"/>
  <c r="O15" i="143"/>
  <c r="N15" i="143"/>
  <c r="M15" i="143"/>
  <c r="L15" i="143"/>
  <c r="K15" i="143"/>
  <c r="I15" i="143"/>
  <c r="H15" i="143"/>
  <c r="G15" i="143"/>
  <c r="F15" i="143"/>
  <c r="E15" i="143"/>
  <c r="AC58" i="143"/>
  <c r="AC59" i="143"/>
  <c r="AC60" i="143"/>
  <c r="AC61" i="143"/>
  <c r="AC62" i="143"/>
  <c r="AC63" i="143"/>
  <c r="AC64" i="143"/>
  <c r="AC67" i="143"/>
  <c r="AC68" i="143"/>
  <c r="AC70" i="143"/>
  <c r="AC71" i="143"/>
  <c r="AC73" i="143"/>
  <c r="AC74" i="143"/>
  <c r="AC76" i="143"/>
  <c r="AC77" i="143"/>
  <c r="AC79" i="143"/>
  <c r="AC80" i="143"/>
  <c r="AC82" i="143"/>
  <c r="AC83" i="143"/>
  <c r="AC84" i="143"/>
  <c r="AC85" i="143"/>
  <c r="AC86" i="143"/>
  <c r="AC88" i="143"/>
  <c r="AC89" i="143"/>
  <c r="AC90" i="143"/>
  <c r="AC91" i="143"/>
  <c r="AC39" i="143"/>
  <c r="AC40" i="143"/>
  <c r="AC41" i="143"/>
  <c r="AC42" i="143"/>
  <c r="AC43" i="143"/>
  <c r="AC44" i="143"/>
  <c r="AC45" i="143"/>
  <c r="AC46" i="143"/>
  <c r="AC48" i="143"/>
  <c r="AC49" i="143"/>
  <c r="AC51" i="143"/>
  <c r="AC52" i="143"/>
  <c r="AC53" i="143"/>
  <c r="AC54" i="143"/>
  <c r="AC55" i="143"/>
  <c r="AC32" i="143"/>
  <c r="AC33" i="143"/>
  <c r="AC35" i="143"/>
  <c r="AC36" i="143"/>
  <c r="AC37" i="143"/>
  <c r="AB33" i="143"/>
  <c r="AA23" i="143"/>
  <c r="J3" i="145"/>
  <c r="I3" i="145"/>
  <c r="H3" i="145"/>
  <c r="G3" i="145"/>
  <c r="F3" i="145"/>
  <c r="CT28" i="163"/>
  <c r="A27" i="143"/>
  <c r="A28" i="143"/>
  <c r="A93" i="143"/>
  <c r="A94" i="143"/>
  <c r="A95" i="143"/>
  <c r="A71" i="159"/>
  <c r="A72" i="159"/>
  <c r="A97" i="163"/>
  <c r="A98" i="163"/>
  <c r="AA32" i="143"/>
  <c r="AA33" i="143"/>
  <c r="AB95" i="163"/>
  <c r="AA95" i="163"/>
  <c r="Z95" i="163"/>
  <c r="Y95" i="163"/>
  <c r="AB94" i="163"/>
  <c r="AA94" i="163"/>
  <c r="Z94" i="163"/>
  <c r="Y94" i="163"/>
  <c r="AB93" i="163"/>
  <c r="AA93" i="163"/>
  <c r="Z93" i="163"/>
  <c r="Y93" i="163"/>
  <c r="AB92" i="163"/>
  <c r="AA92" i="163"/>
  <c r="Z92" i="163"/>
  <c r="Y92" i="163"/>
  <c r="AB91" i="163"/>
  <c r="AA91" i="163"/>
  <c r="Z91" i="163"/>
  <c r="Y91" i="163"/>
  <c r="AB90" i="163"/>
  <c r="AA90" i="163"/>
  <c r="Z90" i="163"/>
  <c r="Y90" i="163"/>
  <c r="AB89" i="163"/>
  <c r="AA89" i="163"/>
  <c r="Z89" i="163"/>
  <c r="Y89" i="163"/>
  <c r="AB88" i="163"/>
  <c r="AA88" i="163"/>
  <c r="Z88" i="163"/>
  <c r="Y88" i="163"/>
  <c r="AB87" i="163"/>
  <c r="AA87" i="163"/>
  <c r="Z87" i="163"/>
  <c r="Y87" i="163"/>
  <c r="AB86" i="163"/>
  <c r="AA86" i="163"/>
  <c r="Z86" i="163"/>
  <c r="Y86" i="163"/>
  <c r="AB85" i="163"/>
  <c r="AA85" i="163"/>
  <c r="Z85" i="163"/>
  <c r="Y85" i="163"/>
  <c r="AB84" i="163"/>
  <c r="AA84" i="163"/>
  <c r="Z84" i="163"/>
  <c r="Y84" i="163"/>
  <c r="AB83" i="163"/>
  <c r="AA83" i="163"/>
  <c r="Z83" i="163"/>
  <c r="Y83" i="163"/>
  <c r="AB82" i="163"/>
  <c r="AA82" i="163"/>
  <c r="Z82" i="163"/>
  <c r="Y82" i="163"/>
  <c r="AB81" i="163"/>
  <c r="AA81" i="163"/>
  <c r="Z81" i="163"/>
  <c r="Y81" i="163"/>
  <c r="AB80" i="163"/>
  <c r="AA80" i="163"/>
  <c r="Z80" i="163"/>
  <c r="Y80" i="163"/>
  <c r="AB79" i="163"/>
  <c r="AA79" i="163"/>
  <c r="Z79" i="163"/>
  <c r="Y79" i="163"/>
  <c r="AB78" i="163"/>
  <c r="AA78" i="163"/>
  <c r="Z78" i="163"/>
  <c r="Y78" i="163"/>
  <c r="AB77" i="163"/>
  <c r="AA77" i="163"/>
  <c r="Z77" i="163"/>
  <c r="Y77" i="163"/>
  <c r="AB76" i="163"/>
  <c r="AA76" i="163"/>
  <c r="Z76" i="163"/>
  <c r="Y76" i="163"/>
  <c r="AB75" i="163"/>
  <c r="AA75" i="163"/>
  <c r="Z75" i="163"/>
  <c r="Y75" i="163"/>
  <c r="AB74" i="163"/>
  <c r="AA74" i="163"/>
  <c r="Z74" i="163"/>
  <c r="Y74" i="163"/>
  <c r="AB73" i="163"/>
  <c r="AA73" i="163"/>
  <c r="Z73" i="163"/>
  <c r="Y73" i="163"/>
  <c r="AB72" i="163"/>
  <c r="AA72" i="163"/>
  <c r="Z72" i="163"/>
  <c r="Y72" i="163"/>
  <c r="AB71" i="163"/>
  <c r="AA71" i="163"/>
  <c r="Z71" i="163"/>
  <c r="Y71" i="163"/>
  <c r="AB70" i="163"/>
  <c r="AA70" i="163"/>
  <c r="Z70" i="163"/>
  <c r="Y70" i="163"/>
  <c r="AB69" i="163"/>
  <c r="AA69" i="163"/>
  <c r="Z69" i="163"/>
  <c r="Y69" i="163"/>
  <c r="AB68" i="163"/>
  <c r="AA68" i="163"/>
  <c r="Z68" i="163"/>
  <c r="Y68" i="163"/>
  <c r="AB67" i="163"/>
  <c r="AA67" i="163"/>
  <c r="Z67" i="163"/>
  <c r="Y67" i="163"/>
  <c r="AB66" i="163"/>
  <c r="AA66" i="163"/>
  <c r="Z66" i="163"/>
  <c r="Y66" i="163"/>
  <c r="AB65" i="163"/>
  <c r="AA65" i="163"/>
  <c r="Z65" i="163"/>
  <c r="Y65" i="163"/>
  <c r="AB64" i="163"/>
  <c r="AA64" i="163"/>
  <c r="Z64" i="163"/>
  <c r="Y64" i="163"/>
  <c r="AB63" i="163"/>
  <c r="AA63" i="163"/>
  <c r="Z63" i="163"/>
  <c r="Y63" i="163"/>
  <c r="AB62" i="163"/>
  <c r="AA62" i="163"/>
  <c r="Z62" i="163"/>
  <c r="Y62" i="163"/>
  <c r="AB61" i="163"/>
  <c r="AA61" i="163"/>
  <c r="Z61" i="163"/>
  <c r="Y61" i="163"/>
  <c r="AB59" i="163"/>
  <c r="AA59" i="163"/>
  <c r="Z59" i="163"/>
  <c r="Y59" i="163"/>
  <c r="AB58" i="163"/>
  <c r="AA58" i="163"/>
  <c r="Z58" i="163"/>
  <c r="Y58" i="163"/>
  <c r="AB57" i="163"/>
  <c r="AA57" i="163"/>
  <c r="Z57" i="163"/>
  <c r="Y57" i="163"/>
  <c r="AB56" i="163"/>
  <c r="AA56" i="163"/>
  <c r="Z56" i="163"/>
  <c r="Y56" i="163"/>
  <c r="AB55" i="163"/>
  <c r="AA55" i="163"/>
  <c r="Z55" i="163"/>
  <c r="Y55" i="163"/>
  <c r="AB54" i="163"/>
  <c r="AA54" i="163"/>
  <c r="Z54" i="163"/>
  <c r="Y54" i="163"/>
  <c r="AB53" i="163"/>
  <c r="AA53" i="163"/>
  <c r="Z53" i="163"/>
  <c r="Y53" i="163"/>
  <c r="AB52" i="163"/>
  <c r="AA52" i="163"/>
  <c r="Z52" i="163"/>
  <c r="Y52" i="163"/>
  <c r="AB51" i="163"/>
  <c r="AA51" i="163"/>
  <c r="Z51" i="163"/>
  <c r="Y51" i="163"/>
  <c r="AB50" i="163"/>
  <c r="AA50" i="163"/>
  <c r="Z50" i="163"/>
  <c r="Y50" i="163"/>
  <c r="AB49" i="163"/>
  <c r="AA49" i="163"/>
  <c r="Z49" i="163"/>
  <c r="Y49" i="163"/>
  <c r="AB48" i="163"/>
  <c r="AA48" i="163"/>
  <c r="Z48" i="163"/>
  <c r="Y48" i="163"/>
  <c r="AB47" i="163"/>
  <c r="AA47" i="163"/>
  <c r="Z47" i="163"/>
  <c r="Y47" i="163"/>
  <c r="AB46" i="163"/>
  <c r="AA46" i="163"/>
  <c r="Z46" i="163"/>
  <c r="Y46" i="163"/>
  <c r="AB45" i="163"/>
  <c r="AA45" i="163"/>
  <c r="Z45" i="163"/>
  <c r="Y45" i="163"/>
  <c r="AB44" i="163"/>
  <c r="AA44" i="163"/>
  <c r="Z44" i="163"/>
  <c r="Y44" i="163"/>
  <c r="AB43" i="163"/>
  <c r="AA43" i="163"/>
  <c r="Z43" i="163"/>
  <c r="Y43" i="163"/>
  <c r="AB42" i="163"/>
  <c r="AA42" i="163"/>
  <c r="Z42" i="163"/>
  <c r="Y42" i="163"/>
  <c r="AB41" i="163"/>
  <c r="AA41" i="163"/>
  <c r="Z41" i="163"/>
  <c r="Y41" i="163"/>
  <c r="AB40" i="163"/>
  <c r="AA40" i="163"/>
  <c r="Z40" i="163"/>
  <c r="Y40" i="163"/>
  <c r="AB39" i="163"/>
  <c r="AA39" i="163"/>
  <c r="Z39" i="163"/>
  <c r="Y39" i="163"/>
  <c r="AB38" i="163"/>
  <c r="AA38" i="163"/>
  <c r="Z38" i="163"/>
  <c r="Y38" i="163"/>
  <c r="AB37" i="163"/>
  <c r="AA37" i="163"/>
  <c r="Z37" i="163"/>
  <c r="Y37" i="163"/>
  <c r="AB36" i="163"/>
  <c r="AA36" i="163"/>
  <c r="Z36" i="163"/>
  <c r="Y36" i="163"/>
  <c r="AB35" i="163"/>
  <c r="AA35" i="163"/>
  <c r="Z35" i="163"/>
  <c r="Y35" i="163"/>
  <c r="AB34" i="163"/>
  <c r="AA34" i="163"/>
  <c r="Z34" i="163"/>
  <c r="Y34" i="163"/>
  <c r="Z129" i="163"/>
  <c r="AA129" i="163"/>
  <c r="AB129" i="163"/>
  <c r="Z130" i="163"/>
  <c r="AA130" i="163"/>
  <c r="AB130" i="163"/>
  <c r="Y130" i="163"/>
  <c r="Y129" i="163"/>
  <c r="Z99" i="163"/>
  <c r="AA99" i="163"/>
  <c r="AB99" i="163"/>
  <c r="Y99" i="163"/>
  <c r="Z100" i="163"/>
  <c r="AA100" i="163"/>
  <c r="AB100" i="163"/>
  <c r="Y100" i="163"/>
  <c r="AB110" i="163"/>
  <c r="AA110" i="163"/>
  <c r="Z110" i="163"/>
  <c r="Y110" i="163"/>
  <c r="AB109" i="163"/>
  <c r="AA109" i="163"/>
  <c r="Z109" i="163"/>
  <c r="Y109" i="163"/>
  <c r="AB103" i="163"/>
  <c r="AA103" i="163"/>
  <c r="Z103" i="163"/>
  <c r="Y103" i="163"/>
  <c r="AB102" i="163"/>
  <c r="AA102" i="163"/>
  <c r="Z102" i="163"/>
  <c r="Y102" i="163"/>
  <c r="Z101" i="163"/>
  <c r="AA101" i="163"/>
  <c r="AB101" i="163"/>
  <c r="Y101" i="163"/>
  <c r="L34" i="158"/>
  <c r="I36" i="158"/>
  <c r="I34" i="158"/>
  <c r="BU5" i="163"/>
  <c r="BZ5" i="163" s="1"/>
  <c r="CE5" i="163" s="1"/>
  <c r="CJ5" i="163" s="1"/>
  <c r="CO5" i="163" s="1"/>
  <c r="BT5" i="163"/>
  <c r="BY5" i="163" s="1"/>
  <c r="CD5" i="163" s="1"/>
  <c r="CI5" i="163" s="1"/>
  <c r="CN5" i="163" s="1"/>
  <c r="BS5" i="163"/>
  <c r="BX5" i="163" s="1"/>
  <c r="CC5" i="163" s="1"/>
  <c r="CH5" i="163" s="1"/>
  <c r="CM5" i="163" s="1"/>
  <c r="BR5" i="163"/>
  <c r="BW5" i="163" s="1"/>
  <c r="CB5" i="163" s="1"/>
  <c r="CG5" i="163" s="1"/>
  <c r="CL5" i="163" s="1"/>
  <c r="J15" i="143" l="1"/>
  <c r="Q15" i="143"/>
  <c r="X15" i="143"/>
  <c r="AC127" i="143"/>
  <c r="AC97" i="143"/>
  <c r="AC148" i="143" s="1"/>
  <c r="AC87" i="143"/>
  <c r="AC66" i="143"/>
  <c r="AC72" i="143"/>
  <c r="AC75" i="143"/>
  <c r="AC34" i="143"/>
  <c r="AC69" i="143"/>
  <c r="AC57" i="143"/>
  <c r="AC47" i="143"/>
  <c r="AC50" i="143"/>
  <c r="AC38" i="143"/>
  <c r="AC31" i="143"/>
  <c r="AC81" i="143"/>
  <c r="AA31" i="143"/>
  <c r="AC78" i="143"/>
  <c r="CW5" i="163"/>
  <c r="DB5" i="163" s="1"/>
  <c r="DG5" i="163" s="1"/>
  <c r="CR5" i="163"/>
  <c r="CX5" i="163"/>
  <c r="DC5" i="163" s="1"/>
  <c r="DH5" i="163" s="1"/>
  <c r="CS5" i="163"/>
  <c r="CV5" i="163"/>
  <c r="DA5" i="163" s="1"/>
  <c r="DF5" i="163" s="1"/>
  <c r="CQ5" i="163"/>
  <c r="CT5" i="163"/>
  <c r="CY5" i="163"/>
  <c r="DD5" i="163" s="1"/>
  <c r="DI5" i="163" s="1"/>
  <c r="CX4" i="190"/>
  <c r="C22" i="158"/>
  <c r="C17" i="158"/>
  <c r="C14" i="158"/>
  <c r="C6" i="158"/>
  <c r="E6" i="158"/>
  <c r="E7" i="158"/>
  <c r="V26" i="190"/>
  <c r="BG4" i="190"/>
  <c r="BC4" i="190"/>
  <c r="BD4" i="190"/>
  <c r="BE4" i="190"/>
  <c r="BB4" i="190"/>
  <c r="AX4" i="190"/>
  <c r="AY4" i="190"/>
  <c r="AZ4" i="190"/>
  <c r="AW4" i="190"/>
  <c r="C34" i="158" l="1"/>
  <c r="C18" i="158"/>
  <c r="C32" i="158"/>
  <c r="C15" i="158"/>
  <c r="F15" i="158" s="1"/>
  <c r="AC65" i="143"/>
  <c r="AC56" i="143" s="1"/>
  <c r="AC30" i="143"/>
  <c r="C24" i="158"/>
  <c r="C36" i="158"/>
  <c r="C7" i="158"/>
  <c r="C8" i="158" s="1"/>
  <c r="C9" i="158" s="1"/>
  <c r="F9" i="158" s="1"/>
  <c r="C28" i="158"/>
  <c r="C29" i="158" s="1"/>
  <c r="F18" i="158" l="1"/>
  <c r="C20" i="158"/>
  <c r="F20" i="158" s="1"/>
  <c r="AC92" i="143"/>
  <c r="C10" i="158"/>
  <c r="C11" i="158" s="1"/>
  <c r="C30" i="158"/>
  <c r="C19" i="158" l="1"/>
  <c r="C12" i="158"/>
  <c r="F12" i="158" s="1"/>
  <c r="BI4" i="159"/>
  <c r="BH4" i="159"/>
  <c r="BD4" i="159"/>
  <c r="BE4" i="159"/>
  <c r="BF4" i="159"/>
  <c r="BC4" i="159"/>
  <c r="BC5" i="159"/>
  <c r="AX4" i="159"/>
  <c r="BA4" i="159"/>
  <c r="AY4" i="159"/>
  <c r="AZ4" i="159"/>
  <c r="AS4" i="159"/>
  <c r="AS117" i="159" s="1"/>
  <c r="AL4" i="159"/>
  <c r="AI5" i="159"/>
  <c r="AI4" i="159" s="1"/>
  <c r="AG16" i="159"/>
  <c r="AG25" i="159"/>
  <c r="AG28" i="159"/>
  <c r="AG43" i="159"/>
  <c r="AG34" i="159" s="1"/>
  <c r="AG44" i="159"/>
  <c r="AB105" i="159"/>
  <c r="AA105" i="159"/>
  <c r="Z105" i="159"/>
  <c r="Y105" i="159"/>
  <c r="AA65" i="159"/>
  <c r="AB65" i="159"/>
  <c r="AB34" i="159" s="1"/>
  <c r="AB60" i="163" s="1"/>
  <c r="AJ4" i="159" l="1"/>
  <c r="G4" i="157" l="1"/>
  <c r="I6" i="143"/>
  <c r="H6" i="143"/>
  <c r="G6" i="143"/>
  <c r="E6" i="143"/>
  <c r="E29" i="143" l="1"/>
  <c r="E96" i="143"/>
  <c r="H29" i="143"/>
  <c r="H96" i="143"/>
  <c r="I29" i="143"/>
  <c r="I96" i="143"/>
  <c r="P6" i="143"/>
  <c r="P96" i="143" s="1"/>
  <c r="W6" i="143"/>
  <c r="W96" i="143" s="1"/>
  <c r="G29" i="143"/>
  <c r="G96" i="143"/>
  <c r="L6" i="143"/>
  <c r="O6" i="143"/>
  <c r="O96" i="143" s="1"/>
  <c r="N6" i="143"/>
  <c r="N96" i="143" s="1"/>
  <c r="W105" i="159"/>
  <c r="V105" i="159"/>
  <c r="U105" i="159"/>
  <c r="T105" i="159"/>
  <c r="W65" i="159"/>
  <c r="V65" i="159"/>
  <c r="U65" i="159"/>
  <c r="T65" i="159"/>
  <c r="U28" i="159"/>
  <c r="V28" i="159"/>
  <c r="W28" i="159"/>
  <c r="P105" i="159"/>
  <c r="Q105" i="159"/>
  <c r="R105" i="159"/>
  <c r="O105" i="159"/>
  <c r="K105" i="159"/>
  <c r="L105" i="159"/>
  <c r="M105" i="159"/>
  <c r="J105" i="159"/>
  <c r="Q56" i="159"/>
  <c r="R56" i="159"/>
  <c r="F105" i="159"/>
  <c r="G105" i="159"/>
  <c r="H105" i="159"/>
  <c r="E105" i="159"/>
  <c r="AD15" i="190"/>
  <c r="AE15" i="190"/>
  <c r="AC15" i="190"/>
  <c r="T15" i="190"/>
  <c r="U15" i="190"/>
  <c r="V15" i="190"/>
  <c r="S15" i="190"/>
  <c r="Q15" i="190"/>
  <c r="L29" i="143" l="1"/>
  <c r="L96" i="143"/>
  <c r="S6" i="143"/>
  <c r="S96" i="143" s="1"/>
  <c r="N29" i="143"/>
  <c r="U6" i="143"/>
  <c r="U96" i="143" s="1"/>
  <c r="P29" i="143"/>
  <c r="V6" i="143"/>
  <c r="V96" i="143" s="1"/>
  <c r="O29" i="143"/>
  <c r="F2" i="199"/>
  <c r="W29" i="143" l="1"/>
  <c r="AD6" i="143"/>
  <c r="AD96" i="143" s="1"/>
  <c r="U29" i="143"/>
  <c r="AB6" i="143"/>
  <c r="AB96" i="143" s="1"/>
  <c r="V29" i="143"/>
  <c r="AC6" i="143"/>
  <c r="AC96" i="143" s="1"/>
  <c r="S29" i="143"/>
  <c r="Z6" i="143"/>
  <c r="Z96" i="143" s="1"/>
  <c r="F3" i="199"/>
  <c r="M2" i="199"/>
  <c r="H2" i="199"/>
  <c r="K2" i="199"/>
  <c r="J2" i="199"/>
  <c r="G2" i="199"/>
  <c r="E2" i="199"/>
  <c r="L2" i="199"/>
  <c r="I2" i="199"/>
  <c r="N2" i="199"/>
  <c r="AC29" i="143" l="1"/>
  <c r="AI6" i="143"/>
  <c r="AH6" i="143"/>
  <c r="AB29" i="143"/>
  <c r="AD29" i="143"/>
  <c r="AJ6" i="143"/>
  <c r="Z29" i="143"/>
  <c r="AF6" i="143"/>
  <c r="N3" i="199"/>
  <c r="M3" i="199"/>
  <c r="E3" i="199"/>
  <c r="L3" i="199"/>
  <c r="H3" i="199"/>
  <c r="I3" i="199"/>
  <c r="J3" i="199"/>
  <c r="G3" i="199"/>
  <c r="K3" i="199"/>
  <c r="AI29" i="143" l="1"/>
  <c r="AI96" i="143"/>
  <c r="AJ29" i="143"/>
  <c r="AJ96" i="143"/>
  <c r="AF29" i="143"/>
  <c r="AF96" i="143"/>
  <c r="AH29" i="143"/>
  <c r="AH96" i="143"/>
  <c r="K4" i="199"/>
  <c r="G4" i="199"/>
  <c r="N4" i="199"/>
  <c r="F4" i="199"/>
  <c r="J4" i="199"/>
  <c r="M4" i="199"/>
  <c r="I4" i="199"/>
  <c r="E4" i="199"/>
  <c r="L4" i="199"/>
  <c r="H4" i="199"/>
  <c r="J5" i="199"/>
  <c r="I5" i="199"/>
  <c r="E5" i="199"/>
  <c r="F5" i="199"/>
  <c r="L5" i="199"/>
  <c r="K5" i="199"/>
  <c r="H5" i="199"/>
  <c r="G5" i="199"/>
  <c r="N5" i="199"/>
  <c r="M5" i="199"/>
  <c r="E5" i="215" l="1"/>
  <c r="F5" i="215" s="1"/>
  <c r="G5" i="215" s="1"/>
  <c r="H5" i="215" s="1"/>
  <c r="I5" i="215" s="1"/>
  <c r="J5" i="215" s="1"/>
  <c r="K5" i="215" s="1"/>
  <c r="L5" i="215" s="1"/>
  <c r="M5" i="215" s="1"/>
  <c r="M4" i="215"/>
  <c r="L4" i="215"/>
  <c r="K4" i="215"/>
  <c r="J4" i="215"/>
  <c r="I4" i="215"/>
  <c r="H4" i="215"/>
  <c r="G4" i="215"/>
  <c r="F4" i="215"/>
  <c r="E4" i="215"/>
  <c r="E5" i="214" l="1"/>
  <c r="F5" i="214" s="1"/>
  <c r="G5" i="214" s="1"/>
  <c r="H5" i="214" s="1"/>
  <c r="I5" i="214" s="1"/>
  <c r="J5" i="214" s="1"/>
  <c r="K5" i="214" s="1"/>
  <c r="L5" i="214" s="1"/>
  <c r="M5" i="214" s="1"/>
  <c r="M4" i="214"/>
  <c r="L4" i="214"/>
  <c r="K4" i="214"/>
  <c r="J4" i="214"/>
  <c r="I4" i="214"/>
  <c r="H4" i="214"/>
  <c r="G4" i="214"/>
  <c r="F4" i="214"/>
  <c r="E4" i="214"/>
  <c r="D4" i="214"/>
  <c r="C32" i="207"/>
  <c r="C31" i="207"/>
  <c r="J11" i="213" l="1"/>
  <c r="J73" i="213" s="1"/>
  <c r="K11" i="213"/>
  <c r="K73" i="213" s="1"/>
  <c r="L11" i="213"/>
  <c r="L73" i="213" s="1"/>
  <c r="M11" i="213"/>
  <c r="M73" i="213" s="1"/>
  <c r="N11" i="213"/>
  <c r="N73" i="213" s="1"/>
  <c r="O11" i="213"/>
  <c r="O73" i="213" s="1"/>
  <c r="P11" i="213"/>
  <c r="P73" i="213" s="1"/>
  <c r="Q11" i="213"/>
  <c r="Q73" i="213" s="1"/>
  <c r="R11" i="213"/>
  <c r="R73" i="213" s="1"/>
  <c r="I11" i="213"/>
  <c r="I73" i="213" s="1"/>
  <c r="E73" i="213" l="1"/>
  <c r="E42" i="207"/>
  <c r="B24" i="207"/>
  <c r="B42" i="207" l="1"/>
  <c r="B50" i="207" s="1"/>
  <c r="B33" i="207"/>
  <c r="E43" i="207"/>
  <c r="E44" i="207"/>
  <c r="E45" i="207"/>
  <c r="E41" i="207"/>
  <c r="E40" i="207"/>
  <c r="F39" i="207"/>
  <c r="F41" i="207" l="1"/>
  <c r="G39" i="207"/>
  <c r="H39" i="207" s="1"/>
  <c r="I39" i="207" s="1"/>
  <c r="J39" i="207" s="1"/>
  <c r="K39" i="207" s="1"/>
  <c r="L39" i="207" s="1"/>
  <c r="M39" i="207" s="1"/>
  <c r="F42" i="207"/>
  <c r="F44" i="207"/>
  <c r="F40" i="207"/>
  <c r="F43" i="207"/>
  <c r="F45" i="207"/>
  <c r="G43" i="207" l="1"/>
  <c r="G40" i="207"/>
  <c r="G42" i="207"/>
  <c r="H40" i="207"/>
  <c r="G44" i="207"/>
  <c r="G41" i="207"/>
  <c r="G45" i="207"/>
  <c r="H43" i="207" l="1"/>
  <c r="H44" i="207"/>
  <c r="I44" i="207" s="1"/>
  <c r="I43" i="207"/>
  <c r="H41" i="207"/>
  <c r="I40" i="207"/>
  <c r="H42" i="207"/>
  <c r="H45" i="207"/>
  <c r="I41" i="207" l="1"/>
  <c r="J40" i="207"/>
  <c r="J43" i="207"/>
  <c r="I42" i="207"/>
  <c r="I45" i="207"/>
  <c r="J42" i="207" l="1"/>
  <c r="K43" i="207"/>
  <c r="K40" i="207"/>
  <c r="J44" i="207"/>
  <c r="J41" i="207"/>
  <c r="J45" i="207"/>
  <c r="K44" i="207" l="1"/>
  <c r="L40" i="207"/>
  <c r="L43" i="207"/>
  <c r="K41" i="207"/>
  <c r="K42" i="207"/>
  <c r="K45" i="207"/>
  <c r="M40" i="207" l="1"/>
  <c r="M43" i="207"/>
  <c r="L41" i="207"/>
  <c r="L42" i="207"/>
  <c r="L44" i="207"/>
  <c r="L45" i="207"/>
  <c r="M41" i="207" l="1"/>
  <c r="M42" i="207"/>
  <c r="M44" i="207"/>
  <c r="M45" i="207"/>
  <c r="C23" i="207" l="1"/>
  <c r="C22" i="207"/>
  <c r="B12" i="207"/>
  <c r="B17" i="207" s="1"/>
  <c r="B11" i="207"/>
  <c r="F47" i="210" l="1"/>
  <c r="G47" i="210" s="1"/>
  <c r="H47" i="210" s="1"/>
  <c r="I47" i="210" s="1"/>
  <c r="J47" i="210" s="1"/>
  <c r="K47" i="210" s="1"/>
  <c r="L47" i="210" s="1"/>
  <c r="M47" i="210" s="1"/>
  <c r="N47" i="210" s="1"/>
  <c r="O47" i="210" s="1"/>
  <c r="F46" i="210"/>
  <c r="G46" i="210" s="1"/>
  <c r="H46" i="210" s="1"/>
  <c r="I46" i="210" s="1"/>
  <c r="J46" i="210" s="1"/>
  <c r="K46" i="210" s="1"/>
  <c r="L46" i="210" s="1"/>
  <c r="M46" i="210" s="1"/>
  <c r="N46" i="210" s="1"/>
  <c r="O46" i="210" s="1"/>
  <c r="G75" i="210"/>
  <c r="H75" i="210" s="1"/>
  <c r="I75" i="210" s="1"/>
  <c r="J75" i="210" s="1"/>
  <c r="K75" i="210" s="1"/>
  <c r="L75" i="210" s="1"/>
  <c r="M75" i="210" s="1"/>
  <c r="N75" i="210" s="1"/>
  <c r="O75" i="210" s="1"/>
  <c r="F61" i="210"/>
  <c r="G61" i="210" s="1"/>
  <c r="H61" i="210" s="1"/>
  <c r="F40" i="210"/>
  <c r="G40" i="210" s="1"/>
  <c r="H40" i="210" s="1"/>
  <c r="I40" i="210" s="1"/>
  <c r="J40" i="210" s="1"/>
  <c r="K40" i="210" s="1"/>
  <c r="L40" i="210" s="1"/>
  <c r="M40" i="210" s="1"/>
  <c r="N40" i="210" s="1"/>
  <c r="O40" i="210" s="1"/>
  <c r="F39" i="210"/>
  <c r="C28" i="210"/>
  <c r="C27" i="210"/>
  <c r="C26" i="210"/>
  <c r="C25" i="210"/>
  <c r="C24" i="210"/>
  <c r="C23" i="210"/>
  <c r="C22" i="210"/>
  <c r="L21" i="210"/>
  <c r="K21" i="210"/>
  <c r="J21" i="210"/>
  <c r="I21" i="210"/>
  <c r="H21" i="210"/>
  <c r="G21" i="210"/>
  <c r="C21" i="210"/>
  <c r="C20" i="210"/>
  <c r="C16" i="210"/>
  <c r="C14" i="210"/>
  <c r="C13" i="210"/>
  <c r="C12" i="210"/>
  <c r="D11" i="210"/>
  <c r="D12" i="210" s="1"/>
  <c r="C11" i="210"/>
  <c r="F10" i="210"/>
  <c r="E10" i="210"/>
  <c r="F5" i="210"/>
  <c r="F4" i="210"/>
  <c r="C14" i="209"/>
  <c r="F5" i="209"/>
  <c r="G5" i="209" s="1"/>
  <c r="H5" i="209" s="1"/>
  <c r="I5" i="209" s="1"/>
  <c r="J5" i="209" s="1"/>
  <c r="K5" i="209" s="1"/>
  <c r="L5" i="209" s="1"/>
  <c r="M5" i="209" s="1"/>
  <c r="N5" i="209" s="1"/>
  <c r="N4" i="209"/>
  <c r="M4" i="209"/>
  <c r="L4" i="209"/>
  <c r="K4" i="209"/>
  <c r="J4" i="209"/>
  <c r="I4" i="209"/>
  <c r="H4" i="209"/>
  <c r="G4" i="209"/>
  <c r="F4" i="209"/>
  <c r="E4" i="209"/>
  <c r="C137" i="207"/>
  <c r="C136" i="207"/>
  <c r="C135" i="207"/>
  <c r="C134" i="207"/>
  <c r="C133" i="207"/>
  <c r="C132" i="207"/>
  <c r="C131" i="207"/>
  <c r="C130" i="207"/>
  <c r="C129" i="207"/>
  <c r="C128" i="207"/>
  <c r="C127" i="207"/>
  <c r="C123" i="207"/>
  <c r="C122" i="207"/>
  <c r="C121" i="207"/>
  <c r="C120" i="207"/>
  <c r="C119" i="207"/>
  <c r="C118" i="207"/>
  <c r="C117" i="207"/>
  <c r="C116" i="207"/>
  <c r="C115" i="207"/>
  <c r="C114" i="207"/>
  <c r="C113" i="207"/>
  <c r="C109" i="207"/>
  <c r="C108" i="207"/>
  <c r="C107" i="207"/>
  <c r="C106" i="207"/>
  <c r="C105" i="207"/>
  <c r="C104" i="207"/>
  <c r="C101" i="207"/>
  <c r="C100" i="207"/>
  <c r="C99" i="207"/>
  <c r="C98" i="207"/>
  <c r="C97" i="207"/>
  <c r="C96" i="207"/>
  <c r="C93" i="207"/>
  <c r="C92" i="207"/>
  <c r="C91" i="207"/>
  <c r="C90" i="207"/>
  <c r="C89" i="207"/>
  <c r="C88" i="207"/>
  <c r="C78" i="207"/>
  <c r="C77" i="207"/>
  <c r="C76" i="207"/>
  <c r="C75" i="207"/>
  <c r="C74" i="207"/>
  <c r="C73" i="207"/>
  <c r="C70" i="207"/>
  <c r="C69" i="207"/>
  <c r="C68" i="207"/>
  <c r="C67" i="207"/>
  <c r="C66" i="207"/>
  <c r="C65" i="207"/>
  <c r="B27" i="207"/>
  <c r="B26" i="207"/>
  <c r="B25" i="207"/>
  <c r="B23" i="207"/>
  <c r="B32" i="207" s="1"/>
  <c r="B22" i="207"/>
  <c r="M18" i="207"/>
  <c r="L18" i="207"/>
  <c r="K18" i="207"/>
  <c r="J18" i="207"/>
  <c r="I18" i="207"/>
  <c r="H18" i="207"/>
  <c r="G18" i="207"/>
  <c r="F18" i="207"/>
  <c r="E18" i="207"/>
  <c r="D18" i="207"/>
  <c r="B18" i="207"/>
  <c r="B13" i="207"/>
  <c r="E5" i="207"/>
  <c r="F5" i="207" s="1"/>
  <c r="G5" i="207" s="1"/>
  <c r="H5" i="207" s="1"/>
  <c r="I5" i="207" s="1"/>
  <c r="J5" i="207" s="1"/>
  <c r="K5" i="207" s="1"/>
  <c r="L5" i="207" s="1"/>
  <c r="M5" i="207" s="1"/>
  <c r="D4" i="207"/>
  <c r="D139" i="207" s="1"/>
  <c r="F12" i="210" l="1"/>
  <c r="G39" i="210"/>
  <c r="F71" i="210"/>
  <c r="B45" i="207"/>
  <c r="B62" i="207" s="1"/>
  <c r="B36" i="207"/>
  <c r="B40" i="207"/>
  <c r="B57" i="207" s="1"/>
  <c r="B31" i="207"/>
  <c r="B51" i="207"/>
  <c r="B83" i="207" s="1"/>
  <c r="B34" i="207"/>
  <c r="B52" i="207"/>
  <c r="B84" i="207" s="1"/>
  <c r="B35" i="207"/>
  <c r="E60" i="210"/>
  <c r="E62" i="210" s="1"/>
  <c r="E43" i="210"/>
  <c r="B100" i="207"/>
  <c r="B129" i="207"/>
  <c r="B48" i="207"/>
  <c r="B81" i="207" s="1"/>
  <c r="B91" i="207"/>
  <c r="B131" i="207"/>
  <c r="B127" i="207"/>
  <c r="E4" i="207"/>
  <c r="E139" i="207" s="1"/>
  <c r="B43" i="207"/>
  <c r="B128" i="207"/>
  <c r="B97" i="207"/>
  <c r="B114" i="207"/>
  <c r="B89" i="207"/>
  <c r="B41" i="207"/>
  <c r="B58" i="207" s="1"/>
  <c r="B132" i="207"/>
  <c r="B118" i="207"/>
  <c r="B69" i="207"/>
  <c r="B77" i="207" s="1"/>
  <c r="B49" i="207"/>
  <c r="B82" i="207" s="1"/>
  <c r="B122" i="207"/>
  <c r="B136" i="207"/>
  <c r="B116" i="207"/>
  <c r="B99" i="207"/>
  <c r="B107" i="207"/>
  <c r="B130" i="207"/>
  <c r="B134" i="207"/>
  <c r="B120" i="207"/>
  <c r="B105" i="207"/>
  <c r="B44" i="207"/>
  <c r="B61" i="207" s="1"/>
  <c r="I61" i="210"/>
  <c r="J61" i="210" s="1"/>
  <c r="K61" i="210" s="1"/>
  <c r="L61" i="210" s="1"/>
  <c r="M61" i="210" s="1"/>
  <c r="N61" i="210" s="1"/>
  <c r="O61" i="210" s="1"/>
  <c r="B113" i="207"/>
  <c r="B104" i="207"/>
  <c r="B96" i="207"/>
  <c r="B88" i="207"/>
  <c r="B115" i="207"/>
  <c r="B106" i="207"/>
  <c r="B90" i="207"/>
  <c r="B98" i="207"/>
  <c r="B117" i="207"/>
  <c r="B108" i="207"/>
  <c r="B119" i="207"/>
  <c r="B133" i="207"/>
  <c r="B135" i="207"/>
  <c r="B121" i="207"/>
  <c r="B92" i="207"/>
  <c r="B53" i="207"/>
  <c r="B85" i="207" s="1"/>
  <c r="G4" i="210"/>
  <c r="G5" i="210"/>
  <c r="D16" i="210"/>
  <c r="D13" i="210" s="1"/>
  <c r="E11" i="213"/>
  <c r="B65" i="207" l="1"/>
  <c r="B73" i="207" s="1"/>
  <c r="H39" i="210"/>
  <c r="B59" i="207"/>
  <c r="B67" i="207"/>
  <c r="B75" i="207" s="1"/>
  <c r="B60" i="207"/>
  <c r="F4" i="207"/>
  <c r="F139" i="207" s="1"/>
  <c r="H4" i="210"/>
  <c r="B68" i="207"/>
  <c r="B76" i="207" s="1"/>
  <c r="H5" i="210"/>
  <c r="B66" i="207"/>
  <c r="B74" i="207" s="1"/>
  <c r="I39" i="210" l="1"/>
  <c r="G4" i="207"/>
  <c r="H4" i="207" s="1"/>
  <c r="I5" i="210"/>
  <c r="I4" i="210"/>
  <c r="G139" i="207"/>
  <c r="J39" i="210" l="1"/>
  <c r="J4" i="210"/>
  <c r="H139" i="207"/>
  <c r="I4" i="207"/>
  <c r="J5" i="210"/>
  <c r="K39" i="210" l="1"/>
  <c r="K4" i="210"/>
  <c r="K5" i="210"/>
  <c r="I139" i="207"/>
  <c r="J4" i="207"/>
  <c r="L39" i="210" l="1"/>
  <c r="L4" i="210"/>
  <c r="J139" i="207"/>
  <c r="K4" i="207"/>
  <c r="L5" i="210"/>
  <c r="M39" i="210" l="1"/>
  <c r="F14" i="210"/>
  <c r="F15" i="210" s="1"/>
  <c r="K139" i="207"/>
  <c r="L4" i="207"/>
  <c r="M4" i="210"/>
  <c r="M5" i="210"/>
  <c r="N39" i="210" l="1"/>
  <c r="F16" i="210"/>
  <c r="F21" i="210" s="1"/>
  <c r="N5" i="210"/>
  <c r="L139" i="207"/>
  <c r="M4" i="207"/>
  <c r="F17" i="210"/>
  <c r="N4" i="210"/>
  <c r="O39" i="210" l="1"/>
  <c r="O5" i="210"/>
  <c r="M139" i="207"/>
  <c r="O4" i="210"/>
  <c r="G25" i="206" l="1"/>
  <c r="G26" i="206"/>
  <c r="G27" i="206"/>
  <c r="G28" i="206"/>
  <c r="G29" i="206"/>
  <c r="G24" i="206"/>
  <c r="G16" i="206"/>
  <c r="G17" i="206"/>
  <c r="G18" i="206"/>
  <c r="G19" i="206"/>
  <c r="G20" i="206"/>
  <c r="G23" i="206" l="1"/>
  <c r="L51" i="150"/>
  <c r="G34" i="206"/>
  <c r="M30" i="150"/>
  <c r="L47" i="150"/>
  <c r="E16" i="199"/>
  <c r="F15" i="199"/>
  <c r="G15" i="199"/>
  <c r="H15" i="199"/>
  <c r="I15" i="199"/>
  <c r="J15" i="199"/>
  <c r="K15" i="199"/>
  <c r="L15" i="199"/>
  <c r="M15" i="199"/>
  <c r="N15" i="199"/>
  <c r="E15" i="199"/>
  <c r="G8" i="204"/>
  <c r="G7" i="204"/>
  <c r="H6" i="204"/>
  <c r="I6" i="204" s="1"/>
  <c r="J6" i="204" s="1"/>
  <c r="K6" i="204" s="1"/>
  <c r="L6" i="204" s="1"/>
  <c r="M6" i="204" s="1"/>
  <c r="N6" i="204" s="1"/>
  <c r="O6" i="204" s="1"/>
  <c r="P6" i="204" s="1"/>
  <c r="H7" i="204" l="1"/>
  <c r="I7" i="204" s="1"/>
  <c r="J7" i="204" s="1"/>
  <c r="K7" i="204" s="1"/>
  <c r="L7" i="204" s="1"/>
  <c r="M7" i="204" s="1"/>
  <c r="N7" i="204" s="1"/>
  <c r="O7" i="204" s="1"/>
  <c r="P7" i="204" s="1"/>
  <c r="H8" i="204"/>
  <c r="I8" i="204" s="1"/>
  <c r="J8" i="204" s="1"/>
  <c r="K8" i="204" s="1"/>
  <c r="L8" i="204" s="1"/>
  <c r="M8" i="204" s="1"/>
  <c r="N8" i="204" s="1"/>
  <c r="O8" i="204" s="1"/>
  <c r="P8" i="204" s="1"/>
  <c r="M51" i="150"/>
  <c r="F17" i="199"/>
  <c r="H34" i="206"/>
  <c r="N30" i="150"/>
  <c r="G17" i="199" s="1"/>
  <c r="L32" i="150"/>
  <c r="G29" i="204"/>
  <c r="E121" i="199" s="1"/>
  <c r="H28" i="204"/>
  <c r="I28" i="204" s="1"/>
  <c r="J28" i="204" s="1"/>
  <c r="K28" i="204" s="1"/>
  <c r="L28" i="204" s="1"/>
  <c r="M28" i="204" s="1"/>
  <c r="N28" i="204" s="1"/>
  <c r="O28" i="204" s="1"/>
  <c r="P28" i="204" s="1"/>
  <c r="G22" i="204"/>
  <c r="G23" i="204"/>
  <c r="G24" i="204"/>
  <c r="G25" i="204"/>
  <c r="G26" i="204"/>
  <c r="G21" i="204"/>
  <c r="H20" i="204"/>
  <c r="I20" i="204" s="1"/>
  <c r="J20" i="204" s="1"/>
  <c r="K20" i="204" s="1"/>
  <c r="L20" i="204" s="1"/>
  <c r="M20" i="204" s="1"/>
  <c r="N20" i="204" s="1"/>
  <c r="O20" i="204" s="1"/>
  <c r="P20" i="204" s="1"/>
  <c r="G14" i="204"/>
  <c r="G15" i="204"/>
  <c r="G16" i="204"/>
  <c r="G17" i="204"/>
  <c r="G18" i="204"/>
  <c r="H18" i="204" s="1"/>
  <c r="H12" i="204"/>
  <c r="I12" i="204" s="1"/>
  <c r="J12" i="204" s="1"/>
  <c r="K12" i="204" s="1"/>
  <c r="L12" i="204" s="1"/>
  <c r="M12" i="204" s="1"/>
  <c r="N12" i="204" s="1"/>
  <c r="O12" i="204" s="1"/>
  <c r="P12" i="204" s="1"/>
  <c r="G13" i="204"/>
  <c r="F33" i="206"/>
  <c r="H22" i="206"/>
  <c r="H13" i="206"/>
  <c r="M85" i="150"/>
  <c r="N85" i="150"/>
  <c r="O85" i="150"/>
  <c r="P85" i="150"/>
  <c r="Q85" i="150"/>
  <c r="R85" i="150"/>
  <c r="S85" i="150"/>
  <c r="T85" i="150"/>
  <c r="U85" i="150"/>
  <c r="L85" i="150"/>
  <c r="M78" i="150"/>
  <c r="N78" i="150"/>
  <c r="O78" i="150"/>
  <c r="P78" i="150"/>
  <c r="Q78" i="150"/>
  <c r="R78" i="150"/>
  <c r="S78" i="150"/>
  <c r="T78" i="150"/>
  <c r="U78" i="150"/>
  <c r="L78" i="150"/>
  <c r="H23" i="204" l="1"/>
  <c r="I23" i="204"/>
  <c r="J23" i="204" s="1"/>
  <c r="K23" i="204" s="1"/>
  <c r="L23" i="204" s="1"/>
  <c r="M23" i="204" s="1"/>
  <c r="N23" i="204" s="1"/>
  <c r="O23" i="204" s="1"/>
  <c r="P23" i="204" s="1"/>
  <c r="H15" i="204"/>
  <c r="E119" i="199"/>
  <c r="E45" i="199"/>
  <c r="E117" i="199"/>
  <c r="E25" i="199" s="1"/>
  <c r="H37" i="236" s="1"/>
  <c r="I71" i="213"/>
  <c r="H21" i="204"/>
  <c r="E69" i="199"/>
  <c r="E110" i="199"/>
  <c r="E114" i="199"/>
  <c r="E113" i="199"/>
  <c r="E72" i="199"/>
  <c r="E67" i="199"/>
  <c r="E39" i="199" s="1"/>
  <c r="H165" i="236" s="1"/>
  <c r="E91" i="199"/>
  <c r="E112" i="199"/>
  <c r="E111" i="199"/>
  <c r="E90" i="199"/>
  <c r="E93" i="199"/>
  <c r="E115" i="199"/>
  <c r="E92" i="199"/>
  <c r="E94" i="199"/>
  <c r="E68" i="199"/>
  <c r="E71" i="199"/>
  <c r="E95" i="199"/>
  <c r="E70" i="199"/>
  <c r="H17" i="204"/>
  <c r="H25" i="204"/>
  <c r="I25" i="204" s="1"/>
  <c r="J25" i="204" s="1"/>
  <c r="K25" i="204" s="1"/>
  <c r="L25" i="204" s="1"/>
  <c r="M25" i="204" s="1"/>
  <c r="N25" i="204" s="1"/>
  <c r="O25" i="204" s="1"/>
  <c r="P25" i="204" s="1"/>
  <c r="H13" i="204"/>
  <c r="E59" i="199"/>
  <c r="E82" i="199"/>
  <c r="E102" i="199"/>
  <c r="E84" i="199"/>
  <c r="E83" i="199"/>
  <c r="E106" i="199"/>
  <c r="E64" i="199"/>
  <c r="E62" i="199"/>
  <c r="E85" i="199"/>
  <c r="E105" i="199"/>
  <c r="E104" i="199"/>
  <c r="E63" i="199"/>
  <c r="E36" i="199" s="1"/>
  <c r="H139" i="236" s="1"/>
  <c r="E107" i="199"/>
  <c r="E86" i="199"/>
  <c r="E87" i="199"/>
  <c r="E61" i="199"/>
  <c r="E103" i="199"/>
  <c r="E60" i="199"/>
  <c r="E33" i="199" s="1"/>
  <c r="H136" i="236" s="1"/>
  <c r="O30" i="150"/>
  <c r="H17" i="199" s="1"/>
  <c r="N51" i="150"/>
  <c r="I22" i="206"/>
  <c r="J22" i="206" s="1"/>
  <c r="K22" i="206" s="1"/>
  <c r="L22" i="206" s="1"/>
  <c r="M22" i="206" s="1"/>
  <c r="N22" i="206" s="1"/>
  <c r="O22" i="206" s="1"/>
  <c r="P22" i="206" s="1"/>
  <c r="H27" i="206"/>
  <c r="H28" i="206"/>
  <c r="H26" i="206"/>
  <c r="H24" i="206"/>
  <c r="H29" i="206"/>
  <c r="H25" i="206"/>
  <c r="I13" i="206"/>
  <c r="J13" i="206" s="1"/>
  <c r="K13" i="206" s="1"/>
  <c r="L13" i="206" s="1"/>
  <c r="M13" i="206" s="1"/>
  <c r="N13" i="206" s="1"/>
  <c r="O13" i="206" s="1"/>
  <c r="P13" i="206" s="1"/>
  <c r="H19" i="206"/>
  <c r="H18" i="206"/>
  <c r="H20" i="206"/>
  <c r="H16" i="206"/>
  <c r="H17" i="206"/>
  <c r="H15" i="206"/>
  <c r="I34" i="206"/>
  <c r="H22" i="204"/>
  <c r="I22" i="204" s="1"/>
  <c r="J22" i="204" s="1"/>
  <c r="K22" i="204" s="1"/>
  <c r="L22" i="204" s="1"/>
  <c r="M22" i="204" s="1"/>
  <c r="N22" i="204" s="1"/>
  <c r="O22" i="204" s="1"/>
  <c r="P22" i="204" s="1"/>
  <c r="H29" i="204"/>
  <c r="I29" i="204" s="1"/>
  <c r="J29" i="204" s="1"/>
  <c r="K29" i="204" s="1"/>
  <c r="L29" i="204" s="1"/>
  <c r="M29" i="204" s="1"/>
  <c r="N29" i="204" s="1"/>
  <c r="O29" i="204" s="1"/>
  <c r="P29" i="204" s="1"/>
  <c r="I21" i="204"/>
  <c r="H14" i="204"/>
  <c r="I14" i="204" s="1"/>
  <c r="J14" i="204" s="1"/>
  <c r="K14" i="204" s="1"/>
  <c r="L14" i="204" s="1"/>
  <c r="M14" i="204" s="1"/>
  <c r="N14" i="204" s="1"/>
  <c r="O14" i="204" s="1"/>
  <c r="P14" i="204" s="1"/>
  <c r="I15" i="204"/>
  <c r="J15" i="204" s="1"/>
  <c r="K15" i="204" s="1"/>
  <c r="L15" i="204" s="1"/>
  <c r="M15" i="204" s="1"/>
  <c r="N15" i="204" s="1"/>
  <c r="O15" i="204" s="1"/>
  <c r="P15" i="204" s="1"/>
  <c r="H16" i="204"/>
  <c r="I16" i="204" s="1"/>
  <c r="J16" i="204" s="1"/>
  <c r="K16" i="204" s="1"/>
  <c r="L16" i="204" s="1"/>
  <c r="M16" i="204" s="1"/>
  <c r="N16" i="204" s="1"/>
  <c r="O16" i="204" s="1"/>
  <c r="P16" i="204" s="1"/>
  <c r="I17" i="204"/>
  <c r="J17" i="204" s="1"/>
  <c r="K17" i="204" s="1"/>
  <c r="L17" i="204" s="1"/>
  <c r="M17" i="204" s="1"/>
  <c r="N17" i="204" s="1"/>
  <c r="O17" i="204" s="1"/>
  <c r="P17" i="204" s="1"/>
  <c r="H26" i="204"/>
  <c r="I26" i="204" s="1"/>
  <c r="J26" i="204" s="1"/>
  <c r="K26" i="204" s="1"/>
  <c r="L26" i="204" s="1"/>
  <c r="M26" i="204" s="1"/>
  <c r="N26" i="204" s="1"/>
  <c r="O26" i="204" s="1"/>
  <c r="P26" i="204" s="1"/>
  <c r="H24" i="204"/>
  <c r="I24" i="204" s="1"/>
  <c r="J24" i="204" s="1"/>
  <c r="K24" i="204" s="1"/>
  <c r="L24" i="204" s="1"/>
  <c r="M24" i="204" s="1"/>
  <c r="N24" i="204" s="1"/>
  <c r="O24" i="204" s="1"/>
  <c r="P24" i="204" s="1"/>
  <c r="I18" i="204"/>
  <c r="J18" i="204" s="1"/>
  <c r="K18" i="204" s="1"/>
  <c r="L18" i="204" s="1"/>
  <c r="M18" i="204" s="1"/>
  <c r="N18" i="204" s="1"/>
  <c r="O18" i="204" s="1"/>
  <c r="P18" i="204" s="1"/>
  <c r="E41" i="199" l="1"/>
  <c r="H167" i="236" s="1"/>
  <c r="E35" i="199"/>
  <c r="H138" i="236" s="1"/>
  <c r="E34" i="199"/>
  <c r="H137" i="236" s="1"/>
  <c r="E37" i="199"/>
  <c r="H140" i="236" s="1"/>
  <c r="E42" i="199"/>
  <c r="H168" i="236" s="1"/>
  <c r="E43" i="199"/>
  <c r="H169" i="236" s="1"/>
  <c r="E40" i="199"/>
  <c r="H166" i="236" s="1"/>
  <c r="E32" i="199"/>
  <c r="H135" i="236" s="1"/>
  <c r="E44" i="199"/>
  <c r="H170" i="236" s="1"/>
  <c r="I10" i="213"/>
  <c r="E109" i="199"/>
  <c r="J21" i="204"/>
  <c r="G69" i="199"/>
  <c r="G111" i="199"/>
  <c r="G95" i="199"/>
  <c r="G113" i="199"/>
  <c r="G94" i="199"/>
  <c r="G91" i="199"/>
  <c r="G68" i="199"/>
  <c r="G92" i="199"/>
  <c r="G112" i="199"/>
  <c r="G93" i="199"/>
  <c r="G110" i="199"/>
  <c r="G71" i="199"/>
  <c r="G114" i="199"/>
  <c r="G70" i="199"/>
  <c r="G115" i="199"/>
  <c r="G72" i="199"/>
  <c r="G90" i="199"/>
  <c r="G67" i="199"/>
  <c r="E89" i="199"/>
  <c r="E101" i="199"/>
  <c r="E99" i="199" s="1"/>
  <c r="E97" i="199" s="1"/>
  <c r="E24" i="199" s="1"/>
  <c r="H36" i="236" s="1"/>
  <c r="F115" i="199"/>
  <c r="F91" i="199"/>
  <c r="F68" i="199"/>
  <c r="F110" i="199"/>
  <c r="F71" i="199"/>
  <c r="F95" i="199"/>
  <c r="F67" i="199"/>
  <c r="F111" i="199"/>
  <c r="F113" i="199"/>
  <c r="F112" i="199"/>
  <c r="F90" i="199"/>
  <c r="F94" i="199"/>
  <c r="F72" i="199"/>
  <c r="F93" i="199"/>
  <c r="F114" i="199"/>
  <c r="F92" i="199"/>
  <c r="F70" i="199"/>
  <c r="F42" i="199" s="1"/>
  <c r="I168" i="236" s="1"/>
  <c r="F69" i="199"/>
  <c r="I13" i="204"/>
  <c r="F59" i="199"/>
  <c r="F82" i="199"/>
  <c r="F102" i="199"/>
  <c r="F63" i="199"/>
  <c r="F87" i="199"/>
  <c r="F107" i="199"/>
  <c r="F86" i="199"/>
  <c r="F83" i="199"/>
  <c r="F103" i="199"/>
  <c r="F64" i="199"/>
  <c r="F62" i="199"/>
  <c r="F60" i="199"/>
  <c r="F61" i="199"/>
  <c r="F106" i="199"/>
  <c r="F84" i="199"/>
  <c r="F104" i="199"/>
  <c r="F105" i="199"/>
  <c r="F85" i="199"/>
  <c r="E81" i="199"/>
  <c r="F121" i="199"/>
  <c r="E58" i="199"/>
  <c r="E66" i="199"/>
  <c r="E38" i="199" s="1"/>
  <c r="P30" i="150"/>
  <c r="I17" i="199" s="1"/>
  <c r="O51" i="150"/>
  <c r="J34" i="206"/>
  <c r="G121" i="199"/>
  <c r="I25" i="206"/>
  <c r="I29" i="206"/>
  <c r="I16" i="206"/>
  <c r="I26" i="206"/>
  <c r="I15" i="206"/>
  <c r="I20" i="206"/>
  <c r="I28" i="206"/>
  <c r="I24" i="206"/>
  <c r="I18" i="206"/>
  <c r="I27" i="206"/>
  <c r="I17" i="206"/>
  <c r="I19" i="206"/>
  <c r="F41" i="199" l="1"/>
  <c r="I167" i="236" s="1"/>
  <c r="E31" i="199"/>
  <c r="F44" i="199"/>
  <c r="I170" i="236" s="1"/>
  <c r="G42" i="199"/>
  <c r="J168" i="236" s="1"/>
  <c r="H171" i="236"/>
  <c r="H178" i="236" s="1"/>
  <c r="I22" i="213"/>
  <c r="H60" i="236"/>
  <c r="H141" i="236"/>
  <c r="H148" i="236" s="1"/>
  <c r="F33" i="199"/>
  <c r="I136" i="236" s="1"/>
  <c r="G43" i="199"/>
  <c r="J169" i="236" s="1"/>
  <c r="G44" i="199"/>
  <c r="J170" i="236" s="1"/>
  <c r="F40" i="199"/>
  <c r="I166" i="236" s="1"/>
  <c r="G40" i="199"/>
  <c r="J166" i="236" s="1"/>
  <c r="F36" i="199"/>
  <c r="I139" i="236" s="1"/>
  <c r="F37" i="199"/>
  <c r="I140" i="236" s="1"/>
  <c r="G39" i="199"/>
  <c r="J165" i="236" s="1"/>
  <c r="G41" i="199"/>
  <c r="J167" i="236" s="1"/>
  <c r="F34" i="199"/>
  <c r="I137" i="236" s="1"/>
  <c r="F39" i="199"/>
  <c r="I165" i="236" s="1"/>
  <c r="F35" i="199"/>
  <c r="I138" i="236" s="1"/>
  <c r="F43" i="199"/>
  <c r="I169" i="236" s="1"/>
  <c r="F32" i="199"/>
  <c r="I135" i="236" s="1"/>
  <c r="E38" i="209"/>
  <c r="E21" i="209"/>
  <c r="I127" i="213" s="1"/>
  <c r="I84" i="213"/>
  <c r="G119" i="199"/>
  <c r="G45" i="199"/>
  <c r="I70" i="213"/>
  <c r="I9" i="213" s="1"/>
  <c r="H59" i="236" s="1"/>
  <c r="F119" i="199"/>
  <c r="F45" i="199"/>
  <c r="E30" i="209"/>
  <c r="E79" i="199"/>
  <c r="I69" i="213"/>
  <c r="E56" i="199"/>
  <c r="J13" i="204"/>
  <c r="G82" i="199"/>
  <c r="G102" i="199"/>
  <c r="G59" i="199"/>
  <c r="G61" i="199"/>
  <c r="G62" i="199"/>
  <c r="G83" i="199"/>
  <c r="G63" i="199"/>
  <c r="G64" i="199"/>
  <c r="G105" i="199"/>
  <c r="G85" i="199"/>
  <c r="G86" i="199"/>
  <c r="G103" i="199"/>
  <c r="G84" i="199"/>
  <c r="G104" i="199"/>
  <c r="G87" i="199"/>
  <c r="G60" i="199"/>
  <c r="G106" i="199"/>
  <c r="G107" i="199"/>
  <c r="K21" i="204"/>
  <c r="H113" i="199"/>
  <c r="H111" i="199"/>
  <c r="H91" i="199"/>
  <c r="H93" i="199"/>
  <c r="H72" i="199"/>
  <c r="H44" i="199" s="1"/>
  <c r="K170" i="236" s="1"/>
  <c r="H110" i="199"/>
  <c r="H94" i="199"/>
  <c r="H67" i="199"/>
  <c r="H39" i="199" s="1"/>
  <c r="K165" i="236" s="1"/>
  <c r="H68" i="199"/>
  <c r="H69" i="199"/>
  <c r="H70" i="199"/>
  <c r="H42" i="199" s="1"/>
  <c r="K168" i="236" s="1"/>
  <c r="H112" i="199"/>
  <c r="H71" i="199"/>
  <c r="H115" i="199"/>
  <c r="H90" i="199"/>
  <c r="H92" i="199"/>
  <c r="H95" i="199"/>
  <c r="H114" i="199"/>
  <c r="P51" i="150"/>
  <c r="Q30" i="150"/>
  <c r="J17" i="199" s="1"/>
  <c r="G117" i="199"/>
  <c r="G25" i="199" s="1"/>
  <c r="J37" i="236" s="1"/>
  <c r="K71" i="213"/>
  <c r="K10" i="213" s="1"/>
  <c r="J60" i="236" s="1"/>
  <c r="J19" i="206"/>
  <c r="J27" i="206"/>
  <c r="J24" i="206"/>
  <c r="J20" i="206"/>
  <c r="J26" i="206"/>
  <c r="J29" i="206"/>
  <c r="F101" i="199"/>
  <c r="F81" i="199"/>
  <c r="F58" i="199"/>
  <c r="J17" i="206"/>
  <c r="J18" i="206"/>
  <c r="J28" i="206"/>
  <c r="J15" i="206"/>
  <c r="J16" i="206"/>
  <c r="J25" i="206"/>
  <c r="F66" i="199"/>
  <c r="F109" i="199"/>
  <c r="F89" i="199"/>
  <c r="K34" i="206"/>
  <c r="H121" i="199"/>
  <c r="H180" i="236" l="1"/>
  <c r="H176" i="236"/>
  <c r="H177" i="236"/>
  <c r="G33" i="199"/>
  <c r="J136" i="236" s="1"/>
  <c r="H145" i="236"/>
  <c r="H179" i="236"/>
  <c r="J171" i="236"/>
  <c r="J175" i="236" s="1"/>
  <c r="I141" i="236"/>
  <c r="I151" i="236" s="1"/>
  <c r="H147" i="236"/>
  <c r="H151" i="236"/>
  <c r="H149" i="236"/>
  <c r="H146" i="236"/>
  <c r="I171" i="236"/>
  <c r="I176" i="236" s="1"/>
  <c r="H150" i="236"/>
  <c r="H181" i="236"/>
  <c r="H175" i="236"/>
  <c r="F31" i="199"/>
  <c r="F38" i="199"/>
  <c r="H43" i="199"/>
  <c r="K169" i="236" s="1"/>
  <c r="H41" i="199"/>
  <c r="K167" i="236" s="1"/>
  <c r="H40" i="199"/>
  <c r="K166" i="236" s="1"/>
  <c r="G37" i="199"/>
  <c r="J140" i="236" s="1"/>
  <c r="I28" i="213"/>
  <c r="I34" i="213" s="1"/>
  <c r="G42" i="238" s="1"/>
  <c r="G35" i="199"/>
  <c r="J138" i="236" s="1"/>
  <c r="G32" i="199"/>
  <c r="J135" i="236" s="1"/>
  <c r="G34" i="199"/>
  <c r="J137" i="236" s="1"/>
  <c r="G36" i="199"/>
  <c r="J139" i="236" s="1"/>
  <c r="E29" i="209"/>
  <c r="I9" i="230"/>
  <c r="H119" i="199"/>
  <c r="H45" i="199"/>
  <c r="F117" i="199"/>
  <c r="F25" i="199" s="1"/>
  <c r="I37" i="236" s="1"/>
  <c r="J71" i="213"/>
  <c r="J10" i="213" s="1"/>
  <c r="I60" i="236" s="1"/>
  <c r="I83" i="213"/>
  <c r="I21" i="213"/>
  <c r="F9" i="226"/>
  <c r="E20" i="209"/>
  <c r="I126" i="213" s="1"/>
  <c r="E37" i="209"/>
  <c r="I8" i="213"/>
  <c r="H58" i="236" s="1"/>
  <c r="K22" i="213"/>
  <c r="G38" i="209"/>
  <c r="G21" i="209"/>
  <c r="K127" i="213" s="1"/>
  <c r="K84" i="213"/>
  <c r="G30" i="209"/>
  <c r="J70" i="213"/>
  <c r="J69" i="213"/>
  <c r="J8" i="213" s="1"/>
  <c r="L21" i="204"/>
  <c r="I114" i="199"/>
  <c r="I70" i="199"/>
  <c r="I112" i="199"/>
  <c r="I67" i="199"/>
  <c r="I94" i="199"/>
  <c r="I111" i="199"/>
  <c r="I95" i="199"/>
  <c r="I93" i="199"/>
  <c r="I72" i="199"/>
  <c r="I92" i="199"/>
  <c r="I110" i="199"/>
  <c r="I115" i="199"/>
  <c r="I91" i="199"/>
  <c r="I90" i="199"/>
  <c r="I69" i="199"/>
  <c r="I71" i="199"/>
  <c r="I113" i="199"/>
  <c r="I68" i="199"/>
  <c r="I40" i="199" s="1"/>
  <c r="L166" i="236" s="1"/>
  <c r="K13" i="204"/>
  <c r="H102" i="199"/>
  <c r="H59" i="199"/>
  <c r="H82" i="199"/>
  <c r="H63" i="199"/>
  <c r="H87" i="199"/>
  <c r="H83" i="199"/>
  <c r="H105" i="199"/>
  <c r="H86" i="199"/>
  <c r="H64" i="199"/>
  <c r="H84" i="199"/>
  <c r="H103" i="199"/>
  <c r="H60" i="199"/>
  <c r="H85" i="199"/>
  <c r="H61" i="199"/>
  <c r="H104" i="199"/>
  <c r="H106" i="199"/>
  <c r="H107" i="199"/>
  <c r="H62" i="199"/>
  <c r="Q51" i="150"/>
  <c r="R30" i="150"/>
  <c r="K17" i="199" s="1"/>
  <c r="H117" i="199"/>
  <c r="H25" i="199" s="1"/>
  <c r="K37" i="236" s="1"/>
  <c r="L71" i="213"/>
  <c r="L10" i="213" s="1"/>
  <c r="K60" i="236" s="1"/>
  <c r="K20" i="206"/>
  <c r="K28" i="206"/>
  <c r="K17" i="206"/>
  <c r="G89" i="199"/>
  <c r="L34" i="206"/>
  <c r="I121" i="199"/>
  <c r="K29" i="206"/>
  <c r="K16" i="206"/>
  <c r="G58" i="199"/>
  <c r="F56" i="199"/>
  <c r="G66" i="199"/>
  <c r="G38" i="199" s="1"/>
  <c r="K18" i="206"/>
  <c r="K27" i="206"/>
  <c r="G81" i="199"/>
  <c r="F79" i="199"/>
  <c r="G109" i="199"/>
  <c r="K25" i="206"/>
  <c r="K15" i="206"/>
  <c r="G101" i="199"/>
  <c r="F99" i="199"/>
  <c r="F97" i="199" s="1"/>
  <c r="F24" i="199" s="1"/>
  <c r="I36" i="236" s="1"/>
  <c r="K26" i="206"/>
  <c r="K24" i="206"/>
  <c r="K19" i="206"/>
  <c r="J180" i="236" l="1"/>
  <c r="I175" i="236"/>
  <c r="J179" i="236"/>
  <c r="J177" i="236"/>
  <c r="I43" i="199"/>
  <c r="L169" i="236" s="1"/>
  <c r="K171" i="236"/>
  <c r="K180" i="236" s="1"/>
  <c r="I39" i="199"/>
  <c r="L165" i="236" s="1"/>
  <c r="J141" i="236"/>
  <c r="J145" i="236" s="1"/>
  <c r="I145" i="236"/>
  <c r="I146" i="236"/>
  <c r="K8" i="230"/>
  <c r="I58" i="236"/>
  <c r="I148" i="236"/>
  <c r="I150" i="236"/>
  <c r="I181" i="236"/>
  <c r="I178" i="236"/>
  <c r="I180" i="236"/>
  <c r="I177" i="236"/>
  <c r="J176" i="236"/>
  <c r="I179" i="236"/>
  <c r="J181" i="236"/>
  <c r="J178" i="236"/>
  <c r="I147" i="236"/>
  <c r="I149" i="236"/>
  <c r="H34" i="199"/>
  <c r="K137" i="236" s="1"/>
  <c r="I44" i="199"/>
  <c r="L170" i="236" s="1"/>
  <c r="H35" i="199"/>
  <c r="K138" i="236" s="1"/>
  <c r="H32" i="199"/>
  <c r="K135" i="236" s="1"/>
  <c r="H36" i="199"/>
  <c r="K139" i="236" s="1"/>
  <c r="I42" i="199"/>
  <c r="L168" i="236" s="1"/>
  <c r="H33" i="199"/>
  <c r="K136" i="236" s="1"/>
  <c r="I41" i="199"/>
  <c r="L167" i="236" s="1"/>
  <c r="H37" i="199"/>
  <c r="K140" i="236" s="1"/>
  <c r="E28" i="209"/>
  <c r="I8" i="230"/>
  <c r="G31" i="199"/>
  <c r="I119" i="199"/>
  <c r="I117" i="199" s="1"/>
  <c r="I25" i="199" s="1"/>
  <c r="L37" i="236" s="1"/>
  <c r="I45" i="199"/>
  <c r="F21" i="209"/>
  <c r="J127" i="213" s="1"/>
  <c r="F38" i="209"/>
  <c r="J22" i="213"/>
  <c r="F30" i="209"/>
  <c r="J84" i="213"/>
  <c r="K28" i="213"/>
  <c r="K34" i="213" s="1"/>
  <c r="I42" i="238" s="1"/>
  <c r="E19" i="209"/>
  <c r="I125" i="213" s="1"/>
  <c r="E36" i="209"/>
  <c r="F8" i="226"/>
  <c r="F22" i="226" s="1"/>
  <c r="I20" i="213"/>
  <c r="I82" i="213"/>
  <c r="J9" i="213"/>
  <c r="I59" i="236" s="1"/>
  <c r="G8" i="226"/>
  <c r="F19" i="209"/>
  <c r="J125" i="213" s="1"/>
  <c r="F28" i="209"/>
  <c r="F36" i="209"/>
  <c r="J82" i="213"/>
  <c r="L22" i="213"/>
  <c r="L84" i="213"/>
  <c r="H30" i="209"/>
  <c r="H38" i="209"/>
  <c r="H21" i="209"/>
  <c r="L127" i="213" s="1"/>
  <c r="J20" i="213"/>
  <c r="K69" i="213"/>
  <c r="K8" i="213" s="1"/>
  <c r="L13" i="204"/>
  <c r="I102" i="199"/>
  <c r="I82" i="199"/>
  <c r="I59" i="199"/>
  <c r="I60" i="199"/>
  <c r="I105" i="199"/>
  <c r="I107" i="199"/>
  <c r="I83" i="199"/>
  <c r="I63" i="199"/>
  <c r="I106" i="199"/>
  <c r="I85" i="199"/>
  <c r="I104" i="199"/>
  <c r="I61" i="199"/>
  <c r="I84" i="199"/>
  <c r="I86" i="199"/>
  <c r="I87" i="199"/>
  <c r="I62" i="199"/>
  <c r="I103" i="199"/>
  <c r="I64" i="199"/>
  <c r="M21" i="204"/>
  <c r="J115" i="199"/>
  <c r="J110" i="199"/>
  <c r="J112" i="199"/>
  <c r="J71" i="199"/>
  <c r="J43" i="199" s="1"/>
  <c r="M169" i="236" s="1"/>
  <c r="J91" i="199"/>
  <c r="J72" i="199"/>
  <c r="J94" i="199"/>
  <c r="J69" i="199"/>
  <c r="J67" i="199"/>
  <c r="J113" i="199"/>
  <c r="J68" i="199"/>
  <c r="J93" i="199"/>
  <c r="J92" i="199"/>
  <c r="J90" i="199"/>
  <c r="J114" i="199"/>
  <c r="J111" i="199"/>
  <c r="J70" i="199"/>
  <c r="J95" i="199"/>
  <c r="K70" i="213"/>
  <c r="K9" i="213" s="1"/>
  <c r="R51" i="150"/>
  <c r="S30" i="150"/>
  <c r="L17" i="199" s="1"/>
  <c r="M71" i="213"/>
  <c r="M10" i="213" s="1"/>
  <c r="L60" i="236" s="1"/>
  <c r="G99" i="199"/>
  <c r="G97" i="199" s="1"/>
  <c r="G24" i="199" s="1"/>
  <c r="J36" i="236" s="1"/>
  <c r="G56" i="199"/>
  <c r="H101" i="199"/>
  <c r="G79" i="199"/>
  <c r="H66" i="199"/>
  <c r="H38" i="199" s="1"/>
  <c r="L27" i="206"/>
  <c r="H109" i="199"/>
  <c r="L25" i="206"/>
  <c r="M34" i="206"/>
  <c r="J121" i="199"/>
  <c r="H89" i="199"/>
  <c r="H81" i="199"/>
  <c r="L28" i="206"/>
  <c r="L26" i="206"/>
  <c r="L29" i="206"/>
  <c r="L24" i="206"/>
  <c r="L16" i="206"/>
  <c r="H58" i="199"/>
  <c r="L18" i="206"/>
  <c r="L15" i="206"/>
  <c r="L19" i="206"/>
  <c r="L17" i="206"/>
  <c r="L20" i="206"/>
  <c r="K181" i="236" l="1"/>
  <c r="K177" i="236"/>
  <c r="K179" i="236"/>
  <c r="K175" i="236"/>
  <c r="K178" i="236"/>
  <c r="K176" i="236"/>
  <c r="I35" i="199"/>
  <c r="L138" i="236" s="1"/>
  <c r="I36" i="199"/>
  <c r="L139" i="236" s="1"/>
  <c r="J150" i="236"/>
  <c r="K141" i="236"/>
  <c r="K151" i="236" s="1"/>
  <c r="J146" i="236"/>
  <c r="J151" i="236"/>
  <c r="M8" i="230"/>
  <c r="J58" i="236"/>
  <c r="L171" i="236"/>
  <c r="J147" i="236"/>
  <c r="J148" i="236"/>
  <c r="M9" i="230"/>
  <c r="J59" i="236"/>
  <c r="J149" i="236"/>
  <c r="H31" i="199"/>
  <c r="J39" i="199"/>
  <c r="M165" i="236" s="1"/>
  <c r="J42" i="199"/>
  <c r="M168" i="236" s="1"/>
  <c r="I32" i="199"/>
  <c r="L135" i="236" s="1"/>
  <c r="J40" i="199"/>
  <c r="M166" i="236" s="1"/>
  <c r="I34" i="199"/>
  <c r="L137" i="236" s="1"/>
  <c r="I33" i="199"/>
  <c r="L136" i="236" s="1"/>
  <c r="J41" i="199"/>
  <c r="M167" i="236" s="1"/>
  <c r="I37" i="199"/>
  <c r="L140" i="236" s="1"/>
  <c r="J44" i="199"/>
  <c r="M170" i="236" s="1"/>
  <c r="L28" i="213"/>
  <c r="L34" i="213" s="1"/>
  <c r="J42" i="238" s="1"/>
  <c r="J28" i="213"/>
  <c r="J34" i="213" s="1"/>
  <c r="H42" i="238" s="1"/>
  <c r="F20" i="209"/>
  <c r="J126" i="213" s="1"/>
  <c r="K9" i="230"/>
  <c r="J119" i="199"/>
  <c r="J45" i="199"/>
  <c r="F49" i="226"/>
  <c r="F21" i="226"/>
  <c r="F50" i="226"/>
  <c r="J83" i="213"/>
  <c r="G9" i="226"/>
  <c r="G22" i="226" s="1"/>
  <c r="J21" i="213"/>
  <c r="F37" i="209"/>
  <c r="F29" i="209"/>
  <c r="D21" i="215"/>
  <c r="I134" i="213" s="1"/>
  <c r="D22" i="215"/>
  <c r="I135" i="213" s="1"/>
  <c r="M22" i="213"/>
  <c r="I30" i="209"/>
  <c r="M84" i="213"/>
  <c r="I38" i="209"/>
  <c r="I21" i="209"/>
  <c r="M127" i="213" s="1"/>
  <c r="G36" i="209"/>
  <c r="G19" i="209"/>
  <c r="K125" i="213" s="1"/>
  <c r="G28" i="209"/>
  <c r="K82" i="213"/>
  <c r="G37" i="209"/>
  <c r="G20" i="209"/>
  <c r="K126" i="213" s="1"/>
  <c r="G29" i="209"/>
  <c r="K83" i="213"/>
  <c r="K20" i="213"/>
  <c r="H8" i="226"/>
  <c r="K21" i="213"/>
  <c r="H9" i="226"/>
  <c r="L69" i="213"/>
  <c r="L8" i="213" s="1"/>
  <c r="N21" i="204"/>
  <c r="K115" i="199"/>
  <c r="K67" i="199"/>
  <c r="K71" i="199"/>
  <c r="K91" i="199"/>
  <c r="K95" i="199"/>
  <c r="K112" i="199"/>
  <c r="K111" i="199"/>
  <c r="K69" i="199"/>
  <c r="K113" i="199"/>
  <c r="K92" i="199"/>
  <c r="K110" i="199"/>
  <c r="K114" i="199"/>
  <c r="K93" i="199"/>
  <c r="K90" i="199"/>
  <c r="K94" i="199"/>
  <c r="K70" i="199"/>
  <c r="K68" i="199"/>
  <c r="K72" i="199"/>
  <c r="M13" i="204"/>
  <c r="J82" i="199"/>
  <c r="J102" i="199"/>
  <c r="J59" i="199"/>
  <c r="J60" i="199"/>
  <c r="J86" i="199"/>
  <c r="J87" i="199"/>
  <c r="J61" i="199"/>
  <c r="J104" i="199"/>
  <c r="J84" i="199"/>
  <c r="J62" i="199"/>
  <c r="J107" i="199"/>
  <c r="J63" i="199"/>
  <c r="J64" i="199"/>
  <c r="J106" i="199"/>
  <c r="J85" i="199"/>
  <c r="J103" i="199"/>
  <c r="J83" i="199"/>
  <c r="J105" i="199"/>
  <c r="L70" i="213"/>
  <c r="L9" i="213" s="1"/>
  <c r="S51" i="150"/>
  <c r="T30" i="150"/>
  <c r="M17" i="199" s="1"/>
  <c r="J117" i="199"/>
  <c r="J25" i="199" s="1"/>
  <c r="M37" i="236" s="1"/>
  <c r="N71" i="213"/>
  <c r="N10" i="213" s="1"/>
  <c r="M60" i="236" s="1"/>
  <c r="H99" i="199"/>
  <c r="H97" i="199" s="1"/>
  <c r="H24" i="199" s="1"/>
  <c r="K36" i="236" s="1"/>
  <c r="H56" i="199"/>
  <c r="H79" i="199"/>
  <c r="I89" i="199"/>
  <c r="M25" i="206"/>
  <c r="M28" i="206"/>
  <c r="I66" i="199"/>
  <c r="M20" i="206"/>
  <c r="M19" i="206"/>
  <c r="I109" i="199"/>
  <c r="I58" i="199"/>
  <c r="M18" i="206"/>
  <c r="M29" i="206"/>
  <c r="I81" i="199"/>
  <c r="M24" i="206"/>
  <c r="M26" i="206"/>
  <c r="N34" i="206"/>
  <c r="K121" i="199"/>
  <c r="I101" i="199"/>
  <c r="M27" i="206"/>
  <c r="M16" i="206"/>
  <c r="M17" i="206"/>
  <c r="M15" i="206"/>
  <c r="K149" i="236" l="1"/>
  <c r="J37" i="199"/>
  <c r="M140" i="236" s="1"/>
  <c r="K148" i="236"/>
  <c r="K146" i="236"/>
  <c r="K145" i="236"/>
  <c r="K147" i="236"/>
  <c r="K150" i="236"/>
  <c r="L181" i="236"/>
  <c r="L176" i="236"/>
  <c r="L179" i="236"/>
  <c r="L175" i="236"/>
  <c r="L177" i="236"/>
  <c r="L180" i="236"/>
  <c r="O8" i="230"/>
  <c r="K58" i="236"/>
  <c r="L141" i="236"/>
  <c r="O9" i="230"/>
  <c r="K59" i="236"/>
  <c r="M171" i="236"/>
  <c r="M175" i="236" s="1"/>
  <c r="L178" i="236"/>
  <c r="J36" i="199"/>
  <c r="M139" i="236" s="1"/>
  <c r="K39" i="199"/>
  <c r="N165" i="236" s="1"/>
  <c r="K44" i="199"/>
  <c r="N170" i="236" s="1"/>
  <c r="K42" i="199"/>
  <c r="N168" i="236" s="1"/>
  <c r="J34" i="199"/>
  <c r="M137" i="236" s="1"/>
  <c r="J33" i="199"/>
  <c r="M136" i="236" s="1"/>
  <c r="J32" i="199"/>
  <c r="M135" i="236" s="1"/>
  <c r="J35" i="199"/>
  <c r="M138" i="236" s="1"/>
  <c r="K43" i="199"/>
  <c r="N169" i="236" s="1"/>
  <c r="K40" i="199"/>
  <c r="N166" i="236" s="1"/>
  <c r="K41" i="199"/>
  <c r="N167" i="236" s="1"/>
  <c r="I31" i="199"/>
  <c r="K119" i="199"/>
  <c r="K45" i="199"/>
  <c r="I38" i="199"/>
  <c r="G49" i="226"/>
  <c r="E21" i="215" s="1"/>
  <c r="J134" i="213" s="1"/>
  <c r="G21" i="226"/>
  <c r="G50" i="226"/>
  <c r="E22" i="215" s="1"/>
  <c r="J135" i="213" s="1"/>
  <c r="M69" i="213"/>
  <c r="M8" i="213" s="1"/>
  <c r="L58" i="236" s="1"/>
  <c r="M28" i="213"/>
  <c r="H37" i="209"/>
  <c r="H20" i="209"/>
  <c r="L126" i="213" s="1"/>
  <c r="H29" i="209"/>
  <c r="L83" i="213"/>
  <c r="N22" i="213"/>
  <c r="J30" i="209"/>
  <c r="N84" i="213"/>
  <c r="J38" i="209"/>
  <c r="J21" i="209"/>
  <c r="N127" i="213" s="1"/>
  <c r="H19" i="209"/>
  <c r="L125" i="213" s="1"/>
  <c r="H36" i="209"/>
  <c r="H28" i="209"/>
  <c r="L82" i="213"/>
  <c r="H50" i="226"/>
  <c r="H22" i="226"/>
  <c r="L20" i="213"/>
  <c r="I8" i="226"/>
  <c r="H49" i="226"/>
  <c r="H21" i="226"/>
  <c r="L21" i="213"/>
  <c r="I9" i="226"/>
  <c r="N13" i="204"/>
  <c r="K59" i="199"/>
  <c r="K82" i="199"/>
  <c r="K102" i="199"/>
  <c r="K60" i="199"/>
  <c r="K104" i="199"/>
  <c r="K87" i="199"/>
  <c r="K84" i="199"/>
  <c r="K61" i="199"/>
  <c r="K103" i="199"/>
  <c r="K63" i="199"/>
  <c r="K64" i="199"/>
  <c r="K106" i="199"/>
  <c r="K83" i="199"/>
  <c r="K62" i="199"/>
  <c r="K85" i="199"/>
  <c r="K107" i="199"/>
  <c r="K105" i="199"/>
  <c r="K86" i="199"/>
  <c r="O21" i="204"/>
  <c r="L70" i="199"/>
  <c r="L69" i="199"/>
  <c r="L90" i="199"/>
  <c r="L114" i="199"/>
  <c r="L111" i="199"/>
  <c r="L110" i="199"/>
  <c r="L91" i="199"/>
  <c r="L112" i="199"/>
  <c r="L93" i="199"/>
  <c r="L72" i="199"/>
  <c r="L92" i="199"/>
  <c r="L67" i="199"/>
  <c r="L68" i="199"/>
  <c r="L40" i="199" s="1"/>
  <c r="O166" i="236" s="1"/>
  <c r="L115" i="199"/>
  <c r="L71" i="199"/>
  <c r="L113" i="199"/>
  <c r="L95" i="199"/>
  <c r="L94" i="199"/>
  <c r="T51" i="150"/>
  <c r="U30" i="150"/>
  <c r="N17" i="199" s="1"/>
  <c r="M70" i="213"/>
  <c r="M9" i="213" s="1"/>
  <c r="K117" i="199"/>
  <c r="K25" i="199" s="1"/>
  <c r="N37" i="236" s="1"/>
  <c r="O71" i="213"/>
  <c r="O10" i="213" s="1"/>
  <c r="N60" i="236" s="1"/>
  <c r="I79" i="199"/>
  <c r="I56" i="199"/>
  <c r="I99" i="199"/>
  <c r="I97" i="199" s="1"/>
  <c r="I24" i="199" s="1"/>
  <c r="L36" i="236" s="1"/>
  <c r="J81" i="199"/>
  <c r="J66" i="199"/>
  <c r="J89" i="199"/>
  <c r="N29" i="206"/>
  <c r="J58" i="199"/>
  <c r="J109" i="199"/>
  <c r="N17" i="206"/>
  <c r="J101" i="199"/>
  <c r="O34" i="206"/>
  <c r="L121" i="199"/>
  <c r="N24" i="206"/>
  <c r="N28" i="206"/>
  <c r="N19" i="206"/>
  <c r="N15" i="206"/>
  <c r="N16" i="206"/>
  <c r="N18" i="206"/>
  <c r="N27" i="206"/>
  <c r="N20" i="206"/>
  <c r="N26" i="206"/>
  <c r="N25" i="206"/>
  <c r="K34" i="199" l="1"/>
  <c r="N137" i="236" s="1"/>
  <c r="M180" i="236"/>
  <c r="M178" i="236"/>
  <c r="M177" i="236"/>
  <c r="M141" i="236"/>
  <c r="M147" i="236" s="1"/>
  <c r="L148" i="236"/>
  <c r="L151" i="236"/>
  <c r="L149" i="236"/>
  <c r="L147" i="236"/>
  <c r="N171" i="236"/>
  <c r="N181" i="236" s="1"/>
  <c r="M181" i="236"/>
  <c r="M179" i="236"/>
  <c r="Q9" i="230"/>
  <c r="L59" i="236"/>
  <c r="M176" i="236"/>
  <c r="L146" i="236"/>
  <c r="L150" i="236"/>
  <c r="L145" i="236"/>
  <c r="L44" i="199"/>
  <c r="O170" i="236" s="1"/>
  <c r="J31" i="199"/>
  <c r="L41" i="199"/>
  <c r="O167" i="236" s="1"/>
  <c r="L42" i="199"/>
  <c r="O168" i="236" s="1"/>
  <c r="K32" i="199"/>
  <c r="N135" i="236" s="1"/>
  <c r="K33" i="199"/>
  <c r="N136" i="236" s="1"/>
  <c r="K37" i="199"/>
  <c r="N140" i="236" s="1"/>
  <c r="L43" i="199"/>
  <c r="O169" i="236" s="1"/>
  <c r="K36" i="199"/>
  <c r="N139" i="236" s="1"/>
  <c r="L39" i="199"/>
  <c r="O165" i="236" s="1"/>
  <c r="K35" i="199"/>
  <c r="N138" i="236" s="1"/>
  <c r="M82" i="213"/>
  <c r="Q8" i="230"/>
  <c r="J38" i="199"/>
  <c r="L119" i="199"/>
  <c r="L45" i="199"/>
  <c r="I28" i="209"/>
  <c r="I19" i="209"/>
  <c r="M125" i="213" s="1"/>
  <c r="I36" i="209"/>
  <c r="J8" i="226"/>
  <c r="M20" i="213"/>
  <c r="N28" i="213"/>
  <c r="N34" i="213" s="1"/>
  <c r="L42" i="238" s="1"/>
  <c r="M34" i="213"/>
  <c r="K42" i="238" s="1"/>
  <c r="F22" i="215"/>
  <c r="K135" i="213" s="1"/>
  <c r="F21" i="215"/>
  <c r="K134" i="213" s="1"/>
  <c r="I29" i="209"/>
  <c r="I37" i="209"/>
  <c r="I20" i="209"/>
  <c r="M126" i="213" s="1"/>
  <c r="M83" i="213"/>
  <c r="O22" i="213"/>
  <c r="K21" i="209"/>
  <c r="O127" i="213" s="1"/>
  <c r="O84" i="213"/>
  <c r="K30" i="209"/>
  <c r="K38" i="209"/>
  <c r="I21" i="226"/>
  <c r="I49" i="226"/>
  <c r="M21" i="213"/>
  <c r="J9" i="226"/>
  <c r="I22" i="226"/>
  <c r="I50" i="226"/>
  <c r="P21" i="204"/>
  <c r="M69" i="199"/>
  <c r="M114" i="199"/>
  <c r="M91" i="199"/>
  <c r="M113" i="199"/>
  <c r="M95" i="199"/>
  <c r="M90" i="199"/>
  <c r="M67" i="199"/>
  <c r="M39" i="199" s="1"/>
  <c r="P165" i="236" s="1"/>
  <c r="M94" i="199"/>
  <c r="M68" i="199"/>
  <c r="M71" i="199"/>
  <c r="M115" i="199"/>
  <c r="M72" i="199"/>
  <c r="M110" i="199"/>
  <c r="M111" i="199"/>
  <c r="M70" i="199"/>
  <c r="M93" i="199"/>
  <c r="M112" i="199"/>
  <c r="M92" i="199"/>
  <c r="O13" i="204"/>
  <c r="L59" i="199"/>
  <c r="L82" i="199"/>
  <c r="L102" i="199"/>
  <c r="L84" i="199"/>
  <c r="L61" i="199"/>
  <c r="L105" i="199"/>
  <c r="L87" i="199"/>
  <c r="L85" i="199"/>
  <c r="L63" i="199"/>
  <c r="L83" i="199"/>
  <c r="L103" i="199"/>
  <c r="L62" i="199"/>
  <c r="L86" i="199"/>
  <c r="L104" i="199"/>
  <c r="L60" i="199"/>
  <c r="L107" i="199"/>
  <c r="L64" i="199"/>
  <c r="L106" i="199"/>
  <c r="U51" i="150"/>
  <c r="J79" i="199"/>
  <c r="J56" i="199"/>
  <c r="N69" i="213"/>
  <c r="L117" i="199"/>
  <c r="L25" i="199" s="1"/>
  <c r="O37" i="236" s="1"/>
  <c r="P71" i="213"/>
  <c r="P10" i="213" s="1"/>
  <c r="O60" i="236" s="1"/>
  <c r="N70" i="213"/>
  <c r="N9" i="213" s="1"/>
  <c r="K89" i="199"/>
  <c r="K66" i="199"/>
  <c r="O17" i="206"/>
  <c r="O24" i="206"/>
  <c r="K81" i="199"/>
  <c r="O27" i="206"/>
  <c r="K101" i="199"/>
  <c r="P34" i="206"/>
  <c r="M121" i="199"/>
  <c r="K58" i="199"/>
  <c r="J99" i="199"/>
  <c r="J97" i="199" s="1"/>
  <c r="J24" i="199" s="1"/>
  <c r="M36" i="236" s="1"/>
  <c r="O26" i="206"/>
  <c r="O19" i="206"/>
  <c r="O25" i="206"/>
  <c r="O20" i="206"/>
  <c r="O18" i="206"/>
  <c r="O15" i="206"/>
  <c r="O28" i="206"/>
  <c r="O16" i="206"/>
  <c r="K109" i="199"/>
  <c r="O29" i="206"/>
  <c r="N175" i="236" l="1"/>
  <c r="N180" i="236"/>
  <c r="N177" i="236"/>
  <c r="M148" i="236"/>
  <c r="M145" i="236"/>
  <c r="M149" i="236"/>
  <c r="M40" i="199"/>
  <c r="P166" i="236" s="1"/>
  <c r="N176" i="236"/>
  <c r="O171" i="236"/>
  <c r="O178" i="236" s="1"/>
  <c r="S9" i="230"/>
  <c r="M59" i="236"/>
  <c r="N141" i="236"/>
  <c r="N150" i="236" s="1"/>
  <c r="M42" i="199"/>
  <c r="P168" i="236" s="1"/>
  <c r="M151" i="236"/>
  <c r="M150" i="236"/>
  <c r="N179" i="236"/>
  <c r="N178" i="236"/>
  <c r="M146" i="236"/>
  <c r="L37" i="199"/>
  <c r="O140" i="236" s="1"/>
  <c r="L35" i="199"/>
  <c r="O138" i="236" s="1"/>
  <c r="L33" i="199"/>
  <c r="O136" i="236" s="1"/>
  <c r="L34" i="199"/>
  <c r="O137" i="236" s="1"/>
  <c r="L32" i="199"/>
  <c r="O135" i="236" s="1"/>
  <c r="M44" i="199"/>
  <c r="P170" i="236" s="1"/>
  <c r="L36" i="199"/>
  <c r="O139" i="236" s="1"/>
  <c r="M43" i="199"/>
  <c r="P169" i="236" s="1"/>
  <c r="M41" i="199"/>
  <c r="P167" i="236" s="1"/>
  <c r="K31" i="199"/>
  <c r="K38" i="199"/>
  <c r="M119" i="199"/>
  <c r="M45" i="199"/>
  <c r="O69" i="213"/>
  <c r="O8" i="213" s="1"/>
  <c r="N58" i="236" s="1"/>
  <c r="O28" i="213"/>
  <c r="O34" i="213" s="1"/>
  <c r="M42" i="238" s="1"/>
  <c r="N8" i="213"/>
  <c r="M58" i="236" s="1"/>
  <c r="G21" i="215"/>
  <c r="L134" i="213" s="1"/>
  <c r="G22" i="215"/>
  <c r="L135" i="213" s="1"/>
  <c r="J21" i="226"/>
  <c r="P22" i="213"/>
  <c r="L21" i="209"/>
  <c r="P127" i="213" s="1"/>
  <c r="L38" i="209"/>
  <c r="P84" i="213"/>
  <c r="L30" i="209"/>
  <c r="J29" i="209"/>
  <c r="J37" i="209"/>
  <c r="J20" i="209"/>
  <c r="N126" i="213" s="1"/>
  <c r="N83" i="213"/>
  <c r="N21" i="213"/>
  <c r="K9" i="226"/>
  <c r="J50" i="226"/>
  <c r="J22" i="226"/>
  <c r="J49" i="226"/>
  <c r="P13" i="204"/>
  <c r="M59" i="199"/>
  <c r="M82" i="199"/>
  <c r="M102" i="199"/>
  <c r="M104" i="199"/>
  <c r="M64" i="199"/>
  <c r="M85" i="199"/>
  <c r="M105" i="199"/>
  <c r="M107" i="199"/>
  <c r="M86" i="199"/>
  <c r="M84" i="199"/>
  <c r="M106" i="199"/>
  <c r="M60" i="199"/>
  <c r="M87" i="199"/>
  <c r="M83" i="199"/>
  <c r="M103" i="199"/>
  <c r="M63" i="199"/>
  <c r="M62" i="199"/>
  <c r="M61" i="199"/>
  <c r="N70" i="199"/>
  <c r="N72" i="199"/>
  <c r="N69" i="199"/>
  <c r="N91" i="199"/>
  <c r="N92" i="199"/>
  <c r="N115" i="199"/>
  <c r="N94" i="199"/>
  <c r="N68" i="199"/>
  <c r="N114" i="199"/>
  <c r="N90" i="199"/>
  <c r="N95" i="199"/>
  <c r="N113" i="199"/>
  <c r="N112" i="199"/>
  <c r="N110" i="199"/>
  <c r="N71" i="199"/>
  <c r="N111" i="199"/>
  <c r="N93" i="199"/>
  <c r="N67" i="199"/>
  <c r="O70" i="213"/>
  <c r="O9" i="213" s="1"/>
  <c r="M117" i="199"/>
  <c r="M25" i="199" s="1"/>
  <c r="P37" i="236" s="1"/>
  <c r="Q71" i="213"/>
  <c r="Q10" i="213" s="1"/>
  <c r="P60" i="236" s="1"/>
  <c r="K79" i="199"/>
  <c r="K56" i="199"/>
  <c r="K99" i="199"/>
  <c r="K97" i="199" s="1"/>
  <c r="K24" i="199" s="1"/>
  <c r="N36" i="236" s="1"/>
  <c r="P24" i="206"/>
  <c r="P28" i="206"/>
  <c r="P18" i="206"/>
  <c r="P25" i="206"/>
  <c r="P26" i="206"/>
  <c r="P29" i="206"/>
  <c r="P27" i="206"/>
  <c r="L81" i="199"/>
  <c r="P17" i="206"/>
  <c r="L109" i="199"/>
  <c r="L101" i="199"/>
  <c r="L58" i="199"/>
  <c r="L89" i="199"/>
  <c r="P16" i="206"/>
  <c r="P15" i="206"/>
  <c r="P20" i="206"/>
  <c r="P19" i="206"/>
  <c r="N121" i="199"/>
  <c r="L66" i="199"/>
  <c r="O177" i="236" l="1"/>
  <c r="O179" i="236"/>
  <c r="N39" i="199"/>
  <c r="Q165" i="236" s="1"/>
  <c r="N145" i="236"/>
  <c r="M36" i="199"/>
  <c r="P139" i="236" s="1"/>
  <c r="P171" i="236"/>
  <c r="P181" i="236" s="1"/>
  <c r="U9" i="230"/>
  <c r="N59" i="236"/>
  <c r="N44" i="199"/>
  <c r="Q170" i="236" s="1"/>
  <c r="O141" i="236"/>
  <c r="O151" i="236" s="1"/>
  <c r="N41" i="199"/>
  <c r="Q167" i="236" s="1"/>
  <c r="N151" i="236"/>
  <c r="N147" i="236"/>
  <c r="O181" i="236"/>
  <c r="O176" i="236"/>
  <c r="N148" i="236"/>
  <c r="O180" i="236"/>
  <c r="N149" i="236"/>
  <c r="N146" i="236"/>
  <c r="O175" i="236"/>
  <c r="N42" i="199"/>
  <c r="Q168" i="236" s="1"/>
  <c r="N43" i="199"/>
  <c r="Q169" i="236" s="1"/>
  <c r="M33" i="199"/>
  <c r="P136" i="236" s="1"/>
  <c r="M35" i="199"/>
  <c r="P138" i="236" s="1"/>
  <c r="M32" i="199"/>
  <c r="P135" i="236" s="1"/>
  <c r="N40" i="199"/>
  <c r="Q166" i="236" s="1"/>
  <c r="M34" i="199"/>
  <c r="P137" i="236" s="1"/>
  <c r="L31" i="199"/>
  <c r="M37" i="199"/>
  <c r="P140" i="236" s="1"/>
  <c r="N82" i="213"/>
  <c r="S8" i="230"/>
  <c r="K19" i="209"/>
  <c r="O125" i="213" s="1"/>
  <c r="U8" i="230"/>
  <c r="P70" i="213"/>
  <c r="P9" i="213" s="1"/>
  <c r="L38" i="199"/>
  <c r="N119" i="199"/>
  <c r="N117" i="199" s="1"/>
  <c r="N25" i="199" s="1"/>
  <c r="Q37" i="236" s="1"/>
  <c r="N45" i="199"/>
  <c r="K36" i="209"/>
  <c r="L8" i="226"/>
  <c r="O20" i="213"/>
  <c r="K28" i="209"/>
  <c r="O82" i="213"/>
  <c r="P28" i="213"/>
  <c r="P34" i="213" s="1"/>
  <c r="N42" i="238" s="1"/>
  <c r="K8" i="226"/>
  <c r="K22" i="226" s="1"/>
  <c r="N20" i="213"/>
  <c r="J36" i="209"/>
  <c r="J19" i="209"/>
  <c r="N125" i="213" s="1"/>
  <c r="J28" i="209"/>
  <c r="H22" i="215"/>
  <c r="M135" i="213" s="1"/>
  <c r="H21" i="215"/>
  <c r="M134" i="213" s="1"/>
  <c r="Q22" i="213"/>
  <c r="M38" i="209"/>
  <c r="M21" i="209"/>
  <c r="Q127" i="213" s="1"/>
  <c r="Q84" i="213"/>
  <c r="M30" i="209"/>
  <c r="K29" i="209"/>
  <c r="K20" i="209"/>
  <c r="O126" i="213" s="1"/>
  <c r="K37" i="209"/>
  <c r="O83" i="213"/>
  <c r="O21" i="213"/>
  <c r="L9" i="226"/>
  <c r="N59" i="199"/>
  <c r="N102" i="199"/>
  <c r="N82" i="199"/>
  <c r="N60" i="199"/>
  <c r="N85" i="199"/>
  <c r="N84" i="199"/>
  <c r="N86" i="199"/>
  <c r="N63" i="199"/>
  <c r="N87" i="199"/>
  <c r="N107" i="199"/>
  <c r="N105" i="199"/>
  <c r="N103" i="199"/>
  <c r="N83" i="199"/>
  <c r="N64" i="199"/>
  <c r="N62" i="199"/>
  <c r="N104" i="199"/>
  <c r="N106" i="199"/>
  <c r="N61" i="199"/>
  <c r="P69" i="213"/>
  <c r="P8" i="213" s="1"/>
  <c r="R71" i="213"/>
  <c r="L99" i="199"/>
  <c r="L97" i="199" s="1"/>
  <c r="L24" i="199" s="1"/>
  <c r="O36" i="236" s="1"/>
  <c r="M101" i="199"/>
  <c r="L56" i="199"/>
  <c r="M109" i="199"/>
  <c r="L79" i="199"/>
  <c r="M58" i="199"/>
  <c r="M89" i="199"/>
  <c r="M81" i="199"/>
  <c r="M66" i="199"/>
  <c r="O146" i="236" l="1"/>
  <c r="P175" i="236"/>
  <c r="P179" i="236"/>
  <c r="P180" i="236"/>
  <c r="O148" i="236"/>
  <c r="O145" i="236"/>
  <c r="O150" i="236"/>
  <c r="P177" i="236"/>
  <c r="O149" i="236"/>
  <c r="P176" i="236"/>
  <c r="P178" i="236"/>
  <c r="O147" i="236"/>
  <c r="N37" i="199"/>
  <c r="Q140" i="236" s="1"/>
  <c r="L29" i="209"/>
  <c r="O59" i="236"/>
  <c r="P141" i="236"/>
  <c r="P146" i="236" s="1"/>
  <c r="Q171" i="236"/>
  <c r="Q179" i="236" s="1"/>
  <c r="W8" i="230"/>
  <c r="O58" i="236"/>
  <c r="N32" i="199"/>
  <c r="Q135" i="236" s="1"/>
  <c r="N36" i="199"/>
  <c r="Q139" i="236" s="1"/>
  <c r="N33" i="199"/>
  <c r="Q136" i="236" s="1"/>
  <c r="N34" i="199"/>
  <c r="Q137" i="236" s="1"/>
  <c r="N35" i="199"/>
  <c r="Q138" i="236" s="1"/>
  <c r="L20" i="209"/>
  <c r="P126" i="213" s="1"/>
  <c r="L37" i="209"/>
  <c r="W9" i="230"/>
  <c r="K49" i="226"/>
  <c r="M9" i="226"/>
  <c r="P21" i="213"/>
  <c r="P83" i="213"/>
  <c r="M31" i="199"/>
  <c r="Q70" i="213"/>
  <c r="Q9" i="213" s="1"/>
  <c r="M38" i="199"/>
  <c r="K21" i="226"/>
  <c r="K50" i="226"/>
  <c r="Q28" i="213"/>
  <c r="Q34" i="213" s="1"/>
  <c r="O42" i="238" s="1"/>
  <c r="R10" i="213"/>
  <c r="E71" i="213"/>
  <c r="I22" i="215"/>
  <c r="N135" i="213" s="1"/>
  <c r="I21" i="215"/>
  <c r="N134" i="213" s="1"/>
  <c r="L49" i="226"/>
  <c r="L28" i="209"/>
  <c r="L19" i="209"/>
  <c r="P125" i="213" s="1"/>
  <c r="L36" i="209"/>
  <c r="P82" i="213"/>
  <c r="P20" i="213"/>
  <c r="M8" i="226"/>
  <c r="L50" i="226"/>
  <c r="J22" i="215" s="1"/>
  <c r="L22" i="226"/>
  <c r="L21" i="226"/>
  <c r="Q69" i="213"/>
  <c r="Q8" i="213" s="1"/>
  <c r="N66" i="199"/>
  <c r="N81" i="199"/>
  <c r="N101" i="199"/>
  <c r="N58" i="199"/>
  <c r="N109" i="199"/>
  <c r="N89" i="199"/>
  <c r="M79" i="199"/>
  <c r="M56" i="199"/>
  <c r="M99" i="199"/>
  <c r="M97" i="199" s="1"/>
  <c r="M24" i="199" s="1"/>
  <c r="P36" i="236" s="1"/>
  <c r="Q180" i="236" l="1"/>
  <c r="Q83" i="213"/>
  <c r="P59" i="236"/>
  <c r="Q141" i="236"/>
  <c r="Q145" i="236" s="1"/>
  <c r="Q181" i="236"/>
  <c r="Q175" i="236"/>
  <c r="Q148" i="236"/>
  <c r="P145" i="236"/>
  <c r="P151" i="236"/>
  <c r="P149" i="236"/>
  <c r="R22" i="213"/>
  <c r="E22" i="213" s="1"/>
  <c r="Q60" i="236"/>
  <c r="P148" i="236"/>
  <c r="Q177" i="236"/>
  <c r="N38" i="199"/>
  <c r="Q178" i="236"/>
  <c r="Q176" i="236"/>
  <c r="Y8" i="230"/>
  <c r="P58" i="236"/>
  <c r="P150" i="236"/>
  <c r="P147" i="236"/>
  <c r="M20" i="209"/>
  <c r="Q126" i="213" s="1"/>
  <c r="Y9" i="230"/>
  <c r="R69" i="213"/>
  <c r="R8" i="213" s="1"/>
  <c r="Q58" i="236" s="1"/>
  <c r="N31" i="199"/>
  <c r="M29" i="209"/>
  <c r="N9" i="226"/>
  <c r="M37" i="209"/>
  <c r="Q21" i="213"/>
  <c r="R84" i="213"/>
  <c r="E84" i="213" s="1"/>
  <c r="N30" i="209"/>
  <c r="N38" i="209"/>
  <c r="N21" i="209"/>
  <c r="R127" i="213" s="1"/>
  <c r="J21" i="215"/>
  <c r="O134" i="213" s="1"/>
  <c r="M22" i="226"/>
  <c r="O135" i="213"/>
  <c r="M28" i="209"/>
  <c r="M19" i="209"/>
  <c r="Q125" i="213" s="1"/>
  <c r="M36" i="209"/>
  <c r="Q82" i="213"/>
  <c r="M50" i="226"/>
  <c r="Q20" i="213"/>
  <c r="N8" i="226"/>
  <c r="M49" i="226"/>
  <c r="K21" i="215" s="1"/>
  <c r="M21" i="226"/>
  <c r="R70" i="213"/>
  <c r="E10" i="213"/>
  <c r="N56" i="199"/>
  <c r="N79" i="199"/>
  <c r="N99" i="199"/>
  <c r="N97" i="199" s="1"/>
  <c r="N24" i="199" s="1"/>
  <c r="Q36" i="236" s="1"/>
  <c r="Q149" i="236" l="1"/>
  <c r="Q146" i="236"/>
  <c r="Q147" i="236"/>
  <c r="Q151" i="236"/>
  <c r="Q150" i="236"/>
  <c r="R28" i="213"/>
  <c r="E28" i="213" s="1"/>
  <c r="N19" i="209"/>
  <c r="R125" i="213" s="1"/>
  <c r="E125" i="213" s="1"/>
  <c r="AA8" i="230"/>
  <c r="E69" i="213"/>
  <c r="E127" i="213"/>
  <c r="O8" i="226"/>
  <c r="R20" i="213"/>
  <c r="E20" i="213" s="1"/>
  <c r="N36" i="209"/>
  <c r="R82" i="213"/>
  <c r="N28" i="209"/>
  <c r="R9" i="213"/>
  <c r="Q59" i="236" s="1"/>
  <c r="E70" i="213"/>
  <c r="K22" i="215"/>
  <c r="P135" i="213" s="1"/>
  <c r="N22" i="226"/>
  <c r="N50" i="226"/>
  <c r="P134" i="213"/>
  <c r="N49" i="226"/>
  <c r="L21" i="215" s="1"/>
  <c r="N21" i="226"/>
  <c r="E8" i="213"/>
  <c r="R34" i="213" l="1"/>
  <c r="N20" i="209"/>
  <c r="R126" i="213" s="1"/>
  <c r="E126" i="213" s="1"/>
  <c r="AA9" i="230"/>
  <c r="E82" i="213"/>
  <c r="E9" i="213"/>
  <c r="O9" i="226"/>
  <c r="O21" i="226" s="1"/>
  <c r="R21" i="213"/>
  <c r="E21" i="213" s="1"/>
  <c r="R83" i="213"/>
  <c r="N29" i="209"/>
  <c r="N37" i="209"/>
  <c r="L22" i="215"/>
  <c r="Q135" i="213" s="1"/>
  <c r="Q134" i="213"/>
  <c r="M66" i="150"/>
  <c r="N66" i="150" s="1"/>
  <c r="K65" i="150"/>
  <c r="M64" i="150"/>
  <c r="N64" i="150" s="1"/>
  <c r="K63" i="150"/>
  <c r="M62" i="150"/>
  <c r="N62" i="150" s="1"/>
  <c r="K61" i="150"/>
  <c r="M60" i="150"/>
  <c r="N60" i="150" s="1"/>
  <c r="K59" i="150"/>
  <c r="M58" i="150"/>
  <c r="N58" i="150" s="1"/>
  <c r="K57" i="150"/>
  <c r="M56" i="150"/>
  <c r="N56" i="150" s="1"/>
  <c r="K55" i="150"/>
  <c r="M54" i="150"/>
  <c r="N54" i="150" s="1"/>
  <c r="M45" i="150"/>
  <c r="N45" i="150" s="1"/>
  <c r="O45" i="150" s="1"/>
  <c r="P45" i="150" s="1"/>
  <c r="Q45" i="150" s="1"/>
  <c r="R45" i="150" s="1"/>
  <c r="S45" i="150" s="1"/>
  <c r="T45" i="150" s="1"/>
  <c r="U45" i="150" s="1"/>
  <c r="M43" i="150"/>
  <c r="N43" i="150" s="1"/>
  <c r="O43" i="150" s="1"/>
  <c r="P43" i="150" s="1"/>
  <c r="Q43" i="150" s="1"/>
  <c r="R43" i="150" s="1"/>
  <c r="S43" i="150" s="1"/>
  <c r="T43" i="150" s="1"/>
  <c r="U43" i="150" s="1"/>
  <c r="M41" i="150"/>
  <c r="N41" i="150" s="1"/>
  <c r="O41" i="150" s="1"/>
  <c r="P41" i="150" s="1"/>
  <c r="Q41" i="150" s="1"/>
  <c r="R41" i="150" s="1"/>
  <c r="S41" i="150" s="1"/>
  <c r="T41" i="150" s="1"/>
  <c r="U41" i="150" s="1"/>
  <c r="M39" i="150"/>
  <c r="N39" i="150" s="1"/>
  <c r="O39" i="150" s="1"/>
  <c r="P39" i="150" s="1"/>
  <c r="Q39" i="150" s="1"/>
  <c r="R39" i="150" s="1"/>
  <c r="S39" i="150" s="1"/>
  <c r="T39" i="150" s="1"/>
  <c r="U39" i="150" s="1"/>
  <c r="M37" i="150"/>
  <c r="N37" i="150" s="1"/>
  <c r="M35" i="150"/>
  <c r="N35" i="150" s="1"/>
  <c r="O35" i="150" s="1"/>
  <c r="P35" i="150" s="1"/>
  <c r="Q35" i="150" s="1"/>
  <c r="R35" i="150" s="1"/>
  <c r="S35" i="150" s="1"/>
  <c r="T35" i="150" s="1"/>
  <c r="U35" i="150" s="1"/>
  <c r="M33" i="150"/>
  <c r="M32" i="150" s="1"/>
  <c r="K34" i="150"/>
  <c r="K36" i="150"/>
  <c r="K38" i="150"/>
  <c r="K40" i="150"/>
  <c r="K42" i="150"/>
  <c r="K44" i="150"/>
  <c r="E19" i="150"/>
  <c r="D19" i="150"/>
  <c r="D13" i="150"/>
  <c r="G21" i="150"/>
  <c r="K21" i="150" s="1"/>
  <c r="G20" i="150"/>
  <c r="K20" i="150" s="1"/>
  <c r="L19" i="150" s="1"/>
  <c r="E13" i="150"/>
  <c r="G15" i="150"/>
  <c r="K15" i="150" s="1"/>
  <c r="G14" i="150"/>
  <c r="K14" i="150" s="1"/>
  <c r="F16" i="199"/>
  <c r="G10" i="150"/>
  <c r="K10" i="150" s="1"/>
  <c r="L10" i="150" s="1"/>
  <c r="G9" i="150"/>
  <c r="G8" i="150" s="1"/>
  <c r="E34" i="213" l="1"/>
  <c r="P42" i="238"/>
  <c r="E42" i="238" s="1"/>
  <c r="O50" i="226"/>
  <c r="M22" i="215" s="1"/>
  <c r="R135" i="213" s="1"/>
  <c r="O22" i="226"/>
  <c r="O49" i="226"/>
  <c r="E83" i="213"/>
  <c r="M21" i="215"/>
  <c r="R134" i="213" s="1"/>
  <c r="K9" i="150"/>
  <c r="L9" i="150" s="1"/>
  <c r="L8" i="150" s="1"/>
  <c r="M36" i="150"/>
  <c r="N36" i="150"/>
  <c r="L36" i="150"/>
  <c r="M53" i="150"/>
  <c r="N53" i="150"/>
  <c r="L53" i="150"/>
  <c r="N38" i="150"/>
  <c r="R38" i="150"/>
  <c r="S38" i="150"/>
  <c r="L38" i="150"/>
  <c r="O38" i="150"/>
  <c r="P38" i="150"/>
  <c r="Q38" i="150"/>
  <c r="T38" i="150"/>
  <c r="M38" i="150"/>
  <c r="U38" i="150"/>
  <c r="P34" i="150"/>
  <c r="Q34" i="150"/>
  <c r="T34" i="150"/>
  <c r="M34" i="150"/>
  <c r="R34" i="150"/>
  <c r="U34" i="150"/>
  <c r="L34" i="150"/>
  <c r="S34" i="150"/>
  <c r="N34" i="150"/>
  <c r="O34" i="150"/>
  <c r="N63" i="150"/>
  <c r="L63" i="150"/>
  <c r="M63" i="150"/>
  <c r="P44" i="150"/>
  <c r="T44" i="150"/>
  <c r="U44" i="150"/>
  <c r="Q44" i="150"/>
  <c r="R44" i="150"/>
  <c r="S44" i="150"/>
  <c r="L44" i="150"/>
  <c r="M44" i="150"/>
  <c r="N44" i="150"/>
  <c r="O44" i="150"/>
  <c r="M59" i="150"/>
  <c r="L59" i="150"/>
  <c r="N59" i="150"/>
  <c r="M61" i="150"/>
  <c r="N61" i="150"/>
  <c r="L61" i="150"/>
  <c r="N55" i="150"/>
  <c r="M55" i="150"/>
  <c r="L55" i="150"/>
  <c r="M42" i="150"/>
  <c r="U42" i="150"/>
  <c r="N42" i="150"/>
  <c r="Q42" i="150"/>
  <c r="O42" i="150"/>
  <c r="R42" i="150"/>
  <c r="P42" i="150"/>
  <c r="L42" i="150"/>
  <c r="S42" i="150"/>
  <c r="T42" i="150"/>
  <c r="M57" i="150"/>
  <c r="N57" i="150"/>
  <c r="L57" i="150"/>
  <c r="M65" i="150"/>
  <c r="L65" i="150"/>
  <c r="N65" i="150"/>
  <c r="Q40" i="150"/>
  <c r="R40" i="150"/>
  <c r="U40" i="150"/>
  <c r="N40" i="150"/>
  <c r="S40" i="150"/>
  <c r="M40" i="150"/>
  <c r="L40" i="150"/>
  <c r="T40" i="150"/>
  <c r="O40" i="150"/>
  <c r="P40" i="150"/>
  <c r="N33" i="150"/>
  <c r="N32" i="150" s="1"/>
  <c r="H23" i="206"/>
  <c r="N68" i="150"/>
  <c r="M68" i="150"/>
  <c r="O60" i="150"/>
  <c r="O59" i="150" s="1"/>
  <c r="O56" i="150"/>
  <c r="O55" i="150" s="1"/>
  <c r="O64" i="150"/>
  <c r="O63" i="150" s="1"/>
  <c r="O54" i="150"/>
  <c r="O53" i="150" s="1"/>
  <c r="O58" i="150"/>
  <c r="O57" i="150" s="1"/>
  <c r="O62" i="150"/>
  <c r="O61" i="150" s="1"/>
  <c r="O66" i="150"/>
  <c r="O65" i="150" s="1"/>
  <c r="O37" i="150"/>
  <c r="O36" i="150" s="1"/>
  <c r="M47" i="150"/>
  <c r="M10" i="150"/>
  <c r="G19" i="150"/>
  <c r="G13" i="150"/>
  <c r="E135" i="213" l="1"/>
  <c r="E134" i="213"/>
  <c r="L31" i="150"/>
  <c r="L29" i="150" s="1"/>
  <c r="N52" i="150"/>
  <c r="N50" i="150" s="1"/>
  <c r="L52" i="150"/>
  <c r="L50" i="150" s="1"/>
  <c r="N47" i="150"/>
  <c r="N10" i="150"/>
  <c r="G16" i="199"/>
  <c r="O33" i="150"/>
  <c r="O32" i="150" s="1"/>
  <c r="M52" i="150"/>
  <c r="M50" i="150" s="1"/>
  <c r="I23" i="206"/>
  <c r="I14" i="206"/>
  <c r="H14" i="206"/>
  <c r="O52" i="150"/>
  <c r="O50" i="150" s="1"/>
  <c r="O68" i="150"/>
  <c r="P54" i="150"/>
  <c r="P53" i="150" s="1"/>
  <c r="P66" i="150"/>
  <c r="P65" i="150" s="1"/>
  <c r="P62" i="150"/>
  <c r="P61" i="150" s="1"/>
  <c r="P56" i="150"/>
  <c r="P55" i="150" s="1"/>
  <c r="P64" i="150"/>
  <c r="P63" i="150" s="1"/>
  <c r="P58" i="150"/>
  <c r="P57" i="150" s="1"/>
  <c r="P60" i="150"/>
  <c r="P59" i="150" s="1"/>
  <c r="M31" i="150"/>
  <c r="M29" i="150" s="1"/>
  <c r="F54" i="199" s="1"/>
  <c r="N31" i="150"/>
  <c r="N29" i="150" s="1"/>
  <c r="G54" i="199" s="1"/>
  <c r="P37" i="150"/>
  <c r="P36" i="150" s="1"/>
  <c r="M9" i="150"/>
  <c r="M8" i="150" s="1"/>
  <c r="N9" i="150"/>
  <c r="L70" i="150" l="1"/>
  <c r="N8" i="150"/>
  <c r="H77" i="199"/>
  <c r="R109" i="150"/>
  <c r="O110" i="150"/>
  <c r="T111" i="150"/>
  <c r="Q112" i="150"/>
  <c r="L111" i="150"/>
  <c r="S109" i="150"/>
  <c r="P110" i="150"/>
  <c r="M111" i="150"/>
  <c r="U111" i="150"/>
  <c r="R112" i="150"/>
  <c r="L112" i="150"/>
  <c r="T109" i="150"/>
  <c r="Q110" i="150"/>
  <c r="N111" i="150"/>
  <c r="S112" i="150"/>
  <c r="L109" i="150"/>
  <c r="M109" i="150"/>
  <c r="U109" i="150"/>
  <c r="R110" i="150"/>
  <c r="O111" i="150"/>
  <c r="T112" i="150"/>
  <c r="N109" i="150"/>
  <c r="S110" i="150"/>
  <c r="P111" i="150"/>
  <c r="M112" i="150"/>
  <c r="U112" i="150"/>
  <c r="O109" i="150"/>
  <c r="T110" i="150"/>
  <c r="Q111" i="150"/>
  <c r="N112" i="150"/>
  <c r="P109" i="150"/>
  <c r="M110" i="150"/>
  <c r="U110" i="150"/>
  <c r="R111" i="150"/>
  <c r="O112" i="150"/>
  <c r="Q109" i="150"/>
  <c r="N110" i="150"/>
  <c r="S111" i="150"/>
  <c r="P112" i="150"/>
  <c r="L110" i="150"/>
  <c r="E77" i="199"/>
  <c r="J68" i="213"/>
  <c r="J7" i="213" s="1"/>
  <c r="N70" i="150"/>
  <c r="F17" i="207" s="1"/>
  <c r="G77" i="199"/>
  <c r="K68" i="213" s="1"/>
  <c r="K7" i="213" s="1"/>
  <c r="M70" i="150"/>
  <c r="E17" i="207" s="1"/>
  <c r="F77" i="199"/>
  <c r="F30" i="199" s="1"/>
  <c r="R104" i="150"/>
  <c r="O105" i="150"/>
  <c r="T106" i="150"/>
  <c r="Q107" i="150"/>
  <c r="L106" i="150"/>
  <c r="S104" i="150"/>
  <c r="P105" i="150"/>
  <c r="M106" i="150"/>
  <c r="U106" i="150"/>
  <c r="R107" i="150"/>
  <c r="L107" i="150"/>
  <c r="T104" i="150"/>
  <c r="Q105" i="150"/>
  <c r="N106" i="150"/>
  <c r="S107" i="150"/>
  <c r="L104" i="150"/>
  <c r="M104" i="150"/>
  <c r="U104" i="150"/>
  <c r="R105" i="150"/>
  <c r="O106" i="150"/>
  <c r="T107" i="150"/>
  <c r="N104" i="150"/>
  <c r="S105" i="150"/>
  <c r="P106" i="150"/>
  <c r="M107" i="150"/>
  <c r="U107" i="150"/>
  <c r="O104" i="150"/>
  <c r="T105" i="150"/>
  <c r="Q106" i="150"/>
  <c r="N107" i="150"/>
  <c r="P104" i="150"/>
  <c r="M105" i="150"/>
  <c r="U105" i="150"/>
  <c r="R106" i="150"/>
  <c r="O107" i="150"/>
  <c r="Q104" i="150"/>
  <c r="N105" i="150"/>
  <c r="S106" i="150"/>
  <c r="P107" i="150"/>
  <c r="L105" i="150"/>
  <c r="E54" i="199"/>
  <c r="P33" i="150"/>
  <c r="P32" i="150" s="1"/>
  <c r="O10" i="150"/>
  <c r="H16" i="199"/>
  <c r="O31" i="150"/>
  <c r="O29" i="150" s="1"/>
  <c r="H54" i="199" s="1"/>
  <c r="O47" i="150"/>
  <c r="J23" i="206"/>
  <c r="J14" i="206"/>
  <c r="P52" i="150"/>
  <c r="P50" i="150" s="1"/>
  <c r="P68" i="150"/>
  <c r="Q60" i="150"/>
  <c r="Q59" i="150" s="1"/>
  <c r="Q56" i="150"/>
  <c r="Q55" i="150" s="1"/>
  <c r="Q62" i="150"/>
  <c r="Q61" i="150" s="1"/>
  <c r="Q66" i="150"/>
  <c r="Q65" i="150" s="1"/>
  <c r="Q58" i="150"/>
  <c r="Q57" i="150" s="1"/>
  <c r="Q64" i="150"/>
  <c r="Q63" i="150" s="1"/>
  <c r="Q54" i="150"/>
  <c r="Q53" i="150" s="1"/>
  <c r="Q37" i="150"/>
  <c r="Q36" i="150" s="1"/>
  <c r="O9" i="150"/>
  <c r="I16" i="199"/>
  <c r="M7" i="230" l="1"/>
  <c r="J61" i="236"/>
  <c r="K7" i="230"/>
  <c r="I61" i="236"/>
  <c r="O8" i="150"/>
  <c r="I68" i="213"/>
  <c r="I7" i="213" s="1"/>
  <c r="H61" i="236" s="1"/>
  <c r="E30" i="199"/>
  <c r="L68" i="213"/>
  <c r="L7" i="213" s="1"/>
  <c r="H30" i="199"/>
  <c r="G30" i="199"/>
  <c r="D61" i="207"/>
  <c r="D60" i="207"/>
  <c r="I86" i="213" s="1"/>
  <c r="F18" i="209"/>
  <c r="J124" i="213" s="1"/>
  <c r="F27" i="209"/>
  <c r="F12" i="209"/>
  <c r="F35" i="209"/>
  <c r="G18" i="209"/>
  <c r="K124" i="213" s="1"/>
  <c r="G12" i="209"/>
  <c r="G35" i="209"/>
  <c r="G27" i="209"/>
  <c r="J19" i="213"/>
  <c r="G7" i="226"/>
  <c r="K19" i="213"/>
  <c r="H7" i="226"/>
  <c r="D62" i="207"/>
  <c r="D59" i="207"/>
  <c r="D58" i="207"/>
  <c r="I77" i="199"/>
  <c r="E36" i="207"/>
  <c r="E62" i="207" s="1"/>
  <c r="E31" i="207"/>
  <c r="E34" i="207"/>
  <c r="E60" i="207" s="1"/>
  <c r="J86" i="213" s="1"/>
  <c r="E32" i="207"/>
  <c r="E58" i="207" s="1"/>
  <c r="E35" i="207"/>
  <c r="E61" i="207" s="1"/>
  <c r="E33" i="207"/>
  <c r="E59" i="207" s="1"/>
  <c r="O70" i="150"/>
  <c r="G17" i="207" s="1"/>
  <c r="F33" i="207"/>
  <c r="F59" i="207" s="1"/>
  <c r="F36" i="207"/>
  <c r="F62" i="207" s="1"/>
  <c r="F31" i="207"/>
  <c r="F60" i="207"/>
  <c r="K86" i="213" s="1"/>
  <c r="F32" i="207"/>
  <c r="F58" i="207" s="1"/>
  <c r="F35" i="207"/>
  <c r="F61" i="207" s="1"/>
  <c r="P47" i="150"/>
  <c r="Q33" i="150"/>
  <c r="Q32" i="150" s="1"/>
  <c r="P31" i="150"/>
  <c r="P29" i="150" s="1"/>
  <c r="I54" i="199" s="1"/>
  <c r="K23" i="206"/>
  <c r="Q52" i="150"/>
  <c r="Q50" i="150" s="1"/>
  <c r="Q68" i="150"/>
  <c r="R66" i="150"/>
  <c r="R65" i="150" s="1"/>
  <c r="R62" i="150"/>
  <c r="R61" i="150" s="1"/>
  <c r="R64" i="150"/>
  <c r="R63" i="150" s="1"/>
  <c r="R60" i="150"/>
  <c r="R59" i="150" s="1"/>
  <c r="R54" i="150"/>
  <c r="R53" i="150" s="1"/>
  <c r="R56" i="150"/>
  <c r="R55" i="150" s="1"/>
  <c r="R58" i="150"/>
  <c r="R57" i="150" s="1"/>
  <c r="R37" i="150"/>
  <c r="R36" i="150" s="1"/>
  <c r="P10" i="150"/>
  <c r="P9" i="150"/>
  <c r="M16" i="150"/>
  <c r="N16" i="150"/>
  <c r="O16" i="150"/>
  <c r="P16" i="150"/>
  <c r="H12" i="209" l="1"/>
  <c r="K61" i="236"/>
  <c r="L19" i="213"/>
  <c r="O7" i="230"/>
  <c r="H27" i="209"/>
  <c r="F7" i="226"/>
  <c r="F35" i="226" s="1"/>
  <c r="I7" i="230"/>
  <c r="E18" i="209"/>
  <c r="I124" i="213" s="1"/>
  <c r="E27" i="209"/>
  <c r="I19" i="213"/>
  <c r="E35" i="209"/>
  <c r="H18" i="209"/>
  <c r="L124" i="213" s="1"/>
  <c r="H35" i="209"/>
  <c r="M68" i="213"/>
  <c r="M7" i="213" s="1"/>
  <c r="L61" i="236" s="1"/>
  <c r="I30" i="199"/>
  <c r="I7" i="226"/>
  <c r="I33" i="226" s="1"/>
  <c r="G33" i="226"/>
  <c r="G35" i="226"/>
  <c r="G34" i="226"/>
  <c r="H33" i="226"/>
  <c r="H34" i="226"/>
  <c r="H35" i="226"/>
  <c r="F33" i="226"/>
  <c r="P8" i="150"/>
  <c r="F57" i="207"/>
  <c r="F37" i="207"/>
  <c r="E57" i="207"/>
  <c r="E37" i="207"/>
  <c r="Q47" i="150"/>
  <c r="J77" i="199"/>
  <c r="G33" i="207"/>
  <c r="G59" i="207" s="1"/>
  <c r="G36" i="207"/>
  <c r="G62" i="207" s="1"/>
  <c r="G31" i="207"/>
  <c r="G34" i="207"/>
  <c r="G60" i="207" s="1"/>
  <c r="L86" i="213" s="1"/>
  <c r="G32" i="207"/>
  <c r="G58" i="207" s="1"/>
  <c r="G35" i="207"/>
  <c r="G61" i="207" s="1"/>
  <c r="P70" i="150"/>
  <c r="H17" i="207" s="1"/>
  <c r="D57" i="207"/>
  <c r="D63" i="207" s="1"/>
  <c r="I81" i="213" s="1"/>
  <c r="D37" i="207"/>
  <c r="Q16" i="150"/>
  <c r="J16" i="199"/>
  <c r="R33" i="150"/>
  <c r="R32" i="150" s="1"/>
  <c r="Q31" i="150"/>
  <c r="Q29" i="150" s="1"/>
  <c r="J54" i="199" s="1"/>
  <c r="K14" i="206"/>
  <c r="L14" i="206"/>
  <c r="R52" i="150"/>
  <c r="R50" i="150" s="1"/>
  <c r="R68" i="150"/>
  <c r="S58" i="150"/>
  <c r="S57" i="150" s="1"/>
  <c r="S64" i="150"/>
  <c r="S63" i="150" s="1"/>
  <c r="S60" i="150"/>
  <c r="S59" i="150" s="1"/>
  <c r="S56" i="150"/>
  <c r="S55" i="150" s="1"/>
  <c r="S62" i="150"/>
  <c r="S61" i="150" s="1"/>
  <c r="S54" i="150"/>
  <c r="S53" i="150" s="1"/>
  <c r="S66" i="150"/>
  <c r="S65" i="150" s="1"/>
  <c r="S37" i="150"/>
  <c r="S36" i="150" s="1"/>
  <c r="Q15" i="150"/>
  <c r="Q14" i="150"/>
  <c r="L15" i="150"/>
  <c r="L14" i="150"/>
  <c r="P14" i="150"/>
  <c r="P15" i="150"/>
  <c r="Q10" i="150"/>
  <c r="Q9" i="150"/>
  <c r="N15" i="150"/>
  <c r="N14" i="150"/>
  <c r="O14" i="150"/>
  <c r="O15" i="150"/>
  <c r="M15" i="150"/>
  <c r="M14" i="150"/>
  <c r="L22" i="150"/>
  <c r="P22" i="150"/>
  <c r="N22" i="150"/>
  <c r="Q22" i="150"/>
  <c r="O22" i="150"/>
  <c r="M22" i="150"/>
  <c r="K16" i="199"/>
  <c r="I35" i="226" l="1"/>
  <c r="I34" i="226"/>
  <c r="F34" i="226"/>
  <c r="I35" i="209"/>
  <c r="Q7" i="230"/>
  <c r="I27" i="209"/>
  <c r="J7" i="226"/>
  <c r="J34" i="226" s="1"/>
  <c r="M19" i="213"/>
  <c r="I18" i="209"/>
  <c r="M124" i="213" s="1"/>
  <c r="I12" i="209"/>
  <c r="N68" i="213"/>
  <c r="N7" i="213" s="1"/>
  <c r="M61" i="236" s="1"/>
  <c r="J30" i="199"/>
  <c r="Q8" i="150"/>
  <c r="H35" i="207"/>
  <c r="H61" i="207" s="1"/>
  <c r="H33" i="207"/>
  <c r="H59" i="207" s="1"/>
  <c r="H36" i="207"/>
  <c r="H62" i="207" s="1"/>
  <c r="H31" i="207"/>
  <c r="H34" i="207"/>
  <c r="H60" i="207" s="1"/>
  <c r="M86" i="213" s="1"/>
  <c r="H32" i="207"/>
  <c r="H58" i="207" s="1"/>
  <c r="Q70" i="150"/>
  <c r="I17" i="207" s="1"/>
  <c r="G57" i="207"/>
  <c r="G37" i="207"/>
  <c r="K77" i="199"/>
  <c r="R47" i="150"/>
  <c r="S33" i="150"/>
  <c r="S32" i="150" s="1"/>
  <c r="R31" i="150"/>
  <c r="R29" i="150" s="1"/>
  <c r="K54" i="199" s="1"/>
  <c r="M14" i="206"/>
  <c r="M23" i="206"/>
  <c r="S52" i="150"/>
  <c r="S50" i="150" s="1"/>
  <c r="S68" i="150"/>
  <c r="L13" i="150"/>
  <c r="L6" i="150" s="1"/>
  <c r="M13" i="150"/>
  <c r="M6" i="150" s="1"/>
  <c r="F53" i="199" s="1"/>
  <c r="T56" i="150"/>
  <c r="T55" i="150" s="1"/>
  <c r="T66" i="150"/>
  <c r="T65" i="150" s="1"/>
  <c r="T60" i="150"/>
  <c r="T59" i="150" s="1"/>
  <c r="T54" i="150"/>
  <c r="T53" i="150" s="1"/>
  <c r="T62" i="150"/>
  <c r="T61" i="150" s="1"/>
  <c r="T58" i="150"/>
  <c r="T57" i="150" s="1"/>
  <c r="T64" i="150"/>
  <c r="T63" i="150" s="1"/>
  <c r="T37" i="150"/>
  <c r="T36" i="150" s="1"/>
  <c r="S47" i="150"/>
  <c r="N13" i="150"/>
  <c r="Q13" i="150"/>
  <c r="P21" i="150"/>
  <c r="P20" i="150"/>
  <c r="R10" i="150"/>
  <c r="R9" i="150"/>
  <c r="P13" i="150"/>
  <c r="M20" i="150"/>
  <c r="M21" i="150"/>
  <c r="O20" i="150"/>
  <c r="O21" i="150"/>
  <c r="O13" i="150"/>
  <c r="Q21" i="150"/>
  <c r="Q20" i="150"/>
  <c r="N21" i="150"/>
  <c r="N20" i="150"/>
  <c r="R16" i="150"/>
  <c r="L16" i="199"/>
  <c r="K30" i="199" l="1"/>
  <c r="R70" i="150"/>
  <c r="J17" i="207" s="1"/>
  <c r="J31" i="207" s="1"/>
  <c r="J35" i="226"/>
  <c r="J33" i="226"/>
  <c r="J12" i="209"/>
  <c r="S7" i="230"/>
  <c r="K7" i="226"/>
  <c r="K34" i="226" s="1"/>
  <c r="N19" i="213"/>
  <c r="J18" i="209"/>
  <c r="N124" i="213" s="1"/>
  <c r="J27" i="209"/>
  <c r="J35" i="209"/>
  <c r="O68" i="213"/>
  <c r="R8" i="150"/>
  <c r="L77" i="199"/>
  <c r="J32" i="207"/>
  <c r="J58" i="207" s="1"/>
  <c r="J35" i="207"/>
  <c r="J61" i="207" s="1"/>
  <c r="J33" i="207"/>
  <c r="J59" i="207" s="1"/>
  <c r="J36" i="207"/>
  <c r="J62" i="207" s="1"/>
  <c r="I32" i="207"/>
  <c r="I58" i="207" s="1"/>
  <c r="I35" i="207"/>
  <c r="I61" i="207" s="1"/>
  <c r="I33" i="207"/>
  <c r="I59" i="207" s="1"/>
  <c r="I36" i="207"/>
  <c r="I62" i="207" s="1"/>
  <c r="I31" i="207"/>
  <c r="I34" i="207"/>
  <c r="I60" i="207" s="1"/>
  <c r="N86" i="213" s="1"/>
  <c r="H57" i="207"/>
  <c r="H37" i="207"/>
  <c r="F51" i="199"/>
  <c r="F50" i="199" s="1"/>
  <c r="F22" i="199" s="1"/>
  <c r="I34" i="236" s="1"/>
  <c r="E53" i="199"/>
  <c r="L18" i="150"/>
  <c r="T33" i="150"/>
  <c r="T32" i="150" s="1"/>
  <c r="S31" i="150"/>
  <c r="S29" i="150" s="1"/>
  <c r="L54" i="199" s="1"/>
  <c r="L23" i="206"/>
  <c r="N23" i="206"/>
  <c r="N14" i="206"/>
  <c r="L91" i="150"/>
  <c r="T52" i="150"/>
  <c r="T50" i="150" s="1"/>
  <c r="T68" i="150"/>
  <c r="P19" i="150"/>
  <c r="U66" i="150"/>
  <c r="U65" i="150" s="1"/>
  <c r="U54" i="150"/>
  <c r="U53" i="150" s="1"/>
  <c r="U64" i="150"/>
  <c r="U63" i="150" s="1"/>
  <c r="U58" i="150"/>
  <c r="U57" i="150" s="1"/>
  <c r="U62" i="150"/>
  <c r="U61" i="150" s="1"/>
  <c r="U56" i="150"/>
  <c r="U55" i="150" s="1"/>
  <c r="U60" i="150"/>
  <c r="U59" i="150" s="1"/>
  <c r="U37" i="150"/>
  <c r="U36" i="150" s="1"/>
  <c r="N19" i="150"/>
  <c r="Q19" i="150"/>
  <c r="M19" i="150"/>
  <c r="S10" i="150"/>
  <c r="S9" i="150"/>
  <c r="S8" i="150" s="1"/>
  <c r="O19" i="150"/>
  <c r="R14" i="150"/>
  <c r="R15" i="150"/>
  <c r="R22" i="150"/>
  <c r="S16" i="150"/>
  <c r="M16" i="199"/>
  <c r="J34" i="207" l="1"/>
  <c r="J60" i="207" s="1"/>
  <c r="O86" i="213" s="1"/>
  <c r="K35" i="226"/>
  <c r="K33" i="226"/>
  <c r="P68" i="213"/>
  <c r="P7" i="213" s="1"/>
  <c r="L30" i="199"/>
  <c r="O7" i="213"/>
  <c r="M77" i="199"/>
  <c r="J57" i="207"/>
  <c r="I57" i="207"/>
  <c r="I37" i="207"/>
  <c r="L23" i="150"/>
  <c r="D16" i="207" s="1"/>
  <c r="E76" i="199"/>
  <c r="I67" i="213" s="1"/>
  <c r="R96" i="150"/>
  <c r="O97" i="150"/>
  <c r="T98" i="150"/>
  <c r="Q99" i="150"/>
  <c r="L98" i="150"/>
  <c r="M99" i="150"/>
  <c r="R98" i="150"/>
  <c r="S96" i="150"/>
  <c r="P97" i="150"/>
  <c r="M98" i="150"/>
  <c r="U98" i="150"/>
  <c r="R99" i="150"/>
  <c r="L99" i="150"/>
  <c r="P98" i="150"/>
  <c r="T96" i="150"/>
  <c r="Q97" i="150"/>
  <c r="N98" i="150"/>
  <c r="S99" i="150"/>
  <c r="L96" i="150"/>
  <c r="Q98" i="150"/>
  <c r="U97" i="150"/>
  <c r="M96" i="150"/>
  <c r="U96" i="150"/>
  <c r="R97" i="150"/>
  <c r="O98" i="150"/>
  <c r="T99" i="150"/>
  <c r="N96" i="150"/>
  <c r="S97" i="150"/>
  <c r="U99" i="150"/>
  <c r="L97" i="150"/>
  <c r="O96" i="150"/>
  <c r="T97" i="150"/>
  <c r="N99" i="150"/>
  <c r="M97" i="150"/>
  <c r="P96" i="150"/>
  <c r="O99" i="150"/>
  <c r="Q96" i="150"/>
  <c r="N97" i="150"/>
  <c r="S98" i="150"/>
  <c r="P99" i="150"/>
  <c r="S70" i="150"/>
  <c r="K17" i="207" s="1"/>
  <c r="E51" i="199"/>
  <c r="E50" i="199" s="1"/>
  <c r="E22" i="199" s="1"/>
  <c r="H34" i="236" s="1"/>
  <c r="U33" i="150"/>
  <c r="U32" i="150" s="1"/>
  <c r="T31" i="150"/>
  <c r="T29" i="150" s="1"/>
  <c r="M54" i="199" s="1"/>
  <c r="T47" i="150"/>
  <c r="O14" i="206"/>
  <c r="O23" i="206"/>
  <c r="U52" i="150"/>
  <c r="U50" i="150" s="1"/>
  <c r="U68" i="150"/>
  <c r="S14" i="150"/>
  <c r="S15" i="150"/>
  <c r="T10" i="150"/>
  <c r="T9" i="150"/>
  <c r="R20" i="150"/>
  <c r="R21" i="150"/>
  <c r="R13" i="150"/>
  <c r="S22" i="150"/>
  <c r="N16" i="199"/>
  <c r="T16" i="150"/>
  <c r="E29" i="199" l="1"/>
  <c r="U7" i="230"/>
  <c r="N61" i="236"/>
  <c r="L35" i="209"/>
  <c r="O61" i="236"/>
  <c r="J37" i="207"/>
  <c r="K35" i="209"/>
  <c r="K27" i="209"/>
  <c r="L7" i="226"/>
  <c r="L35" i="226" s="1"/>
  <c r="O19" i="213"/>
  <c r="L12" i="209"/>
  <c r="L18" i="209"/>
  <c r="P124" i="213" s="1"/>
  <c r="W7" i="230"/>
  <c r="L27" i="209"/>
  <c r="K12" i="209"/>
  <c r="K18" i="209"/>
  <c r="O124" i="213" s="1"/>
  <c r="M7" i="226"/>
  <c r="M34" i="226" s="1"/>
  <c r="Q68" i="213"/>
  <c r="Q7" i="213" s="1"/>
  <c r="P61" i="236" s="1"/>
  <c r="M30" i="199"/>
  <c r="P19" i="213"/>
  <c r="I66" i="213"/>
  <c r="I75" i="213" s="1"/>
  <c r="U47" i="150"/>
  <c r="L95" i="150"/>
  <c r="T8" i="150"/>
  <c r="N77" i="199"/>
  <c r="K34" i="207"/>
  <c r="K60" i="207" s="1"/>
  <c r="P86" i="213" s="1"/>
  <c r="K32" i="207"/>
  <c r="K58" i="207" s="1"/>
  <c r="K35" i="207"/>
  <c r="K61" i="207" s="1"/>
  <c r="K33" i="207"/>
  <c r="K59" i="207" s="1"/>
  <c r="K36" i="207"/>
  <c r="K62" i="207" s="1"/>
  <c r="K31" i="207"/>
  <c r="D27" i="207"/>
  <c r="D53" i="207" s="1"/>
  <c r="D26" i="207"/>
  <c r="D52" i="207" s="1"/>
  <c r="D51" i="207"/>
  <c r="D24" i="207"/>
  <c r="D50" i="207" s="1"/>
  <c r="D23" i="207"/>
  <c r="D49" i="207" s="1"/>
  <c r="T70" i="150"/>
  <c r="L17" i="207" s="1"/>
  <c r="I6" i="213"/>
  <c r="I6" i="230" s="1"/>
  <c r="I5" i="230" s="1"/>
  <c r="U31" i="150"/>
  <c r="U29" i="150" s="1"/>
  <c r="N54" i="199" s="1"/>
  <c r="P14" i="206"/>
  <c r="P23" i="206"/>
  <c r="S20" i="150"/>
  <c r="S21" i="150"/>
  <c r="R19" i="150"/>
  <c r="T15" i="150"/>
  <c r="T14" i="150"/>
  <c r="U10" i="150"/>
  <c r="U9" i="150"/>
  <c r="S13" i="150"/>
  <c r="T22" i="150"/>
  <c r="U16" i="150"/>
  <c r="L33" i="226" l="1"/>
  <c r="M35" i="226"/>
  <c r="M33" i="226"/>
  <c r="L34" i="226"/>
  <c r="N7" i="226"/>
  <c r="N33" i="226" s="1"/>
  <c r="Y7" i="230"/>
  <c r="M18" i="209"/>
  <c r="Q124" i="213" s="1"/>
  <c r="Q19" i="213"/>
  <c r="M35" i="209"/>
  <c r="R68" i="213"/>
  <c r="R7" i="213" s="1"/>
  <c r="Q61" i="236" s="1"/>
  <c r="N30" i="199"/>
  <c r="M12" i="209"/>
  <c r="M27" i="209"/>
  <c r="E26" i="209"/>
  <c r="E31" i="209" s="1"/>
  <c r="I137" i="213" s="1"/>
  <c r="I44" i="213" s="1"/>
  <c r="E34" i="209"/>
  <c r="E39" i="209" s="1"/>
  <c r="I151" i="213" s="1"/>
  <c r="I51" i="213" s="1"/>
  <c r="D54" i="207"/>
  <c r="I80" i="213" s="1"/>
  <c r="U8" i="150"/>
  <c r="K57" i="207"/>
  <c r="K37" i="207"/>
  <c r="L31" i="207"/>
  <c r="L34" i="207"/>
  <c r="L60" i="207" s="1"/>
  <c r="Q86" i="213" s="1"/>
  <c r="L32" i="207"/>
  <c r="L58" i="207" s="1"/>
  <c r="L35" i="207"/>
  <c r="L61" i="207" s="1"/>
  <c r="L33" i="207"/>
  <c r="L59" i="207" s="1"/>
  <c r="L36" i="207"/>
  <c r="L62" i="207" s="1"/>
  <c r="U70" i="150"/>
  <c r="M17" i="207" s="1"/>
  <c r="I5" i="213"/>
  <c r="I18" i="213"/>
  <c r="H57" i="236" s="1"/>
  <c r="T13" i="150"/>
  <c r="U15" i="150"/>
  <c r="U14" i="150"/>
  <c r="T21" i="150"/>
  <c r="T20" i="150"/>
  <c r="S19" i="150"/>
  <c r="U22" i="150"/>
  <c r="H62" i="236" l="1"/>
  <c r="H98" i="236" s="1"/>
  <c r="N34" i="226"/>
  <c r="N35" i="226"/>
  <c r="N18" i="209"/>
  <c r="R124" i="213" s="1"/>
  <c r="E124" i="213" s="1"/>
  <c r="AA7" i="230"/>
  <c r="N35" i="209"/>
  <c r="E68" i="213"/>
  <c r="O7" i="226"/>
  <c r="O34" i="226" s="1"/>
  <c r="R19" i="213"/>
  <c r="E19" i="213" s="1"/>
  <c r="N12" i="209"/>
  <c r="N27" i="209"/>
  <c r="I79" i="213"/>
  <c r="E23" i="209"/>
  <c r="I123" i="213"/>
  <c r="I17" i="213"/>
  <c r="F63" i="226"/>
  <c r="F45" i="226"/>
  <c r="D19" i="215" s="1"/>
  <c r="F46" i="226"/>
  <c r="D20" i="215" s="1"/>
  <c r="I133" i="213" s="1"/>
  <c r="E14" i="209"/>
  <c r="F18" i="226"/>
  <c r="F5" i="226"/>
  <c r="F71" i="226" s="1"/>
  <c r="F19" i="226"/>
  <c r="F64" i="226"/>
  <c r="E42" i="209"/>
  <c r="L57" i="207"/>
  <c r="L37" i="207"/>
  <c r="M36" i="207"/>
  <c r="M62" i="207" s="1"/>
  <c r="M31" i="207"/>
  <c r="M34" i="207"/>
  <c r="M60" i="207" s="1"/>
  <c r="R86" i="213" s="1"/>
  <c r="E86" i="213" s="1"/>
  <c r="M32" i="207"/>
  <c r="M58" i="207" s="1"/>
  <c r="M35" i="207"/>
  <c r="M61" i="207" s="1"/>
  <c r="M33" i="207"/>
  <c r="M59" i="207" s="1"/>
  <c r="T19" i="150"/>
  <c r="U13" i="150"/>
  <c r="U21" i="150"/>
  <c r="U20" i="150"/>
  <c r="F35" i="210" l="1"/>
  <c r="F44" i="210" s="1"/>
  <c r="H15" i="13" s="1"/>
  <c r="H6" i="236"/>
  <c r="H100" i="236"/>
  <c r="H101" i="236"/>
  <c r="H99" i="236"/>
  <c r="H102" i="236"/>
  <c r="O33" i="226"/>
  <c r="O35" i="226"/>
  <c r="I122" i="213"/>
  <c r="I157" i="213"/>
  <c r="E43" i="209"/>
  <c r="D28" i="215"/>
  <c r="I149" i="213" s="1"/>
  <c r="I132" i="213"/>
  <c r="D18" i="215"/>
  <c r="F27" i="226"/>
  <c r="D14" i="215" s="1"/>
  <c r="F29" i="226"/>
  <c r="F69" i="226"/>
  <c r="F70" i="226"/>
  <c r="F28" i="226"/>
  <c r="F26" i="226"/>
  <c r="F68" i="226"/>
  <c r="E7" i="213"/>
  <c r="M57" i="207"/>
  <c r="M37" i="207"/>
  <c r="F60" i="210"/>
  <c r="F62" i="210" s="1"/>
  <c r="F72" i="210" s="1"/>
  <c r="U19" i="150"/>
  <c r="H7" i="236" l="1"/>
  <c r="H103" i="236"/>
  <c r="I156" i="213"/>
  <c r="I54" i="213"/>
  <c r="I131" i="213"/>
  <c r="I130" i="213" s="1"/>
  <c r="D15" i="215"/>
  <c r="I119" i="213" s="1"/>
  <c r="I26" i="213" s="1"/>
  <c r="D27" i="215"/>
  <c r="I148" i="213" s="1"/>
  <c r="I118" i="213"/>
  <c r="D16" i="215"/>
  <c r="I120" i="213" s="1"/>
  <c r="I27" i="213" s="1"/>
  <c r="D26" i="215"/>
  <c r="I147" i="213" s="1"/>
  <c r="D25" i="215"/>
  <c r="D13" i="215"/>
  <c r="M18" i="150"/>
  <c r="F76" i="199" s="1"/>
  <c r="F29" i="199" s="1"/>
  <c r="N18" i="150"/>
  <c r="G76" i="199" s="1"/>
  <c r="G75" i="199" s="1"/>
  <c r="G74" i="199" s="1"/>
  <c r="G23" i="199" s="1"/>
  <c r="J35" i="236" s="1"/>
  <c r="O18" i="150"/>
  <c r="H76" i="199" s="1"/>
  <c r="H75" i="199" s="1"/>
  <c r="H74" i="199" s="1"/>
  <c r="H23" i="199" s="1"/>
  <c r="K35" i="236" s="1"/>
  <c r="P18" i="150"/>
  <c r="I76" i="199" s="1"/>
  <c r="I75" i="199" s="1"/>
  <c r="I74" i="199" s="1"/>
  <c r="I23" i="199" s="1"/>
  <c r="L35" i="236" s="1"/>
  <c r="Q18" i="150"/>
  <c r="J76" i="199" s="1"/>
  <c r="J75" i="199" s="1"/>
  <c r="J74" i="199" s="1"/>
  <c r="J23" i="199" s="1"/>
  <c r="M35" i="236" s="1"/>
  <c r="R18" i="150"/>
  <c r="K76" i="199" s="1"/>
  <c r="K75" i="199" s="1"/>
  <c r="K74" i="199" s="1"/>
  <c r="K23" i="199" s="1"/>
  <c r="N35" i="236" s="1"/>
  <c r="S18" i="150"/>
  <c r="L76" i="199" s="1"/>
  <c r="L75" i="199" s="1"/>
  <c r="L74" i="199" s="1"/>
  <c r="L23" i="199" s="1"/>
  <c r="O35" i="236" s="1"/>
  <c r="T18" i="150"/>
  <c r="M76" i="199" s="1"/>
  <c r="M75" i="199" s="1"/>
  <c r="M74" i="199" s="1"/>
  <c r="M23" i="199" s="1"/>
  <c r="P35" i="236" s="1"/>
  <c r="U18" i="150"/>
  <c r="N76" i="199" s="1"/>
  <c r="N75" i="199" s="1"/>
  <c r="N74" i="199" s="1"/>
  <c r="N23" i="199" s="1"/>
  <c r="Q35" i="236" s="1"/>
  <c r="E75" i="199"/>
  <c r="T6" i="150"/>
  <c r="M53" i="199" s="1"/>
  <c r="M29" i="199" s="1"/>
  <c r="U6" i="150"/>
  <c r="N53" i="199" s="1"/>
  <c r="N29" i="199" l="1"/>
  <c r="D12" i="215"/>
  <c r="D24" i="215"/>
  <c r="I117" i="213"/>
  <c r="I146" i="213"/>
  <c r="I32" i="213"/>
  <c r="F75" i="199"/>
  <c r="F74" i="199" s="1"/>
  <c r="J67" i="213"/>
  <c r="N51" i="199"/>
  <c r="N50" i="199" s="1"/>
  <c r="R67" i="213"/>
  <c r="M51" i="199"/>
  <c r="M50" i="199" s="1"/>
  <c r="Q67" i="213"/>
  <c r="E74" i="199"/>
  <c r="S6" i="150"/>
  <c r="N6" i="150"/>
  <c r="M23" i="150"/>
  <c r="E16" i="207" s="1"/>
  <c r="R6" i="150"/>
  <c r="T23" i="150"/>
  <c r="L16" i="207" s="1"/>
  <c r="Q6" i="150"/>
  <c r="P6" i="150"/>
  <c r="U23" i="150"/>
  <c r="M16" i="207" s="1"/>
  <c r="O6" i="150"/>
  <c r="E19" i="199" l="1"/>
  <c r="E23" i="199"/>
  <c r="H35" i="236" s="1"/>
  <c r="M19" i="199"/>
  <c r="M22" i="199"/>
  <c r="P34" i="236" s="1"/>
  <c r="N19" i="199"/>
  <c r="N22" i="199"/>
  <c r="Q34" i="236" s="1"/>
  <c r="F19" i="199"/>
  <c r="F23" i="199"/>
  <c r="I35" i="236" s="1"/>
  <c r="I33" i="213"/>
  <c r="G41" i="238" s="1"/>
  <c r="D10" i="215"/>
  <c r="H44" i="13" s="1"/>
  <c r="I145" i="213"/>
  <c r="I116" i="213"/>
  <c r="I55" i="213"/>
  <c r="L23" i="207"/>
  <c r="L49" i="207" s="1"/>
  <c r="L27" i="207"/>
  <c r="L53" i="207" s="1"/>
  <c r="L24" i="207"/>
  <c r="L50" i="207" s="1"/>
  <c r="L25" i="207"/>
  <c r="L51" i="207" s="1"/>
  <c r="L22" i="207"/>
  <c r="L48" i="207" s="1"/>
  <c r="L26" i="207"/>
  <c r="L52" i="207" s="1"/>
  <c r="E26" i="207"/>
  <c r="E52" i="207" s="1"/>
  <c r="E27" i="207"/>
  <c r="E53" i="207" s="1"/>
  <c r="E22" i="207"/>
  <c r="E48" i="207" s="1"/>
  <c r="E23" i="207"/>
  <c r="E49" i="207" s="1"/>
  <c r="E24" i="207"/>
  <c r="E50" i="207" s="1"/>
  <c r="E25" i="207"/>
  <c r="E51" i="207" s="1"/>
  <c r="M23" i="207"/>
  <c r="M49" i="207" s="1"/>
  <c r="M27" i="207"/>
  <c r="M53" i="207" s="1"/>
  <c r="M24" i="207"/>
  <c r="M50" i="207" s="1"/>
  <c r="M25" i="207"/>
  <c r="M51" i="207" s="1"/>
  <c r="M22" i="207"/>
  <c r="M48" i="207" s="1"/>
  <c r="M26" i="207"/>
  <c r="M52" i="207" s="1"/>
  <c r="Q6" i="213"/>
  <c r="Y6" i="230" s="1"/>
  <c r="Y5" i="230" s="1"/>
  <c r="Q66" i="213"/>
  <c r="R6" i="213"/>
  <c r="AA6" i="230" s="1"/>
  <c r="AA5" i="230" s="1"/>
  <c r="R66" i="213"/>
  <c r="J6" i="213"/>
  <c r="K6" i="230" s="1"/>
  <c r="K5" i="230" s="1"/>
  <c r="J66" i="213"/>
  <c r="N23" i="150"/>
  <c r="F16" i="207" s="1"/>
  <c r="G53" i="199"/>
  <c r="G29" i="199" s="1"/>
  <c r="R23" i="150"/>
  <c r="J16" i="207" s="1"/>
  <c r="K53" i="199"/>
  <c r="K29" i="199" s="1"/>
  <c r="O23" i="150"/>
  <c r="G16" i="207" s="1"/>
  <c r="H53" i="199"/>
  <c r="H29" i="199" s="1"/>
  <c r="S23" i="150"/>
  <c r="K16" i="207" s="1"/>
  <c r="L53" i="199"/>
  <c r="L29" i="199" s="1"/>
  <c r="P23" i="150"/>
  <c r="H16" i="207" s="1"/>
  <c r="I53" i="199"/>
  <c r="I29" i="199" s="1"/>
  <c r="Q23" i="150"/>
  <c r="I16" i="207" s="1"/>
  <c r="J53" i="199"/>
  <c r="J29" i="199" s="1"/>
  <c r="P92" i="150"/>
  <c r="L93" i="150"/>
  <c r="T93" i="150"/>
  <c r="P94" i="150"/>
  <c r="M91" i="150"/>
  <c r="U91" i="150"/>
  <c r="Q93" i="150"/>
  <c r="O94" i="150"/>
  <c r="Q92" i="150"/>
  <c r="M93" i="150"/>
  <c r="U93" i="150"/>
  <c r="Q94" i="150"/>
  <c r="N91" i="150"/>
  <c r="U92" i="150"/>
  <c r="T91" i="150"/>
  <c r="R92" i="150"/>
  <c r="N93" i="150"/>
  <c r="R94" i="150"/>
  <c r="O91" i="150"/>
  <c r="M94" i="150"/>
  <c r="R93" i="150"/>
  <c r="S92" i="150"/>
  <c r="O93" i="150"/>
  <c r="S94" i="150"/>
  <c r="P91" i="150"/>
  <c r="R91" i="150"/>
  <c r="S91" i="150"/>
  <c r="O95" i="150"/>
  <c r="L92" i="150"/>
  <c r="T92" i="150"/>
  <c r="P93" i="150"/>
  <c r="L94" i="150"/>
  <c r="T94" i="150"/>
  <c r="Q91" i="150"/>
  <c r="N94" i="150"/>
  <c r="S93" i="150"/>
  <c r="N95" i="150"/>
  <c r="M92" i="150"/>
  <c r="U94" i="150"/>
  <c r="N92" i="150"/>
  <c r="O92" i="150"/>
  <c r="Q41" i="236" l="1"/>
  <c r="Q44" i="236"/>
  <c r="Q43" i="236"/>
  <c r="Q42" i="236"/>
  <c r="P41" i="236"/>
  <c r="P44" i="236"/>
  <c r="P43" i="236"/>
  <c r="P42" i="236"/>
  <c r="H42" i="236"/>
  <c r="H41" i="236"/>
  <c r="H44" i="236"/>
  <c r="H43" i="236"/>
  <c r="I42" i="236"/>
  <c r="I41" i="236"/>
  <c r="I43" i="236"/>
  <c r="I44" i="236"/>
  <c r="D6" i="56"/>
  <c r="D11" i="5"/>
  <c r="F26" i="210"/>
  <c r="N6" i="226"/>
  <c r="N5" i="226" s="1"/>
  <c r="N68" i="226" s="1"/>
  <c r="M11" i="209"/>
  <c r="M26" i="209"/>
  <c r="M31" i="209" s="1"/>
  <c r="Q137" i="213" s="1"/>
  <c r="Q44" i="213" s="1"/>
  <c r="M34" i="209"/>
  <c r="M39" i="209" s="1"/>
  <c r="Q151" i="213" s="1"/>
  <c r="Q51" i="213" s="1"/>
  <c r="M17" i="209"/>
  <c r="O6" i="226"/>
  <c r="N11" i="209"/>
  <c r="N26" i="209"/>
  <c r="N31" i="209" s="1"/>
  <c r="R137" i="213" s="1"/>
  <c r="R44" i="213" s="1"/>
  <c r="N17" i="209"/>
  <c r="N34" i="209"/>
  <c r="N39" i="209" s="1"/>
  <c r="R151" i="213" s="1"/>
  <c r="R51" i="213" s="1"/>
  <c r="G6" i="226"/>
  <c r="F11" i="209"/>
  <c r="F26" i="209"/>
  <c r="F31" i="209" s="1"/>
  <c r="J137" i="213" s="1"/>
  <c r="J44" i="213" s="1"/>
  <c r="F34" i="209"/>
  <c r="F39" i="209" s="1"/>
  <c r="J151" i="213" s="1"/>
  <c r="J51" i="213" s="1"/>
  <c r="F17" i="209"/>
  <c r="I25" i="207"/>
  <c r="I51" i="207" s="1"/>
  <c r="I22" i="207"/>
  <c r="I48" i="207" s="1"/>
  <c r="I26" i="207"/>
  <c r="I52" i="207" s="1"/>
  <c r="I23" i="207"/>
  <c r="I49" i="207" s="1"/>
  <c r="I27" i="207"/>
  <c r="I53" i="207" s="1"/>
  <c r="I24" i="207"/>
  <c r="I50" i="207" s="1"/>
  <c r="J24" i="207"/>
  <c r="J50" i="207" s="1"/>
  <c r="J25" i="207"/>
  <c r="J51" i="207" s="1"/>
  <c r="J22" i="207"/>
  <c r="J48" i="207" s="1"/>
  <c r="J26" i="207"/>
  <c r="J52" i="207" s="1"/>
  <c r="J23" i="207"/>
  <c r="J49" i="207" s="1"/>
  <c r="J27" i="207"/>
  <c r="J53" i="207" s="1"/>
  <c r="H22" i="207"/>
  <c r="H48" i="207" s="1"/>
  <c r="H25" i="207"/>
  <c r="H51" i="207" s="1"/>
  <c r="H26" i="207"/>
  <c r="H52" i="207" s="1"/>
  <c r="H23" i="207"/>
  <c r="H49" i="207" s="1"/>
  <c r="H27" i="207"/>
  <c r="H53" i="207" s="1"/>
  <c r="H24" i="207"/>
  <c r="H50" i="207" s="1"/>
  <c r="K24" i="207"/>
  <c r="K50" i="207" s="1"/>
  <c r="K25" i="207"/>
  <c r="K51" i="207" s="1"/>
  <c r="K22" i="207"/>
  <c r="K48" i="207" s="1"/>
  <c r="K26" i="207"/>
  <c r="K52" i="207" s="1"/>
  <c r="K23" i="207"/>
  <c r="K49" i="207" s="1"/>
  <c r="K27" i="207"/>
  <c r="K53" i="207" s="1"/>
  <c r="G26" i="207"/>
  <c r="G52" i="207" s="1"/>
  <c r="G22" i="207"/>
  <c r="G48" i="207" s="1"/>
  <c r="G23" i="207"/>
  <c r="G49" i="207" s="1"/>
  <c r="G27" i="207"/>
  <c r="G53" i="207" s="1"/>
  <c r="G24" i="207"/>
  <c r="G50" i="207" s="1"/>
  <c r="G25" i="207"/>
  <c r="G51" i="207" s="1"/>
  <c r="F26" i="207"/>
  <c r="F52" i="207" s="1"/>
  <c r="F22" i="207"/>
  <c r="F48" i="207" s="1"/>
  <c r="F23" i="207"/>
  <c r="F49" i="207" s="1"/>
  <c r="F27" i="207"/>
  <c r="F53" i="207" s="1"/>
  <c r="F24" i="207"/>
  <c r="F50" i="207" s="1"/>
  <c r="F25" i="207"/>
  <c r="F51" i="207" s="1"/>
  <c r="G51" i="199"/>
  <c r="G50" i="199" s="1"/>
  <c r="K67" i="213"/>
  <c r="J75" i="213"/>
  <c r="J51" i="199"/>
  <c r="J50" i="199" s="1"/>
  <c r="N67" i="213"/>
  <c r="J5" i="213"/>
  <c r="J18" i="213"/>
  <c r="I57" i="236" s="1"/>
  <c r="I51" i="199"/>
  <c r="I50" i="199" s="1"/>
  <c r="M67" i="213"/>
  <c r="R75" i="213"/>
  <c r="R5" i="213"/>
  <c r="R18" i="213"/>
  <c r="H51" i="199"/>
  <c r="H50" i="199" s="1"/>
  <c r="L67" i="213"/>
  <c r="Q75" i="213"/>
  <c r="K51" i="199"/>
  <c r="K50" i="199" s="1"/>
  <c r="O67" i="213"/>
  <c r="L51" i="199"/>
  <c r="L50" i="199" s="1"/>
  <c r="P67" i="213"/>
  <c r="Q5" i="213"/>
  <c r="Q18" i="213"/>
  <c r="L90" i="150"/>
  <c r="L108" i="150" s="1"/>
  <c r="U103" i="150"/>
  <c r="O103" i="150"/>
  <c r="S103" i="150"/>
  <c r="T103" i="150"/>
  <c r="P103" i="150"/>
  <c r="L103" i="150"/>
  <c r="Q103" i="150"/>
  <c r="M103" i="150"/>
  <c r="N103" i="150"/>
  <c r="R103" i="150"/>
  <c r="O90" i="150"/>
  <c r="T90" i="150"/>
  <c r="T108" i="150" s="1"/>
  <c r="T95" i="150"/>
  <c r="Q95" i="150"/>
  <c r="U90" i="150"/>
  <c r="U108" i="150" s="1"/>
  <c r="S95" i="150"/>
  <c r="S90" i="150"/>
  <c r="S108" i="150" s="1"/>
  <c r="R90" i="150"/>
  <c r="R108" i="150" s="1"/>
  <c r="M90" i="150"/>
  <c r="M108" i="150" s="1"/>
  <c r="R95" i="150"/>
  <c r="N90" i="150"/>
  <c r="P95" i="150"/>
  <c r="Q90" i="150"/>
  <c r="Q108" i="150" s="1"/>
  <c r="P90" i="150"/>
  <c r="P108" i="150" s="1"/>
  <c r="M95" i="150"/>
  <c r="U95" i="150"/>
  <c r="I62" i="236" l="1"/>
  <c r="I98" i="236" s="1"/>
  <c r="Q17" i="213"/>
  <c r="P57" i="236"/>
  <c r="R17" i="213"/>
  <c r="Q57" i="236"/>
  <c r="G19" i="199"/>
  <c r="G22" i="199"/>
  <c r="J34" i="236" s="1"/>
  <c r="K19" i="199"/>
  <c r="K22" i="199"/>
  <c r="N34" i="236" s="1"/>
  <c r="I19" i="199"/>
  <c r="I22" i="199"/>
  <c r="L34" i="236" s="1"/>
  <c r="H19" i="199"/>
  <c r="H22" i="199"/>
  <c r="K34" i="236" s="1"/>
  <c r="L19" i="199"/>
  <c r="L22" i="199"/>
  <c r="O34" i="236" s="1"/>
  <c r="J19" i="199"/>
  <c r="J22" i="199"/>
  <c r="M34" i="236" s="1"/>
  <c r="M23" i="209"/>
  <c r="Q123" i="213"/>
  <c r="Q122" i="213" s="1"/>
  <c r="N23" i="209"/>
  <c r="R123" i="213"/>
  <c r="R122" i="213" s="1"/>
  <c r="F23" i="209"/>
  <c r="J123" i="213"/>
  <c r="N18" i="226"/>
  <c r="N63" i="226"/>
  <c r="L25" i="215" s="1"/>
  <c r="Q146" i="213" s="1"/>
  <c r="N19" i="226"/>
  <c r="N64" i="226"/>
  <c r="E67" i="213"/>
  <c r="J17" i="213"/>
  <c r="G18" i="226"/>
  <c r="G45" i="226"/>
  <c r="E19" i="215" s="1"/>
  <c r="G46" i="226"/>
  <c r="E20" i="215" s="1"/>
  <c r="J133" i="213" s="1"/>
  <c r="O19" i="226"/>
  <c r="O45" i="226"/>
  <c r="M19" i="215" s="1"/>
  <c r="O46" i="226"/>
  <c r="M20" i="215" s="1"/>
  <c r="R133" i="213" s="1"/>
  <c r="N45" i="226"/>
  <c r="L19" i="215" s="1"/>
  <c r="N46" i="226"/>
  <c r="L20" i="215" s="1"/>
  <c r="Q133" i="213" s="1"/>
  <c r="G5" i="226"/>
  <c r="G26" i="226" s="1"/>
  <c r="N14" i="209"/>
  <c r="F14" i="209"/>
  <c r="M14" i="209"/>
  <c r="O64" i="226"/>
  <c r="O63" i="226"/>
  <c r="G64" i="226"/>
  <c r="G19" i="226"/>
  <c r="O18" i="226"/>
  <c r="N42" i="209"/>
  <c r="O5" i="226"/>
  <c r="O26" i="226" s="1"/>
  <c r="M42" i="209"/>
  <c r="F42" i="209"/>
  <c r="G63" i="226"/>
  <c r="N71" i="226"/>
  <c r="N29" i="226"/>
  <c r="N70" i="226"/>
  <c r="N28" i="226"/>
  <c r="N69" i="226"/>
  <c r="N27" i="226"/>
  <c r="N26" i="226"/>
  <c r="L100" i="150"/>
  <c r="P6" i="213"/>
  <c r="W6" i="230" s="1"/>
  <c r="W5" i="230" s="1"/>
  <c r="P66" i="213"/>
  <c r="N6" i="213"/>
  <c r="S6" i="230" s="1"/>
  <c r="S5" i="230" s="1"/>
  <c r="N66" i="213"/>
  <c r="L6" i="213"/>
  <c r="O6" i="230" s="1"/>
  <c r="O5" i="230" s="1"/>
  <c r="L66" i="213"/>
  <c r="M6" i="213"/>
  <c r="Q6" i="230" s="1"/>
  <c r="Q5" i="230" s="1"/>
  <c r="M66" i="213"/>
  <c r="K6" i="213"/>
  <c r="M6" i="230" s="1"/>
  <c r="M5" i="230" s="1"/>
  <c r="K66" i="213"/>
  <c r="O6" i="213"/>
  <c r="U6" i="230" s="1"/>
  <c r="U5" i="230" s="1"/>
  <c r="O66" i="213"/>
  <c r="D19" i="207"/>
  <c r="O100" i="150"/>
  <c r="O108" i="150"/>
  <c r="N100" i="150"/>
  <c r="N108" i="150"/>
  <c r="P100" i="150"/>
  <c r="S100" i="150"/>
  <c r="R100" i="150"/>
  <c r="Q100" i="150"/>
  <c r="U100" i="150"/>
  <c r="T100" i="150"/>
  <c r="M100" i="150"/>
  <c r="O41" i="236" l="1"/>
  <c r="O44" i="236"/>
  <c r="O43" i="236"/>
  <c r="O42" i="236"/>
  <c r="J41" i="236"/>
  <c r="J44" i="236"/>
  <c r="J43" i="236"/>
  <c r="J42" i="236"/>
  <c r="K41" i="236"/>
  <c r="K44" i="236"/>
  <c r="K43" i="236"/>
  <c r="K42" i="236"/>
  <c r="L41" i="236"/>
  <c r="L44" i="236"/>
  <c r="L43" i="236"/>
  <c r="L42" i="236"/>
  <c r="M41" i="236"/>
  <c r="M44" i="236"/>
  <c r="M43" i="236"/>
  <c r="M42" i="236"/>
  <c r="N41" i="236"/>
  <c r="N44" i="236"/>
  <c r="N43" i="236"/>
  <c r="N42" i="236"/>
  <c r="G35" i="210"/>
  <c r="G44" i="210" s="1"/>
  <c r="I15" i="13" s="1"/>
  <c r="I6" i="236"/>
  <c r="I7" i="236" s="1"/>
  <c r="Q62" i="236"/>
  <c r="Q98" i="236" s="1"/>
  <c r="O35" i="210"/>
  <c r="O44" i="210" s="1"/>
  <c r="Q15" i="13" s="1"/>
  <c r="Q6" i="236"/>
  <c r="P62" i="236"/>
  <c r="P98" i="236" s="1"/>
  <c r="N35" i="210"/>
  <c r="N44" i="210" s="1"/>
  <c r="P15" i="13" s="1"/>
  <c r="P6" i="236"/>
  <c r="I99" i="236"/>
  <c r="I101" i="236"/>
  <c r="I100" i="236"/>
  <c r="I102" i="236"/>
  <c r="L26" i="215"/>
  <c r="Q147" i="213" s="1"/>
  <c r="J122" i="213"/>
  <c r="R157" i="213"/>
  <c r="N43" i="209"/>
  <c r="J157" i="213"/>
  <c r="F43" i="209"/>
  <c r="Q157" i="213"/>
  <c r="M43" i="209"/>
  <c r="E13" i="215"/>
  <c r="J117" i="213" s="1"/>
  <c r="L16" i="215"/>
  <c r="Q120" i="213" s="1"/>
  <c r="J132" i="213"/>
  <c r="E18" i="215"/>
  <c r="M13" i="215"/>
  <c r="R117" i="213" s="1"/>
  <c r="Q132" i="213"/>
  <c r="L18" i="215"/>
  <c r="L15" i="215"/>
  <c r="Q119" i="213" s="1"/>
  <c r="L13" i="215"/>
  <c r="Q117" i="213" s="1"/>
  <c r="L28" i="215"/>
  <c r="Q149" i="213" s="1"/>
  <c r="L27" i="215"/>
  <c r="Q148" i="213" s="1"/>
  <c r="R132" i="213"/>
  <c r="M18" i="215"/>
  <c r="L14" i="215"/>
  <c r="Q118" i="213" s="1"/>
  <c r="G69" i="226"/>
  <c r="E26" i="215" s="1"/>
  <c r="J147" i="213" s="1"/>
  <c r="G27" i="226"/>
  <c r="E14" i="215" s="1"/>
  <c r="J118" i="213" s="1"/>
  <c r="G71" i="226"/>
  <c r="G70" i="226"/>
  <c r="G28" i="226"/>
  <c r="G68" i="226"/>
  <c r="G29" i="226"/>
  <c r="O68" i="226"/>
  <c r="O27" i="226"/>
  <c r="M14" i="215" s="1"/>
  <c r="O69" i="226"/>
  <c r="O60" i="210"/>
  <c r="O62" i="210" s="1"/>
  <c r="O28" i="226"/>
  <c r="O71" i="226"/>
  <c r="O29" i="226"/>
  <c r="O70" i="226"/>
  <c r="M6" i="226"/>
  <c r="L26" i="209"/>
  <c r="L31" i="209" s="1"/>
  <c r="P137" i="213" s="1"/>
  <c r="P44" i="213" s="1"/>
  <c r="L11" i="209"/>
  <c r="L34" i="209"/>
  <c r="L39" i="209" s="1"/>
  <c r="P151" i="213" s="1"/>
  <c r="P51" i="213" s="1"/>
  <c r="L17" i="209"/>
  <c r="I6" i="226"/>
  <c r="H11" i="209"/>
  <c r="H17" i="209"/>
  <c r="H26" i="209"/>
  <c r="H31" i="209" s="1"/>
  <c r="L137" i="213" s="1"/>
  <c r="L44" i="213" s="1"/>
  <c r="H34" i="209"/>
  <c r="H39" i="209" s="1"/>
  <c r="L151" i="213" s="1"/>
  <c r="L51" i="213" s="1"/>
  <c r="N60" i="210"/>
  <c r="N62" i="210" s="1"/>
  <c r="H6" i="226"/>
  <c r="G11" i="209"/>
  <c r="G26" i="209"/>
  <c r="G31" i="209" s="1"/>
  <c r="K137" i="213" s="1"/>
  <c r="K44" i="213" s="1"/>
  <c r="G17" i="209"/>
  <c r="G34" i="209"/>
  <c r="G39" i="209" s="1"/>
  <c r="K151" i="213" s="1"/>
  <c r="K51" i="213" s="1"/>
  <c r="K6" i="226"/>
  <c r="J17" i="209"/>
  <c r="J34" i="209"/>
  <c r="J39" i="209" s="1"/>
  <c r="N151" i="213" s="1"/>
  <c r="N51" i="213" s="1"/>
  <c r="J11" i="209"/>
  <c r="J26" i="209"/>
  <c r="J31" i="209" s="1"/>
  <c r="N137" i="213" s="1"/>
  <c r="N44" i="213" s="1"/>
  <c r="J6" i="226"/>
  <c r="I34" i="209"/>
  <c r="I39" i="209" s="1"/>
  <c r="M151" i="213" s="1"/>
  <c r="M51" i="213" s="1"/>
  <c r="I17" i="209"/>
  <c r="I11" i="209"/>
  <c r="I26" i="209"/>
  <c r="I31" i="209" s="1"/>
  <c r="M137" i="213" s="1"/>
  <c r="M44" i="213" s="1"/>
  <c r="L6" i="226"/>
  <c r="K17" i="209"/>
  <c r="K11" i="209"/>
  <c r="K34" i="209"/>
  <c r="K39" i="209" s="1"/>
  <c r="O151" i="213" s="1"/>
  <c r="O51" i="213" s="1"/>
  <c r="K26" i="209"/>
  <c r="K31" i="209" s="1"/>
  <c r="O137" i="213" s="1"/>
  <c r="O44" i="213" s="1"/>
  <c r="N75" i="213"/>
  <c r="L75" i="213"/>
  <c r="O75" i="213"/>
  <c r="L5" i="213"/>
  <c r="L18" i="213"/>
  <c r="O5" i="213"/>
  <c r="O18" i="213"/>
  <c r="K75" i="213"/>
  <c r="G60" i="210"/>
  <c r="G62" i="210" s="1"/>
  <c r="P75" i="213"/>
  <c r="N5" i="213"/>
  <c r="N18" i="213"/>
  <c r="K5" i="213"/>
  <c r="K18" i="213"/>
  <c r="J57" i="236" s="1"/>
  <c r="E6" i="213"/>
  <c r="M75" i="213"/>
  <c r="M5" i="213"/>
  <c r="M18" i="213"/>
  <c r="P5" i="213"/>
  <c r="P18" i="213"/>
  <c r="I19" i="207"/>
  <c r="J19" i="207"/>
  <c r="H19" i="207"/>
  <c r="F19" i="207"/>
  <c r="E19" i="207"/>
  <c r="L19" i="207"/>
  <c r="K19" i="207"/>
  <c r="M19" i="207"/>
  <c r="G19" i="207"/>
  <c r="D85" i="207"/>
  <c r="D100" i="207"/>
  <c r="D82" i="207"/>
  <c r="D97" i="207"/>
  <c r="D83" i="207"/>
  <c r="D98" i="207"/>
  <c r="D84" i="207"/>
  <c r="D99" i="207"/>
  <c r="D96" i="207"/>
  <c r="D28" i="207"/>
  <c r="D81" i="207"/>
  <c r="Q7" i="236" l="1"/>
  <c r="I103" i="236"/>
  <c r="P101" i="236"/>
  <c r="P100" i="236"/>
  <c r="P99" i="236"/>
  <c r="P102" i="236"/>
  <c r="N17" i="213"/>
  <c r="K60" i="210" s="1"/>
  <c r="K62" i="210" s="1"/>
  <c r="M57" i="236"/>
  <c r="P17" i="213"/>
  <c r="O57" i="236"/>
  <c r="M17" i="213"/>
  <c r="L57" i="236"/>
  <c r="L17" i="213"/>
  <c r="K57" i="236"/>
  <c r="Q102" i="236"/>
  <c r="Q101" i="236"/>
  <c r="Q99" i="236"/>
  <c r="Q100" i="236"/>
  <c r="O17" i="213"/>
  <c r="N57" i="236"/>
  <c r="J62" i="236"/>
  <c r="J98" i="236" s="1"/>
  <c r="J23" i="209"/>
  <c r="N123" i="213"/>
  <c r="N122" i="213" s="1"/>
  <c r="I23" i="209"/>
  <c r="M123" i="213"/>
  <c r="M122" i="213" s="1"/>
  <c r="H23" i="209"/>
  <c r="L123" i="213"/>
  <c r="L122" i="213" s="1"/>
  <c r="G23" i="209"/>
  <c r="K123" i="213"/>
  <c r="L23" i="209"/>
  <c r="P123" i="213"/>
  <c r="P122" i="213" s="1"/>
  <c r="K23" i="209"/>
  <c r="O123" i="213"/>
  <c r="O122" i="213" s="1"/>
  <c r="Q27" i="213"/>
  <c r="Q33" i="213" s="1"/>
  <c r="Q26" i="213"/>
  <c r="Q32" i="213" s="1"/>
  <c r="O41" i="238" s="1"/>
  <c r="R156" i="213"/>
  <c r="R54" i="213"/>
  <c r="Q156" i="213"/>
  <c r="Q54" i="213"/>
  <c r="J156" i="213"/>
  <c r="J54" i="213"/>
  <c r="K17" i="213"/>
  <c r="E18" i="213"/>
  <c r="E137" i="213"/>
  <c r="E75" i="213"/>
  <c r="Q116" i="213"/>
  <c r="M27" i="215"/>
  <c r="R148" i="213" s="1"/>
  <c r="R118" i="213"/>
  <c r="J131" i="213"/>
  <c r="J130" i="213" s="1"/>
  <c r="M16" i="215"/>
  <c r="R120" i="213" s="1"/>
  <c r="Q131" i="213"/>
  <c r="Q130" i="213" s="1"/>
  <c r="M28" i="215"/>
  <c r="R149" i="213" s="1"/>
  <c r="E16" i="215"/>
  <c r="R131" i="213"/>
  <c r="R130" i="213" s="1"/>
  <c r="M26" i="215"/>
  <c r="R147" i="213" s="1"/>
  <c r="E25" i="215"/>
  <c r="J146" i="213" s="1"/>
  <c r="L12" i="215"/>
  <c r="M15" i="215"/>
  <c r="E15" i="215"/>
  <c r="J119" i="213" s="1"/>
  <c r="J26" i="213" s="1"/>
  <c r="E27" i="215"/>
  <c r="J148" i="213" s="1"/>
  <c r="L24" i="215"/>
  <c r="E28" i="215"/>
  <c r="M25" i="215"/>
  <c r="R146" i="213" s="1"/>
  <c r="L19" i="226"/>
  <c r="L45" i="226"/>
  <c r="J19" i="215" s="1"/>
  <c r="L46" i="226"/>
  <c r="J20" i="215" s="1"/>
  <c r="O133" i="213" s="1"/>
  <c r="J18" i="226"/>
  <c r="J45" i="226"/>
  <c r="H19" i="215" s="1"/>
  <c r="J46" i="226"/>
  <c r="H20" i="215" s="1"/>
  <c r="M133" i="213" s="1"/>
  <c r="H64" i="226"/>
  <c r="H45" i="226"/>
  <c r="F19" i="215" s="1"/>
  <c r="H46" i="226"/>
  <c r="F20" i="215" s="1"/>
  <c r="K133" i="213" s="1"/>
  <c r="K19" i="226"/>
  <c r="K45" i="226"/>
  <c r="I19" i="215" s="1"/>
  <c r="K46" i="226"/>
  <c r="I20" i="215" s="1"/>
  <c r="N133" i="213" s="1"/>
  <c r="M18" i="226"/>
  <c r="M45" i="226"/>
  <c r="K19" i="215" s="1"/>
  <c r="M46" i="226"/>
  <c r="K20" i="215" s="1"/>
  <c r="P133" i="213" s="1"/>
  <c r="I63" i="226"/>
  <c r="I45" i="226"/>
  <c r="G19" i="215" s="1"/>
  <c r="I46" i="226"/>
  <c r="G20" i="215" s="1"/>
  <c r="L133" i="213" s="1"/>
  <c r="Q145" i="213"/>
  <c r="K14" i="209"/>
  <c r="G14" i="209"/>
  <c r="J14" i="209"/>
  <c r="L14" i="209"/>
  <c r="I14" i="209"/>
  <c r="H14" i="209"/>
  <c r="K64" i="226"/>
  <c r="K63" i="226"/>
  <c r="M64" i="226"/>
  <c r="K18" i="226"/>
  <c r="K5" i="226"/>
  <c r="K71" i="226" s="1"/>
  <c r="M63" i="226"/>
  <c r="M5" i="226"/>
  <c r="M71" i="226" s="1"/>
  <c r="M19" i="226"/>
  <c r="H19" i="226"/>
  <c r="H18" i="226"/>
  <c r="H63" i="226"/>
  <c r="H5" i="226"/>
  <c r="H26" i="226" s="1"/>
  <c r="I19" i="226"/>
  <c r="L18" i="226"/>
  <c r="I64" i="226"/>
  <c r="I18" i="226"/>
  <c r="L64" i="226"/>
  <c r="J19" i="226"/>
  <c r="L63" i="226"/>
  <c r="L5" i="226"/>
  <c r="L26" i="226" s="1"/>
  <c r="J64" i="226"/>
  <c r="I5" i="226"/>
  <c r="I68" i="226" s="1"/>
  <c r="J5" i="226"/>
  <c r="J68" i="226" s="1"/>
  <c r="K42" i="209"/>
  <c r="L42" i="209"/>
  <c r="J42" i="209"/>
  <c r="J63" i="226"/>
  <c r="I42" i="209"/>
  <c r="I60" i="210"/>
  <c r="I62" i="210" s="1"/>
  <c r="H42" i="209"/>
  <c r="G42" i="209"/>
  <c r="E5" i="213"/>
  <c r="L81" i="207"/>
  <c r="L28" i="207"/>
  <c r="L96" i="207"/>
  <c r="G28" i="207"/>
  <c r="G81" i="207"/>
  <c r="G96" i="207"/>
  <c r="M85" i="207"/>
  <c r="M100" i="207"/>
  <c r="M81" i="207"/>
  <c r="M28" i="207"/>
  <c r="M96" i="207"/>
  <c r="L84" i="207"/>
  <c r="L99" i="207"/>
  <c r="F82" i="207"/>
  <c r="F97" i="207"/>
  <c r="H82" i="207"/>
  <c r="H97" i="207"/>
  <c r="J84" i="207"/>
  <c r="J99" i="207"/>
  <c r="I28" i="207"/>
  <c r="I81" i="207"/>
  <c r="I96" i="207"/>
  <c r="K82" i="207"/>
  <c r="K97" i="207"/>
  <c r="L82" i="207"/>
  <c r="L97" i="207"/>
  <c r="L85" i="207"/>
  <c r="L100" i="207"/>
  <c r="H84" i="207"/>
  <c r="H99" i="207"/>
  <c r="H81" i="207"/>
  <c r="H28" i="207"/>
  <c r="H96" i="207"/>
  <c r="J81" i="207"/>
  <c r="J28" i="207"/>
  <c r="J96" i="207"/>
  <c r="I84" i="207"/>
  <c r="I99" i="207"/>
  <c r="G85" i="207"/>
  <c r="G100" i="207"/>
  <c r="F85" i="207"/>
  <c r="F100" i="207"/>
  <c r="I85" i="207"/>
  <c r="I100" i="207"/>
  <c r="M82" i="207"/>
  <c r="M97" i="207"/>
  <c r="G83" i="207"/>
  <c r="G98" i="207"/>
  <c r="K28" i="207"/>
  <c r="K81" i="207"/>
  <c r="K96" i="207"/>
  <c r="E85" i="207"/>
  <c r="E100" i="207"/>
  <c r="F83" i="207"/>
  <c r="F98" i="207"/>
  <c r="J85" i="207"/>
  <c r="J100" i="207"/>
  <c r="I83" i="207"/>
  <c r="I98" i="207"/>
  <c r="E83" i="207"/>
  <c r="E98" i="207"/>
  <c r="H85" i="207"/>
  <c r="H100" i="207"/>
  <c r="K83" i="207"/>
  <c r="K98" i="207"/>
  <c r="E84" i="207"/>
  <c r="E99" i="207"/>
  <c r="H83" i="207"/>
  <c r="H98" i="207"/>
  <c r="I82" i="207"/>
  <c r="I97" i="207"/>
  <c r="G82" i="207"/>
  <c r="G97" i="207"/>
  <c r="M83" i="207"/>
  <c r="M98" i="207"/>
  <c r="K85" i="207"/>
  <c r="K100" i="207"/>
  <c r="K84" i="207"/>
  <c r="K99" i="207"/>
  <c r="E82" i="207"/>
  <c r="E97" i="207"/>
  <c r="F84" i="207"/>
  <c r="F99" i="207"/>
  <c r="G84" i="207"/>
  <c r="G99" i="207"/>
  <c r="M84" i="207"/>
  <c r="M99" i="207"/>
  <c r="L83" i="207"/>
  <c r="L98" i="207"/>
  <c r="E81" i="207"/>
  <c r="E96" i="207"/>
  <c r="E28" i="207"/>
  <c r="F81" i="207"/>
  <c r="F28" i="207"/>
  <c r="F96" i="207"/>
  <c r="J82" i="207"/>
  <c r="J97" i="207"/>
  <c r="J83" i="207"/>
  <c r="J98" i="207"/>
  <c r="D118" i="207"/>
  <c r="D120" i="207"/>
  <c r="D105" i="207"/>
  <c r="D114" i="207"/>
  <c r="D122" i="207"/>
  <c r="D132" i="207"/>
  <c r="D121" i="207"/>
  <c r="D134" i="207"/>
  <c r="D127" i="207"/>
  <c r="D137" i="207" s="1"/>
  <c r="D88" i="207"/>
  <c r="D67" i="207"/>
  <c r="D75" i="207"/>
  <c r="D128" i="207"/>
  <c r="D89" i="207"/>
  <c r="D136" i="207"/>
  <c r="D130" i="207"/>
  <c r="D91" i="207"/>
  <c r="D74" i="207"/>
  <c r="D66" i="207"/>
  <c r="D135" i="207"/>
  <c r="D115" i="207"/>
  <c r="D106" i="207"/>
  <c r="D69" i="207"/>
  <c r="I87" i="213" s="1"/>
  <c r="D77" i="207"/>
  <c r="D133" i="207"/>
  <c r="D90" i="207"/>
  <c r="D129" i="207"/>
  <c r="D117" i="207"/>
  <c r="D108" i="207"/>
  <c r="D107" i="207"/>
  <c r="D116" i="207"/>
  <c r="D68" i="207"/>
  <c r="D76" i="207"/>
  <c r="D104" i="207"/>
  <c r="D109" i="207" s="1"/>
  <c r="D113" i="207"/>
  <c r="D123" i="207" s="1"/>
  <c r="D101" i="207"/>
  <c r="D65" i="207"/>
  <c r="D73" i="207"/>
  <c r="D119" i="207"/>
  <c r="D131" i="207"/>
  <c r="D92" i="207"/>
  <c r="P103" i="236" l="1"/>
  <c r="Q103" i="236"/>
  <c r="M62" i="236"/>
  <c r="M98" i="236" s="1"/>
  <c r="J99" i="236"/>
  <c r="J101" i="236"/>
  <c r="J100" i="236"/>
  <c r="J102" i="236"/>
  <c r="K62" i="236"/>
  <c r="K35" i="210"/>
  <c r="K44" i="210" s="1"/>
  <c r="M15" i="13" s="1"/>
  <c r="M6" i="236"/>
  <c r="I35" i="210"/>
  <c r="I44" i="210" s="1"/>
  <c r="K15" i="13" s="1"/>
  <c r="K6" i="236"/>
  <c r="M35" i="210"/>
  <c r="M44" i="210" s="1"/>
  <c r="O15" i="13" s="1"/>
  <c r="O6" i="236"/>
  <c r="H35" i="210"/>
  <c r="H44" i="210" s="1"/>
  <c r="J15" i="13" s="1"/>
  <c r="J6" i="236"/>
  <c r="J7" i="236" s="1"/>
  <c r="N62" i="236"/>
  <c r="N98" i="236" s="1"/>
  <c r="L35" i="210"/>
  <c r="L44" i="210" s="1"/>
  <c r="N15" i="13" s="1"/>
  <c r="N6" i="236"/>
  <c r="L62" i="236"/>
  <c r="L98" i="236" s="1"/>
  <c r="J35" i="210"/>
  <c r="J44" i="210" s="1"/>
  <c r="L15" i="13" s="1"/>
  <c r="L6" i="236"/>
  <c r="O62" i="236"/>
  <c r="O98" i="236" s="1"/>
  <c r="I85" i="213"/>
  <c r="K122" i="213"/>
  <c r="E123" i="213"/>
  <c r="R27" i="213"/>
  <c r="R33" i="213" s="1"/>
  <c r="N157" i="213"/>
  <c r="J43" i="209"/>
  <c r="K157" i="213"/>
  <c r="G43" i="209"/>
  <c r="P157" i="213"/>
  <c r="L43" i="209"/>
  <c r="L157" i="213"/>
  <c r="H43" i="209"/>
  <c r="O157" i="213"/>
  <c r="K43" i="209"/>
  <c r="M157" i="213"/>
  <c r="I43" i="209"/>
  <c r="F13" i="215"/>
  <c r="K117" i="213" s="1"/>
  <c r="J13" i="215"/>
  <c r="O117" i="213" s="1"/>
  <c r="E44" i="213"/>
  <c r="M24" i="215"/>
  <c r="E133" i="213"/>
  <c r="E24" i="215"/>
  <c r="M12" i="215"/>
  <c r="E12" i="215"/>
  <c r="L10" i="215"/>
  <c r="R145" i="213"/>
  <c r="J149" i="213"/>
  <c r="R119" i="213"/>
  <c r="R26" i="213" s="1"/>
  <c r="K28" i="215"/>
  <c r="P149" i="213" s="1"/>
  <c r="N132" i="213"/>
  <c r="I18" i="215"/>
  <c r="O132" i="213"/>
  <c r="J18" i="215"/>
  <c r="M132" i="213"/>
  <c r="H18" i="215"/>
  <c r="J120" i="213"/>
  <c r="J27" i="213" s="1"/>
  <c r="H25" i="215"/>
  <c r="M146" i="213" s="1"/>
  <c r="I28" i="215"/>
  <c r="N149" i="213" s="1"/>
  <c r="L132" i="213"/>
  <c r="G18" i="215"/>
  <c r="P132" i="213"/>
  <c r="K18" i="215"/>
  <c r="G25" i="215"/>
  <c r="L146" i="213" s="1"/>
  <c r="K132" i="213"/>
  <c r="F18" i="215"/>
  <c r="M68" i="226"/>
  <c r="K69" i="226"/>
  <c r="I26" i="215" s="1"/>
  <c r="K28" i="226"/>
  <c r="M27" i="226"/>
  <c r="K14" i="215" s="1"/>
  <c r="M26" i="226"/>
  <c r="K13" i="215" s="1"/>
  <c r="M28" i="226"/>
  <c r="M70" i="226"/>
  <c r="K26" i="226"/>
  <c r="I13" i="215" s="1"/>
  <c r="K68" i="226"/>
  <c r="I25" i="215" s="1"/>
  <c r="K27" i="226"/>
  <c r="I14" i="215" s="1"/>
  <c r="H71" i="226"/>
  <c r="H27" i="226"/>
  <c r="F14" i="215" s="1"/>
  <c r="M29" i="226"/>
  <c r="L60" i="210"/>
  <c r="L62" i="210" s="1"/>
  <c r="H68" i="226"/>
  <c r="F25" i="215" s="1"/>
  <c r="M69" i="226"/>
  <c r="K26" i="215" s="1"/>
  <c r="K29" i="226"/>
  <c r="J71" i="226"/>
  <c r="H69" i="226"/>
  <c r="F26" i="215" s="1"/>
  <c r="K70" i="226"/>
  <c r="J70" i="226"/>
  <c r="H28" i="226"/>
  <c r="I69" i="226"/>
  <c r="G26" i="215" s="1"/>
  <c r="H29" i="226"/>
  <c r="H70" i="226"/>
  <c r="J29" i="226"/>
  <c r="J28" i="226"/>
  <c r="M60" i="210"/>
  <c r="M62" i="210" s="1"/>
  <c r="J27" i="226"/>
  <c r="H14" i="215" s="1"/>
  <c r="J69" i="226"/>
  <c r="H26" i="215" s="1"/>
  <c r="I28" i="226"/>
  <c r="I26" i="226"/>
  <c r="J26" i="226"/>
  <c r="H13" i="215" s="1"/>
  <c r="L27" i="226"/>
  <c r="L71" i="226"/>
  <c r="L29" i="226"/>
  <c r="J60" i="210"/>
  <c r="J62" i="210" s="1"/>
  <c r="L28" i="226"/>
  <c r="L68" i="226"/>
  <c r="L70" i="226"/>
  <c r="L69" i="226"/>
  <c r="I70" i="226"/>
  <c r="I71" i="226"/>
  <c r="I29" i="226"/>
  <c r="I27" i="226"/>
  <c r="R55" i="213"/>
  <c r="H60" i="210"/>
  <c r="H62" i="210" s="1"/>
  <c r="E17" i="213"/>
  <c r="D70" i="207"/>
  <c r="D140" i="207" s="1"/>
  <c r="D141" i="207" s="1"/>
  <c r="D78" i="207"/>
  <c r="D93" i="207"/>
  <c r="F101" i="207"/>
  <c r="F113" i="207"/>
  <c r="F123" i="207" s="1"/>
  <c r="F104" i="207"/>
  <c r="F109" i="207" s="1"/>
  <c r="E108" i="207"/>
  <c r="E117" i="207"/>
  <c r="M119" i="207"/>
  <c r="L76" i="207"/>
  <c r="L68" i="207"/>
  <c r="J129" i="207"/>
  <c r="J90" i="207"/>
  <c r="F65" i="207"/>
  <c r="F54" i="207"/>
  <c r="F73" i="207"/>
  <c r="E132" i="207"/>
  <c r="G116" i="207"/>
  <c r="G107" i="207"/>
  <c r="F68" i="207"/>
  <c r="F76" i="207"/>
  <c r="L132" i="207"/>
  <c r="M106" i="207"/>
  <c r="M115" i="207"/>
  <c r="I89" i="207"/>
  <c r="I128" i="207"/>
  <c r="E134" i="207"/>
  <c r="K115" i="207"/>
  <c r="K106" i="207"/>
  <c r="H77" i="207"/>
  <c r="H69" i="207"/>
  <c r="M87" i="213" s="1"/>
  <c r="M85" i="213" s="1"/>
  <c r="I136" i="207"/>
  <c r="E92" i="207"/>
  <c r="E131" i="207"/>
  <c r="G106" i="207"/>
  <c r="G115" i="207"/>
  <c r="J118" i="207"/>
  <c r="F108" i="207"/>
  <c r="F117" i="207"/>
  <c r="J135" i="207"/>
  <c r="J127" i="207"/>
  <c r="J137" i="207" s="1"/>
  <c r="J88" i="207"/>
  <c r="F118" i="207"/>
  <c r="E136" i="207"/>
  <c r="K66" i="207"/>
  <c r="K74" i="207"/>
  <c r="M133" i="207"/>
  <c r="F128" i="207"/>
  <c r="F89" i="207"/>
  <c r="L116" i="207"/>
  <c r="L107" i="207"/>
  <c r="M127" i="207"/>
  <c r="M137" i="207" s="1"/>
  <c r="M88" i="207"/>
  <c r="I120" i="207"/>
  <c r="K105" i="207"/>
  <c r="K114" i="207"/>
  <c r="L115" i="207"/>
  <c r="L106" i="207"/>
  <c r="K132" i="207"/>
  <c r="G68" i="207"/>
  <c r="G76" i="207"/>
  <c r="H121" i="207"/>
  <c r="F107" i="207"/>
  <c r="F116" i="207"/>
  <c r="K76" i="207"/>
  <c r="K68" i="207"/>
  <c r="M90" i="207"/>
  <c r="M129" i="207"/>
  <c r="F121" i="207"/>
  <c r="I118" i="207"/>
  <c r="J134" i="207"/>
  <c r="L121" i="207"/>
  <c r="K129" i="207"/>
  <c r="K90" i="207"/>
  <c r="H117" i="207"/>
  <c r="H108" i="207"/>
  <c r="I115" i="207"/>
  <c r="I106" i="207"/>
  <c r="H134" i="207"/>
  <c r="G75" i="207"/>
  <c r="G67" i="207"/>
  <c r="M74" i="207"/>
  <c r="M66" i="207"/>
  <c r="J132" i="207"/>
  <c r="F69" i="207"/>
  <c r="K87" i="213" s="1"/>
  <c r="K85" i="213" s="1"/>
  <c r="F77" i="207"/>
  <c r="M120" i="207"/>
  <c r="K119" i="207"/>
  <c r="H104" i="207"/>
  <c r="H109" i="207" s="1"/>
  <c r="H101" i="207"/>
  <c r="H113" i="207"/>
  <c r="H123" i="207" s="1"/>
  <c r="L69" i="207"/>
  <c r="Q87" i="213" s="1"/>
  <c r="L77" i="207"/>
  <c r="K128" i="207"/>
  <c r="K89" i="207"/>
  <c r="G121" i="207"/>
  <c r="I101" i="207"/>
  <c r="I104" i="207"/>
  <c r="I109" i="207" s="1"/>
  <c r="I113" i="207"/>
  <c r="I123" i="207" s="1"/>
  <c r="L91" i="207"/>
  <c r="L130" i="207"/>
  <c r="M117" i="207"/>
  <c r="M108" i="207"/>
  <c r="J75" i="207"/>
  <c r="J67" i="207"/>
  <c r="G89" i="207"/>
  <c r="G128" i="207"/>
  <c r="H120" i="207"/>
  <c r="J114" i="207"/>
  <c r="J105" i="207"/>
  <c r="I133" i="207"/>
  <c r="J66" i="207"/>
  <c r="J74" i="207"/>
  <c r="F88" i="207"/>
  <c r="F127" i="207"/>
  <c r="F137" i="207" s="1"/>
  <c r="L75" i="207"/>
  <c r="L67" i="207"/>
  <c r="M116" i="207"/>
  <c r="M107" i="207"/>
  <c r="G130" i="207"/>
  <c r="G91" i="207"/>
  <c r="H135" i="207"/>
  <c r="F130" i="207"/>
  <c r="F91" i="207"/>
  <c r="K116" i="207"/>
  <c r="K107" i="207"/>
  <c r="F135" i="207"/>
  <c r="H67" i="207"/>
  <c r="H75" i="207"/>
  <c r="M122" i="207"/>
  <c r="H92" i="207"/>
  <c r="H131" i="207"/>
  <c r="I75" i="207"/>
  <c r="I67" i="207"/>
  <c r="L122" i="207"/>
  <c r="G129" i="207"/>
  <c r="G90" i="207"/>
  <c r="M114" i="207"/>
  <c r="M105" i="207"/>
  <c r="F92" i="207"/>
  <c r="F131" i="207"/>
  <c r="M134" i="207"/>
  <c r="H65" i="207"/>
  <c r="H73" i="207"/>
  <c r="H54" i="207"/>
  <c r="F132" i="207"/>
  <c r="L108" i="207"/>
  <c r="L117" i="207"/>
  <c r="M121" i="207"/>
  <c r="G135" i="207"/>
  <c r="I73" i="207"/>
  <c r="I65" i="207"/>
  <c r="I54" i="207"/>
  <c r="M77" i="207"/>
  <c r="M69" i="207"/>
  <c r="R87" i="213" s="1"/>
  <c r="R85" i="213" s="1"/>
  <c r="I134" i="207"/>
  <c r="M67" i="207"/>
  <c r="M75" i="207"/>
  <c r="F133" i="207"/>
  <c r="K67" i="207"/>
  <c r="K75" i="207"/>
  <c r="G134" i="207"/>
  <c r="F129" i="207"/>
  <c r="F90" i="207"/>
  <c r="F105" i="207"/>
  <c r="F114" i="207"/>
  <c r="J89" i="207"/>
  <c r="J128" i="207"/>
  <c r="F122" i="207"/>
  <c r="E113" i="207"/>
  <c r="E104" i="207"/>
  <c r="E109" i="207" s="1"/>
  <c r="E101" i="207"/>
  <c r="L90" i="207"/>
  <c r="L129" i="207"/>
  <c r="M68" i="207"/>
  <c r="M76" i="207"/>
  <c r="G122" i="207"/>
  <c r="I121" i="207"/>
  <c r="J122" i="207"/>
  <c r="E66" i="207"/>
  <c r="E74" i="207"/>
  <c r="K91" i="207"/>
  <c r="K130" i="207"/>
  <c r="G119" i="207"/>
  <c r="I132" i="207"/>
  <c r="H106" i="207"/>
  <c r="H115" i="207"/>
  <c r="E107" i="207"/>
  <c r="E116" i="207"/>
  <c r="L135" i="207"/>
  <c r="E75" i="207"/>
  <c r="E67" i="207"/>
  <c r="I90" i="207"/>
  <c r="I129" i="207"/>
  <c r="F120" i="207"/>
  <c r="L136" i="207"/>
  <c r="M89" i="207"/>
  <c r="M128" i="207"/>
  <c r="H119" i="207"/>
  <c r="G77" i="207"/>
  <c r="G69" i="207"/>
  <c r="L87" i="213" s="1"/>
  <c r="L85" i="213" s="1"/>
  <c r="K133" i="207"/>
  <c r="L131" i="207"/>
  <c r="L92" i="207"/>
  <c r="I88" i="207"/>
  <c r="I127" i="207"/>
  <c r="I137" i="207" s="1"/>
  <c r="J68" i="207"/>
  <c r="J76" i="207"/>
  <c r="H114" i="207"/>
  <c r="H105" i="207"/>
  <c r="K121" i="207"/>
  <c r="M92" i="207"/>
  <c r="M131" i="207"/>
  <c r="L73" i="207"/>
  <c r="L65" i="207"/>
  <c r="L54" i="207"/>
  <c r="I122" i="207"/>
  <c r="H132" i="207"/>
  <c r="H130" i="207"/>
  <c r="H91" i="207"/>
  <c r="M132" i="207"/>
  <c r="G136" i="207"/>
  <c r="E114" i="207"/>
  <c r="E105" i="207"/>
  <c r="K69" i="207"/>
  <c r="P87" i="213" s="1"/>
  <c r="P85" i="213" s="1"/>
  <c r="K77" i="207"/>
  <c r="G133" i="207"/>
  <c r="L119" i="207"/>
  <c r="H129" i="207"/>
  <c r="H90" i="207"/>
  <c r="E68" i="207"/>
  <c r="E76" i="207"/>
  <c r="M136" i="207"/>
  <c r="E106" i="207"/>
  <c r="E115" i="207"/>
  <c r="J117" i="207"/>
  <c r="J108" i="207"/>
  <c r="F134" i="207"/>
  <c r="E119" i="207"/>
  <c r="K101" i="207"/>
  <c r="K113" i="207"/>
  <c r="K123" i="207" s="1"/>
  <c r="K104" i="207"/>
  <c r="K109" i="207" s="1"/>
  <c r="G118" i="207"/>
  <c r="I77" i="207"/>
  <c r="I69" i="207"/>
  <c r="N87" i="213" s="1"/>
  <c r="N85" i="213" s="1"/>
  <c r="H133" i="207"/>
  <c r="E121" i="207"/>
  <c r="L120" i="207"/>
  <c r="G108" i="207"/>
  <c r="G117" i="207"/>
  <c r="I68" i="207"/>
  <c r="I76" i="207"/>
  <c r="H127" i="207"/>
  <c r="H88" i="207"/>
  <c r="L74" i="207"/>
  <c r="L66" i="207"/>
  <c r="M135" i="207"/>
  <c r="J116" i="207"/>
  <c r="J107" i="207"/>
  <c r="H66" i="207"/>
  <c r="H74" i="207"/>
  <c r="K135" i="207"/>
  <c r="G65" i="207"/>
  <c r="G73" i="207"/>
  <c r="G54" i="207"/>
  <c r="L113" i="207"/>
  <c r="L123" i="207" s="1"/>
  <c r="L104" i="207"/>
  <c r="L109" i="207" s="1"/>
  <c r="L101" i="207"/>
  <c r="K118" i="207"/>
  <c r="J133" i="207"/>
  <c r="I66" i="207"/>
  <c r="I74" i="207"/>
  <c r="I119" i="207"/>
  <c r="E73" i="207"/>
  <c r="E65" i="207"/>
  <c r="E54" i="207"/>
  <c r="M91" i="207"/>
  <c r="M130" i="207"/>
  <c r="J136" i="207"/>
  <c r="H122" i="207"/>
  <c r="F136" i="207"/>
  <c r="E88" i="207"/>
  <c r="E127" i="207"/>
  <c r="E137" i="207" s="1"/>
  <c r="K120" i="207"/>
  <c r="I135" i="207"/>
  <c r="E89" i="207"/>
  <c r="E128" i="207"/>
  <c r="K108" i="207"/>
  <c r="K117" i="207"/>
  <c r="G66" i="207"/>
  <c r="G74" i="207"/>
  <c r="L133" i="207"/>
  <c r="E91" i="207"/>
  <c r="E130" i="207"/>
  <c r="K122" i="207"/>
  <c r="E90" i="207"/>
  <c r="E129" i="207"/>
  <c r="J77" i="207"/>
  <c r="J69" i="207"/>
  <c r="O87" i="213" s="1"/>
  <c r="O85" i="213" s="1"/>
  <c r="F67" i="207"/>
  <c r="F75" i="207"/>
  <c r="E133" i="207"/>
  <c r="K65" i="207"/>
  <c r="K73" i="207"/>
  <c r="K54" i="207"/>
  <c r="G132" i="207"/>
  <c r="I108" i="207"/>
  <c r="I117" i="207"/>
  <c r="E135" i="207"/>
  <c r="L134" i="207"/>
  <c r="G131" i="207"/>
  <c r="G92" i="207"/>
  <c r="I116" i="207"/>
  <c r="I107" i="207"/>
  <c r="J73" i="207"/>
  <c r="J54" i="207"/>
  <c r="J65" i="207"/>
  <c r="H76" i="207"/>
  <c r="H68" i="207"/>
  <c r="L114" i="207"/>
  <c r="L105" i="207"/>
  <c r="J91" i="207"/>
  <c r="J130" i="207"/>
  <c r="H128" i="207"/>
  <c r="H89" i="207"/>
  <c r="M54" i="207"/>
  <c r="M65" i="207"/>
  <c r="M73" i="207"/>
  <c r="G101" i="207"/>
  <c r="G113" i="207"/>
  <c r="G123" i="207" s="1"/>
  <c r="G104" i="207"/>
  <c r="G109" i="207" s="1"/>
  <c r="J120" i="207"/>
  <c r="J115" i="207"/>
  <c r="J106" i="207"/>
  <c r="H136" i="207"/>
  <c r="E118" i="207"/>
  <c r="K134" i="207"/>
  <c r="J119" i="207"/>
  <c r="L118" i="207"/>
  <c r="K131" i="207"/>
  <c r="K92" i="207"/>
  <c r="G114" i="207"/>
  <c r="G105" i="207"/>
  <c r="I114" i="207"/>
  <c r="I105" i="207"/>
  <c r="F119" i="207"/>
  <c r="E120" i="207"/>
  <c r="K136" i="207"/>
  <c r="G120" i="207"/>
  <c r="J131" i="207"/>
  <c r="J92" i="207"/>
  <c r="F115" i="207"/>
  <c r="F106" i="207"/>
  <c r="E69" i="207"/>
  <c r="J87" i="213" s="1"/>
  <c r="E77" i="207"/>
  <c r="K127" i="207"/>
  <c r="K137" i="207" s="1"/>
  <c r="K88" i="207"/>
  <c r="I92" i="207"/>
  <c r="I131" i="207"/>
  <c r="H118" i="207"/>
  <c r="J121" i="207"/>
  <c r="I130" i="207"/>
  <c r="I91" i="207"/>
  <c r="J104" i="207"/>
  <c r="J109" i="207" s="1"/>
  <c r="J113" i="207"/>
  <c r="J123" i="207" s="1"/>
  <c r="J101" i="207"/>
  <c r="H107" i="207"/>
  <c r="H116" i="207"/>
  <c r="E122" i="207"/>
  <c r="L89" i="207"/>
  <c r="L128" i="207"/>
  <c r="M118" i="207"/>
  <c r="F74" i="207"/>
  <c r="F66" i="207"/>
  <c r="M113" i="207"/>
  <c r="M123" i="207" s="1"/>
  <c r="M101" i="207"/>
  <c r="M104" i="207"/>
  <c r="M109" i="207" s="1"/>
  <c r="G127" i="207"/>
  <c r="G137" i="207" s="1"/>
  <c r="G88" i="207"/>
  <c r="L127" i="207"/>
  <c r="L137" i="207" s="1"/>
  <c r="L88" i="207"/>
  <c r="D124" i="207"/>
  <c r="D110" i="207"/>
  <c r="N7" i="236" l="1"/>
  <c r="K7" i="236"/>
  <c r="J103" i="236"/>
  <c r="M7" i="236"/>
  <c r="O7" i="236"/>
  <c r="P7" i="236"/>
  <c r="L102" i="236"/>
  <c r="L101" i="236"/>
  <c r="L99" i="236"/>
  <c r="L100" i="236"/>
  <c r="K99" i="236"/>
  <c r="K101" i="236"/>
  <c r="K100" i="236"/>
  <c r="K102" i="236"/>
  <c r="O101" i="236"/>
  <c r="O100" i="236"/>
  <c r="O99" i="236"/>
  <c r="O102" i="236"/>
  <c r="N101" i="236"/>
  <c r="N99" i="236"/>
  <c r="N100" i="236"/>
  <c r="N102" i="236"/>
  <c r="M100" i="236"/>
  <c r="M101" i="236"/>
  <c r="M99" i="236"/>
  <c r="M102" i="236"/>
  <c r="L7" i="236"/>
  <c r="K98" i="236"/>
  <c r="L6" i="56"/>
  <c r="L11" i="5"/>
  <c r="N26" i="210"/>
  <c r="J85" i="213"/>
  <c r="G63" i="207"/>
  <c r="L81" i="213" s="1"/>
  <c r="L80" i="213"/>
  <c r="I63" i="207"/>
  <c r="N81" i="213" s="1"/>
  <c r="N80" i="213"/>
  <c r="H63" i="207"/>
  <c r="M81" i="213" s="1"/>
  <c r="M80" i="213"/>
  <c r="K63" i="207"/>
  <c r="P81" i="213" s="1"/>
  <c r="P80" i="213"/>
  <c r="L63" i="207"/>
  <c r="Q81" i="213" s="1"/>
  <c r="Q80" i="213"/>
  <c r="F63" i="207"/>
  <c r="K81" i="213" s="1"/>
  <c r="K80" i="213"/>
  <c r="M63" i="207"/>
  <c r="R81" i="213" s="1"/>
  <c r="R80" i="213"/>
  <c r="E87" i="213"/>
  <c r="Q85" i="213"/>
  <c r="J63" i="207"/>
  <c r="O81" i="213" s="1"/>
  <c r="O80" i="213"/>
  <c r="E63" i="207"/>
  <c r="J81" i="213" s="1"/>
  <c r="J80" i="213"/>
  <c r="M10" i="215"/>
  <c r="L156" i="213"/>
  <c r="L54" i="213"/>
  <c r="O156" i="213"/>
  <c r="O54" i="213"/>
  <c r="P156" i="213"/>
  <c r="P54" i="213"/>
  <c r="N156" i="213"/>
  <c r="N54" i="213"/>
  <c r="K156" i="213"/>
  <c r="K54" i="213"/>
  <c r="E10" i="215"/>
  <c r="M156" i="213"/>
  <c r="M54" i="213"/>
  <c r="E132" i="213"/>
  <c r="J145" i="213"/>
  <c r="J16" i="215"/>
  <c r="O120" i="213" s="1"/>
  <c r="H27" i="215"/>
  <c r="M148" i="213" s="1"/>
  <c r="K16" i="215"/>
  <c r="P120" i="213" s="1"/>
  <c r="N147" i="213"/>
  <c r="L131" i="213"/>
  <c r="L130" i="213" s="1"/>
  <c r="J28" i="215"/>
  <c r="O149" i="213" s="1"/>
  <c r="H15" i="215"/>
  <c r="M119" i="213" s="1"/>
  <c r="M26" i="213" s="1"/>
  <c r="K147" i="213"/>
  <c r="K118" i="213"/>
  <c r="N117" i="213"/>
  <c r="J26" i="215"/>
  <c r="O147" i="213" s="1"/>
  <c r="O131" i="213"/>
  <c r="O130" i="213" s="1"/>
  <c r="G27" i="215"/>
  <c r="L148" i="213" s="1"/>
  <c r="M131" i="213"/>
  <c r="M130" i="213" s="1"/>
  <c r="J27" i="215"/>
  <c r="O148" i="213" s="1"/>
  <c r="R116" i="213"/>
  <c r="H16" i="215"/>
  <c r="M120" i="213" s="1"/>
  <c r="H28" i="215"/>
  <c r="M149" i="213" s="1"/>
  <c r="F28" i="215"/>
  <c r="K149" i="213" s="1"/>
  <c r="K27" i="215"/>
  <c r="P148" i="213" s="1"/>
  <c r="N131" i="213"/>
  <c r="N130" i="213" s="1"/>
  <c r="F27" i="215"/>
  <c r="K148" i="213" s="1"/>
  <c r="I16" i="215"/>
  <c r="K15" i="215"/>
  <c r="K131" i="213"/>
  <c r="K130" i="213" s="1"/>
  <c r="P131" i="213"/>
  <c r="P130" i="213" s="1"/>
  <c r="M118" i="213"/>
  <c r="F15" i="215"/>
  <c r="I15" i="215"/>
  <c r="N119" i="213" s="1"/>
  <c r="I27" i="215"/>
  <c r="N148" i="213" s="1"/>
  <c r="G16" i="215"/>
  <c r="L120" i="213" s="1"/>
  <c r="L27" i="213" s="1"/>
  <c r="J15" i="215"/>
  <c r="O119" i="213" s="1"/>
  <c r="G15" i="215"/>
  <c r="L119" i="213" s="1"/>
  <c r="F16" i="215"/>
  <c r="K120" i="213" s="1"/>
  <c r="P147" i="213"/>
  <c r="N118" i="213"/>
  <c r="P117" i="213"/>
  <c r="G13" i="215"/>
  <c r="K25" i="215"/>
  <c r="P146" i="213" s="1"/>
  <c r="J116" i="213"/>
  <c r="G28" i="215"/>
  <c r="M117" i="213"/>
  <c r="L147" i="213"/>
  <c r="K146" i="213"/>
  <c r="P118" i="213"/>
  <c r="J14" i="215"/>
  <c r="O118" i="213" s="1"/>
  <c r="J25" i="215"/>
  <c r="O146" i="213" s="1"/>
  <c r="G14" i="215"/>
  <c r="L118" i="213" s="1"/>
  <c r="J32" i="213"/>
  <c r="N146" i="213"/>
  <c r="M147" i="213"/>
  <c r="Q55" i="213"/>
  <c r="F124" i="207"/>
  <c r="G124" i="207"/>
  <c r="L78" i="207"/>
  <c r="G93" i="207"/>
  <c r="M78" i="207"/>
  <c r="K78" i="207"/>
  <c r="K93" i="207"/>
  <c r="J78" i="207"/>
  <c r="I78" i="207"/>
  <c r="K70" i="207"/>
  <c r="G70" i="207"/>
  <c r="L93" i="207"/>
  <c r="J70" i="207"/>
  <c r="H70" i="207"/>
  <c r="H140" i="207" s="1"/>
  <c r="H141" i="207" s="1"/>
  <c r="F93" i="207"/>
  <c r="M93" i="207"/>
  <c r="M70" i="207"/>
  <c r="M124" i="207"/>
  <c r="G78" i="207"/>
  <c r="I93" i="207"/>
  <c r="I70" i="207"/>
  <c r="J93" i="207"/>
  <c r="F78" i="207"/>
  <c r="E70" i="207"/>
  <c r="H93" i="207"/>
  <c r="F70" i="207"/>
  <c r="E78" i="207"/>
  <c r="L70" i="207"/>
  <c r="H78" i="207"/>
  <c r="H137" i="207"/>
  <c r="L110" i="207"/>
  <c r="E110" i="207"/>
  <c r="H124" i="207"/>
  <c r="H110" i="207"/>
  <c r="M110" i="207"/>
  <c r="J110" i="207"/>
  <c r="E123" i="207"/>
  <c r="E124" i="207" s="1"/>
  <c r="E93" i="207"/>
  <c r="F110" i="207"/>
  <c r="L124" i="207"/>
  <c r="K110" i="207"/>
  <c r="I124" i="207"/>
  <c r="J124" i="207"/>
  <c r="G110" i="207"/>
  <c r="K124" i="207"/>
  <c r="I110" i="207"/>
  <c r="M103" i="236" l="1"/>
  <c r="L103" i="236"/>
  <c r="O103" i="236"/>
  <c r="N103" i="236"/>
  <c r="K103" i="236"/>
  <c r="E6" i="56"/>
  <c r="E11" i="5"/>
  <c r="G26" i="210"/>
  <c r="M6" i="56"/>
  <c r="M11" i="5"/>
  <c r="O26" i="210"/>
  <c r="H12" i="215"/>
  <c r="K79" i="213"/>
  <c r="N79" i="213"/>
  <c r="O79" i="213"/>
  <c r="M79" i="213"/>
  <c r="L79" i="213"/>
  <c r="P79" i="213"/>
  <c r="E81" i="213"/>
  <c r="J79" i="213"/>
  <c r="E80" i="213"/>
  <c r="Q79" i="213"/>
  <c r="R79" i="213"/>
  <c r="M27" i="213"/>
  <c r="M33" i="213" s="1"/>
  <c r="N26" i="213"/>
  <c r="N32" i="213" s="1"/>
  <c r="P27" i="213"/>
  <c r="P33" i="213" s="1"/>
  <c r="O27" i="213"/>
  <c r="O33" i="213" s="1"/>
  <c r="K27" i="213"/>
  <c r="K33" i="213" s="1"/>
  <c r="L26" i="213"/>
  <c r="L32" i="213" s="1"/>
  <c r="O26" i="213"/>
  <c r="O32" i="213" s="1"/>
  <c r="F12" i="215"/>
  <c r="K12" i="215"/>
  <c r="E148" i="213"/>
  <c r="E146" i="213"/>
  <c r="E118" i="213"/>
  <c r="E147" i="213"/>
  <c r="J33" i="213"/>
  <c r="H41" i="238" s="1"/>
  <c r="G24" i="215"/>
  <c r="P119" i="213"/>
  <c r="P116" i="213" s="1"/>
  <c r="K24" i="215"/>
  <c r="I12" i="215"/>
  <c r="J24" i="215"/>
  <c r="F24" i="215"/>
  <c r="P145" i="213"/>
  <c r="G12" i="215"/>
  <c r="I24" i="215"/>
  <c r="H24" i="215"/>
  <c r="J12" i="215"/>
  <c r="N120" i="213"/>
  <c r="O145" i="213"/>
  <c r="O116" i="213"/>
  <c r="K119" i="213"/>
  <c r="L149" i="213"/>
  <c r="R32" i="213"/>
  <c r="P41" i="238" s="1"/>
  <c r="M116" i="213"/>
  <c r="L117" i="213"/>
  <c r="K145" i="213"/>
  <c r="M32" i="213"/>
  <c r="M145" i="213"/>
  <c r="N145" i="213"/>
  <c r="L33" i="213"/>
  <c r="P55" i="213"/>
  <c r="O55" i="213"/>
  <c r="N55" i="213"/>
  <c r="M55" i="213"/>
  <c r="J55" i="213"/>
  <c r="I140" i="207"/>
  <c r="I141" i="207" s="1"/>
  <c r="F140" i="207"/>
  <c r="F141" i="207" s="1"/>
  <c r="J140" i="207"/>
  <c r="J141" i="207" s="1"/>
  <c r="M140" i="207"/>
  <c r="M141" i="207" s="1"/>
  <c r="L140" i="207"/>
  <c r="L141" i="207" s="1"/>
  <c r="K140" i="207"/>
  <c r="K141" i="207" s="1"/>
  <c r="E140" i="207"/>
  <c r="E141" i="207" s="1"/>
  <c r="G140" i="207"/>
  <c r="G141" i="207" s="1"/>
  <c r="K41" i="238" l="1"/>
  <c r="M41" i="238"/>
  <c r="J41" i="238"/>
  <c r="H10" i="215"/>
  <c r="G10" i="215"/>
  <c r="F10" i="215"/>
  <c r="E117" i="213"/>
  <c r="N27" i="213"/>
  <c r="E119" i="213"/>
  <c r="K26" i="213"/>
  <c r="P26" i="213"/>
  <c r="P32" i="213" s="1"/>
  <c r="N41" i="238" s="1"/>
  <c r="I10" i="215"/>
  <c r="K10" i="215"/>
  <c r="E120" i="213"/>
  <c r="E149" i="213"/>
  <c r="J10" i="215"/>
  <c r="N116" i="213"/>
  <c r="K116" i="213"/>
  <c r="L145" i="213"/>
  <c r="L116" i="213"/>
  <c r="L55" i="213"/>
  <c r="J6" i="56" l="1"/>
  <c r="J11" i="5"/>
  <c r="L26" i="210"/>
  <c r="F6" i="56"/>
  <c r="F11" i="5"/>
  <c r="H26" i="210"/>
  <c r="K6" i="56"/>
  <c r="K11" i="5"/>
  <c r="M26" i="210"/>
  <c r="G6" i="56"/>
  <c r="G11" i="5"/>
  <c r="I26" i="210"/>
  <c r="H6" i="56"/>
  <c r="H11" i="5"/>
  <c r="J26" i="210"/>
  <c r="I6" i="56"/>
  <c r="I11" i="5"/>
  <c r="K26" i="210"/>
  <c r="E26" i="213"/>
  <c r="N33" i="213"/>
  <c r="E27" i="213"/>
  <c r="E145" i="213"/>
  <c r="K32" i="213"/>
  <c r="K55" i="213"/>
  <c r="E55" i="213" s="1"/>
  <c r="E54" i="213"/>
  <c r="E33" i="213" l="1"/>
  <c r="L41" i="238"/>
  <c r="E32" i="213"/>
  <c r="I41" i="238"/>
  <c r="E41" i="238" s="1"/>
  <c r="J9" i="191"/>
  <c r="K9" i="191"/>
  <c r="D13" i="191"/>
  <c r="D9" i="191" s="1"/>
  <c r="E13" i="191"/>
  <c r="E9" i="191" s="1"/>
  <c r="F13" i="191"/>
  <c r="F9" i="191" s="1"/>
  <c r="G13" i="191"/>
  <c r="G9" i="191" s="1"/>
  <c r="H13" i="191"/>
  <c r="H9" i="191" s="1"/>
  <c r="I13" i="191"/>
  <c r="I9" i="191" s="1"/>
  <c r="J13" i="191"/>
  <c r="K13" i="191"/>
  <c r="L13" i="191"/>
  <c r="L9" i="191" s="1"/>
  <c r="C13" i="191"/>
  <c r="C12" i="191"/>
  <c r="C11" i="191"/>
  <c r="C10" i="191" s="1"/>
  <c r="C9" i="191" s="1"/>
  <c r="AG15" i="143" l="1"/>
  <c r="AF15" i="143"/>
  <c r="AG149" i="163" l="1"/>
  <c r="AF149" i="163"/>
  <c r="AE149" i="163"/>
  <c r="AD149" i="163"/>
  <c r="AG148" i="163"/>
  <c r="AF148" i="163"/>
  <c r="AE148" i="163"/>
  <c r="AD148" i="163"/>
  <c r="AG147" i="163"/>
  <c r="AF147" i="163"/>
  <c r="AE147" i="163"/>
  <c r="AD147" i="163"/>
  <c r="AG146" i="163"/>
  <c r="AF146" i="163"/>
  <c r="AE146" i="163"/>
  <c r="AD146" i="163"/>
  <c r="AG145" i="163"/>
  <c r="AF145" i="163"/>
  <c r="AE145" i="163"/>
  <c r="AD145" i="163"/>
  <c r="AG144" i="163"/>
  <c r="AF144" i="163"/>
  <c r="AE144" i="163"/>
  <c r="AD144" i="163"/>
  <c r="AG143" i="163"/>
  <c r="AF143" i="163"/>
  <c r="AE143" i="163"/>
  <c r="AD143" i="163"/>
  <c r="AG142" i="163"/>
  <c r="AF142" i="163"/>
  <c r="AE142" i="163"/>
  <c r="AD142" i="163"/>
  <c r="AG141" i="163"/>
  <c r="AF141" i="163"/>
  <c r="AE141" i="163"/>
  <c r="AD141" i="163"/>
  <c r="AG140" i="163"/>
  <c r="AF140" i="163"/>
  <c r="AE140" i="163"/>
  <c r="AD140" i="163"/>
  <c r="AG139" i="163"/>
  <c r="AF139" i="163"/>
  <c r="AE139" i="163"/>
  <c r="AD139" i="163"/>
  <c r="AG138" i="163"/>
  <c r="AF138" i="163"/>
  <c r="AE138" i="163"/>
  <c r="AD138" i="163"/>
  <c r="AG137" i="163"/>
  <c r="AF137" i="163"/>
  <c r="AE137" i="163"/>
  <c r="AD137" i="163"/>
  <c r="AG136" i="163"/>
  <c r="AF136" i="163"/>
  <c r="AE136" i="163"/>
  <c r="AD136" i="163"/>
  <c r="AG135" i="163"/>
  <c r="AF135" i="163"/>
  <c r="AE135" i="163"/>
  <c r="AD135" i="163"/>
  <c r="AG134" i="163"/>
  <c r="AF134" i="163"/>
  <c r="AE134" i="163"/>
  <c r="AD134" i="163"/>
  <c r="AG133" i="163"/>
  <c r="AF133" i="163"/>
  <c r="AE133" i="163"/>
  <c r="AD133" i="163"/>
  <c r="AG132" i="163"/>
  <c r="AF132" i="163"/>
  <c r="AE132" i="163"/>
  <c r="AD132" i="163"/>
  <c r="AG131" i="163"/>
  <c r="AF131" i="163"/>
  <c r="AE131" i="163"/>
  <c r="AD131" i="163"/>
  <c r="AG128" i="163"/>
  <c r="AF128" i="163"/>
  <c r="AE128" i="163"/>
  <c r="AD128" i="163"/>
  <c r="AG127" i="163"/>
  <c r="AF127" i="163"/>
  <c r="AE127" i="163"/>
  <c r="AD127" i="163"/>
  <c r="AG126" i="163"/>
  <c r="AF126" i="163"/>
  <c r="AE126" i="163"/>
  <c r="AD126" i="163"/>
  <c r="AG125" i="163"/>
  <c r="AF125" i="163"/>
  <c r="AE125" i="163"/>
  <c r="AD125" i="163"/>
  <c r="AG124" i="163"/>
  <c r="AF124" i="163"/>
  <c r="AE124" i="163"/>
  <c r="AD124" i="163"/>
  <c r="AF123" i="163"/>
  <c r="AE123" i="163"/>
  <c r="AD123" i="163"/>
  <c r="AG122" i="163"/>
  <c r="AF122" i="163"/>
  <c r="AE122" i="163"/>
  <c r="AD122" i="163"/>
  <c r="AG121" i="163"/>
  <c r="AF121" i="163"/>
  <c r="AE121" i="163"/>
  <c r="AD121" i="163"/>
  <c r="AG120" i="163"/>
  <c r="AF120" i="163"/>
  <c r="AE120" i="163"/>
  <c r="AD120" i="163"/>
  <c r="AG119" i="163"/>
  <c r="AF119" i="163"/>
  <c r="AE119" i="163"/>
  <c r="AD119" i="163"/>
  <c r="AG118" i="163"/>
  <c r="AF118" i="163"/>
  <c r="AE118" i="163"/>
  <c r="AD118" i="163"/>
  <c r="AG117" i="163"/>
  <c r="AF117" i="163"/>
  <c r="AE117" i="163"/>
  <c r="AD117" i="163"/>
  <c r="AG116" i="163"/>
  <c r="AF116" i="163"/>
  <c r="AE116" i="163"/>
  <c r="AD116" i="163"/>
  <c r="AG114" i="163"/>
  <c r="AF114" i="163"/>
  <c r="AE114" i="163"/>
  <c r="AD114" i="163"/>
  <c r="AG113" i="163"/>
  <c r="AF113" i="163"/>
  <c r="AE113" i="163"/>
  <c r="AD113" i="163"/>
  <c r="AG112" i="163"/>
  <c r="AF112" i="163"/>
  <c r="AE112" i="163"/>
  <c r="AD112" i="163"/>
  <c r="AG111" i="163"/>
  <c r="AF111" i="163"/>
  <c r="AE111" i="163"/>
  <c r="AD111" i="163"/>
  <c r="AF110" i="163"/>
  <c r="AE110" i="163"/>
  <c r="AD110" i="163"/>
  <c r="AG109" i="163"/>
  <c r="AF109" i="163"/>
  <c r="AE109" i="163"/>
  <c r="AD109" i="163"/>
  <c r="AG108" i="163"/>
  <c r="AF108" i="163"/>
  <c r="AE108" i="163"/>
  <c r="AD108" i="163"/>
  <c r="AG107" i="163"/>
  <c r="AF107" i="163"/>
  <c r="AE107" i="163"/>
  <c r="AD107" i="163"/>
  <c r="AG106" i="163"/>
  <c r="AF106" i="163"/>
  <c r="AE106" i="163"/>
  <c r="AD106" i="163"/>
  <c r="AG105" i="163"/>
  <c r="AF105" i="163"/>
  <c r="AE105" i="163"/>
  <c r="AD105" i="163"/>
  <c r="AG104" i="163"/>
  <c r="AF104" i="163"/>
  <c r="AE104" i="163"/>
  <c r="AD104" i="163"/>
  <c r="AG103" i="163"/>
  <c r="AF103" i="163"/>
  <c r="AE103" i="163"/>
  <c r="AD103" i="163"/>
  <c r="AG102" i="163"/>
  <c r="AF102" i="163"/>
  <c r="AE102" i="163"/>
  <c r="AD102" i="163"/>
  <c r="AG101" i="163"/>
  <c r="AF101" i="163"/>
  <c r="AE101" i="163"/>
  <c r="AD101" i="163"/>
  <c r="AG95" i="163"/>
  <c r="AF95" i="163"/>
  <c r="AE95" i="163"/>
  <c r="AD95" i="163"/>
  <c r="AG94" i="163"/>
  <c r="AF94" i="163"/>
  <c r="AE94" i="163"/>
  <c r="AD94" i="163"/>
  <c r="AG93" i="163"/>
  <c r="AF93" i="163"/>
  <c r="AE93" i="163"/>
  <c r="AD93" i="163"/>
  <c r="AG92" i="163"/>
  <c r="AF92" i="163"/>
  <c r="AE92" i="163"/>
  <c r="AD92" i="163"/>
  <c r="AG91" i="163"/>
  <c r="AG90" i="163"/>
  <c r="AF90" i="163"/>
  <c r="AE90" i="163"/>
  <c r="AD90" i="163"/>
  <c r="AG89" i="163"/>
  <c r="AF89" i="163"/>
  <c r="AE89" i="163"/>
  <c r="AD89" i="163"/>
  <c r="AG88" i="163"/>
  <c r="AF88" i="163"/>
  <c r="AE88" i="163"/>
  <c r="AD88" i="163"/>
  <c r="AG87" i="163"/>
  <c r="AF87" i="163"/>
  <c r="AE87" i="163"/>
  <c r="AD87" i="163"/>
  <c r="AG86" i="163"/>
  <c r="AF86" i="163"/>
  <c r="AE86" i="163"/>
  <c r="AD86" i="163"/>
  <c r="AG85" i="163"/>
  <c r="AF85" i="163"/>
  <c r="AE85" i="163"/>
  <c r="AD85" i="163"/>
  <c r="AG84" i="163"/>
  <c r="AF84" i="163"/>
  <c r="AE84" i="163"/>
  <c r="AD84" i="163"/>
  <c r="AG83" i="163"/>
  <c r="AF83" i="163"/>
  <c r="AE83" i="163"/>
  <c r="AD83" i="163"/>
  <c r="AG82" i="163"/>
  <c r="AF82" i="163"/>
  <c r="AE82" i="163"/>
  <c r="AD82" i="163"/>
  <c r="AG81" i="163"/>
  <c r="AF81" i="163"/>
  <c r="AE81" i="163"/>
  <c r="AD81" i="163"/>
  <c r="AG80" i="163"/>
  <c r="AF80" i="163"/>
  <c r="AE80" i="163"/>
  <c r="AD80" i="163"/>
  <c r="AG79" i="163"/>
  <c r="AF79" i="163"/>
  <c r="AE79" i="163"/>
  <c r="AD79" i="163"/>
  <c r="AG78" i="163"/>
  <c r="AF78" i="163"/>
  <c r="AE78" i="163"/>
  <c r="AD78" i="163"/>
  <c r="AG77" i="163"/>
  <c r="AF77" i="163"/>
  <c r="AE77" i="163"/>
  <c r="AD77" i="163"/>
  <c r="AG76" i="163"/>
  <c r="AF76" i="163"/>
  <c r="AE76" i="163"/>
  <c r="AD76" i="163"/>
  <c r="AG75" i="163"/>
  <c r="AF75" i="163"/>
  <c r="AE75" i="163"/>
  <c r="AD75" i="163"/>
  <c r="AG74" i="163"/>
  <c r="AF74" i="163"/>
  <c r="AE74" i="163"/>
  <c r="AD74" i="163"/>
  <c r="AG73" i="163"/>
  <c r="AF73" i="163"/>
  <c r="AE73" i="163"/>
  <c r="AD73" i="163"/>
  <c r="AG72" i="163"/>
  <c r="AF72" i="163"/>
  <c r="AE72" i="163"/>
  <c r="AD72" i="163"/>
  <c r="AG71" i="163"/>
  <c r="AF71" i="163"/>
  <c r="AE71" i="163"/>
  <c r="AD71" i="163"/>
  <c r="AG70" i="163"/>
  <c r="AG69" i="163"/>
  <c r="AG68" i="163"/>
  <c r="AF68" i="163"/>
  <c r="AE68" i="163"/>
  <c r="AD68" i="163"/>
  <c r="AG67" i="163"/>
  <c r="AF67" i="163"/>
  <c r="AE67" i="163"/>
  <c r="AD67" i="163"/>
  <c r="AG66" i="163"/>
  <c r="AF66" i="163"/>
  <c r="AE66" i="163"/>
  <c r="AD66" i="163"/>
  <c r="AG65" i="163"/>
  <c r="AF65" i="163"/>
  <c r="AE65" i="163"/>
  <c r="AD65" i="163"/>
  <c r="AG64" i="163"/>
  <c r="AF64" i="163"/>
  <c r="AE64" i="163"/>
  <c r="AD64" i="163"/>
  <c r="AG63" i="163"/>
  <c r="AF63" i="163"/>
  <c r="AE63" i="163"/>
  <c r="AD63" i="163"/>
  <c r="AG62" i="163"/>
  <c r="AF62" i="163"/>
  <c r="AE62" i="163"/>
  <c r="AD62" i="163"/>
  <c r="AG61" i="163"/>
  <c r="AF61" i="163"/>
  <c r="AE61" i="163"/>
  <c r="AD61" i="163"/>
  <c r="AG60" i="163"/>
  <c r="AG59" i="163"/>
  <c r="AF59" i="163"/>
  <c r="AE59" i="163"/>
  <c r="AD59" i="163"/>
  <c r="AG58" i="163"/>
  <c r="AF58" i="163"/>
  <c r="AE58" i="163"/>
  <c r="AD58" i="163"/>
  <c r="AG57" i="163"/>
  <c r="AF57" i="163"/>
  <c r="AE57" i="163"/>
  <c r="AD57" i="163"/>
  <c r="AG56" i="163"/>
  <c r="AF56" i="163"/>
  <c r="AE56" i="163"/>
  <c r="AD56" i="163"/>
  <c r="AG55" i="163"/>
  <c r="AF55" i="163"/>
  <c r="AE55" i="163"/>
  <c r="AD55" i="163"/>
  <c r="AG54" i="163"/>
  <c r="AG53" i="163"/>
  <c r="AF53" i="163"/>
  <c r="AE53" i="163"/>
  <c r="AD53" i="163"/>
  <c r="AG52" i="163"/>
  <c r="AF52" i="163"/>
  <c r="AE52" i="163"/>
  <c r="AD52" i="163"/>
  <c r="AG51" i="163"/>
  <c r="AG50" i="163"/>
  <c r="AF50" i="163"/>
  <c r="AE50" i="163"/>
  <c r="AD50" i="163"/>
  <c r="AG49" i="163"/>
  <c r="AF49" i="163"/>
  <c r="AE49" i="163"/>
  <c r="AD49" i="163"/>
  <c r="AG48" i="163"/>
  <c r="AF48" i="163"/>
  <c r="AE48" i="163"/>
  <c r="AD48" i="163"/>
  <c r="AG47" i="163"/>
  <c r="AF47" i="163"/>
  <c r="AE47" i="163"/>
  <c r="AD47" i="163"/>
  <c r="AG46" i="163"/>
  <c r="AF46" i="163"/>
  <c r="AE46" i="163"/>
  <c r="AD46" i="163"/>
  <c r="AG45" i="163"/>
  <c r="AF45" i="163"/>
  <c r="AE45" i="163"/>
  <c r="AD45" i="163"/>
  <c r="AG44" i="163"/>
  <c r="AF44" i="163"/>
  <c r="AE44" i="163"/>
  <c r="AD44" i="163"/>
  <c r="AG43" i="163"/>
  <c r="AF43" i="163"/>
  <c r="AE43" i="163"/>
  <c r="AD43" i="163"/>
  <c r="AG42" i="163"/>
  <c r="AG41" i="163"/>
  <c r="AF41" i="163"/>
  <c r="AE41" i="163"/>
  <c r="AD41" i="163"/>
  <c r="AG40" i="163"/>
  <c r="AF40" i="163"/>
  <c r="AE40" i="163"/>
  <c r="AD40" i="163"/>
  <c r="AG39" i="163"/>
  <c r="AF39" i="163"/>
  <c r="AE39" i="163"/>
  <c r="AD39" i="163"/>
  <c r="AG38" i="163"/>
  <c r="AF38" i="163"/>
  <c r="AE38" i="163"/>
  <c r="AD38" i="163"/>
  <c r="AG37" i="163"/>
  <c r="AF37" i="163"/>
  <c r="AE37" i="163"/>
  <c r="AD37" i="163"/>
  <c r="AG36" i="163"/>
  <c r="AF36" i="163"/>
  <c r="AE36" i="163"/>
  <c r="AD36" i="163"/>
  <c r="AB128" i="163"/>
  <c r="AA128" i="163"/>
  <c r="Z128" i="163"/>
  <c r="Y128" i="163"/>
  <c r="AB127" i="163"/>
  <c r="AA127" i="163"/>
  <c r="Z127" i="163"/>
  <c r="Y127" i="163"/>
  <c r="AB126" i="163"/>
  <c r="AA126" i="163"/>
  <c r="Z126" i="163"/>
  <c r="Y126" i="163"/>
  <c r="AB125" i="163"/>
  <c r="AA125" i="163"/>
  <c r="Z125" i="163"/>
  <c r="Y125" i="163"/>
  <c r="AB124" i="163"/>
  <c r="AA124" i="163"/>
  <c r="Z124" i="163"/>
  <c r="Y124" i="163"/>
  <c r="AB123" i="163"/>
  <c r="AA123" i="163"/>
  <c r="Z123" i="163"/>
  <c r="Y123" i="163"/>
  <c r="AB122" i="163"/>
  <c r="AA122" i="163"/>
  <c r="Z122" i="163"/>
  <c r="Y122" i="163"/>
  <c r="AB121" i="163"/>
  <c r="AA121" i="163"/>
  <c r="Z121" i="163"/>
  <c r="Y121" i="163"/>
  <c r="AB120" i="163"/>
  <c r="AA120" i="163"/>
  <c r="Z120" i="163"/>
  <c r="Y120" i="163"/>
  <c r="AB119" i="163"/>
  <c r="AA119" i="163"/>
  <c r="Z119" i="163"/>
  <c r="Y119" i="163"/>
  <c r="AB118" i="163"/>
  <c r="AA118" i="163"/>
  <c r="Z118" i="163"/>
  <c r="Y118" i="163"/>
  <c r="AB117" i="163"/>
  <c r="AA117" i="163"/>
  <c r="Z117" i="163"/>
  <c r="Y117" i="163"/>
  <c r="AB116" i="163"/>
  <c r="AA116" i="163"/>
  <c r="Z116" i="163"/>
  <c r="Y116" i="163"/>
  <c r="AB114" i="163"/>
  <c r="AA114" i="163"/>
  <c r="Z114" i="163"/>
  <c r="Y114" i="163"/>
  <c r="AB113" i="163"/>
  <c r="AA113" i="163"/>
  <c r="Z113" i="163"/>
  <c r="Y113" i="163"/>
  <c r="AB112" i="163"/>
  <c r="AA112" i="163"/>
  <c r="Z112" i="163"/>
  <c r="Y112" i="163"/>
  <c r="AB111" i="163"/>
  <c r="AA111" i="163"/>
  <c r="Z111" i="163"/>
  <c r="Y111" i="163"/>
  <c r="AB108" i="163"/>
  <c r="AA108" i="163"/>
  <c r="Z108" i="163"/>
  <c r="Y108" i="163"/>
  <c r="AB107" i="163"/>
  <c r="AA107" i="163"/>
  <c r="Z107" i="163"/>
  <c r="Y107" i="163"/>
  <c r="AB106" i="163"/>
  <c r="AA106" i="163"/>
  <c r="Z106" i="163"/>
  <c r="Y106" i="163"/>
  <c r="AB105" i="163"/>
  <c r="AA105" i="163"/>
  <c r="Z105" i="163"/>
  <c r="Y105" i="163"/>
  <c r="AB104" i="163"/>
  <c r="AA104" i="163"/>
  <c r="Z104" i="163"/>
  <c r="Y104" i="163"/>
  <c r="W149" i="163"/>
  <c r="V149" i="163"/>
  <c r="U149" i="163"/>
  <c r="T149" i="163"/>
  <c r="W148" i="163"/>
  <c r="V148" i="163"/>
  <c r="U148" i="163"/>
  <c r="T148" i="163"/>
  <c r="W147" i="163"/>
  <c r="V147" i="163"/>
  <c r="U147" i="163"/>
  <c r="T147" i="163"/>
  <c r="W146" i="163"/>
  <c r="V146" i="163"/>
  <c r="U146" i="163"/>
  <c r="T146" i="163"/>
  <c r="W145" i="163"/>
  <c r="V145" i="163"/>
  <c r="U145" i="163"/>
  <c r="T145" i="163"/>
  <c r="W144" i="163"/>
  <c r="V144" i="163"/>
  <c r="U144" i="163"/>
  <c r="T144" i="163"/>
  <c r="V143" i="163"/>
  <c r="U143" i="163"/>
  <c r="T143" i="163"/>
  <c r="W142" i="163"/>
  <c r="V142" i="163"/>
  <c r="U142" i="163"/>
  <c r="T142" i="163"/>
  <c r="W141" i="163"/>
  <c r="V141" i="163"/>
  <c r="U141" i="163"/>
  <c r="T141" i="163"/>
  <c r="W140" i="163"/>
  <c r="V140" i="163"/>
  <c r="U140" i="163"/>
  <c r="T140" i="163"/>
  <c r="W139" i="163"/>
  <c r="V139" i="163"/>
  <c r="U139" i="163"/>
  <c r="T139" i="163"/>
  <c r="W138" i="163"/>
  <c r="V138" i="163"/>
  <c r="U138" i="163"/>
  <c r="T138" i="163"/>
  <c r="W137" i="163"/>
  <c r="V137" i="163"/>
  <c r="U137" i="163"/>
  <c r="T137" i="163"/>
  <c r="W136" i="163"/>
  <c r="V136" i="163"/>
  <c r="U136" i="163"/>
  <c r="T136" i="163"/>
  <c r="W135" i="163"/>
  <c r="V135" i="163"/>
  <c r="U135" i="163"/>
  <c r="T135" i="163"/>
  <c r="W134" i="163"/>
  <c r="V134" i="163"/>
  <c r="U134" i="163"/>
  <c r="T134" i="163"/>
  <c r="W133" i="163"/>
  <c r="V133" i="163"/>
  <c r="U133" i="163"/>
  <c r="T133" i="163"/>
  <c r="W132" i="163"/>
  <c r="V132" i="163"/>
  <c r="U132" i="163"/>
  <c r="T132" i="163"/>
  <c r="W131" i="163"/>
  <c r="V131" i="163"/>
  <c r="U131" i="163"/>
  <c r="T131" i="163"/>
  <c r="W128" i="163"/>
  <c r="V128" i="163"/>
  <c r="U128" i="163"/>
  <c r="T128" i="163"/>
  <c r="W127" i="163"/>
  <c r="V127" i="163"/>
  <c r="U127" i="163"/>
  <c r="T127" i="163"/>
  <c r="W126" i="163"/>
  <c r="V126" i="163"/>
  <c r="U126" i="163"/>
  <c r="T126" i="163"/>
  <c r="W125" i="163"/>
  <c r="V125" i="163"/>
  <c r="U125" i="163"/>
  <c r="T125" i="163"/>
  <c r="W124" i="163"/>
  <c r="V124" i="163"/>
  <c r="U124" i="163"/>
  <c r="T124" i="163"/>
  <c r="W123" i="163"/>
  <c r="V123" i="163"/>
  <c r="U123" i="163"/>
  <c r="T123" i="163"/>
  <c r="W122" i="163"/>
  <c r="V122" i="163"/>
  <c r="U122" i="163"/>
  <c r="T122" i="163"/>
  <c r="W121" i="163"/>
  <c r="V121" i="163"/>
  <c r="U121" i="163"/>
  <c r="T121" i="163"/>
  <c r="W120" i="163"/>
  <c r="V120" i="163"/>
  <c r="U120" i="163"/>
  <c r="T120" i="163"/>
  <c r="W119" i="163"/>
  <c r="V119" i="163"/>
  <c r="U119" i="163"/>
  <c r="T119" i="163"/>
  <c r="W118" i="163"/>
  <c r="V118" i="163"/>
  <c r="U118" i="163"/>
  <c r="T118" i="163"/>
  <c r="W117" i="163"/>
  <c r="V117" i="163"/>
  <c r="U117" i="163"/>
  <c r="T117" i="163"/>
  <c r="W116" i="163"/>
  <c r="V116" i="163"/>
  <c r="U116" i="163"/>
  <c r="T116" i="163"/>
  <c r="W114" i="163"/>
  <c r="V114" i="163"/>
  <c r="U114" i="163"/>
  <c r="T114" i="163"/>
  <c r="W113" i="163"/>
  <c r="V113" i="163"/>
  <c r="U113" i="163"/>
  <c r="T113" i="163"/>
  <c r="W112" i="163"/>
  <c r="V112" i="163"/>
  <c r="U112" i="163"/>
  <c r="T112" i="163"/>
  <c r="W111" i="163"/>
  <c r="V111" i="163"/>
  <c r="U111" i="163"/>
  <c r="T111" i="163"/>
  <c r="W110" i="163"/>
  <c r="V110" i="163"/>
  <c r="U110" i="163"/>
  <c r="T110" i="163"/>
  <c r="W109" i="163"/>
  <c r="V109" i="163"/>
  <c r="U109" i="163"/>
  <c r="T109" i="163"/>
  <c r="W108" i="163"/>
  <c r="V108" i="163"/>
  <c r="U108" i="163"/>
  <c r="T108" i="163"/>
  <c r="W107" i="163"/>
  <c r="V107" i="163"/>
  <c r="U107" i="163"/>
  <c r="T107" i="163"/>
  <c r="W106" i="163"/>
  <c r="V106" i="163"/>
  <c r="U106" i="163"/>
  <c r="T106" i="163"/>
  <c r="W105" i="163"/>
  <c r="V105" i="163"/>
  <c r="U105" i="163"/>
  <c r="T105" i="163"/>
  <c r="W104" i="163"/>
  <c r="V104" i="163"/>
  <c r="U104" i="163"/>
  <c r="T104" i="163"/>
  <c r="W103" i="163"/>
  <c r="V103" i="163"/>
  <c r="U103" i="163"/>
  <c r="T103" i="163"/>
  <c r="W102" i="163"/>
  <c r="V102" i="163"/>
  <c r="U102" i="163"/>
  <c r="T102" i="163"/>
  <c r="W101" i="163"/>
  <c r="V101" i="163"/>
  <c r="U101" i="163"/>
  <c r="T101" i="163"/>
  <c r="W95" i="163"/>
  <c r="V95" i="163"/>
  <c r="U95" i="163"/>
  <c r="T95" i="163"/>
  <c r="W94" i="163"/>
  <c r="V94" i="163"/>
  <c r="U94" i="163"/>
  <c r="T94" i="163"/>
  <c r="W93" i="163"/>
  <c r="V93" i="163"/>
  <c r="U93" i="163"/>
  <c r="T93" i="163"/>
  <c r="W92" i="163"/>
  <c r="V92" i="163"/>
  <c r="U92" i="163"/>
  <c r="T92" i="163"/>
  <c r="W91" i="163"/>
  <c r="V91" i="163"/>
  <c r="U91" i="163"/>
  <c r="T91" i="163"/>
  <c r="W90" i="163"/>
  <c r="V90" i="163"/>
  <c r="U90" i="163"/>
  <c r="T90" i="163"/>
  <c r="W89" i="163"/>
  <c r="V89" i="163"/>
  <c r="U89" i="163"/>
  <c r="T89" i="163"/>
  <c r="W88" i="163"/>
  <c r="V88" i="163"/>
  <c r="U88" i="163"/>
  <c r="T88" i="163"/>
  <c r="W87" i="163"/>
  <c r="V87" i="163"/>
  <c r="U87" i="163"/>
  <c r="T87" i="163"/>
  <c r="W86" i="163"/>
  <c r="V86" i="163"/>
  <c r="U86" i="163"/>
  <c r="T86" i="163"/>
  <c r="W85" i="163"/>
  <c r="V85" i="163"/>
  <c r="U85" i="163"/>
  <c r="T85" i="163"/>
  <c r="W84" i="163"/>
  <c r="V84" i="163"/>
  <c r="U84" i="163"/>
  <c r="T84" i="163"/>
  <c r="W83" i="163"/>
  <c r="V83" i="163"/>
  <c r="U83" i="163"/>
  <c r="T83" i="163"/>
  <c r="W82" i="163"/>
  <c r="V82" i="163"/>
  <c r="U82" i="163"/>
  <c r="T82" i="163"/>
  <c r="W81" i="163"/>
  <c r="V81" i="163"/>
  <c r="U81" i="163"/>
  <c r="T81" i="163"/>
  <c r="W80" i="163"/>
  <c r="V80" i="163"/>
  <c r="U80" i="163"/>
  <c r="T80" i="163"/>
  <c r="W79" i="163"/>
  <c r="V79" i="163"/>
  <c r="U79" i="163"/>
  <c r="T79" i="163"/>
  <c r="W78" i="163"/>
  <c r="V78" i="163"/>
  <c r="U78" i="163"/>
  <c r="T78" i="163"/>
  <c r="W77" i="163"/>
  <c r="V77" i="163"/>
  <c r="U77" i="163"/>
  <c r="T77" i="163"/>
  <c r="W76" i="163"/>
  <c r="V76" i="163"/>
  <c r="U76" i="163"/>
  <c r="T76" i="163"/>
  <c r="W75" i="163"/>
  <c r="V75" i="163"/>
  <c r="U75" i="163"/>
  <c r="T75" i="163"/>
  <c r="W74" i="163"/>
  <c r="V74" i="163"/>
  <c r="U74" i="163"/>
  <c r="T74" i="163"/>
  <c r="W73" i="163"/>
  <c r="V73" i="163"/>
  <c r="U73" i="163"/>
  <c r="T73" i="163"/>
  <c r="W72" i="163"/>
  <c r="V72" i="163"/>
  <c r="U72" i="163"/>
  <c r="T72" i="163"/>
  <c r="W71" i="163"/>
  <c r="V71" i="163"/>
  <c r="U71" i="163"/>
  <c r="T71" i="163"/>
  <c r="W68" i="163"/>
  <c r="V68" i="163"/>
  <c r="U68" i="163"/>
  <c r="T68" i="163"/>
  <c r="W67" i="163"/>
  <c r="V67" i="163"/>
  <c r="U67" i="163"/>
  <c r="T67" i="163"/>
  <c r="W66" i="163"/>
  <c r="V66" i="163"/>
  <c r="U66" i="163"/>
  <c r="T66" i="163"/>
  <c r="W65" i="163"/>
  <c r="V65" i="163"/>
  <c r="U65" i="163"/>
  <c r="T65" i="163"/>
  <c r="W64" i="163"/>
  <c r="V64" i="163"/>
  <c r="U64" i="163"/>
  <c r="T64" i="163"/>
  <c r="W63" i="163"/>
  <c r="V63" i="163"/>
  <c r="U63" i="163"/>
  <c r="T63" i="163"/>
  <c r="W62" i="163"/>
  <c r="V62" i="163"/>
  <c r="U62" i="163"/>
  <c r="T62" i="163"/>
  <c r="W61" i="163"/>
  <c r="V61" i="163"/>
  <c r="U61" i="163"/>
  <c r="T61" i="163"/>
  <c r="W59" i="163"/>
  <c r="V59" i="163"/>
  <c r="U59" i="163"/>
  <c r="T59" i="163"/>
  <c r="W58" i="163"/>
  <c r="V58" i="163"/>
  <c r="U58" i="163"/>
  <c r="T58" i="163"/>
  <c r="W57" i="163"/>
  <c r="V57" i="163"/>
  <c r="U57" i="163"/>
  <c r="T57" i="163"/>
  <c r="W56" i="163"/>
  <c r="V56" i="163"/>
  <c r="U56" i="163"/>
  <c r="T56" i="163"/>
  <c r="W55" i="163"/>
  <c r="V55" i="163"/>
  <c r="U55" i="163"/>
  <c r="T55" i="163"/>
  <c r="W54" i="163"/>
  <c r="V54" i="163"/>
  <c r="W53" i="163"/>
  <c r="V53" i="163"/>
  <c r="U53" i="163"/>
  <c r="T53" i="163"/>
  <c r="W52" i="163"/>
  <c r="V52" i="163"/>
  <c r="U52" i="163"/>
  <c r="T52" i="163"/>
  <c r="W50" i="163"/>
  <c r="V50" i="163"/>
  <c r="U50" i="163"/>
  <c r="T50" i="163"/>
  <c r="W49" i="163"/>
  <c r="V49" i="163"/>
  <c r="U49" i="163"/>
  <c r="T49" i="163"/>
  <c r="W48" i="163"/>
  <c r="V48" i="163"/>
  <c r="U48" i="163"/>
  <c r="T48" i="163"/>
  <c r="W47" i="163"/>
  <c r="V47" i="163"/>
  <c r="U47" i="163"/>
  <c r="T47" i="163"/>
  <c r="W46" i="163"/>
  <c r="V46" i="163"/>
  <c r="U46" i="163"/>
  <c r="T46" i="163"/>
  <c r="W45" i="163"/>
  <c r="V45" i="163"/>
  <c r="U45" i="163"/>
  <c r="T45" i="163"/>
  <c r="W44" i="163"/>
  <c r="V44" i="163"/>
  <c r="U44" i="163"/>
  <c r="T44" i="163"/>
  <c r="V43" i="163"/>
  <c r="U43" i="163"/>
  <c r="T43" i="163"/>
  <c r="W41" i="163"/>
  <c r="V41" i="163"/>
  <c r="U41" i="163"/>
  <c r="T41" i="163"/>
  <c r="W40" i="163"/>
  <c r="V40" i="163"/>
  <c r="U40" i="163"/>
  <c r="T40" i="163"/>
  <c r="W39" i="163"/>
  <c r="V39" i="163"/>
  <c r="U39" i="163"/>
  <c r="T39" i="163"/>
  <c r="W37" i="163"/>
  <c r="V37" i="163"/>
  <c r="U37" i="163"/>
  <c r="T37" i="163"/>
  <c r="W36" i="163"/>
  <c r="V36" i="163"/>
  <c r="U36" i="163"/>
  <c r="T36" i="163"/>
  <c r="R149" i="163"/>
  <c r="Q149" i="163"/>
  <c r="P149" i="163"/>
  <c r="O149" i="163"/>
  <c r="R148" i="163"/>
  <c r="Q148" i="163"/>
  <c r="P148" i="163"/>
  <c r="O148" i="163"/>
  <c r="R147" i="163"/>
  <c r="Q147" i="163"/>
  <c r="P147" i="163"/>
  <c r="O147" i="163"/>
  <c r="R146" i="163"/>
  <c r="Q146" i="163"/>
  <c r="P146" i="163"/>
  <c r="O146" i="163"/>
  <c r="R145" i="163"/>
  <c r="Q145" i="163"/>
  <c r="P145" i="163"/>
  <c r="O145" i="163"/>
  <c r="R144" i="163"/>
  <c r="Q144" i="163"/>
  <c r="P144" i="163"/>
  <c r="O144" i="163"/>
  <c r="R143" i="163"/>
  <c r="Q143" i="163"/>
  <c r="P143" i="163"/>
  <c r="O143" i="163"/>
  <c r="R142" i="163"/>
  <c r="Q142" i="163"/>
  <c r="P142" i="163"/>
  <c r="O142" i="163"/>
  <c r="R141" i="163"/>
  <c r="Q141" i="163"/>
  <c r="P141" i="163"/>
  <c r="O141" i="163"/>
  <c r="R140" i="163"/>
  <c r="Q140" i="163"/>
  <c r="P140" i="163"/>
  <c r="O140" i="163"/>
  <c r="R139" i="163"/>
  <c r="Q139" i="163"/>
  <c r="P139" i="163"/>
  <c r="O139" i="163"/>
  <c r="R138" i="163"/>
  <c r="Q138" i="163"/>
  <c r="P138" i="163"/>
  <c r="O138" i="163"/>
  <c r="R137" i="163"/>
  <c r="Q137" i="163"/>
  <c r="P137" i="163"/>
  <c r="O137" i="163"/>
  <c r="R136" i="163"/>
  <c r="Q136" i="163"/>
  <c r="P136" i="163"/>
  <c r="O136" i="163"/>
  <c r="R135" i="163"/>
  <c r="Q135" i="163"/>
  <c r="P135" i="163"/>
  <c r="O135" i="163"/>
  <c r="R134" i="163"/>
  <c r="Q134" i="163"/>
  <c r="P134" i="163"/>
  <c r="O134" i="163"/>
  <c r="R133" i="163"/>
  <c r="Q133" i="163"/>
  <c r="P133" i="163"/>
  <c r="O133" i="163"/>
  <c r="R132" i="163"/>
  <c r="Q132" i="163"/>
  <c r="P132" i="163"/>
  <c r="O132" i="163"/>
  <c r="R131" i="163"/>
  <c r="Q131" i="163"/>
  <c r="P131" i="163"/>
  <c r="O131" i="163"/>
  <c r="R128" i="163"/>
  <c r="Q128" i="163"/>
  <c r="P128" i="163"/>
  <c r="O128" i="163"/>
  <c r="R127" i="163"/>
  <c r="Q127" i="163"/>
  <c r="P127" i="163"/>
  <c r="O127" i="163"/>
  <c r="R126" i="163"/>
  <c r="Q126" i="163"/>
  <c r="P126" i="163"/>
  <c r="O126" i="163"/>
  <c r="R125" i="163"/>
  <c r="Q125" i="163"/>
  <c r="P125" i="163"/>
  <c r="O125" i="163"/>
  <c r="R124" i="163"/>
  <c r="Q124" i="163"/>
  <c r="P124" i="163"/>
  <c r="O124" i="163"/>
  <c r="R123" i="163"/>
  <c r="Q123" i="163"/>
  <c r="P123" i="163"/>
  <c r="O123" i="163"/>
  <c r="R122" i="163"/>
  <c r="Q122" i="163"/>
  <c r="P122" i="163"/>
  <c r="O122" i="163"/>
  <c r="R121" i="163"/>
  <c r="Q121" i="163"/>
  <c r="P121" i="163"/>
  <c r="O121" i="163"/>
  <c r="R120" i="163"/>
  <c r="Q120" i="163"/>
  <c r="P120" i="163"/>
  <c r="O120" i="163"/>
  <c r="R119" i="163"/>
  <c r="Q119" i="163"/>
  <c r="P119" i="163"/>
  <c r="O119" i="163"/>
  <c r="R118" i="163"/>
  <c r="Q118" i="163"/>
  <c r="P118" i="163"/>
  <c r="O118" i="163"/>
  <c r="R117" i="163"/>
  <c r="Q117" i="163"/>
  <c r="P117" i="163"/>
  <c r="O117" i="163"/>
  <c r="R116" i="163"/>
  <c r="Q116" i="163"/>
  <c r="P116" i="163"/>
  <c r="O116" i="163"/>
  <c r="R114" i="163"/>
  <c r="Q114" i="163"/>
  <c r="P114" i="163"/>
  <c r="O114" i="163"/>
  <c r="R113" i="163"/>
  <c r="Q113" i="163"/>
  <c r="P113" i="163"/>
  <c r="O113" i="163"/>
  <c r="R112" i="163"/>
  <c r="Q112" i="163"/>
  <c r="P112" i="163"/>
  <c r="O112" i="163"/>
  <c r="R111" i="163"/>
  <c r="Q111" i="163"/>
  <c r="P111" i="163"/>
  <c r="O111" i="163"/>
  <c r="R110" i="163"/>
  <c r="Q110" i="163"/>
  <c r="P110" i="163"/>
  <c r="O110" i="163"/>
  <c r="R109" i="163"/>
  <c r="Q109" i="163"/>
  <c r="P109" i="163"/>
  <c r="O109" i="163"/>
  <c r="R108" i="163"/>
  <c r="Q108" i="163"/>
  <c r="P108" i="163"/>
  <c r="O108" i="163"/>
  <c r="R107" i="163"/>
  <c r="Q107" i="163"/>
  <c r="P107" i="163"/>
  <c r="O107" i="163"/>
  <c r="R106" i="163"/>
  <c r="Q106" i="163"/>
  <c r="P106" i="163"/>
  <c r="O106" i="163"/>
  <c r="R105" i="163"/>
  <c r="Q105" i="163"/>
  <c r="P105" i="163"/>
  <c r="O105" i="163"/>
  <c r="R104" i="163"/>
  <c r="Q104" i="163"/>
  <c r="P104" i="163"/>
  <c r="O104" i="163"/>
  <c r="R103" i="163"/>
  <c r="Q103" i="163"/>
  <c r="P103" i="163"/>
  <c r="O103" i="163"/>
  <c r="R102" i="163"/>
  <c r="Q102" i="163"/>
  <c r="P102" i="163"/>
  <c r="O102" i="163"/>
  <c r="R101" i="163"/>
  <c r="Q101" i="163"/>
  <c r="P101" i="163"/>
  <c r="O101" i="163"/>
  <c r="R95" i="163"/>
  <c r="Q95" i="163"/>
  <c r="P95" i="163"/>
  <c r="O95" i="163"/>
  <c r="R94" i="163"/>
  <c r="Q94" i="163"/>
  <c r="P94" i="163"/>
  <c r="O94" i="163"/>
  <c r="R93" i="163"/>
  <c r="Q93" i="163"/>
  <c r="P93" i="163"/>
  <c r="O93" i="163"/>
  <c r="R92" i="163"/>
  <c r="Q92" i="163"/>
  <c r="P92" i="163"/>
  <c r="O92" i="163"/>
  <c r="R90" i="163"/>
  <c r="Q90" i="163"/>
  <c r="P90" i="163"/>
  <c r="O90" i="163"/>
  <c r="R89" i="163"/>
  <c r="Q89" i="163"/>
  <c r="P89" i="163"/>
  <c r="O89" i="163"/>
  <c r="R88" i="163"/>
  <c r="Q88" i="163"/>
  <c r="P88" i="163"/>
  <c r="O88" i="163"/>
  <c r="R87" i="163"/>
  <c r="Q87" i="163"/>
  <c r="P87" i="163"/>
  <c r="O87" i="163"/>
  <c r="R86" i="163"/>
  <c r="Q86" i="163"/>
  <c r="P86" i="163"/>
  <c r="O86" i="163"/>
  <c r="R85" i="163"/>
  <c r="Q85" i="163"/>
  <c r="P85" i="163"/>
  <c r="O85" i="163"/>
  <c r="R84" i="163"/>
  <c r="Q84" i="163"/>
  <c r="P84" i="163"/>
  <c r="O84" i="163"/>
  <c r="R83" i="163"/>
  <c r="Q83" i="163"/>
  <c r="P83" i="163"/>
  <c r="O83" i="163"/>
  <c r="R82" i="163"/>
  <c r="Q82" i="163"/>
  <c r="R81" i="163"/>
  <c r="Q81" i="163"/>
  <c r="P81" i="163"/>
  <c r="O81" i="163"/>
  <c r="R80" i="163"/>
  <c r="Q80" i="163"/>
  <c r="P80" i="163"/>
  <c r="O80" i="163"/>
  <c r="R79" i="163"/>
  <c r="Q79" i="163"/>
  <c r="P79" i="163"/>
  <c r="O79" i="163"/>
  <c r="R78" i="163"/>
  <c r="Q78" i="163"/>
  <c r="P78" i="163"/>
  <c r="O78" i="163"/>
  <c r="R77" i="163"/>
  <c r="Q77" i="163"/>
  <c r="P77" i="163"/>
  <c r="O77" i="163"/>
  <c r="R76" i="163"/>
  <c r="Q76" i="163"/>
  <c r="P76" i="163"/>
  <c r="O76" i="163"/>
  <c r="R75" i="163"/>
  <c r="Q75" i="163"/>
  <c r="P75" i="163"/>
  <c r="O75" i="163"/>
  <c r="R74" i="163"/>
  <c r="Q74" i="163"/>
  <c r="P74" i="163"/>
  <c r="O74" i="163"/>
  <c r="R73" i="163"/>
  <c r="Q73" i="163"/>
  <c r="P73" i="163"/>
  <c r="O73" i="163"/>
  <c r="R72" i="163"/>
  <c r="Q72" i="163"/>
  <c r="P72" i="163"/>
  <c r="O72" i="163"/>
  <c r="R71" i="163"/>
  <c r="Q71" i="163"/>
  <c r="P71" i="163"/>
  <c r="O71" i="163"/>
  <c r="R68" i="163"/>
  <c r="Q68" i="163"/>
  <c r="P68" i="163"/>
  <c r="O68" i="163"/>
  <c r="R67" i="163"/>
  <c r="Q67" i="163"/>
  <c r="P67" i="163"/>
  <c r="O67" i="163"/>
  <c r="R66" i="163"/>
  <c r="Q66" i="163"/>
  <c r="P66" i="163"/>
  <c r="O66" i="163"/>
  <c r="R65" i="163"/>
  <c r="Q65" i="163"/>
  <c r="P65" i="163"/>
  <c r="O65" i="163"/>
  <c r="R64" i="163"/>
  <c r="Q64" i="163"/>
  <c r="P64" i="163"/>
  <c r="O64" i="163"/>
  <c r="R63" i="163"/>
  <c r="Q63" i="163"/>
  <c r="P63" i="163"/>
  <c r="O63" i="163"/>
  <c r="R62" i="163"/>
  <c r="Q62" i="163"/>
  <c r="P62" i="163"/>
  <c r="O62" i="163"/>
  <c r="R61" i="163"/>
  <c r="Q61" i="163"/>
  <c r="P61" i="163"/>
  <c r="O61" i="163"/>
  <c r="R59" i="163"/>
  <c r="Q59" i="163"/>
  <c r="P59" i="163"/>
  <c r="O59" i="163"/>
  <c r="R58" i="163"/>
  <c r="Q58" i="163"/>
  <c r="P58" i="163"/>
  <c r="O58" i="163"/>
  <c r="R57" i="163"/>
  <c r="Q57" i="163"/>
  <c r="P57" i="163"/>
  <c r="O57" i="163"/>
  <c r="R56" i="163"/>
  <c r="Q56" i="163"/>
  <c r="P56" i="163"/>
  <c r="O56" i="163"/>
  <c r="R55" i="163"/>
  <c r="Q55" i="163"/>
  <c r="P55" i="163"/>
  <c r="O55" i="163"/>
  <c r="R53" i="163"/>
  <c r="Q53" i="163"/>
  <c r="P53" i="163"/>
  <c r="O53" i="163"/>
  <c r="R52" i="163"/>
  <c r="Q52" i="163"/>
  <c r="P52" i="163"/>
  <c r="O52" i="163"/>
  <c r="R50" i="163"/>
  <c r="Q50" i="163"/>
  <c r="P50" i="163"/>
  <c r="O50" i="163"/>
  <c r="R49" i="163"/>
  <c r="Q49" i="163"/>
  <c r="P49" i="163"/>
  <c r="O49" i="163"/>
  <c r="R48" i="163"/>
  <c r="Q48" i="163"/>
  <c r="P48" i="163"/>
  <c r="O48" i="163"/>
  <c r="R47" i="163"/>
  <c r="Q47" i="163"/>
  <c r="P47" i="163"/>
  <c r="O47" i="163"/>
  <c r="R46" i="163"/>
  <c r="Q46" i="163"/>
  <c r="P46" i="163"/>
  <c r="O46" i="163"/>
  <c r="R45" i="163"/>
  <c r="Q45" i="163"/>
  <c r="P45" i="163"/>
  <c r="O45" i="163"/>
  <c r="R44" i="163"/>
  <c r="Q44" i="163"/>
  <c r="P44" i="163"/>
  <c r="O44" i="163"/>
  <c r="R43" i="163"/>
  <c r="Q43" i="163"/>
  <c r="P43" i="163"/>
  <c r="O43" i="163"/>
  <c r="R41" i="163"/>
  <c r="Q41" i="163"/>
  <c r="P41" i="163"/>
  <c r="O41" i="163"/>
  <c r="R40" i="163"/>
  <c r="Q40" i="163"/>
  <c r="P40" i="163"/>
  <c r="O40" i="163"/>
  <c r="R39" i="163"/>
  <c r="Q39" i="163"/>
  <c r="P39" i="163"/>
  <c r="O39" i="163"/>
  <c r="R38" i="163"/>
  <c r="Q38" i="163"/>
  <c r="P38" i="163"/>
  <c r="O38" i="163"/>
  <c r="R37" i="163"/>
  <c r="Q37" i="163"/>
  <c r="P37" i="163"/>
  <c r="O37" i="163"/>
  <c r="R36" i="163"/>
  <c r="Q36" i="163"/>
  <c r="P36" i="163"/>
  <c r="O36" i="163"/>
  <c r="M149" i="163"/>
  <c r="L149" i="163"/>
  <c r="K149" i="163"/>
  <c r="J149" i="163"/>
  <c r="M148" i="163"/>
  <c r="L148" i="163"/>
  <c r="K148" i="163"/>
  <c r="J148" i="163"/>
  <c r="M147" i="163"/>
  <c r="L147" i="163"/>
  <c r="K147" i="163"/>
  <c r="J147" i="163"/>
  <c r="M146" i="163"/>
  <c r="L146" i="163"/>
  <c r="K146" i="163"/>
  <c r="J146" i="163"/>
  <c r="M145" i="163"/>
  <c r="L145" i="163"/>
  <c r="K145" i="163"/>
  <c r="J145" i="163"/>
  <c r="M144" i="163"/>
  <c r="L144" i="163"/>
  <c r="K144" i="163"/>
  <c r="J144" i="163"/>
  <c r="M143" i="163"/>
  <c r="L143" i="163"/>
  <c r="K143" i="163"/>
  <c r="J143" i="163"/>
  <c r="M142" i="163"/>
  <c r="L142" i="163"/>
  <c r="K142" i="163"/>
  <c r="J142" i="163"/>
  <c r="M141" i="163"/>
  <c r="L141" i="163"/>
  <c r="K141" i="163"/>
  <c r="J141" i="163"/>
  <c r="M140" i="163"/>
  <c r="L140" i="163"/>
  <c r="K140" i="163"/>
  <c r="J140" i="163"/>
  <c r="M139" i="163"/>
  <c r="L139" i="163"/>
  <c r="K139" i="163"/>
  <c r="J139" i="163"/>
  <c r="M138" i="163"/>
  <c r="L138" i="163"/>
  <c r="K138" i="163"/>
  <c r="J138" i="163"/>
  <c r="M137" i="163"/>
  <c r="L137" i="163"/>
  <c r="K137" i="163"/>
  <c r="J137" i="163"/>
  <c r="M136" i="163"/>
  <c r="L136" i="163"/>
  <c r="K136" i="163"/>
  <c r="J136" i="163"/>
  <c r="M135" i="163"/>
  <c r="L135" i="163"/>
  <c r="K135" i="163"/>
  <c r="J135" i="163"/>
  <c r="M134" i="163"/>
  <c r="L134" i="163"/>
  <c r="K134" i="163"/>
  <c r="J134" i="163"/>
  <c r="M133" i="163"/>
  <c r="L133" i="163"/>
  <c r="K133" i="163"/>
  <c r="J133" i="163"/>
  <c r="M132" i="163"/>
  <c r="L132" i="163"/>
  <c r="K132" i="163"/>
  <c r="J132" i="163"/>
  <c r="M131" i="163"/>
  <c r="M128" i="163"/>
  <c r="L128" i="163"/>
  <c r="K128" i="163"/>
  <c r="J128" i="163"/>
  <c r="M127" i="163"/>
  <c r="L127" i="163"/>
  <c r="K127" i="163"/>
  <c r="J127" i="163"/>
  <c r="M126" i="163"/>
  <c r="L126" i="163"/>
  <c r="K126" i="163"/>
  <c r="J126" i="163"/>
  <c r="M125" i="163"/>
  <c r="L125" i="163"/>
  <c r="K125" i="163"/>
  <c r="J125" i="163"/>
  <c r="M124" i="163"/>
  <c r="L124" i="163"/>
  <c r="K124" i="163"/>
  <c r="J124" i="163"/>
  <c r="M123" i="163"/>
  <c r="L123" i="163"/>
  <c r="K123" i="163"/>
  <c r="J123" i="163"/>
  <c r="M122" i="163"/>
  <c r="L122" i="163"/>
  <c r="K122" i="163"/>
  <c r="J122" i="163"/>
  <c r="M121" i="163"/>
  <c r="L121" i="163"/>
  <c r="K121" i="163"/>
  <c r="J121" i="163"/>
  <c r="M120" i="163"/>
  <c r="L120" i="163"/>
  <c r="K120" i="163"/>
  <c r="J120" i="163"/>
  <c r="M119" i="163"/>
  <c r="L119" i="163"/>
  <c r="K119" i="163"/>
  <c r="J119" i="163"/>
  <c r="M118" i="163"/>
  <c r="L118" i="163"/>
  <c r="K118" i="163"/>
  <c r="J118" i="163"/>
  <c r="M117" i="163"/>
  <c r="L117" i="163"/>
  <c r="K117" i="163"/>
  <c r="J117" i="163"/>
  <c r="M116" i="163"/>
  <c r="L116" i="163"/>
  <c r="K116" i="163"/>
  <c r="J116" i="163"/>
  <c r="M114" i="163"/>
  <c r="L114" i="163"/>
  <c r="K114" i="163"/>
  <c r="J114" i="163"/>
  <c r="M113" i="163"/>
  <c r="L113" i="163"/>
  <c r="K113" i="163"/>
  <c r="J113" i="163"/>
  <c r="M112" i="163"/>
  <c r="L112" i="163"/>
  <c r="K112" i="163"/>
  <c r="J112" i="163"/>
  <c r="M111" i="163"/>
  <c r="L111" i="163"/>
  <c r="K111" i="163"/>
  <c r="J111" i="163"/>
  <c r="M110" i="163"/>
  <c r="L110" i="163"/>
  <c r="K110" i="163"/>
  <c r="J110" i="163"/>
  <c r="M109" i="163"/>
  <c r="L109" i="163"/>
  <c r="K109" i="163"/>
  <c r="J109" i="163"/>
  <c r="M108" i="163"/>
  <c r="L108" i="163"/>
  <c r="K108" i="163"/>
  <c r="J108" i="163"/>
  <c r="M107" i="163"/>
  <c r="L107" i="163"/>
  <c r="K107" i="163"/>
  <c r="J107" i="163"/>
  <c r="M106" i="163"/>
  <c r="L106" i="163"/>
  <c r="K106" i="163"/>
  <c r="J106" i="163"/>
  <c r="M105" i="163"/>
  <c r="L105" i="163"/>
  <c r="K105" i="163"/>
  <c r="J105" i="163"/>
  <c r="M104" i="163"/>
  <c r="L104" i="163"/>
  <c r="K104" i="163"/>
  <c r="J104" i="163"/>
  <c r="M103" i="163"/>
  <c r="L103" i="163"/>
  <c r="K103" i="163"/>
  <c r="J103" i="163"/>
  <c r="M102" i="163"/>
  <c r="L102" i="163"/>
  <c r="K102" i="163"/>
  <c r="J102" i="163"/>
  <c r="M101" i="163"/>
  <c r="L101" i="163"/>
  <c r="K101" i="163"/>
  <c r="J101" i="163"/>
  <c r="M95" i="163"/>
  <c r="L95" i="163"/>
  <c r="K95" i="163"/>
  <c r="J95" i="163"/>
  <c r="M94" i="163"/>
  <c r="L94" i="163"/>
  <c r="K94" i="163"/>
  <c r="J94" i="163"/>
  <c r="M93" i="163"/>
  <c r="L93" i="163"/>
  <c r="K93" i="163"/>
  <c r="J93" i="163"/>
  <c r="M92" i="163"/>
  <c r="L92" i="163"/>
  <c r="K92" i="163"/>
  <c r="J92" i="163"/>
  <c r="M91" i="163"/>
  <c r="L91" i="163"/>
  <c r="K91" i="163"/>
  <c r="J91" i="163"/>
  <c r="M90" i="163"/>
  <c r="L90" i="163"/>
  <c r="K90" i="163"/>
  <c r="J90" i="163"/>
  <c r="M89" i="163"/>
  <c r="L89" i="163"/>
  <c r="K89" i="163"/>
  <c r="J89" i="163"/>
  <c r="M88" i="163"/>
  <c r="L88" i="163"/>
  <c r="K88" i="163"/>
  <c r="J88" i="163"/>
  <c r="M87" i="163"/>
  <c r="L87" i="163"/>
  <c r="K87" i="163"/>
  <c r="J87" i="163"/>
  <c r="M86" i="163"/>
  <c r="L86" i="163"/>
  <c r="K86" i="163"/>
  <c r="J86" i="163"/>
  <c r="M85" i="163"/>
  <c r="L85" i="163"/>
  <c r="K85" i="163"/>
  <c r="J85" i="163"/>
  <c r="M84" i="163"/>
  <c r="L84" i="163"/>
  <c r="K84" i="163"/>
  <c r="J84" i="163"/>
  <c r="M83" i="163"/>
  <c r="L83" i="163"/>
  <c r="K83" i="163"/>
  <c r="J83" i="163"/>
  <c r="J82" i="163"/>
  <c r="M81" i="163"/>
  <c r="L81" i="163"/>
  <c r="K81" i="163"/>
  <c r="J81" i="163"/>
  <c r="M80" i="163"/>
  <c r="L80" i="163"/>
  <c r="K80" i="163"/>
  <c r="J80" i="163"/>
  <c r="M79" i="163"/>
  <c r="L79" i="163"/>
  <c r="K79" i="163"/>
  <c r="J79" i="163"/>
  <c r="M78" i="163"/>
  <c r="L78" i="163"/>
  <c r="K78" i="163"/>
  <c r="J78" i="163"/>
  <c r="M77" i="163"/>
  <c r="L77" i="163"/>
  <c r="K77" i="163"/>
  <c r="J77" i="163"/>
  <c r="M76" i="163"/>
  <c r="L76" i="163"/>
  <c r="K76" i="163"/>
  <c r="J76" i="163"/>
  <c r="M75" i="163"/>
  <c r="L75" i="163"/>
  <c r="K75" i="163"/>
  <c r="J75" i="163"/>
  <c r="M74" i="163"/>
  <c r="L74" i="163"/>
  <c r="K74" i="163"/>
  <c r="J74" i="163"/>
  <c r="M73" i="163"/>
  <c r="L73" i="163"/>
  <c r="K73" i="163"/>
  <c r="J73" i="163"/>
  <c r="M72" i="163"/>
  <c r="L72" i="163"/>
  <c r="K72" i="163"/>
  <c r="J72" i="163"/>
  <c r="M71" i="163"/>
  <c r="L71" i="163"/>
  <c r="K71" i="163"/>
  <c r="J71" i="163"/>
  <c r="M68" i="163"/>
  <c r="L68" i="163"/>
  <c r="K68" i="163"/>
  <c r="J68" i="163"/>
  <c r="M67" i="163"/>
  <c r="L67" i="163"/>
  <c r="K67" i="163"/>
  <c r="J67" i="163"/>
  <c r="M66" i="163"/>
  <c r="L66" i="163"/>
  <c r="K66" i="163"/>
  <c r="J66" i="163"/>
  <c r="M65" i="163"/>
  <c r="L65" i="163"/>
  <c r="K65" i="163"/>
  <c r="J65" i="163"/>
  <c r="M64" i="163"/>
  <c r="L64" i="163"/>
  <c r="K64" i="163"/>
  <c r="J64" i="163"/>
  <c r="M63" i="163"/>
  <c r="L63" i="163"/>
  <c r="K63" i="163"/>
  <c r="J63" i="163"/>
  <c r="M62" i="163"/>
  <c r="L62" i="163"/>
  <c r="K62" i="163"/>
  <c r="J62" i="163"/>
  <c r="M61" i="163"/>
  <c r="L61" i="163"/>
  <c r="K61" i="163"/>
  <c r="J61" i="163"/>
  <c r="M59" i="163"/>
  <c r="L59" i="163"/>
  <c r="K59" i="163"/>
  <c r="J59" i="163"/>
  <c r="M58" i="163"/>
  <c r="L58" i="163"/>
  <c r="K58" i="163"/>
  <c r="J58" i="163"/>
  <c r="M57" i="163"/>
  <c r="L57" i="163"/>
  <c r="K57" i="163"/>
  <c r="J57" i="163"/>
  <c r="M56" i="163"/>
  <c r="L56" i="163"/>
  <c r="K56" i="163"/>
  <c r="J56" i="163"/>
  <c r="M55" i="163"/>
  <c r="L55" i="163"/>
  <c r="K55" i="163"/>
  <c r="J55" i="163"/>
  <c r="M53" i="163"/>
  <c r="L53" i="163"/>
  <c r="K53" i="163"/>
  <c r="J53" i="163"/>
  <c r="M52" i="163"/>
  <c r="L52" i="163"/>
  <c r="K52" i="163"/>
  <c r="J52" i="163"/>
  <c r="M50" i="163"/>
  <c r="L50" i="163"/>
  <c r="K50" i="163"/>
  <c r="J50" i="163"/>
  <c r="M49" i="163"/>
  <c r="L49" i="163"/>
  <c r="K49" i="163"/>
  <c r="J49" i="163"/>
  <c r="M48" i="163"/>
  <c r="L48" i="163"/>
  <c r="K48" i="163"/>
  <c r="J48" i="163"/>
  <c r="M47" i="163"/>
  <c r="L47" i="163"/>
  <c r="K47" i="163"/>
  <c r="J47" i="163"/>
  <c r="M46" i="163"/>
  <c r="L46" i="163"/>
  <c r="K46" i="163"/>
  <c r="J46" i="163"/>
  <c r="M45" i="163"/>
  <c r="L45" i="163"/>
  <c r="K45" i="163"/>
  <c r="J45" i="163"/>
  <c r="M44" i="163"/>
  <c r="L44" i="163"/>
  <c r="K44" i="163"/>
  <c r="J44" i="163"/>
  <c r="M43" i="163"/>
  <c r="L43" i="163"/>
  <c r="K43" i="163"/>
  <c r="J43" i="163"/>
  <c r="M41" i="163"/>
  <c r="L41" i="163"/>
  <c r="K41" i="163"/>
  <c r="J41" i="163"/>
  <c r="M40" i="163"/>
  <c r="L40" i="163"/>
  <c r="K40" i="163"/>
  <c r="J40" i="163"/>
  <c r="M39" i="163"/>
  <c r="L39" i="163"/>
  <c r="K39" i="163"/>
  <c r="J39" i="163"/>
  <c r="M38" i="163"/>
  <c r="L38" i="163"/>
  <c r="K38" i="163"/>
  <c r="J38" i="163"/>
  <c r="M37" i="163"/>
  <c r="L37" i="163"/>
  <c r="K37" i="163"/>
  <c r="J37" i="163"/>
  <c r="M36" i="163"/>
  <c r="L36" i="163"/>
  <c r="K36" i="163"/>
  <c r="J36" i="163"/>
  <c r="H95" i="163"/>
  <c r="G95" i="163"/>
  <c r="F95" i="163"/>
  <c r="E95" i="163"/>
  <c r="H94" i="163"/>
  <c r="G94" i="163"/>
  <c r="F94" i="163"/>
  <c r="E94" i="163"/>
  <c r="H93" i="163"/>
  <c r="G93" i="163"/>
  <c r="F93" i="163"/>
  <c r="E93" i="163"/>
  <c r="H92" i="163"/>
  <c r="G92" i="163"/>
  <c r="F92" i="163"/>
  <c r="E92" i="163"/>
  <c r="H90" i="163"/>
  <c r="G90" i="163"/>
  <c r="F90" i="163"/>
  <c r="E90" i="163"/>
  <c r="H89" i="163"/>
  <c r="G89" i="163"/>
  <c r="F89" i="163"/>
  <c r="E89" i="163"/>
  <c r="H88" i="163"/>
  <c r="G88" i="163"/>
  <c r="F88" i="163"/>
  <c r="E88" i="163"/>
  <c r="H87" i="163"/>
  <c r="G87" i="163"/>
  <c r="F87" i="163"/>
  <c r="E87" i="163"/>
  <c r="H86" i="163"/>
  <c r="G86" i="163"/>
  <c r="F86" i="163"/>
  <c r="E86" i="163"/>
  <c r="H84" i="163"/>
  <c r="G84" i="163"/>
  <c r="F84" i="163"/>
  <c r="E84" i="163"/>
  <c r="H83" i="163"/>
  <c r="G83" i="163"/>
  <c r="F83" i="163"/>
  <c r="E83" i="163"/>
  <c r="H81" i="163"/>
  <c r="G81" i="163"/>
  <c r="F81" i="163"/>
  <c r="E81" i="163"/>
  <c r="H80" i="163"/>
  <c r="G80" i="163"/>
  <c r="F80" i="163"/>
  <c r="E80" i="163"/>
  <c r="H79" i="163"/>
  <c r="G79" i="163"/>
  <c r="F79" i="163"/>
  <c r="E79" i="163"/>
  <c r="H78" i="163"/>
  <c r="G78" i="163"/>
  <c r="F78" i="163"/>
  <c r="E78" i="163"/>
  <c r="H77" i="163"/>
  <c r="G77" i="163"/>
  <c r="F77" i="163"/>
  <c r="E77" i="163"/>
  <c r="H75" i="163"/>
  <c r="G75" i="163"/>
  <c r="F75" i="163"/>
  <c r="E75" i="163"/>
  <c r="H74" i="163"/>
  <c r="G74" i="163"/>
  <c r="F74" i="163"/>
  <c r="E74" i="163"/>
  <c r="H72" i="163"/>
  <c r="G72" i="163"/>
  <c r="F72" i="163"/>
  <c r="E72" i="163"/>
  <c r="H71" i="163"/>
  <c r="G71" i="163"/>
  <c r="F71" i="163"/>
  <c r="E71" i="163"/>
  <c r="H68" i="163"/>
  <c r="G68" i="163"/>
  <c r="F68" i="163"/>
  <c r="E68" i="163"/>
  <c r="H67" i="163"/>
  <c r="G67" i="163"/>
  <c r="F67" i="163"/>
  <c r="E67" i="163"/>
  <c r="H66" i="163"/>
  <c r="G66" i="163"/>
  <c r="F66" i="163"/>
  <c r="E66" i="163"/>
  <c r="H65" i="163"/>
  <c r="G65" i="163"/>
  <c r="F65" i="163"/>
  <c r="E65" i="163"/>
  <c r="H64" i="163"/>
  <c r="G64" i="163"/>
  <c r="F64" i="163"/>
  <c r="E64" i="163"/>
  <c r="H63" i="163"/>
  <c r="G63" i="163"/>
  <c r="F63" i="163"/>
  <c r="E63" i="163"/>
  <c r="H62" i="163"/>
  <c r="G62" i="163"/>
  <c r="F62" i="163"/>
  <c r="E62" i="163"/>
  <c r="H59" i="163"/>
  <c r="G59" i="163"/>
  <c r="F59" i="163"/>
  <c r="E59" i="163"/>
  <c r="H58" i="163"/>
  <c r="G58" i="163"/>
  <c r="F58" i="163"/>
  <c r="E58" i="163"/>
  <c r="H57" i="163"/>
  <c r="G57" i="163"/>
  <c r="F57" i="163"/>
  <c r="E57" i="163"/>
  <c r="H56" i="163"/>
  <c r="G56" i="163"/>
  <c r="F56" i="163"/>
  <c r="E56" i="163"/>
  <c r="H55" i="163"/>
  <c r="G55" i="163"/>
  <c r="F55" i="163"/>
  <c r="E55" i="163"/>
  <c r="H53" i="163"/>
  <c r="G53" i="163"/>
  <c r="F53" i="163"/>
  <c r="E53" i="163"/>
  <c r="H52" i="163"/>
  <c r="G52" i="163"/>
  <c r="F52" i="163"/>
  <c r="E52" i="163"/>
  <c r="H50" i="163"/>
  <c r="G50" i="163"/>
  <c r="F50" i="163"/>
  <c r="E50" i="163"/>
  <c r="H49" i="163"/>
  <c r="G49" i="163"/>
  <c r="F49" i="163"/>
  <c r="E49" i="163"/>
  <c r="H48" i="163"/>
  <c r="G48" i="163"/>
  <c r="F48" i="163"/>
  <c r="E48" i="163"/>
  <c r="H47" i="163"/>
  <c r="G47" i="163"/>
  <c r="F47" i="163"/>
  <c r="E47" i="163"/>
  <c r="H46" i="163"/>
  <c r="G46" i="163"/>
  <c r="F46" i="163"/>
  <c r="E46" i="163"/>
  <c r="H45" i="163"/>
  <c r="G45" i="163"/>
  <c r="F45" i="163"/>
  <c r="E45" i="163"/>
  <c r="H44" i="163"/>
  <c r="G44" i="163"/>
  <c r="F44" i="163"/>
  <c r="E44" i="163"/>
  <c r="H43" i="163"/>
  <c r="G43" i="163"/>
  <c r="F43" i="163"/>
  <c r="E43" i="163"/>
  <c r="H41" i="163"/>
  <c r="G41" i="163"/>
  <c r="F41" i="163"/>
  <c r="E41" i="163"/>
  <c r="H40" i="163"/>
  <c r="G40" i="163"/>
  <c r="F40" i="163"/>
  <c r="E40" i="163"/>
  <c r="H39" i="163"/>
  <c r="G39" i="163"/>
  <c r="F39" i="163"/>
  <c r="E39" i="163"/>
  <c r="H37" i="163"/>
  <c r="G37" i="163"/>
  <c r="F37" i="163"/>
  <c r="E37" i="163"/>
  <c r="H36" i="163"/>
  <c r="G36" i="163"/>
  <c r="F36" i="163"/>
  <c r="E36" i="163"/>
  <c r="H149" i="163"/>
  <c r="G149" i="163"/>
  <c r="F149" i="163"/>
  <c r="E149" i="163"/>
  <c r="H148" i="163"/>
  <c r="G148" i="163"/>
  <c r="F148" i="163"/>
  <c r="E148" i="163"/>
  <c r="H147" i="163"/>
  <c r="G147" i="163"/>
  <c r="F147" i="163"/>
  <c r="E147" i="163"/>
  <c r="H146" i="163"/>
  <c r="G146" i="163"/>
  <c r="F146" i="163"/>
  <c r="E146" i="163"/>
  <c r="H145" i="163"/>
  <c r="G145" i="163"/>
  <c r="F145" i="163"/>
  <c r="E145" i="163"/>
  <c r="H144" i="163"/>
  <c r="G144" i="163"/>
  <c r="F144" i="163"/>
  <c r="E144" i="163"/>
  <c r="G143" i="163"/>
  <c r="F143" i="163"/>
  <c r="E143" i="163"/>
  <c r="H142" i="163"/>
  <c r="G142" i="163"/>
  <c r="F142" i="163"/>
  <c r="E142" i="163"/>
  <c r="H141" i="163"/>
  <c r="G141" i="163"/>
  <c r="F141" i="163"/>
  <c r="E141" i="163"/>
  <c r="H140" i="163"/>
  <c r="G140" i="163"/>
  <c r="F140" i="163"/>
  <c r="E140" i="163"/>
  <c r="H139" i="163"/>
  <c r="G139" i="163"/>
  <c r="F139" i="163"/>
  <c r="E139" i="163"/>
  <c r="H138" i="163"/>
  <c r="G138" i="163"/>
  <c r="F138" i="163"/>
  <c r="E138" i="163"/>
  <c r="H137" i="163"/>
  <c r="G137" i="163"/>
  <c r="F137" i="163"/>
  <c r="E137" i="163"/>
  <c r="H136" i="163"/>
  <c r="G136" i="163"/>
  <c r="F136" i="163"/>
  <c r="E136" i="163"/>
  <c r="H135" i="163"/>
  <c r="G135" i="163"/>
  <c r="F135" i="163"/>
  <c r="E135" i="163"/>
  <c r="H134" i="163"/>
  <c r="G134" i="163"/>
  <c r="F134" i="163"/>
  <c r="E134" i="163"/>
  <c r="H133" i="163"/>
  <c r="G133" i="163"/>
  <c r="F133" i="163"/>
  <c r="E133" i="163"/>
  <c r="H132" i="163"/>
  <c r="G132" i="163"/>
  <c r="F132" i="163"/>
  <c r="E132" i="163"/>
  <c r="G131" i="163"/>
  <c r="F131" i="163"/>
  <c r="E131" i="163"/>
  <c r="H128" i="163"/>
  <c r="G128" i="163"/>
  <c r="F128" i="163"/>
  <c r="E128" i="163"/>
  <c r="H127" i="163"/>
  <c r="G127" i="163"/>
  <c r="F127" i="163"/>
  <c r="E127" i="163"/>
  <c r="H126" i="163"/>
  <c r="G126" i="163"/>
  <c r="F126" i="163"/>
  <c r="E126" i="163"/>
  <c r="H125" i="163"/>
  <c r="G125" i="163"/>
  <c r="F125" i="163"/>
  <c r="E125" i="163"/>
  <c r="H124" i="163"/>
  <c r="G124" i="163"/>
  <c r="F124" i="163"/>
  <c r="E124" i="163"/>
  <c r="H123" i="163"/>
  <c r="G123" i="163"/>
  <c r="F123" i="163"/>
  <c r="E123" i="163"/>
  <c r="H122" i="163"/>
  <c r="G122" i="163"/>
  <c r="F122" i="163"/>
  <c r="E122" i="163"/>
  <c r="H121" i="163"/>
  <c r="G121" i="163"/>
  <c r="F121" i="163"/>
  <c r="E121" i="163"/>
  <c r="H120" i="163"/>
  <c r="G120" i="163"/>
  <c r="F120" i="163"/>
  <c r="E120" i="163"/>
  <c r="H119" i="163"/>
  <c r="G119" i="163"/>
  <c r="F119" i="163"/>
  <c r="E119" i="163"/>
  <c r="H118" i="163"/>
  <c r="G118" i="163"/>
  <c r="F118" i="163"/>
  <c r="E118" i="163"/>
  <c r="H117" i="163"/>
  <c r="G117" i="163"/>
  <c r="F117" i="163"/>
  <c r="E117" i="163"/>
  <c r="H116" i="163"/>
  <c r="G116" i="163"/>
  <c r="F116" i="163"/>
  <c r="E116" i="163"/>
  <c r="H114" i="163"/>
  <c r="G114" i="163"/>
  <c r="F114" i="163"/>
  <c r="E114" i="163"/>
  <c r="H113" i="163"/>
  <c r="G113" i="163"/>
  <c r="F113" i="163"/>
  <c r="E113" i="163"/>
  <c r="H112" i="163"/>
  <c r="G112" i="163"/>
  <c r="F112" i="163"/>
  <c r="E112" i="163"/>
  <c r="H111" i="163"/>
  <c r="G111" i="163"/>
  <c r="F111" i="163"/>
  <c r="E111" i="163"/>
  <c r="H110" i="163"/>
  <c r="G110" i="163"/>
  <c r="F110" i="163"/>
  <c r="E110" i="163"/>
  <c r="H109" i="163"/>
  <c r="G109" i="163"/>
  <c r="F109" i="163"/>
  <c r="E109" i="163"/>
  <c r="H108" i="163"/>
  <c r="G108" i="163"/>
  <c r="F108" i="163"/>
  <c r="E108" i="163"/>
  <c r="H107" i="163"/>
  <c r="G107" i="163"/>
  <c r="F107" i="163"/>
  <c r="E107" i="163"/>
  <c r="H106" i="163"/>
  <c r="G106" i="163"/>
  <c r="F106" i="163"/>
  <c r="E106" i="163"/>
  <c r="H105" i="163"/>
  <c r="G105" i="163"/>
  <c r="F105" i="163"/>
  <c r="E105" i="163"/>
  <c r="H104" i="163"/>
  <c r="G104" i="163"/>
  <c r="F104" i="163"/>
  <c r="E104" i="163"/>
  <c r="H103" i="163"/>
  <c r="G103" i="163"/>
  <c r="F103" i="163"/>
  <c r="E103" i="163"/>
  <c r="H102" i="163"/>
  <c r="G102" i="163"/>
  <c r="F102" i="163"/>
  <c r="E102" i="163"/>
  <c r="H101" i="163"/>
  <c r="G101" i="163"/>
  <c r="F101" i="163"/>
  <c r="E101" i="163"/>
  <c r="BA27" i="163"/>
  <c r="AZ27" i="163"/>
  <c r="AY27" i="163"/>
  <c r="AX27" i="163"/>
  <c r="BA26" i="163"/>
  <c r="AZ26" i="163"/>
  <c r="AY26" i="163"/>
  <c r="AX26" i="163"/>
  <c r="AV27" i="163"/>
  <c r="AU27" i="163"/>
  <c r="AT27" i="163"/>
  <c r="AS27" i="163"/>
  <c r="AV26" i="163"/>
  <c r="AU26" i="163"/>
  <c r="AT26" i="163"/>
  <c r="AS26" i="163"/>
  <c r="AQ27" i="163"/>
  <c r="AP27" i="163"/>
  <c r="AO27" i="163"/>
  <c r="AN27" i="163"/>
  <c r="AQ26" i="163"/>
  <c r="AP26" i="163"/>
  <c r="AO26" i="163"/>
  <c r="AN26" i="163"/>
  <c r="AG27" i="163"/>
  <c r="AF27" i="163"/>
  <c r="AE27" i="163"/>
  <c r="AD27" i="163"/>
  <c r="AG26" i="163"/>
  <c r="AF26" i="163"/>
  <c r="AE26" i="163"/>
  <c r="AD26" i="163"/>
  <c r="AG24" i="163"/>
  <c r="AF24" i="163"/>
  <c r="AE24" i="163"/>
  <c r="AD24" i="163"/>
  <c r="AG23" i="163"/>
  <c r="AF23" i="163"/>
  <c r="AE23" i="163"/>
  <c r="AD23" i="163"/>
  <c r="AG20" i="163"/>
  <c r="AF20" i="163"/>
  <c r="AE20" i="163"/>
  <c r="AD20" i="163"/>
  <c r="AG19" i="163"/>
  <c r="AF19" i="163"/>
  <c r="AE19" i="163"/>
  <c r="AD19" i="163"/>
  <c r="AG17" i="163"/>
  <c r="AF17" i="163"/>
  <c r="AE17" i="163"/>
  <c r="AD17" i="163"/>
  <c r="AG16" i="163"/>
  <c r="AF16" i="163"/>
  <c r="AE16" i="163"/>
  <c r="AD16" i="163"/>
  <c r="AG15" i="163"/>
  <c r="AF15" i="163"/>
  <c r="AE15" i="163"/>
  <c r="AD15" i="163"/>
  <c r="AG14" i="163"/>
  <c r="AF14" i="163"/>
  <c r="AE14" i="163"/>
  <c r="AD14" i="163"/>
  <c r="AG13" i="163"/>
  <c r="AF13" i="163"/>
  <c r="AE13" i="163"/>
  <c r="AD13" i="163"/>
  <c r="AG12" i="163"/>
  <c r="AF12" i="163"/>
  <c r="AE12" i="163"/>
  <c r="AD12" i="163"/>
  <c r="AG10" i="163"/>
  <c r="AF10" i="163"/>
  <c r="AE10" i="163"/>
  <c r="AD10" i="163"/>
  <c r="AG8" i="163"/>
  <c r="AF8" i="163"/>
  <c r="AE8" i="163"/>
  <c r="AD8" i="163"/>
  <c r="AG7" i="163"/>
  <c r="AF7" i="163"/>
  <c r="AE7" i="163"/>
  <c r="AD7" i="163"/>
  <c r="AB27" i="163"/>
  <c r="AA27" i="163"/>
  <c r="Z27" i="163"/>
  <c r="Y27" i="163"/>
  <c r="AB26" i="163"/>
  <c r="AA26" i="163"/>
  <c r="Z26" i="163"/>
  <c r="Y26" i="163"/>
  <c r="AB24" i="163"/>
  <c r="AA24" i="163"/>
  <c r="Z24" i="163"/>
  <c r="Y24" i="163"/>
  <c r="AB23" i="163"/>
  <c r="AA23" i="163"/>
  <c r="Z23" i="163"/>
  <c r="Y23" i="163"/>
  <c r="AB20" i="163"/>
  <c r="AA20" i="163"/>
  <c r="Z20" i="163"/>
  <c r="Y20" i="163"/>
  <c r="AB19" i="163"/>
  <c r="AA19" i="163"/>
  <c r="Z19" i="163"/>
  <c r="Y19" i="163"/>
  <c r="AB17" i="163"/>
  <c r="AA17" i="163"/>
  <c r="Z17" i="163"/>
  <c r="Y17" i="163"/>
  <c r="AB16" i="163"/>
  <c r="AA16" i="163"/>
  <c r="Z16" i="163"/>
  <c r="Y16" i="163"/>
  <c r="AB15" i="163"/>
  <c r="AA15" i="163"/>
  <c r="Z15" i="163"/>
  <c r="Y15" i="163"/>
  <c r="AB14" i="163"/>
  <c r="AA14" i="163"/>
  <c r="Z14" i="163"/>
  <c r="Y14" i="163"/>
  <c r="AB13" i="163"/>
  <c r="AA13" i="163"/>
  <c r="Z13" i="163"/>
  <c r="Y13" i="163"/>
  <c r="AB12" i="163"/>
  <c r="AA12" i="163"/>
  <c r="Z12" i="163"/>
  <c r="Y12" i="163"/>
  <c r="AB10" i="163"/>
  <c r="AA10" i="163"/>
  <c r="Z10" i="163"/>
  <c r="Y10" i="163"/>
  <c r="AB8" i="163"/>
  <c r="AA8" i="163"/>
  <c r="Z8" i="163"/>
  <c r="Y8" i="163"/>
  <c r="AB7" i="163"/>
  <c r="AA7" i="163"/>
  <c r="Z7" i="163"/>
  <c r="Y7" i="163"/>
  <c r="W27" i="163"/>
  <c r="V27" i="163"/>
  <c r="U27" i="163"/>
  <c r="T27" i="163"/>
  <c r="W26" i="163"/>
  <c r="V26" i="163"/>
  <c r="U26" i="163"/>
  <c r="T26" i="163"/>
  <c r="W24" i="163"/>
  <c r="V24" i="163"/>
  <c r="U24" i="163"/>
  <c r="T24" i="163"/>
  <c r="V23" i="163"/>
  <c r="U23" i="163"/>
  <c r="T23" i="163"/>
  <c r="W20" i="163"/>
  <c r="V20" i="163"/>
  <c r="U20" i="163"/>
  <c r="T20" i="163"/>
  <c r="W19" i="163"/>
  <c r="V19" i="163"/>
  <c r="U19" i="163"/>
  <c r="T19" i="163"/>
  <c r="W17" i="163"/>
  <c r="V17" i="163"/>
  <c r="U17" i="163"/>
  <c r="T17" i="163"/>
  <c r="W16" i="163"/>
  <c r="V16" i="163"/>
  <c r="U16" i="163"/>
  <c r="T16" i="163"/>
  <c r="W15" i="163"/>
  <c r="V15" i="163"/>
  <c r="U15" i="163"/>
  <c r="T15" i="163"/>
  <c r="W14" i="163"/>
  <c r="V14" i="163"/>
  <c r="U14" i="163"/>
  <c r="T14" i="163"/>
  <c r="W13" i="163"/>
  <c r="V13" i="163"/>
  <c r="U13" i="163"/>
  <c r="T13" i="163"/>
  <c r="W12" i="163"/>
  <c r="V12" i="163"/>
  <c r="U12" i="163"/>
  <c r="T12" i="163"/>
  <c r="W10" i="163"/>
  <c r="V10" i="163"/>
  <c r="U10" i="163"/>
  <c r="T10" i="163"/>
  <c r="W8" i="163"/>
  <c r="V8" i="163"/>
  <c r="U8" i="163"/>
  <c r="T8" i="163"/>
  <c r="W7" i="163"/>
  <c r="V7" i="163"/>
  <c r="U7" i="163"/>
  <c r="T7" i="163"/>
  <c r="R27" i="163"/>
  <c r="Q27" i="163"/>
  <c r="P27" i="163"/>
  <c r="O27" i="163"/>
  <c r="R26" i="163"/>
  <c r="Q26" i="163"/>
  <c r="P26" i="163"/>
  <c r="O26" i="163"/>
  <c r="R24" i="163"/>
  <c r="Q24" i="163"/>
  <c r="P24" i="163"/>
  <c r="O24" i="163"/>
  <c r="R23" i="163"/>
  <c r="Q23" i="163"/>
  <c r="P23" i="163"/>
  <c r="O23" i="163"/>
  <c r="R20" i="163"/>
  <c r="Q20" i="163"/>
  <c r="P20" i="163"/>
  <c r="O20" i="163"/>
  <c r="R19" i="163"/>
  <c r="Q19" i="163"/>
  <c r="P19" i="163"/>
  <c r="O19" i="163"/>
  <c r="R17" i="163"/>
  <c r="Q17" i="163"/>
  <c r="P17" i="163"/>
  <c r="O17" i="163"/>
  <c r="R16" i="163"/>
  <c r="Q16" i="163"/>
  <c r="P16" i="163"/>
  <c r="O16" i="163"/>
  <c r="R15" i="163"/>
  <c r="Q15" i="163"/>
  <c r="P15" i="163"/>
  <c r="O15" i="163"/>
  <c r="R14" i="163"/>
  <c r="R13" i="163"/>
  <c r="Q13" i="163"/>
  <c r="P13" i="163"/>
  <c r="O13" i="163"/>
  <c r="R12" i="163"/>
  <c r="Q12" i="163"/>
  <c r="P12" i="163"/>
  <c r="O12" i="163"/>
  <c r="R10" i="163"/>
  <c r="Q10" i="163"/>
  <c r="P10" i="163"/>
  <c r="O10" i="163"/>
  <c r="R8" i="163"/>
  <c r="Q8" i="163"/>
  <c r="P8" i="163"/>
  <c r="O8" i="163"/>
  <c r="P7" i="163"/>
  <c r="Q7" i="163"/>
  <c r="R7" i="163"/>
  <c r="O7" i="163"/>
  <c r="M27" i="163"/>
  <c r="L27" i="163"/>
  <c r="K27" i="163"/>
  <c r="J27" i="163"/>
  <c r="M26" i="163"/>
  <c r="L26" i="163"/>
  <c r="K26" i="163"/>
  <c r="J26" i="163"/>
  <c r="M24" i="163"/>
  <c r="L24" i="163"/>
  <c r="K24" i="163"/>
  <c r="J24" i="163"/>
  <c r="M23" i="163"/>
  <c r="L23" i="163"/>
  <c r="K23" i="163"/>
  <c r="J23" i="163"/>
  <c r="M20" i="163"/>
  <c r="L20" i="163"/>
  <c r="K20" i="163"/>
  <c r="J20" i="163"/>
  <c r="M19" i="163"/>
  <c r="L19" i="163"/>
  <c r="K19" i="163"/>
  <c r="J19" i="163"/>
  <c r="M17" i="163"/>
  <c r="L17" i="163"/>
  <c r="K17" i="163"/>
  <c r="J17" i="163"/>
  <c r="M16" i="163"/>
  <c r="L16" i="163"/>
  <c r="K16" i="163"/>
  <c r="J16" i="163"/>
  <c r="M15" i="163"/>
  <c r="L15" i="163"/>
  <c r="K15" i="163"/>
  <c r="J15" i="163"/>
  <c r="L14" i="163"/>
  <c r="K14" i="163"/>
  <c r="J14" i="163"/>
  <c r="M13" i="163"/>
  <c r="L13" i="163"/>
  <c r="K13" i="163"/>
  <c r="J13" i="163"/>
  <c r="M12" i="163"/>
  <c r="L12" i="163"/>
  <c r="K12" i="163"/>
  <c r="J12" i="163"/>
  <c r="M10" i="163"/>
  <c r="L10" i="163"/>
  <c r="K10" i="163"/>
  <c r="J10" i="163"/>
  <c r="M8" i="163"/>
  <c r="L8" i="163"/>
  <c r="K8" i="163"/>
  <c r="J8" i="163"/>
  <c r="M7" i="163"/>
  <c r="L7" i="163"/>
  <c r="K7" i="163"/>
  <c r="J7" i="163"/>
  <c r="H27" i="163"/>
  <c r="G27" i="163"/>
  <c r="F27" i="163"/>
  <c r="E27" i="163"/>
  <c r="H26" i="163"/>
  <c r="G26" i="163"/>
  <c r="F26" i="163"/>
  <c r="E26" i="163"/>
  <c r="H24" i="163"/>
  <c r="G24" i="163"/>
  <c r="F24" i="163"/>
  <c r="E24" i="163"/>
  <c r="H23" i="163"/>
  <c r="G23" i="163"/>
  <c r="F23" i="163"/>
  <c r="E23" i="163"/>
  <c r="H20" i="163"/>
  <c r="G20" i="163"/>
  <c r="F20" i="163"/>
  <c r="E20" i="163"/>
  <c r="H19" i="163"/>
  <c r="G19" i="163"/>
  <c r="F19" i="163"/>
  <c r="E19" i="163"/>
  <c r="H17" i="163"/>
  <c r="G17" i="163"/>
  <c r="F17" i="163"/>
  <c r="E17" i="163"/>
  <c r="H16" i="163"/>
  <c r="G16" i="163"/>
  <c r="F16" i="163"/>
  <c r="E16" i="163"/>
  <c r="H15" i="163"/>
  <c r="G15" i="163"/>
  <c r="F15" i="163"/>
  <c r="E15" i="163"/>
  <c r="H14" i="163"/>
  <c r="G14" i="163"/>
  <c r="F14" i="163"/>
  <c r="H13" i="163"/>
  <c r="G13" i="163"/>
  <c r="F13" i="163"/>
  <c r="E13" i="163"/>
  <c r="H12" i="163"/>
  <c r="G12" i="163"/>
  <c r="F12" i="163"/>
  <c r="E12" i="163"/>
  <c r="H10" i="163"/>
  <c r="G10" i="163"/>
  <c r="F10" i="163"/>
  <c r="E10" i="163"/>
  <c r="H8" i="163"/>
  <c r="G8" i="163"/>
  <c r="F8" i="163"/>
  <c r="E8" i="163"/>
  <c r="H7" i="163"/>
  <c r="G7" i="163"/>
  <c r="F7" i="163"/>
  <c r="E7" i="163"/>
  <c r="K30" i="163" l="1"/>
  <c r="AJ7" i="163"/>
  <c r="AI7" i="163"/>
  <c r="CU4" i="190"/>
  <c r="CV4" i="190"/>
  <c r="CW4" i="190"/>
  <c r="V10" i="190"/>
  <c r="W9" i="163" s="1"/>
  <c r="D10" i="190"/>
  <c r="E10" i="190"/>
  <c r="F10" i="190"/>
  <c r="G10" i="190"/>
  <c r="H9" i="163" s="1"/>
  <c r="I10" i="190"/>
  <c r="J10" i="190"/>
  <c r="K10" i="190"/>
  <c r="L9" i="163" s="1"/>
  <c r="L10" i="190"/>
  <c r="N10" i="190"/>
  <c r="O10" i="190"/>
  <c r="P10" i="190"/>
  <c r="Q10" i="190"/>
  <c r="R9" i="163" s="1"/>
  <c r="S10" i="190"/>
  <c r="T10" i="190"/>
  <c r="U10" i="190"/>
  <c r="V9" i="163" s="1"/>
  <c r="X10" i="190"/>
  <c r="Y10" i="190"/>
  <c r="Z10" i="190"/>
  <c r="AA10" i="190"/>
  <c r="AB9" i="163" s="1"/>
  <c r="AC10" i="190"/>
  <c r="AD9" i="163" s="1"/>
  <c r="AD10" i="190"/>
  <c r="AE10" i="190"/>
  <c r="AF9" i="163" s="1"/>
  <c r="AF10" i="190"/>
  <c r="E14" i="163"/>
  <c r="M14" i="163"/>
  <c r="N15" i="190"/>
  <c r="O14" i="163" s="1"/>
  <c r="O15" i="190"/>
  <c r="P14" i="163" s="1"/>
  <c r="P15" i="190"/>
  <c r="Q14" i="163" s="1"/>
  <c r="D22" i="190"/>
  <c r="E21" i="163" s="1"/>
  <c r="E22" i="190"/>
  <c r="F21" i="163" s="1"/>
  <c r="F22" i="190"/>
  <c r="G21" i="163" s="1"/>
  <c r="G22" i="190"/>
  <c r="H21" i="163" s="1"/>
  <c r="I22" i="190"/>
  <c r="J21" i="163" s="1"/>
  <c r="J22" i="190"/>
  <c r="K21" i="163" s="1"/>
  <c r="K22" i="190"/>
  <c r="L21" i="163" s="1"/>
  <c r="L22" i="190"/>
  <c r="M21" i="163" s="1"/>
  <c r="N22" i="190"/>
  <c r="O21" i="163" s="1"/>
  <c r="O22" i="190"/>
  <c r="P21" i="163" s="1"/>
  <c r="P22" i="190"/>
  <c r="Q21" i="163" s="1"/>
  <c r="Q22" i="190"/>
  <c r="R21" i="163" s="1"/>
  <c r="S22" i="190"/>
  <c r="T21" i="163" s="1"/>
  <c r="T22" i="190"/>
  <c r="U21" i="163" s="1"/>
  <c r="U22" i="190"/>
  <c r="V21" i="163" s="1"/>
  <c r="X22" i="190"/>
  <c r="Y21" i="163" s="1"/>
  <c r="Y22" i="190"/>
  <c r="Z21" i="163" s="1"/>
  <c r="Z22" i="190"/>
  <c r="AA21" i="163" s="1"/>
  <c r="AA22" i="190"/>
  <c r="AC22" i="190"/>
  <c r="AD21" i="163" s="1"/>
  <c r="AD22" i="190"/>
  <c r="AE21" i="163" s="1"/>
  <c r="AE22" i="190"/>
  <c r="AF21" i="163" s="1"/>
  <c r="AF22" i="190"/>
  <c r="W23" i="163"/>
  <c r="BL27" i="190"/>
  <c r="BM27" i="190"/>
  <c r="CQ27" i="190" s="1"/>
  <c r="BN27" i="190"/>
  <c r="CR27" i="190" s="1"/>
  <c r="BO27" i="190"/>
  <c r="CS27" i="190" s="1"/>
  <c r="BQ27" i="190"/>
  <c r="CU27" i="190" s="1"/>
  <c r="DA26" i="163" s="1"/>
  <c r="BR27" i="190"/>
  <c r="CV27" i="190" s="1"/>
  <c r="DB26" i="163" s="1"/>
  <c r="BS27" i="190"/>
  <c r="CW27" i="190" s="1"/>
  <c r="DC26" i="163" s="1"/>
  <c r="BT27" i="190"/>
  <c r="CX27" i="190" s="1"/>
  <c r="DD26" i="163" s="1"/>
  <c r="BV27" i="190"/>
  <c r="CZ27" i="190" s="1"/>
  <c r="BW27" i="190"/>
  <c r="DA27" i="190" s="1"/>
  <c r="BX27" i="190"/>
  <c r="DB27" i="190" s="1"/>
  <c r="BY27" i="190"/>
  <c r="DC27" i="190" s="1"/>
  <c r="CA27" i="190"/>
  <c r="CB27" i="190"/>
  <c r="CC27" i="190"/>
  <c r="CD27" i="190"/>
  <c r="CF27" i="190"/>
  <c r="CG27" i="190"/>
  <c r="CH27" i="190"/>
  <c r="CI27" i="190"/>
  <c r="CK27" i="190"/>
  <c r="CL27" i="190"/>
  <c r="CM27" i="190"/>
  <c r="CN27" i="190"/>
  <c r="BL28" i="190"/>
  <c r="CP28" i="190" s="1"/>
  <c r="BM28" i="190"/>
  <c r="BN28" i="190"/>
  <c r="CR28" i="190" s="1"/>
  <c r="BO28" i="190"/>
  <c r="CS28" i="190" s="1"/>
  <c r="BQ28" i="190"/>
  <c r="CU28" i="190" s="1"/>
  <c r="DA27" i="163" s="1"/>
  <c r="BR28" i="190"/>
  <c r="CV28" i="190" s="1"/>
  <c r="DB27" i="163" s="1"/>
  <c r="BS28" i="190"/>
  <c r="CW28" i="190" s="1"/>
  <c r="DC27" i="163" s="1"/>
  <c r="BT28" i="190"/>
  <c r="CX28" i="190" s="1"/>
  <c r="DD27" i="163" s="1"/>
  <c r="BV28" i="190"/>
  <c r="CZ28" i="190" s="1"/>
  <c r="BW28" i="190"/>
  <c r="DA28" i="190" s="1"/>
  <c r="BX28" i="190"/>
  <c r="DB28" i="190" s="1"/>
  <c r="BY28" i="190"/>
  <c r="DC28" i="190" s="1"/>
  <c r="CA28" i="190"/>
  <c r="CB28" i="190"/>
  <c r="CC28" i="190"/>
  <c r="CD28" i="190"/>
  <c r="CF28" i="190"/>
  <c r="CG28" i="190"/>
  <c r="CH28" i="190"/>
  <c r="CI28" i="190"/>
  <c r="CK28" i="190"/>
  <c r="CL28" i="190"/>
  <c r="CM28" i="190"/>
  <c r="CN28" i="190"/>
  <c r="CN22" i="190" l="1"/>
  <c r="AG21" i="163"/>
  <c r="AD12" i="190"/>
  <c r="AE9" i="163"/>
  <c r="AC12" i="190"/>
  <c r="CN10" i="190"/>
  <c r="AG9" i="163"/>
  <c r="CI22" i="190"/>
  <c r="AB21" i="163"/>
  <c r="Z12" i="190"/>
  <c r="AA11" i="163" s="1"/>
  <c r="AA9" i="163"/>
  <c r="Y12" i="190"/>
  <c r="Z11" i="163" s="1"/>
  <c r="Z9" i="163"/>
  <c r="X12" i="190"/>
  <c r="Y11" i="163" s="1"/>
  <c r="Y9" i="163"/>
  <c r="S12" i="190"/>
  <c r="T11" i="163" s="1"/>
  <c r="T9" i="163"/>
  <c r="T12" i="190"/>
  <c r="U11" i="163" s="1"/>
  <c r="U9" i="163"/>
  <c r="N12" i="190"/>
  <c r="O11" i="163" s="1"/>
  <c r="O9" i="163"/>
  <c r="O12" i="190"/>
  <c r="O29" i="190" s="1"/>
  <c r="P9" i="163"/>
  <c r="P12" i="190"/>
  <c r="Q11" i="163" s="1"/>
  <c r="Q9" i="163"/>
  <c r="I12" i="190"/>
  <c r="J11" i="163" s="1"/>
  <c r="J9" i="163"/>
  <c r="L12" i="190"/>
  <c r="M11" i="163" s="1"/>
  <c r="M9" i="163"/>
  <c r="J12" i="190"/>
  <c r="K11" i="163" s="1"/>
  <c r="K9" i="163"/>
  <c r="F12" i="190"/>
  <c r="G11" i="163" s="1"/>
  <c r="G9" i="163"/>
  <c r="E12" i="190"/>
  <c r="F11" i="163" s="1"/>
  <c r="F9" i="163"/>
  <c r="D12" i="190"/>
  <c r="E11" i="163" s="1"/>
  <c r="E9" i="163"/>
  <c r="T29" i="190"/>
  <c r="T19" i="190"/>
  <c r="U18" i="163" s="1"/>
  <c r="V12" i="190"/>
  <c r="E19" i="190"/>
  <c r="Z19" i="190"/>
  <c r="Z29" i="190"/>
  <c r="X29" i="190"/>
  <c r="N19" i="190"/>
  <c r="N29" i="190"/>
  <c r="D29" i="190"/>
  <c r="AD29" i="190"/>
  <c r="AF12" i="190"/>
  <c r="AG11" i="163" s="1"/>
  <c r="CP27" i="190"/>
  <c r="V22" i="190"/>
  <c r="W21" i="163" s="1"/>
  <c r="CQ28" i="190"/>
  <c r="AA12" i="190"/>
  <c r="AB11" i="163" s="1"/>
  <c r="CI10" i="190"/>
  <c r="Q12" i="190"/>
  <c r="R11" i="163" s="1"/>
  <c r="G12" i="190"/>
  <c r="H11" i="163" s="1"/>
  <c r="AE12" i="190"/>
  <c r="AF11" i="163" s="1"/>
  <c r="U12" i="190"/>
  <c r="V11" i="163" s="1"/>
  <c r="K12" i="190"/>
  <c r="L11" i="163" s="1"/>
  <c r="L19" i="190" l="1"/>
  <c r="Y29" i="190"/>
  <c r="Y19" i="190"/>
  <c r="L29" i="190"/>
  <c r="D19" i="190"/>
  <c r="I29" i="190"/>
  <c r="J19" i="190"/>
  <c r="I19" i="190"/>
  <c r="J18" i="163" s="1"/>
  <c r="J29" i="190"/>
  <c r="F29" i="190"/>
  <c r="S29" i="190"/>
  <c r="F19" i="190"/>
  <c r="F23" i="190" s="1"/>
  <c r="S19" i="190"/>
  <c r="S23" i="190" s="1"/>
  <c r="AC19" i="190"/>
  <c r="AD11" i="163"/>
  <c r="AC29" i="190"/>
  <c r="AD19" i="190"/>
  <c r="AE11" i="163"/>
  <c r="X19" i="190"/>
  <c r="X23" i="190" s="1"/>
  <c r="Y18" i="163"/>
  <c r="Y23" i="190"/>
  <c r="Z18" i="163"/>
  <c r="Z23" i="190"/>
  <c r="AA22" i="163" s="1"/>
  <c r="AA18" i="163"/>
  <c r="V29" i="190"/>
  <c r="W11" i="163"/>
  <c r="T23" i="190"/>
  <c r="U22" i="163" s="1"/>
  <c r="P29" i="190"/>
  <c r="P19" i="190"/>
  <c r="O19" i="190"/>
  <c r="P11" i="163"/>
  <c r="N23" i="190"/>
  <c r="O22" i="163" s="1"/>
  <c r="O18" i="163"/>
  <c r="L23" i="190"/>
  <c r="M18" i="163"/>
  <c r="J23" i="190"/>
  <c r="K22" i="163" s="1"/>
  <c r="K18" i="163"/>
  <c r="D23" i="190"/>
  <c r="E22" i="163" s="1"/>
  <c r="E18" i="163"/>
  <c r="E29" i="190"/>
  <c r="E23" i="190"/>
  <c r="F18" i="163"/>
  <c r="V19" i="190"/>
  <c r="W18" i="163" s="1"/>
  <c r="CN12" i="190"/>
  <c r="AF19" i="190"/>
  <c r="AG18" i="163" s="1"/>
  <c r="AF29" i="190"/>
  <c r="U19" i="190"/>
  <c r="V18" i="163" s="1"/>
  <c r="U29" i="190"/>
  <c r="G19" i="190"/>
  <c r="H18" i="163" s="1"/>
  <c r="G29" i="190"/>
  <c r="Q19" i="190"/>
  <c r="R18" i="163" s="1"/>
  <c r="Q29" i="190"/>
  <c r="K19" i="190"/>
  <c r="L18" i="163" s="1"/>
  <c r="K29" i="190"/>
  <c r="J26" i="190"/>
  <c r="K25" i="163" s="1"/>
  <c r="AE19" i="190"/>
  <c r="AF18" i="163" s="1"/>
  <c r="AE29" i="190"/>
  <c r="CI12" i="190"/>
  <c r="AA19" i="190"/>
  <c r="AB18" i="163" s="1"/>
  <c r="AA29" i="190"/>
  <c r="I23" i="190" l="1"/>
  <c r="D26" i="190"/>
  <c r="E25" i="163" s="1"/>
  <c r="G18" i="163"/>
  <c r="T18" i="163"/>
  <c r="AE18" i="163"/>
  <c r="AD23" i="190"/>
  <c r="AD18" i="163"/>
  <c r="AC23" i="190"/>
  <c r="Y26" i="190"/>
  <c r="Z22" i="163"/>
  <c r="Z26" i="190"/>
  <c r="AA25" i="163" s="1"/>
  <c r="X26" i="190"/>
  <c r="Y22" i="163"/>
  <c r="S26" i="190"/>
  <c r="T22" i="163"/>
  <c r="T26" i="190"/>
  <c r="U25" i="163" s="1"/>
  <c r="V23" i="190"/>
  <c r="P18" i="163"/>
  <c r="O23" i="190"/>
  <c r="P23" i="190"/>
  <c r="Q18" i="163"/>
  <c r="N26" i="190"/>
  <c r="O25" i="163" s="1"/>
  <c r="L26" i="190"/>
  <c r="M22" i="163"/>
  <c r="I26" i="190"/>
  <c r="J22" i="163"/>
  <c r="E26" i="190"/>
  <c r="F22" i="163"/>
  <c r="F26" i="190"/>
  <c r="G22" i="163"/>
  <c r="CN19" i="190"/>
  <c r="AF23" i="190"/>
  <c r="AG22" i="163" s="1"/>
  <c r="Q23" i="190"/>
  <c r="R22" i="163" s="1"/>
  <c r="Z30" i="190"/>
  <c r="U23" i="190"/>
  <c r="V22" i="163" s="1"/>
  <c r="AE23" i="190"/>
  <c r="AF22" i="163" s="1"/>
  <c r="K23" i="190"/>
  <c r="L22" i="163" s="1"/>
  <c r="J30" i="190"/>
  <c r="D30" i="190"/>
  <c r="G23" i="190"/>
  <c r="H22" i="163" s="1"/>
  <c r="CI19" i="190"/>
  <c r="AA23" i="190"/>
  <c r="AB22" i="163" s="1"/>
  <c r="AC26" i="190" l="1"/>
  <c r="AD22" i="163"/>
  <c r="AD26" i="190"/>
  <c r="AE22" i="163"/>
  <c r="X30" i="190"/>
  <c r="Y25" i="163"/>
  <c r="Y30" i="190"/>
  <c r="Z25" i="163"/>
  <c r="T30" i="190"/>
  <c r="W22" i="163"/>
  <c r="S30" i="190"/>
  <c r="T25" i="163"/>
  <c r="P26" i="190"/>
  <c r="Q22" i="163"/>
  <c r="O26" i="190"/>
  <c r="P22" i="163"/>
  <c r="N30" i="190"/>
  <c r="J25" i="163"/>
  <c r="I30" i="190"/>
  <c r="L30" i="190"/>
  <c r="M25" i="163"/>
  <c r="F30" i="190"/>
  <c r="G25" i="163"/>
  <c r="E30" i="190"/>
  <c r="F25" i="163"/>
  <c r="AF26" i="190"/>
  <c r="AG25" i="163" s="1"/>
  <c r="CN23" i="190"/>
  <c r="CI23" i="190"/>
  <c r="AA26" i="190"/>
  <c r="AB25" i="163" s="1"/>
  <c r="U26" i="190"/>
  <c r="V25" i="163" s="1"/>
  <c r="K26" i="190"/>
  <c r="L25" i="163" s="1"/>
  <c r="Q26" i="190"/>
  <c r="R25" i="163" s="1"/>
  <c r="G26" i="190"/>
  <c r="H25" i="163" s="1"/>
  <c r="AE26" i="190"/>
  <c r="AF25" i="163" s="1"/>
  <c r="AD30" i="190" l="1"/>
  <c r="AE25" i="163"/>
  <c r="AD25" i="163"/>
  <c r="AC30" i="190"/>
  <c r="W25" i="163"/>
  <c r="V30" i="190"/>
  <c r="O30" i="190"/>
  <c r="P25" i="163"/>
  <c r="P30" i="190"/>
  <c r="Q25" i="163"/>
  <c r="CN26" i="190"/>
  <c r="AF30" i="190"/>
  <c r="G30" i="190"/>
  <c r="AE30" i="190"/>
  <c r="K30" i="190"/>
  <c r="U30" i="190"/>
  <c r="AA30" i="190"/>
  <c r="Q30" i="190"/>
  <c r="BB28" i="184" l="1"/>
  <c r="AY28" i="184"/>
  <c r="AV28" i="184"/>
  <c r="AZ28" i="184" s="1"/>
  <c r="AS28" i="184"/>
  <c r="AR28" i="184"/>
  <c r="AQ28" i="184"/>
  <c r="AP28" i="184"/>
  <c r="AO28" i="184"/>
  <c r="AN28" i="184"/>
  <c r="AE28" i="184"/>
  <c r="AF28" i="184" s="1"/>
  <c r="AB28" i="184"/>
  <c r="AU28" i="184" s="1"/>
  <c r="W28" i="184"/>
  <c r="AX28" i="184" s="1"/>
  <c r="S28" i="184"/>
  <c r="O28" i="184"/>
  <c r="I28" i="184"/>
  <c r="J28" i="184" s="1"/>
  <c r="K28" i="184" s="1"/>
  <c r="BB27" i="184"/>
  <c r="AY27" i="184"/>
  <c r="AV27" i="184"/>
  <c r="AZ27" i="184" s="1"/>
  <c r="AS27" i="184"/>
  <c r="AR27" i="184"/>
  <c r="AQ27" i="184"/>
  <c r="AP27" i="184"/>
  <c r="AO27" i="184"/>
  <c r="AN27" i="184"/>
  <c r="AE27" i="184"/>
  <c r="AF27" i="184" s="1"/>
  <c r="AB27" i="184"/>
  <c r="BA27" i="184" s="1"/>
  <c r="W27" i="184"/>
  <c r="AX27" i="184" s="1"/>
  <c r="BD27" i="184" s="1"/>
  <c r="S27" i="184"/>
  <c r="O27" i="184"/>
  <c r="I27" i="184"/>
  <c r="Z27" i="184" s="1"/>
  <c r="AA27" i="184" s="1"/>
  <c r="BB26" i="184"/>
  <c r="AY26" i="184"/>
  <c r="AV26" i="184"/>
  <c r="AZ26" i="184" s="1"/>
  <c r="AS26" i="184"/>
  <c r="AR26" i="184"/>
  <c r="AQ26" i="184"/>
  <c r="AP26" i="184"/>
  <c r="AO26" i="184"/>
  <c r="AN26" i="184"/>
  <c r="AE26" i="184"/>
  <c r="AF26" i="184" s="1"/>
  <c r="AB26" i="184"/>
  <c r="AM26" i="184" s="1"/>
  <c r="W26" i="184"/>
  <c r="AX26" i="184" s="1"/>
  <c r="S26" i="184"/>
  <c r="O26" i="184"/>
  <c r="I26" i="184"/>
  <c r="J26" i="184" s="1"/>
  <c r="BB25" i="184"/>
  <c r="AY25" i="184"/>
  <c r="AV25" i="184"/>
  <c r="AZ25" i="184" s="1"/>
  <c r="AS25" i="184"/>
  <c r="AR25" i="184"/>
  <c r="AQ25" i="184"/>
  <c r="AP25" i="184"/>
  <c r="AO25" i="184"/>
  <c r="AN25" i="184"/>
  <c r="AE25" i="184"/>
  <c r="AF25" i="184" s="1"/>
  <c r="AB25" i="184"/>
  <c r="W25" i="184"/>
  <c r="AX25" i="184" s="1"/>
  <c r="BD25" i="184" s="1"/>
  <c r="S25" i="184"/>
  <c r="AL25" i="184" s="1"/>
  <c r="O25" i="184"/>
  <c r="I25" i="184"/>
  <c r="BB24" i="184"/>
  <c r="AY24" i="184"/>
  <c r="AV24" i="184"/>
  <c r="AZ24" i="184" s="1"/>
  <c r="AS24" i="184"/>
  <c r="AR24" i="184"/>
  <c r="AQ24" i="184"/>
  <c r="AP24" i="184"/>
  <c r="AO24" i="184"/>
  <c r="AN24" i="184"/>
  <c r="AE24" i="184"/>
  <c r="AF24" i="184" s="1"/>
  <c r="AB24" i="184"/>
  <c r="AU24" i="184" s="1"/>
  <c r="W24" i="184"/>
  <c r="AX24" i="184" s="1"/>
  <c r="S24" i="184"/>
  <c r="O24" i="184"/>
  <c r="I24" i="184"/>
  <c r="J24" i="184" s="1"/>
  <c r="BB23" i="184"/>
  <c r="AY23" i="184"/>
  <c r="AV23" i="184"/>
  <c r="AZ23" i="184" s="1"/>
  <c r="AS23" i="184"/>
  <c r="AR23" i="184"/>
  <c r="AQ23" i="184"/>
  <c r="AP23" i="184"/>
  <c r="AO23" i="184"/>
  <c r="AN23" i="184"/>
  <c r="AE23" i="184"/>
  <c r="AF23" i="184" s="1"/>
  <c r="AB23" i="184"/>
  <c r="BA23" i="184" s="1"/>
  <c r="W23" i="184"/>
  <c r="AX23" i="184" s="1"/>
  <c r="BD23" i="184" s="1"/>
  <c r="S23" i="184"/>
  <c r="O23" i="184"/>
  <c r="I23" i="184"/>
  <c r="J23" i="184" s="1"/>
  <c r="BB22" i="184"/>
  <c r="AY22" i="184"/>
  <c r="AV22" i="184"/>
  <c r="AZ22" i="184" s="1"/>
  <c r="AS22" i="184"/>
  <c r="AR22" i="184"/>
  <c r="AQ22" i="184"/>
  <c r="AP22" i="184"/>
  <c r="AO22" i="184"/>
  <c r="AN22" i="184"/>
  <c r="AE22" i="184"/>
  <c r="AF22" i="184" s="1"/>
  <c r="AB22" i="184"/>
  <c r="AM22" i="184" s="1"/>
  <c r="W22" i="184"/>
  <c r="AX22" i="184" s="1"/>
  <c r="S22" i="184"/>
  <c r="O22" i="184"/>
  <c r="I22" i="184"/>
  <c r="Z22" i="184" s="1"/>
  <c r="AA22" i="184" s="1"/>
  <c r="BB21" i="184"/>
  <c r="AY21" i="184"/>
  <c r="AV21" i="184"/>
  <c r="AZ21" i="184" s="1"/>
  <c r="AS21" i="184"/>
  <c r="AR21" i="184"/>
  <c r="AQ21" i="184"/>
  <c r="AP21" i="184"/>
  <c r="AO21" i="184"/>
  <c r="AN21" i="184"/>
  <c r="AE21" i="184"/>
  <c r="AF21" i="184" s="1"/>
  <c r="AB21" i="184"/>
  <c r="W21" i="184"/>
  <c r="AX21" i="184" s="1"/>
  <c r="BD21" i="184" s="1"/>
  <c r="S21" i="184"/>
  <c r="O21" i="184"/>
  <c r="I21" i="184"/>
  <c r="BB20" i="184"/>
  <c r="AY20" i="184"/>
  <c r="AV20" i="184"/>
  <c r="AZ20" i="184" s="1"/>
  <c r="AS20" i="184"/>
  <c r="AR20" i="184"/>
  <c r="AQ20" i="184"/>
  <c r="AP20" i="184"/>
  <c r="AO20" i="184"/>
  <c r="AN20" i="184"/>
  <c r="AE20" i="184"/>
  <c r="AF20" i="184" s="1"/>
  <c r="AB20" i="184"/>
  <c r="AU20" i="184" s="1"/>
  <c r="W20" i="184"/>
  <c r="AX20" i="184" s="1"/>
  <c r="S20" i="184"/>
  <c r="O20" i="184"/>
  <c r="I20" i="184"/>
  <c r="J20" i="184" s="1"/>
  <c r="BB19" i="184"/>
  <c r="AY19" i="184"/>
  <c r="AV19" i="184"/>
  <c r="AZ19" i="184" s="1"/>
  <c r="AS19" i="184"/>
  <c r="AR19" i="184"/>
  <c r="AQ19" i="184"/>
  <c r="AP19" i="184"/>
  <c r="AO19" i="184"/>
  <c r="AN19" i="184"/>
  <c r="AE19" i="184"/>
  <c r="AF19" i="184" s="1"/>
  <c r="AB19" i="184"/>
  <c r="BA19" i="184" s="1"/>
  <c r="W19" i="184"/>
  <c r="AX19" i="184" s="1"/>
  <c r="BD19" i="184" s="1"/>
  <c r="S19" i="184"/>
  <c r="O19" i="184"/>
  <c r="I19" i="184"/>
  <c r="J19" i="184" s="1"/>
  <c r="BE15" i="184"/>
  <c r="BB15" i="184"/>
  <c r="AY15" i="184"/>
  <c r="AV15" i="184"/>
  <c r="AZ15" i="184" s="1"/>
  <c r="AS15" i="184"/>
  <c r="AR15" i="184"/>
  <c r="AQ15" i="184"/>
  <c r="AP15" i="184"/>
  <c r="AO15" i="184"/>
  <c r="AN15" i="184"/>
  <c r="AE15" i="184"/>
  <c r="AF15" i="184" s="1"/>
  <c r="AB15" i="184"/>
  <c r="BA15" i="184" s="1"/>
  <c r="W15" i="184"/>
  <c r="AX15" i="184" s="1"/>
  <c r="BD15" i="184" s="1"/>
  <c r="S15" i="184"/>
  <c r="O15" i="184"/>
  <c r="I15" i="184"/>
  <c r="Z15" i="184" s="1"/>
  <c r="AA15" i="184" s="1"/>
  <c r="BE14" i="184"/>
  <c r="BB14" i="184"/>
  <c r="AY14" i="184"/>
  <c r="AV14" i="184"/>
  <c r="AZ14" i="184" s="1"/>
  <c r="AS14" i="184"/>
  <c r="AR14" i="184"/>
  <c r="AQ14" i="184"/>
  <c r="AP14" i="184"/>
  <c r="AO14" i="184"/>
  <c r="AN14" i="184"/>
  <c r="AE14" i="184"/>
  <c r="AF14" i="184" s="1"/>
  <c r="AB14" i="184"/>
  <c r="AU14" i="184" s="1"/>
  <c r="W14" i="184"/>
  <c r="AX14" i="184" s="1"/>
  <c r="S14" i="184"/>
  <c r="AL14" i="184" s="1"/>
  <c r="O14" i="184"/>
  <c r="I14" i="184"/>
  <c r="J14" i="184" s="1"/>
  <c r="BE13" i="184"/>
  <c r="BB13" i="184"/>
  <c r="AY13" i="184"/>
  <c r="AV13" i="184"/>
  <c r="AZ13" i="184" s="1"/>
  <c r="AS13" i="184"/>
  <c r="AR13" i="184"/>
  <c r="AQ13" i="184"/>
  <c r="AP13" i="184"/>
  <c r="AO13" i="184"/>
  <c r="AN13" i="184"/>
  <c r="AE13" i="184"/>
  <c r="AF13" i="184" s="1"/>
  <c r="AB13" i="184"/>
  <c r="BA13" i="184" s="1"/>
  <c r="W13" i="184"/>
  <c r="AX13" i="184" s="1"/>
  <c r="S13" i="184"/>
  <c r="O13" i="184"/>
  <c r="I13" i="184"/>
  <c r="Z13" i="184" s="1"/>
  <c r="AA13" i="184" s="1"/>
  <c r="BE12" i="184"/>
  <c r="BB12" i="184"/>
  <c r="AY12" i="184"/>
  <c r="AV12" i="184"/>
  <c r="AZ12" i="184" s="1"/>
  <c r="AS12" i="184"/>
  <c r="AR12" i="184"/>
  <c r="AQ12" i="184"/>
  <c r="AP12" i="184"/>
  <c r="AO12" i="184"/>
  <c r="AN12" i="184"/>
  <c r="AE12" i="184"/>
  <c r="AF12" i="184" s="1"/>
  <c r="AB12" i="184"/>
  <c r="AU12" i="184" s="1"/>
  <c r="W12" i="184"/>
  <c r="AX12" i="184" s="1"/>
  <c r="S12" i="184"/>
  <c r="AL12" i="184" s="1"/>
  <c r="O12" i="184"/>
  <c r="I12" i="184"/>
  <c r="Z12" i="184" s="1"/>
  <c r="AA12" i="184" s="1"/>
  <c r="BE11" i="184"/>
  <c r="BB11" i="184"/>
  <c r="AY11" i="184"/>
  <c r="AV11" i="184"/>
  <c r="AZ11" i="184" s="1"/>
  <c r="AS11" i="184"/>
  <c r="AR11" i="184"/>
  <c r="AQ11" i="184"/>
  <c r="AP11" i="184"/>
  <c r="AO11" i="184"/>
  <c r="AN11" i="184"/>
  <c r="AE11" i="184"/>
  <c r="AF11" i="184" s="1"/>
  <c r="AB11" i="184"/>
  <c r="W11" i="184"/>
  <c r="AX11" i="184" s="1"/>
  <c r="BD11" i="184" s="1"/>
  <c r="S11" i="184"/>
  <c r="AL11" i="184" s="1"/>
  <c r="O11" i="184"/>
  <c r="I11" i="184"/>
  <c r="BE10" i="184"/>
  <c r="BB10" i="184"/>
  <c r="AY10" i="184"/>
  <c r="AV10" i="184"/>
  <c r="AZ10" i="184" s="1"/>
  <c r="AS10" i="184"/>
  <c r="AR10" i="184"/>
  <c r="AQ10" i="184"/>
  <c r="AP10" i="184"/>
  <c r="AO10" i="184"/>
  <c r="AE10" i="184"/>
  <c r="AF10" i="184" s="1"/>
  <c r="AB10" i="184"/>
  <c r="BA10" i="184" s="1"/>
  <c r="W10" i="184"/>
  <c r="AX10" i="184" s="1"/>
  <c r="S10" i="184"/>
  <c r="O10" i="184"/>
  <c r="I10" i="184"/>
  <c r="J10" i="184" s="1"/>
  <c r="BE9" i="184"/>
  <c r="BB9" i="184"/>
  <c r="AY9" i="184"/>
  <c r="AV9" i="184"/>
  <c r="AZ9" i="184" s="1"/>
  <c r="AS9" i="184"/>
  <c r="AR9" i="184"/>
  <c r="AQ9" i="184"/>
  <c r="AP9" i="184"/>
  <c r="AO9" i="184"/>
  <c r="AN9" i="184"/>
  <c r="AE9" i="184"/>
  <c r="AF9" i="184" s="1"/>
  <c r="AB9" i="184"/>
  <c r="BA9" i="184" s="1"/>
  <c r="W9" i="184"/>
  <c r="AX9" i="184" s="1"/>
  <c r="S9" i="184"/>
  <c r="O9" i="184"/>
  <c r="I9" i="184"/>
  <c r="J9" i="184" s="1"/>
  <c r="BE8" i="184"/>
  <c r="BB8" i="184"/>
  <c r="AY8" i="184"/>
  <c r="AV8" i="184"/>
  <c r="AZ8" i="184" s="1"/>
  <c r="AS8" i="184"/>
  <c r="AR8" i="184"/>
  <c r="AQ8" i="184"/>
  <c r="AP8" i="184"/>
  <c r="AO8" i="184"/>
  <c r="AN8" i="184"/>
  <c r="AE8" i="184"/>
  <c r="AF8" i="184" s="1"/>
  <c r="AB8" i="184"/>
  <c r="AU8" i="184" s="1"/>
  <c r="W8" i="184"/>
  <c r="AX8" i="184" s="1"/>
  <c r="S8" i="184"/>
  <c r="AL8" i="184" s="1"/>
  <c r="O8" i="184"/>
  <c r="I8" i="184"/>
  <c r="J8" i="184" s="1"/>
  <c r="BE7" i="184"/>
  <c r="BB7" i="184"/>
  <c r="AY7" i="184"/>
  <c r="AV7" i="184"/>
  <c r="AZ7" i="184" s="1"/>
  <c r="AS7" i="184"/>
  <c r="AR7" i="184"/>
  <c r="AQ7" i="184"/>
  <c r="AP7" i="184"/>
  <c r="AO7" i="184"/>
  <c r="AN7" i="184"/>
  <c r="AF7" i="184"/>
  <c r="AB7" i="184"/>
  <c r="BA7" i="184" s="1"/>
  <c r="W7" i="184"/>
  <c r="AX7" i="184" s="1"/>
  <c r="S7" i="184"/>
  <c r="O7" i="184"/>
  <c r="I7" i="184"/>
  <c r="Z7" i="184" s="1"/>
  <c r="AA7" i="184" s="1"/>
  <c r="BE6" i="184"/>
  <c r="BB6" i="184"/>
  <c r="AY6" i="184"/>
  <c r="AV6" i="184"/>
  <c r="AZ6" i="184" s="1"/>
  <c r="AS6" i="184"/>
  <c r="AR6" i="184"/>
  <c r="AQ6" i="184"/>
  <c r="AP6" i="184"/>
  <c r="AO6" i="184"/>
  <c r="AN6" i="184"/>
  <c r="AE6" i="184"/>
  <c r="AF6" i="184" s="1"/>
  <c r="AB6" i="184"/>
  <c r="W6" i="184"/>
  <c r="AX6" i="184" s="1"/>
  <c r="BD6" i="184" s="1"/>
  <c r="S6" i="184"/>
  <c r="AL6" i="184" s="1"/>
  <c r="O6" i="184"/>
  <c r="I6" i="184"/>
  <c r="AK4" i="184"/>
  <c r="AJ4" i="184"/>
  <c r="AI4" i="184"/>
  <c r="AH4" i="184"/>
  <c r="AG4" i="184"/>
  <c r="AD4" i="184"/>
  <c r="AC4" i="184"/>
  <c r="Y4" i="184"/>
  <c r="X4" i="184"/>
  <c r="V4" i="184"/>
  <c r="U4" i="184"/>
  <c r="T4" i="184"/>
  <c r="R4" i="184"/>
  <c r="Q4" i="184"/>
  <c r="P4" i="184"/>
  <c r="N4" i="184"/>
  <c r="M4" i="184"/>
  <c r="L4" i="184"/>
  <c r="H4" i="184"/>
  <c r="F59" i="183"/>
  <c r="E59" i="183"/>
  <c r="D59" i="183"/>
  <c r="C23" i="183"/>
  <c r="C19" i="183"/>
  <c r="M23" i="183"/>
  <c r="M21" i="183"/>
  <c r="M19" i="183"/>
  <c r="L23" i="183"/>
  <c r="L21" i="183"/>
  <c r="L19" i="183"/>
  <c r="K23" i="183"/>
  <c r="K21" i="183"/>
  <c r="K19" i="183"/>
  <c r="J23" i="183"/>
  <c r="J21" i="183"/>
  <c r="J19" i="183"/>
  <c r="I12" i="183"/>
  <c r="I23" i="183"/>
  <c r="I21" i="183"/>
  <c r="I19" i="183"/>
  <c r="I11" i="183"/>
  <c r="H23" i="183"/>
  <c r="H21" i="183"/>
  <c r="H19" i="183"/>
  <c r="I10" i="183"/>
  <c r="G23" i="183"/>
  <c r="G21" i="183"/>
  <c r="G19" i="183"/>
  <c r="I9" i="183"/>
  <c r="F23" i="183"/>
  <c r="F21" i="183"/>
  <c r="F19" i="183"/>
  <c r="I8" i="183"/>
  <c r="E25" i="183"/>
  <c r="E23" i="183"/>
  <c r="E21" i="183"/>
  <c r="E19" i="183"/>
  <c r="I7" i="183"/>
  <c r="D23" i="183"/>
  <c r="D21" i="183"/>
  <c r="D19" i="183"/>
  <c r="I6" i="183"/>
  <c r="I5" i="183"/>
  <c r="M25" i="183"/>
  <c r="L25" i="183"/>
  <c r="L29" i="183"/>
  <c r="L31" i="183"/>
  <c r="K25" i="183"/>
  <c r="J31" i="183"/>
  <c r="H25" i="183"/>
  <c r="H31" i="183"/>
  <c r="G25" i="183"/>
  <c r="F31" i="183"/>
  <c r="D25" i="183"/>
  <c r="J15" i="184" l="1"/>
  <c r="K15" i="184" s="1"/>
  <c r="Z14" i="184"/>
  <c r="AA14" i="184" s="1"/>
  <c r="K24" i="184"/>
  <c r="K29" i="183"/>
  <c r="S4" i="184"/>
  <c r="AT2" i="184" s="1"/>
  <c r="AN4" i="184"/>
  <c r="AW12" i="184"/>
  <c r="J13" i="184"/>
  <c r="K13" i="184" s="1"/>
  <c r="K26" i="184"/>
  <c r="AT8" i="184"/>
  <c r="J27" i="184"/>
  <c r="K27" i="184" s="1"/>
  <c r="K14" i="184"/>
  <c r="AW14" i="184"/>
  <c r="AW22" i="184"/>
  <c r="AV4" i="184"/>
  <c r="AZ4" i="184" s="1"/>
  <c r="W4" i="184"/>
  <c r="AX4" i="184" s="1"/>
  <c r="BD4" i="184" s="1"/>
  <c r="AU19" i="184"/>
  <c r="Z20" i="184"/>
  <c r="AA20" i="184" s="1"/>
  <c r="AW7" i="184"/>
  <c r="Z9" i="184"/>
  <c r="AA9" i="184" s="1"/>
  <c r="AU13" i="184"/>
  <c r="AM19" i="184"/>
  <c r="AU22" i="184"/>
  <c r="AW24" i="184"/>
  <c r="BA8" i="184"/>
  <c r="AM13" i="184"/>
  <c r="AU7" i="184"/>
  <c r="AU9" i="184"/>
  <c r="K19" i="184"/>
  <c r="AU23" i="184"/>
  <c r="Z24" i="184"/>
  <c r="AA24" i="184" s="1"/>
  <c r="J29" i="183"/>
  <c r="AM9" i="184"/>
  <c r="AW13" i="184"/>
  <c r="K20" i="184"/>
  <c r="AM23" i="184"/>
  <c r="AW28" i="184"/>
  <c r="K9" i="184"/>
  <c r="BA14" i="184"/>
  <c r="G29" i="183"/>
  <c r="AW20" i="184"/>
  <c r="K23" i="184"/>
  <c r="BA26" i="184"/>
  <c r="BD26" i="184"/>
  <c r="BC26" i="184"/>
  <c r="BD9" i="184"/>
  <c r="BC9" i="184"/>
  <c r="BD22" i="184"/>
  <c r="BC22" i="184"/>
  <c r="AZ16" i="184"/>
  <c r="AW21" i="184"/>
  <c r="I31" i="183"/>
  <c r="AR16" i="184"/>
  <c r="J7" i="184"/>
  <c r="K7" i="184" s="1"/>
  <c r="AT14" i="184"/>
  <c r="Z19" i="184"/>
  <c r="AA19" i="184" s="1"/>
  <c r="AL21" i="184"/>
  <c r="BA22" i="184"/>
  <c r="Z23" i="184"/>
  <c r="AA23" i="184" s="1"/>
  <c r="AL28" i="184"/>
  <c r="K31" i="183"/>
  <c r="I29" i="183"/>
  <c r="Z26" i="184"/>
  <c r="AA26" i="184" s="1"/>
  <c r="AE4" i="184"/>
  <c r="AF4" i="184" s="1"/>
  <c r="AN16" i="184"/>
  <c r="AT7" i="184"/>
  <c r="K8" i="184"/>
  <c r="AU10" i="184"/>
  <c r="AW11" i="184"/>
  <c r="J22" i="184"/>
  <c r="K22" i="184" s="1"/>
  <c r="AU27" i="184"/>
  <c r="AF16" i="184"/>
  <c r="AT12" i="184"/>
  <c r="AW25" i="184"/>
  <c r="M29" i="183"/>
  <c r="F25" i="183"/>
  <c r="AL4" i="184"/>
  <c r="BB16" i="184"/>
  <c r="AW8" i="184"/>
  <c r="AU15" i="184"/>
  <c r="AU26" i="184"/>
  <c r="AM27" i="184"/>
  <c r="Z28" i="184"/>
  <c r="AA28" i="184" s="1"/>
  <c r="J25" i="183"/>
  <c r="AW6" i="184"/>
  <c r="AP16" i="184"/>
  <c r="AM7" i="184"/>
  <c r="AM10" i="184"/>
  <c r="J12" i="184"/>
  <c r="K12" i="184" s="1"/>
  <c r="AM15" i="184"/>
  <c r="AL20" i="184"/>
  <c r="AL24" i="184"/>
  <c r="AQ16" i="184"/>
  <c r="K10" i="184"/>
  <c r="AO16" i="184"/>
  <c r="AW26" i="184"/>
  <c r="C48" i="183"/>
  <c r="C54" i="183" s="1"/>
  <c r="E48" i="183"/>
  <c r="C56" i="183" s="1"/>
  <c r="M31" i="183"/>
  <c r="AO4" i="184"/>
  <c r="I4" i="184"/>
  <c r="Z4" i="184" s="1"/>
  <c r="AA4" i="184" s="1"/>
  <c r="AS4" i="184"/>
  <c r="AP4" i="184"/>
  <c r="O4" i="184"/>
  <c r="AW4" i="184" s="1"/>
  <c r="BA4" i="184" s="1"/>
  <c r="BD10" i="184"/>
  <c r="BC10" i="184"/>
  <c r="BD12" i="184"/>
  <c r="BC12" i="184"/>
  <c r="AT15" i="184"/>
  <c r="AL15" i="184"/>
  <c r="AW15" i="184"/>
  <c r="AT19" i="184"/>
  <c r="AL19" i="184"/>
  <c r="AW19" i="184"/>
  <c r="AU21" i="184"/>
  <c r="AM21" i="184"/>
  <c r="AT21" i="184"/>
  <c r="BA21" i="184"/>
  <c r="F29" i="183"/>
  <c r="AY4" i="184"/>
  <c r="AQ4" i="184"/>
  <c r="BD7" i="184"/>
  <c r="BC7" i="184"/>
  <c r="AT9" i="184"/>
  <c r="AL9" i="184"/>
  <c r="AW9" i="184"/>
  <c r="Z11" i="184"/>
  <c r="AA11" i="184" s="1"/>
  <c r="J11" i="184"/>
  <c r="K11" i="184" s="1"/>
  <c r="BC15" i="184"/>
  <c r="BC19" i="184"/>
  <c r="AT23" i="184"/>
  <c r="AL23" i="184"/>
  <c r="AW23" i="184"/>
  <c r="AU25" i="184"/>
  <c r="AM25" i="184"/>
  <c r="AT25" i="184"/>
  <c r="BA25" i="184"/>
  <c r="BD28" i="184"/>
  <c r="BC28" i="184"/>
  <c r="Z6" i="184"/>
  <c r="AA6" i="184" s="1"/>
  <c r="J6" i="184"/>
  <c r="K6" i="184" s="1"/>
  <c r="BC23" i="184"/>
  <c r="BD14" i="184"/>
  <c r="BC14" i="184"/>
  <c r="E31" i="183"/>
  <c r="G31" i="183"/>
  <c r="Z21" i="184"/>
  <c r="AA21" i="184" s="1"/>
  <c r="J21" i="184"/>
  <c r="K21" i="184" s="1"/>
  <c r="AT27" i="184"/>
  <c r="AL27" i="184"/>
  <c r="AW27" i="184"/>
  <c r="AB4" i="184"/>
  <c r="AM4" i="184" s="1"/>
  <c r="BD8" i="184"/>
  <c r="BC8" i="184"/>
  <c r="AU11" i="184"/>
  <c r="AM11" i="184"/>
  <c r="AT11" i="184"/>
  <c r="BA11" i="184"/>
  <c r="BD13" i="184"/>
  <c r="BC13" i="184"/>
  <c r="BD20" i="184"/>
  <c r="BC20" i="184"/>
  <c r="Z25" i="184"/>
  <c r="AA25" i="184" s="1"/>
  <c r="J25" i="184"/>
  <c r="K25" i="184" s="1"/>
  <c r="BC27" i="184"/>
  <c r="AU6" i="184"/>
  <c r="AM6" i="184"/>
  <c r="AT6" i="184"/>
  <c r="BA6" i="184"/>
  <c r="BD24" i="184"/>
  <c r="BC24" i="184"/>
  <c r="H29" i="183"/>
  <c r="I25" i="183"/>
  <c r="AS16" i="184"/>
  <c r="AW10" i="184"/>
  <c r="AL7" i="184"/>
  <c r="AL16" i="184" s="1"/>
  <c r="AM8" i="184"/>
  <c r="Z10" i="184"/>
  <c r="AA10" i="184" s="1"/>
  <c r="BA12" i="184"/>
  <c r="AL13" i="184"/>
  <c r="AT13" i="184"/>
  <c r="AM14" i="184"/>
  <c r="AL22" i="184"/>
  <c r="AT22" i="184"/>
  <c r="AL26" i="184"/>
  <c r="AT26" i="184"/>
  <c r="AR4" i="184"/>
  <c r="Z8" i="184"/>
  <c r="AA8" i="184" s="1"/>
  <c r="AM12" i="184"/>
  <c r="BC6" i="184"/>
  <c r="BC11" i="184"/>
  <c r="BA20" i="184"/>
  <c r="BC21" i="184"/>
  <c r="BA24" i="184"/>
  <c r="BC25" i="184"/>
  <c r="BA28" i="184"/>
  <c r="BB4" i="184"/>
  <c r="AT20" i="184"/>
  <c r="AT24" i="184"/>
  <c r="AT28" i="184"/>
  <c r="AL10" i="184"/>
  <c r="AM20" i="184"/>
  <c r="AM24" i="184"/>
  <c r="AM28" i="184"/>
  <c r="D31" i="183" l="1"/>
  <c r="D29" i="183"/>
  <c r="F48" i="183"/>
  <c r="C57" i="183" s="1"/>
  <c r="G48" i="183"/>
  <c r="C58" i="183" s="1"/>
  <c r="AU16" i="184"/>
  <c r="AT16" i="184"/>
  <c r="BA16" i="184"/>
  <c r="BD16" i="184"/>
  <c r="D48" i="183"/>
  <c r="C55" i="183" s="1"/>
  <c r="BC4" i="184"/>
  <c r="AM16" i="184"/>
  <c r="E29" i="183"/>
  <c r="BC16" i="184"/>
  <c r="AU4" i="184"/>
  <c r="AT4" i="184"/>
  <c r="K16" i="184"/>
  <c r="F61" i="183" l="1"/>
  <c r="E61" i="183"/>
  <c r="E8" i="20" s="1"/>
  <c r="D61" i="183"/>
  <c r="AD141" i="143"/>
  <c r="AD108" i="143"/>
  <c r="AD121" i="143"/>
  <c r="AD19" i="143"/>
  <c r="AD20" i="143"/>
  <c r="AC20" i="143"/>
  <c r="AC19" i="143"/>
  <c r="AA20" i="143"/>
  <c r="AC21" i="143" l="1"/>
  <c r="AD21" i="143"/>
  <c r="G56" i="159" l="1"/>
  <c r="G82" i="163" s="1"/>
  <c r="AG110" i="163" l="1"/>
  <c r="AG123" i="163"/>
  <c r="AA104" i="143" l="1"/>
  <c r="BQ151" i="163" l="1"/>
  <c r="BL151" i="163"/>
  <c r="BB151" i="163"/>
  <c r="AW151" i="163"/>
  <c r="AR151" i="163"/>
  <c r="AC151" i="163"/>
  <c r="X151" i="163"/>
  <c r="S151" i="163"/>
  <c r="N151" i="163"/>
  <c r="AL147" i="163"/>
  <c r="AL146" i="163"/>
  <c r="DD143" i="163"/>
  <c r="AL141" i="163"/>
  <c r="AL140" i="163"/>
  <c r="AL138" i="163"/>
  <c r="AL137" i="163"/>
  <c r="AL136" i="163"/>
  <c r="AL135" i="163"/>
  <c r="AL133" i="163"/>
  <c r="AL128" i="163"/>
  <c r="AL125" i="163"/>
  <c r="AL124" i="163"/>
  <c r="AL119" i="163"/>
  <c r="AL118" i="163"/>
  <c r="AL116" i="163"/>
  <c r="AS115" i="163"/>
  <c r="AL113" i="163"/>
  <c r="AL112" i="163"/>
  <c r="AL106" i="163"/>
  <c r="AJ103" i="163"/>
  <c r="AL94" i="163"/>
  <c r="DD91" i="163"/>
  <c r="AS91" i="163"/>
  <c r="AL89" i="163"/>
  <c r="AL87" i="163"/>
  <c r="AL86" i="163"/>
  <c r="DD85" i="163"/>
  <c r="DC85" i="163"/>
  <c r="DB85" i="163"/>
  <c r="DA85" i="163"/>
  <c r="BP85" i="163"/>
  <c r="BO85" i="163"/>
  <c r="BN85" i="163"/>
  <c r="BM85" i="163"/>
  <c r="BK85" i="163"/>
  <c r="BJ85" i="163"/>
  <c r="BI85" i="163"/>
  <c r="BH85" i="163"/>
  <c r="BF85" i="163"/>
  <c r="BE85" i="163"/>
  <c r="BD85" i="163"/>
  <c r="BC85" i="163"/>
  <c r="AS85" i="163"/>
  <c r="DD82" i="163"/>
  <c r="DC82" i="163"/>
  <c r="DB82" i="163"/>
  <c r="DA82" i="163"/>
  <c r="AL79" i="163"/>
  <c r="AL78" i="163"/>
  <c r="DD76" i="163"/>
  <c r="DC76" i="163"/>
  <c r="DB76" i="163"/>
  <c r="DA76" i="163"/>
  <c r="BP76" i="163"/>
  <c r="BO76" i="163"/>
  <c r="BN76" i="163"/>
  <c r="BM76" i="163"/>
  <c r="BK76" i="163"/>
  <c r="BJ76" i="163"/>
  <c r="BI76" i="163"/>
  <c r="BH76" i="163"/>
  <c r="BF76" i="163"/>
  <c r="BE76" i="163"/>
  <c r="BD76" i="163"/>
  <c r="BC76" i="163"/>
  <c r="BA76" i="163"/>
  <c r="AZ76" i="163"/>
  <c r="AY76" i="163"/>
  <c r="AX76" i="163"/>
  <c r="AV76" i="163"/>
  <c r="AU76" i="163"/>
  <c r="AT76" i="163"/>
  <c r="AS76" i="163"/>
  <c r="DD73" i="163"/>
  <c r="DC73" i="163"/>
  <c r="DB73" i="163"/>
  <c r="DA73" i="163"/>
  <c r="BP73" i="163"/>
  <c r="BO73" i="163"/>
  <c r="BN73" i="163"/>
  <c r="BM73" i="163"/>
  <c r="BK73" i="163"/>
  <c r="BJ73" i="163"/>
  <c r="BI73" i="163"/>
  <c r="BH73" i="163"/>
  <c r="BF73" i="163"/>
  <c r="BE73" i="163"/>
  <c r="BD73" i="163"/>
  <c r="BC73" i="163"/>
  <c r="AV73" i="163"/>
  <c r="AU73" i="163"/>
  <c r="AT73" i="163"/>
  <c r="AS73" i="163"/>
  <c r="AK72" i="163"/>
  <c r="DD70" i="163"/>
  <c r="DD69" i="163"/>
  <c r="AJ67" i="163"/>
  <c r="AL66" i="163"/>
  <c r="AL65" i="163"/>
  <c r="AL64" i="163"/>
  <c r="AL62" i="163"/>
  <c r="BP61" i="163"/>
  <c r="BO61" i="163"/>
  <c r="BN61" i="163"/>
  <c r="BM61" i="163"/>
  <c r="BK61" i="163"/>
  <c r="BJ61" i="163"/>
  <c r="BI61" i="163"/>
  <c r="BH61" i="163"/>
  <c r="BF61" i="163"/>
  <c r="BE61" i="163"/>
  <c r="BD61" i="163"/>
  <c r="BC61" i="163"/>
  <c r="AS61" i="163"/>
  <c r="AL58" i="163"/>
  <c r="DD54" i="163"/>
  <c r="DD51" i="163"/>
  <c r="AL50" i="163"/>
  <c r="AL49" i="163"/>
  <c r="AL47" i="163"/>
  <c r="AL46" i="163"/>
  <c r="AL41" i="163"/>
  <c r="AL40" i="163"/>
  <c r="BR39" i="163"/>
  <c r="BP38" i="163"/>
  <c r="BO38" i="163"/>
  <c r="BN38" i="163"/>
  <c r="BM38" i="163"/>
  <c r="BK38" i="163"/>
  <c r="BJ38" i="163"/>
  <c r="BI38" i="163"/>
  <c r="BH38" i="163"/>
  <c r="BF38" i="163"/>
  <c r="BE38" i="163"/>
  <c r="BD38" i="163"/>
  <c r="BC38" i="163"/>
  <c r="AV38" i="163"/>
  <c r="BZ38" i="163" s="1"/>
  <c r="T34" i="143" s="1"/>
  <c r="AU38" i="163"/>
  <c r="AT38" i="163"/>
  <c r="AS38" i="163"/>
  <c r="AK37" i="163"/>
  <c r="AB29" i="163"/>
  <c r="AB28" i="163"/>
  <c r="CO27" i="163"/>
  <c r="BP27" i="163"/>
  <c r="BO27" i="163"/>
  <c r="BN27" i="163"/>
  <c r="BM27" i="163"/>
  <c r="AK27" i="163"/>
  <c r="AJ27" i="163"/>
  <c r="AI27" i="163"/>
  <c r="CN27" i="163"/>
  <c r="CM27" i="163"/>
  <c r="CL27" i="163"/>
  <c r="CJ27" i="163"/>
  <c r="CI27" i="163"/>
  <c r="CH27" i="163"/>
  <c r="CG27" i="163"/>
  <c r="BP26" i="163"/>
  <c r="BO26" i="163"/>
  <c r="BN26" i="163"/>
  <c r="BM26" i="163"/>
  <c r="BK26" i="163"/>
  <c r="CO26" i="163" s="1"/>
  <c r="BJ26" i="163"/>
  <c r="BI26" i="163"/>
  <c r="BH26" i="163"/>
  <c r="BF26" i="163"/>
  <c r="BE26" i="163"/>
  <c r="BD26" i="163"/>
  <c r="BC26" i="163"/>
  <c r="CT26" i="163"/>
  <c r="CQ26" i="163"/>
  <c r="BP25" i="163"/>
  <c r="BP22" i="163"/>
  <c r="BK22" i="163"/>
  <c r="CO22" i="163" s="1"/>
  <c r="BP21" i="163"/>
  <c r="BK21" i="163"/>
  <c r="CO21" i="163" s="1"/>
  <c r="BP18" i="163"/>
  <c r="BK18" i="163"/>
  <c r="CO18" i="163" s="1"/>
  <c r="BP11" i="163"/>
  <c r="BK11" i="163"/>
  <c r="CO11" i="163" s="1"/>
  <c r="BP9" i="163"/>
  <c r="BK9" i="163"/>
  <c r="CO9" i="163" s="1"/>
  <c r="BP5" i="163"/>
  <c r="BO5" i="163"/>
  <c r="BN5" i="163"/>
  <c r="BM5" i="163"/>
  <c r="BK5" i="163"/>
  <c r="BJ5" i="163"/>
  <c r="BI5" i="163"/>
  <c r="BH5" i="163"/>
  <c r="BF5" i="163"/>
  <c r="BE5" i="163"/>
  <c r="BD5" i="163"/>
  <c r="BC5" i="163"/>
  <c r="BA5" i="163"/>
  <c r="AZ5" i="163"/>
  <c r="AY5" i="163"/>
  <c r="AX5" i="163"/>
  <c r="AV5" i="163"/>
  <c r="AU5" i="163"/>
  <c r="AT5" i="163"/>
  <c r="AS5" i="163"/>
  <c r="AQ5" i="163"/>
  <c r="AP5" i="163"/>
  <c r="AN5" i="163"/>
  <c r="AC125" i="159"/>
  <c r="X125" i="159"/>
  <c r="S125" i="159"/>
  <c r="N125" i="159"/>
  <c r="I125" i="159"/>
  <c r="H143" i="163"/>
  <c r="K131" i="163"/>
  <c r="AG104" i="159"/>
  <c r="AF104" i="159"/>
  <c r="AF130" i="163" s="1"/>
  <c r="AE104" i="159"/>
  <c r="AD104" i="159"/>
  <c r="AB104" i="159"/>
  <c r="AA104" i="159"/>
  <c r="AA103" i="159" s="1"/>
  <c r="Z104" i="159"/>
  <c r="Z103" i="159" s="1"/>
  <c r="Y104" i="159"/>
  <c r="Y103" i="159" s="1"/>
  <c r="V104" i="159"/>
  <c r="U104" i="159"/>
  <c r="T104" i="159"/>
  <c r="R104" i="159"/>
  <c r="R130" i="163" s="1"/>
  <c r="Q104" i="159"/>
  <c r="P104" i="159"/>
  <c r="O104" i="159"/>
  <c r="M104" i="159"/>
  <c r="G104" i="159"/>
  <c r="F104" i="159"/>
  <c r="E104" i="159"/>
  <c r="AG89" i="159"/>
  <c r="AG115" i="163" s="1"/>
  <c r="AF89" i="159"/>
  <c r="AF115" i="163" s="1"/>
  <c r="AE89" i="159"/>
  <c r="AE115" i="163" s="1"/>
  <c r="AD89" i="159"/>
  <c r="AD115" i="163" s="1"/>
  <c r="AB89" i="159"/>
  <c r="AA89" i="159"/>
  <c r="Z89" i="159"/>
  <c r="Y89" i="159"/>
  <c r="W89" i="159"/>
  <c r="V89" i="159"/>
  <c r="U89" i="159"/>
  <c r="T89" i="159"/>
  <c r="R89" i="159"/>
  <c r="R115" i="163" s="1"/>
  <c r="Q89" i="159"/>
  <c r="Q115" i="163" s="1"/>
  <c r="P89" i="159"/>
  <c r="P115" i="163" s="1"/>
  <c r="O89" i="159"/>
  <c r="O115" i="163" s="1"/>
  <c r="M89" i="159"/>
  <c r="M115" i="163" s="1"/>
  <c r="L89" i="159"/>
  <c r="L115" i="163" s="1"/>
  <c r="K89" i="159"/>
  <c r="K115" i="163" s="1"/>
  <c r="J89" i="159"/>
  <c r="J115" i="163" s="1"/>
  <c r="H89" i="159"/>
  <c r="H115" i="163" s="1"/>
  <c r="G89" i="159"/>
  <c r="G115" i="163" s="1"/>
  <c r="F89" i="159"/>
  <c r="F115" i="163" s="1"/>
  <c r="E89" i="159"/>
  <c r="E115" i="163" s="1"/>
  <c r="AG74" i="159"/>
  <c r="AG100" i="163" s="1"/>
  <c r="AF74" i="159"/>
  <c r="AF100" i="163" s="1"/>
  <c r="AE74" i="159"/>
  <c r="AE100" i="163" s="1"/>
  <c r="AD74" i="159"/>
  <c r="AD100" i="163" s="1"/>
  <c r="AB74" i="159"/>
  <c r="AA74" i="159"/>
  <c r="Z74" i="159"/>
  <c r="Y74" i="159"/>
  <c r="W74" i="159"/>
  <c r="V74" i="159"/>
  <c r="U74" i="159"/>
  <c r="T74" i="159"/>
  <c r="R74" i="159"/>
  <c r="R100" i="163" s="1"/>
  <c r="Q74" i="159"/>
  <c r="Q100" i="163" s="1"/>
  <c r="P74" i="159"/>
  <c r="P100" i="163" s="1"/>
  <c r="O74" i="159"/>
  <c r="O100" i="163" s="1"/>
  <c r="M74" i="159"/>
  <c r="M100" i="163" s="1"/>
  <c r="L74" i="159"/>
  <c r="L100" i="163" s="1"/>
  <c r="K74" i="159"/>
  <c r="K100" i="163" s="1"/>
  <c r="J74" i="159"/>
  <c r="J100" i="163" s="1"/>
  <c r="H74" i="159"/>
  <c r="H100" i="163" s="1"/>
  <c r="G74" i="159"/>
  <c r="G100" i="163" s="1"/>
  <c r="F74" i="159"/>
  <c r="F100" i="163" s="1"/>
  <c r="E74" i="159"/>
  <c r="E100" i="163" s="1"/>
  <c r="CO72" i="159"/>
  <c r="CN72" i="159"/>
  <c r="CM72" i="159"/>
  <c r="CL72" i="159"/>
  <c r="CJ72" i="159"/>
  <c r="CI72" i="159"/>
  <c r="CH72" i="159"/>
  <c r="CG72" i="159"/>
  <c r="CE72" i="159"/>
  <c r="CD72" i="159"/>
  <c r="CC72" i="159"/>
  <c r="CB72" i="159"/>
  <c r="BZ72" i="159"/>
  <c r="BY72" i="159"/>
  <c r="BX72" i="159"/>
  <c r="BW72" i="159"/>
  <c r="BU72" i="159"/>
  <c r="BT72" i="159"/>
  <c r="BS72" i="159"/>
  <c r="BR72" i="159"/>
  <c r="BP72" i="159"/>
  <c r="BO72" i="159"/>
  <c r="BN72" i="159"/>
  <c r="BM72" i="159"/>
  <c r="CO71" i="159"/>
  <c r="CN71" i="159"/>
  <c r="CM71" i="159"/>
  <c r="CL71" i="159"/>
  <c r="CJ71" i="159"/>
  <c r="CI71" i="159"/>
  <c r="CH71" i="159"/>
  <c r="CG71" i="159"/>
  <c r="CE71" i="159"/>
  <c r="CD71" i="159"/>
  <c r="CC71" i="159"/>
  <c r="CB71" i="159"/>
  <c r="BZ71" i="159"/>
  <c r="BY71" i="159"/>
  <c r="BX71" i="159"/>
  <c r="BW71" i="159"/>
  <c r="BU71" i="159"/>
  <c r="BT71" i="159"/>
  <c r="BS71" i="159"/>
  <c r="BR71" i="159"/>
  <c r="BP71" i="159"/>
  <c r="BO71" i="159"/>
  <c r="BN71" i="159"/>
  <c r="BM71" i="159"/>
  <c r="BR65" i="159"/>
  <c r="AF65" i="159"/>
  <c r="AF91" i="163" s="1"/>
  <c r="AE65" i="159"/>
  <c r="AE91" i="163" s="1"/>
  <c r="AD65" i="159"/>
  <c r="AD91" i="163" s="1"/>
  <c r="Z65" i="159"/>
  <c r="Y65" i="159"/>
  <c r="R65" i="159"/>
  <c r="R91" i="163" s="1"/>
  <c r="Q65" i="159"/>
  <c r="Q91" i="163" s="1"/>
  <c r="P65" i="159"/>
  <c r="P91" i="163" s="1"/>
  <c r="O65" i="159"/>
  <c r="O91" i="163" s="1"/>
  <c r="H65" i="159"/>
  <c r="H91" i="163" s="1"/>
  <c r="G65" i="159"/>
  <c r="G91" i="163" s="1"/>
  <c r="F65" i="159"/>
  <c r="F91" i="163" s="1"/>
  <c r="E65" i="159"/>
  <c r="E91" i="163" s="1"/>
  <c r="CO59" i="159"/>
  <c r="CN59" i="159"/>
  <c r="CM59" i="159"/>
  <c r="CL59" i="159"/>
  <c r="CJ59" i="159"/>
  <c r="CI59" i="159"/>
  <c r="CH59" i="159"/>
  <c r="CG59" i="159"/>
  <c r="CE59" i="159"/>
  <c r="CD59" i="159"/>
  <c r="CC59" i="159"/>
  <c r="CB59" i="159"/>
  <c r="BR59" i="159"/>
  <c r="H59" i="159"/>
  <c r="H85" i="163" s="1"/>
  <c r="G59" i="159"/>
  <c r="G85" i="163" s="1"/>
  <c r="F59" i="159"/>
  <c r="F85" i="163" s="1"/>
  <c r="E59" i="159"/>
  <c r="E85" i="163" s="1"/>
  <c r="P56" i="159"/>
  <c r="P82" i="163" s="1"/>
  <c r="O56" i="159"/>
  <c r="O82" i="163" s="1"/>
  <c r="L56" i="159"/>
  <c r="L82" i="163" s="1"/>
  <c r="K56" i="159"/>
  <c r="K82" i="163" s="1"/>
  <c r="H56" i="159"/>
  <c r="H82" i="163" s="1"/>
  <c r="F56" i="159"/>
  <c r="F82" i="163" s="1"/>
  <c r="E56" i="159"/>
  <c r="E82" i="163" s="1"/>
  <c r="CO50" i="159"/>
  <c r="CN50" i="159"/>
  <c r="CM50" i="159"/>
  <c r="CL50" i="159"/>
  <c r="CJ50" i="159"/>
  <c r="CI50" i="159"/>
  <c r="CH50" i="159"/>
  <c r="CG50" i="159"/>
  <c r="CE50" i="159"/>
  <c r="CD50" i="159"/>
  <c r="CC50" i="159"/>
  <c r="CB50" i="159"/>
  <c r="BZ50" i="159"/>
  <c r="BY50" i="159"/>
  <c r="BX50" i="159"/>
  <c r="BW50" i="159"/>
  <c r="BU50" i="159"/>
  <c r="BT50" i="159"/>
  <c r="BS50" i="159"/>
  <c r="BR50" i="159"/>
  <c r="H50" i="159"/>
  <c r="H76" i="163" s="1"/>
  <c r="G50" i="159"/>
  <c r="G76" i="163" s="1"/>
  <c r="F50" i="159"/>
  <c r="F76" i="163" s="1"/>
  <c r="E50" i="159"/>
  <c r="E76" i="163" s="1"/>
  <c r="CO47" i="159"/>
  <c r="CN47" i="159"/>
  <c r="CM47" i="159"/>
  <c r="CL47" i="159"/>
  <c r="CJ47" i="159"/>
  <c r="CI47" i="159"/>
  <c r="CH47" i="159"/>
  <c r="CG47" i="159"/>
  <c r="CE47" i="159"/>
  <c r="CD47" i="159"/>
  <c r="CC47" i="159"/>
  <c r="CB47" i="159"/>
  <c r="BU47" i="159"/>
  <c r="BT47" i="159"/>
  <c r="BS47" i="159"/>
  <c r="BR47" i="159"/>
  <c r="H47" i="159"/>
  <c r="H73" i="163" s="1"/>
  <c r="G47" i="159"/>
  <c r="G73" i="163" s="1"/>
  <c r="F47" i="159"/>
  <c r="F73" i="163" s="1"/>
  <c r="E47" i="159"/>
  <c r="E73" i="163" s="1"/>
  <c r="AF44" i="159"/>
  <c r="AF70" i="163" s="1"/>
  <c r="AE44" i="159"/>
  <c r="AD44" i="159"/>
  <c r="AA44" i="159"/>
  <c r="Z44" i="159"/>
  <c r="Y44" i="159"/>
  <c r="Y43" i="159" s="1"/>
  <c r="W44" i="159"/>
  <c r="V44" i="159"/>
  <c r="U44" i="159"/>
  <c r="T44" i="159"/>
  <c r="R44" i="159"/>
  <c r="Q44" i="159"/>
  <c r="Q70" i="163" s="1"/>
  <c r="P44" i="159"/>
  <c r="P70" i="163" s="1"/>
  <c r="O44" i="159"/>
  <c r="M44" i="159"/>
  <c r="M70" i="163" s="1"/>
  <c r="L44" i="159"/>
  <c r="K44" i="159"/>
  <c r="J44" i="159"/>
  <c r="H44" i="159"/>
  <c r="H70" i="163" s="1"/>
  <c r="G44" i="159"/>
  <c r="G70" i="163" s="1"/>
  <c r="F44" i="159"/>
  <c r="F70" i="163" s="1"/>
  <c r="E44" i="159"/>
  <c r="E70" i="163" s="1"/>
  <c r="CO35" i="159"/>
  <c r="CN35" i="159"/>
  <c r="CM35" i="159"/>
  <c r="CL35" i="159"/>
  <c r="CJ35" i="159"/>
  <c r="CI35" i="159"/>
  <c r="CH35" i="159"/>
  <c r="CG35" i="159"/>
  <c r="CE35" i="159"/>
  <c r="CD35" i="159"/>
  <c r="CC35" i="159"/>
  <c r="CB35" i="159"/>
  <c r="BR35" i="159"/>
  <c r="H35" i="159"/>
  <c r="H61" i="163" s="1"/>
  <c r="G35" i="159"/>
  <c r="G61" i="163" s="1"/>
  <c r="F35" i="159"/>
  <c r="F61" i="163" s="1"/>
  <c r="E35" i="159"/>
  <c r="E61" i="163" s="1"/>
  <c r="AF28" i="159"/>
  <c r="AF54" i="163" s="1"/>
  <c r="AE28" i="159"/>
  <c r="AE54" i="163" s="1"/>
  <c r="AD28" i="159"/>
  <c r="AD54" i="163" s="1"/>
  <c r="AA28" i="159"/>
  <c r="Z28" i="159"/>
  <c r="Y28" i="159"/>
  <c r="T28" i="159"/>
  <c r="R28" i="159"/>
  <c r="R54" i="163" s="1"/>
  <c r="Q28" i="159"/>
  <c r="Q54" i="163" s="1"/>
  <c r="P28" i="159"/>
  <c r="P54" i="163" s="1"/>
  <c r="O28" i="159"/>
  <c r="O54" i="163" s="1"/>
  <c r="M28" i="159"/>
  <c r="M54" i="163" s="1"/>
  <c r="L28" i="159"/>
  <c r="L54" i="163" s="1"/>
  <c r="K28" i="159"/>
  <c r="K54" i="163" s="1"/>
  <c r="J28" i="159"/>
  <c r="J54" i="163" s="1"/>
  <c r="H28" i="159"/>
  <c r="H54" i="163" s="1"/>
  <c r="G28" i="159"/>
  <c r="G54" i="163" s="1"/>
  <c r="F28" i="159"/>
  <c r="F54" i="163" s="1"/>
  <c r="E28" i="159"/>
  <c r="E54" i="163" s="1"/>
  <c r="AF25" i="159"/>
  <c r="AF51" i="163" s="1"/>
  <c r="AE25" i="159"/>
  <c r="AE51" i="163" s="1"/>
  <c r="AD25" i="159"/>
  <c r="AD51" i="163" s="1"/>
  <c r="AA25" i="159"/>
  <c r="Z25" i="159"/>
  <c r="Y25" i="159"/>
  <c r="W25" i="159"/>
  <c r="V25" i="159"/>
  <c r="U25" i="159"/>
  <c r="T25" i="159"/>
  <c r="R25" i="159"/>
  <c r="R51" i="163" s="1"/>
  <c r="Q25" i="159"/>
  <c r="Q51" i="163" s="1"/>
  <c r="P25" i="159"/>
  <c r="P51" i="163" s="1"/>
  <c r="O25" i="159"/>
  <c r="O51" i="163" s="1"/>
  <c r="M25" i="159"/>
  <c r="M51" i="163" s="1"/>
  <c r="L25" i="159"/>
  <c r="L51" i="163" s="1"/>
  <c r="K25" i="159"/>
  <c r="K51" i="163" s="1"/>
  <c r="J25" i="159"/>
  <c r="J51" i="163" s="1"/>
  <c r="H25" i="159"/>
  <c r="H51" i="163" s="1"/>
  <c r="G25" i="159"/>
  <c r="G51" i="163" s="1"/>
  <c r="F25" i="159"/>
  <c r="F51" i="163" s="1"/>
  <c r="E25" i="159"/>
  <c r="E51" i="163" s="1"/>
  <c r="AF16" i="159"/>
  <c r="AF42" i="163" s="1"/>
  <c r="AE16" i="159"/>
  <c r="AE42" i="163" s="1"/>
  <c r="AD16" i="159"/>
  <c r="AD42" i="163" s="1"/>
  <c r="AA16" i="159"/>
  <c r="Z16" i="159"/>
  <c r="Y16" i="159"/>
  <c r="V16" i="159"/>
  <c r="U16" i="159"/>
  <c r="T16" i="159"/>
  <c r="R16" i="159"/>
  <c r="R42" i="163" s="1"/>
  <c r="Q16" i="159"/>
  <c r="Q42" i="163" s="1"/>
  <c r="P16" i="159"/>
  <c r="P42" i="163" s="1"/>
  <c r="O16" i="159"/>
  <c r="O42" i="163" s="1"/>
  <c r="M16" i="159"/>
  <c r="M42" i="163" s="1"/>
  <c r="L16" i="159"/>
  <c r="L42" i="163" s="1"/>
  <c r="K16" i="159"/>
  <c r="K42" i="163" s="1"/>
  <c r="J16" i="159"/>
  <c r="J42" i="163" s="1"/>
  <c r="H16" i="159"/>
  <c r="H42" i="163" s="1"/>
  <c r="G16" i="159"/>
  <c r="G42" i="163" s="1"/>
  <c r="F16" i="159"/>
  <c r="F42" i="163" s="1"/>
  <c r="E16" i="159"/>
  <c r="E42" i="163" s="1"/>
  <c r="CO12" i="159"/>
  <c r="CN12" i="159"/>
  <c r="CM12" i="159"/>
  <c r="CL12" i="159"/>
  <c r="CJ12" i="159"/>
  <c r="CI12" i="159"/>
  <c r="CH12" i="159"/>
  <c r="CG12" i="159"/>
  <c r="BU12" i="159"/>
  <c r="BT12" i="159"/>
  <c r="BS12" i="159"/>
  <c r="BR12" i="159"/>
  <c r="W12" i="159"/>
  <c r="V12" i="159"/>
  <c r="U12" i="159"/>
  <c r="T12" i="159"/>
  <c r="H12" i="159"/>
  <c r="H38" i="163" s="1"/>
  <c r="G12" i="159"/>
  <c r="G38" i="163" s="1"/>
  <c r="F12" i="159"/>
  <c r="F38" i="163" s="1"/>
  <c r="E12" i="159"/>
  <c r="E38" i="163" s="1"/>
  <c r="AG9" i="159"/>
  <c r="AG35" i="163" s="1"/>
  <c r="AF9" i="159"/>
  <c r="AF35" i="163" s="1"/>
  <c r="AE9" i="159"/>
  <c r="AE35" i="163" s="1"/>
  <c r="AD9" i="159"/>
  <c r="AD35" i="163" s="1"/>
  <c r="AB9" i="159"/>
  <c r="AB8" i="159" s="1"/>
  <c r="AA9" i="159"/>
  <c r="Z9" i="159"/>
  <c r="Y9" i="159"/>
  <c r="W9" i="159"/>
  <c r="V9" i="159"/>
  <c r="U9" i="159"/>
  <c r="T9" i="159"/>
  <c r="R9" i="159"/>
  <c r="R35" i="163" s="1"/>
  <c r="Q9" i="159"/>
  <c r="Q35" i="163" s="1"/>
  <c r="P9" i="159"/>
  <c r="P35" i="163" s="1"/>
  <c r="O9" i="159"/>
  <c r="O35" i="163" s="1"/>
  <c r="M9" i="159"/>
  <c r="M35" i="163" s="1"/>
  <c r="L9" i="159"/>
  <c r="L35" i="163" s="1"/>
  <c r="K9" i="159"/>
  <c r="K35" i="163" s="1"/>
  <c r="J9" i="159"/>
  <c r="J35" i="163" s="1"/>
  <c r="H9" i="159"/>
  <c r="H35" i="163" s="1"/>
  <c r="G9" i="159"/>
  <c r="G35" i="163" s="1"/>
  <c r="F9" i="159"/>
  <c r="F35" i="163" s="1"/>
  <c r="E9" i="159"/>
  <c r="E35" i="163" s="1"/>
  <c r="F40" i="158"/>
  <c r="F39" i="158"/>
  <c r="E36" i="158"/>
  <c r="F36" i="158" s="1"/>
  <c r="E34" i="158"/>
  <c r="F34" i="158" s="1"/>
  <c r="E32" i="158"/>
  <c r="F32" i="158" s="1"/>
  <c r="E30" i="158"/>
  <c r="F30" i="158" s="1"/>
  <c r="E29" i="158"/>
  <c r="F29" i="158" s="1"/>
  <c r="E28" i="158"/>
  <c r="F28" i="158" s="1"/>
  <c r="E24" i="158"/>
  <c r="F24" i="158" s="1"/>
  <c r="E22" i="158"/>
  <c r="F22" i="158" s="1"/>
  <c r="E19" i="158"/>
  <c r="F19" i="158" s="1"/>
  <c r="E17" i="158"/>
  <c r="F17" i="158" s="1"/>
  <c r="E14" i="158"/>
  <c r="F14" i="158" s="1"/>
  <c r="E11" i="158"/>
  <c r="F11" i="158" s="1"/>
  <c r="E10" i="158"/>
  <c r="F10" i="158" s="1"/>
  <c r="E8" i="158"/>
  <c r="F7" i="158"/>
  <c r="F6" i="158"/>
  <c r="G9" i="157"/>
  <c r="G8" i="157"/>
  <c r="G7" i="157"/>
  <c r="G6" i="157"/>
  <c r="G5" i="157"/>
  <c r="F6" i="143" s="1"/>
  <c r="F96" i="143" s="1"/>
  <c r="AP117" i="159" l="1"/>
  <c r="AK117" i="159"/>
  <c r="F8" i="158"/>
  <c r="BA117" i="159" s="1"/>
  <c r="BF143" i="163" s="1"/>
  <c r="AL117" i="159"/>
  <c r="BA18" i="159"/>
  <c r="AZ21" i="159"/>
  <c r="AY24" i="159"/>
  <c r="AX23" i="159"/>
  <c r="BA14" i="159"/>
  <c r="AZ10" i="159"/>
  <c r="BF23" i="159"/>
  <c r="BF76" i="159"/>
  <c r="BF84" i="159"/>
  <c r="BF93" i="159"/>
  <c r="BF101" i="159"/>
  <c r="BF111" i="159"/>
  <c r="BF119" i="159"/>
  <c r="CJ119" i="159" s="1"/>
  <c r="BF14" i="159"/>
  <c r="BF24" i="159"/>
  <c r="BF36" i="159"/>
  <c r="BF46" i="159"/>
  <c r="BF57" i="159"/>
  <c r="BF67" i="159"/>
  <c r="BA30" i="159"/>
  <c r="BA40" i="159"/>
  <c r="BA52" i="159"/>
  <c r="BA76" i="159"/>
  <c r="BA84" i="159"/>
  <c r="BA93" i="159"/>
  <c r="BA102" i="159"/>
  <c r="BA86" i="159"/>
  <c r="AY20" i="159"/>
  <c r="AX14" i="159"/>
  <c r="BF88" i="159"/>
  <c r="BF123" i="159"/>
  <c r="BF40" i="159"/>
  <c r="BA96" i="159"/>
  <c r="BA67" i="159"/>
  <c r="AY19" i="159"/>
  <c r="BA21" i="159"/>
  <c r="AZ24" i="159"/>
  <c r="AX24" i="159"/>
  <c r="AY15" i="159"/>
  <c r="BA10" i="159"/>
  <c r="BF77" i="159"/>
  <c r="BF85" i="159"/>
  <c r="BF94" i="159"/>
  <c r="BF102" i="159"/>
  <c r="BF112" i="159"/>
  <c r="BF120" i="159"/>
  <c r="BF15" i="159"/>
  <c r="BF26" i="159"/>
  <c r="BF37" i="159"/>
  <c r="BF48" i="159"/>
  <c r="BF58" i="159"/>
  <c r="BF68" i="159"/>
  <c r="BA31" i="159"/>
  <c r="BA41" i="159"/>
  <c r="BA53" i="159"/>
  <c r="BA77" i="159"/>
  <c r="BA85" i="159"/>
  <c r="BA94" i="159"/>
  <c r="BA22" i="159"/>
  <c r="BA11" i="159"/>
  <c r="BF115" i="159"/>
  <c r="BF30" i="159"/>
  <c r="BA36" i="159"/>
  <c r="BA80" i="159"/>
  <c r="AZ19" i="159"/>
  <c r="AY22" i="159"/>
  <c r="BA24" i="159"/>
  <c r="AX17" i="159"/>
  <c r="AZ15" i="159"/>
  <c r="AY11" i="159"/>
  <c r="BF78" i="159"/>
  <c r="BF86" i="159"/>
  <c r="BF95" i="159"/>
  <c r="BF105" i="159"/>
  <c r="BF113" i="159"/>
  <c r="BF121" i="159"/>
  <c r="BF17" i="159"/>
  <c r="BF27" i="159"/>
  <c r="BF38" i="159"/>
  <c r="BF49" i="159"/>
  <c r="BF69" i="159"/>
  <c r="BA32" i="159"/>
  <c r="BA42" i="159"/>
  <c r="BA54" i="159"/>
  <c r="BA78" i="159"/>
  <c r="BA95" i="159"/>
  <c r="AX19" i="159"/>
  <c r="BF80" i="159"/>
  <c r="BF107" i="159"/>
  <c r="BA57" i="159"/>
  <c r="BA98" i="159"/>
  <c r="AY17" i="159"/>
  <c r="BA19" i="159"/>
  <c r="AZ22" i="159"/>
  <c r="AX18" i="159"/>
  <c r="AY13" i="159"/>
  <c r="BA15" i="159"/>
  <c r="AZ11" i="159"/>
  <c r="BF79" i="159"/>
  <c r="BF87" i="159"/>
  <c r="BF96" i="159"/>
  <c r="BF106" i="159"/>
  <c r="BF114" i="159"/>
  <c r="BF122" i="159"/>
  <c r="BF18" i="159"/>
  <c r="BF29" i="159"/>
  <c r="BF39" i="159"/>
  <c r="BF51" i="159"/>
  <c r="BA33" i="159"/>
  <c r="BA45" i="159"/>
  <c r="BA55" i="159"/>
  <c r="BA66" i="159"/>
  <c r="BA79" i="159"/>
  <c r="BA87" i="159"/>
  <c r="BA97" i="159"/>
  <c r="AZ13" i="159"/>
  <c r="BF97" i="159"/>
  <c r="BF19" i="159"/>
  <c r="BF52" i="159"/>
  <c r="BA46" i="159"/>
  <c r="BA88" i="159"/>
  <c r="AZ17" i="159"/>
  <c r="BA17" i="159"/>
  <c r="AZ20" i="159"/>
  <c r="AY23" i="159"/>
  <c r="AX20" i="159"/>
  <c r="BA13" i="159"/>
  <c r="AX15" i="159"/>
  <c r="AX11" i="159"/>
  <c r="BF81" i="159"/>
  <c r="BF90" i="159"/>
  <c r="BF98" i="159"/>
  <c r="BF108" i="159"/>
  <c r="BF116" i="159"/>
  <c r="BF10" i="159"/>
  <c r="BF20" i="159"/>
  <c r="BF31" i="159"/>
  <c r="BF41" i="159"/>
  <c r="BF53" i="159"/>
  <c r="BA26" i="159"/>
  <c r="BA37" i="159"/>
  <c r="BA48" i="159"/>
  <c r="BA58" i="159"/>
  <c r="BA68" i="159"/>
  <c r="BA81" i="159"/>
  <c r="BA90" i="159"/>
  <c r="BA99" i="159"/>
  <c r="AL118" i="159"/>
  <c r="BF110" i="159"/>
  <c r="BF13" i="159"/>
  <c r="BF22" i="159"/>
  <c r="BF45" i="159"/>
  <c r="BF44" i="159" s="1"/>
  <c r="BF55" i="159"/>
  <c r="BA29" i="159"/>
  <c r="BA51" i="159"/>
  <c r="BA75" i="159"/>
  <c r="BA92" i="159"/>
  <c r="AY18" i="159"/>
  <c r="BA20" i="159"/>
  <c r="AZ23" i="159"/>
  <c r="AX21" i="159"/>
  <c r="AY14" i="159"/>
  <c r="AX13" i="159"/>
  <c r="AX10" i="159"/>
  <c r="BF82" i="159"/>
  <c r="BF91" i="159"/>
  <c r="BF99" i="159"/>
  <c r="BF109" i="159"/>
  <c r="BF117" i="159"/>
  <c r="BF11" i="159"/>
  <c r="BF21" i="159"/>
  <c r="BF32" i="159"/>
  <c r="BF42" i="159"/>
  <c r="BF54" i="159"/>
  <c r="BA27" i="159"/>
  <c r="BA38" i="159"/>
  <c r="BA49" i="159"/>
  <c r="BA69" i="159"/>
  <c r="BA82" i="159"/>
  <c r="BA91" i="159"/>
  <c r="BA100" i="159"/>
  <c r="BF92" i="159"/>
  <c r="BF118" i="159"/>
  <c r="BF33" i="159"/>
  <c r="BF66" i="159"/>
  <c r="BA39" i="159"/>
  <c r="BA83" i="159"/>
  <c r="BA101" i="159"/>
  <c r="AZ18" i="159"/>
  <c r="AY21" i="159"/>
  <c r="BA23" i="159"/>
  <c r="AX22" i="159"/>
  <c r="AZ14" i="159"/>
  <c r="AY10" i="159"/>
  <c r="BF75" i="159"/>
  <c r="BF83" i="159"/>
  <c r="BF100" i="159"/>
  <c r="BA122" i="159"/>
  <c r="BA120" i="159"/>
  <c r="BA118" i="159"/>
  <c r="BA116" i="159"/>
  <c r="BA114" i="159"/>
  <c r="BA112" i="159"/>
  <c r="BA110" i="159"/>
  <c r="BA108" i="159"/>
  <c r="BA106" i="159"/>
  <c r="BE123" i="159"/>
  <c r="BE121" i="159"/>
  <c r="BE119" i="159"/>
  <c r="BE117" i="159"/>
  <c r="BE115" i="159"/>
  <c r="BE113" i="159"/>
  <c r="BE111" i="159"/>
  <c r="BE109" i="159"/>
  <c r="BE107" i="159"/>
  <c r="BE105" i="159"/>
  <c r="AZ122" i="159"/>
  <c r="AZ120" i="159"/>
  <c r="AZ118" i="159"/>
  <c r="AZ116" i="159"/>
  <c r="AZ114" i="159"/>
  <c r="AZ112" i="159"/>
  <c r="AZ110" i="159"/>
  <c r="AZ108" i="159"/>
  <c r="AZ106" i="159"/>
  <c r="BE102" i="159"/>
  <c r="BE100" i="159"/>
  <c r="BE98" i="159"/>
  <c r="BE96" i="159"/>
  <c r="BE94" i="159"/>
  <c r="BE92" i="159"/>
  <c r="BE90" i="159"/>
  <c r="AZ101" i="159"/>
  <c r="AZ99" i="159"/>
  <c r="AZ97" i="159"/>
  <c r="AZ95" i="159"/>
  <c r="AZ93" i="159"/>
  <c r="AZ91" i="159"/>
  <c r="BE88" i="159"/>
  <c r="BE86" i="159"/>
  <c r="BE84" i="159"/>
  <c r="BE82" i="159"/>
  <c r="BE80" i="159"/>
  <c r="BE78" i="159"/>
  <c r="BE76" i="159"/>
  <c r="AZ88" i="159"/>
  <c r="AZ86" i="159"/>
  <c r="AZ84" i="159"/>
  <c r="AZ82" i="159"/>
  <c r="AZ80" i="159"/>
  <c r="AZ78" i="159"/>
  <c r="AZ76" i="159"/>
  <c r="BD123" i="159"/>
  <c r="BD121" i="159"/>
  <c r="BD119" i="159"/>
  <c r="BD117" i="159"/>
  <c r="BD115" i="159"/>
  <c r="BD113" i="159"/>
  <c r="BD111" i="159"/>
  <c r="BD109" i="159"/>
  <c r="BD107" i="159"/>
  <c r="BD105" i="159"/>
  <c r="AY122" i="159"/>
  <c r="AY120" i="159"/>
  <c r="AY118" i="159"/>
  <c r="AY116" i="159"/>
  <c r="AY114" i="159"/>
  <c r="AY112" i="159"/>
  <c r="AY110" i="159"/>
  <c r="AY108" i="159"/>
  <c r="AY106" i="159"/>
  <c r="BD102" i="159"/>
  <c r="BD100" i="159"/>
  <c r="BD98" i="159"/>
  <c r="BD96" i="159"/>
  <c r="BD94" i="159"/>
  <c r="BD92" i="159"/>
  <c r="BD90" i="159"/>
  <c r="AY101" i="159"/>
  <c r="AY99" i="159"/>
  <c r="AY97" i="159"/>
  <c r="AY95" i="159"/>
  <c r="AY93" i="159"/>
  <c r="AY91" i="159"/>
  <c r="BD88" i="159"/>
  <c r="BD86" i="159"/>
  <c r="BD84" i="159"/>
  <c r="BD82" i="159"/>
  <c r="BD80" i="159"/>
  <c r="BD78" i="159"/>
  <c r="BD76" i="159"/>
  <c r="AY88" i="159"/>
  <c r="AY86" i="159"/>
  <c r="AY84" i="159"/>
  <c r="AY82" i="159"/>
  <c r="AY80" i="159"/>
  <c r="AY78" i="159"/>
  <c r="AY76" i="159"/>
  <c r="BC123" i="159"/>
  <c r="BC121" i="159"/>
  <c r="BC119" i="159"/>
  <c r="BC117" i="159"/>
  <c r="BC115" i="159"/>
  <c r="BC113" i="159"/>
  <c r="BC111" i="159"/>
  <c r="BC109" i="159"/>
  <c r="BC107" i="159"/>
  <c r="BC105" i="159"/>
  <c r="AX122" i="159"/>
  <c r="AX120" i="159"/>
  <c r="AX118" i="159"/>
  <c r="AX116" i="159"/>
  <c r="AX114" i="159"/>
  <c r="AX112" i="159"/>
  <c r="AX110" i="159"/>
  <c r="AX108" i="159"/>
  <c r="AX106" i="159"/>
  <c r="BC102" i="159"/>
  <c r="BC100" i="159"/>
  <c r="BC98" i="159"/>
  <c r="BC96" i="159"/>
  <c r="BC94" i="159"/>
  <c r="BC92" i="159"/>
  <c r="BC90" i="159"/>
  <c r="AX101" i="159"/>
  <c r="AX99" i="159"/>
  <c r="AX97" i="159"/>
  <c r="AX95" i="159"/>
  <c r="AX93" i="159"/>
  <c r="AX91" i="159"/>
  <c r="BC88" i="159"/>
  <c r="BC86" i="159"/>
  <c r="BC84" i="159"/>
  <c r="BC82" i="159"/>
  <c r="BC80" i="159"/>
  <c r="BC78" i="159"/>
  <c r="BC76" i="159"/>
  <c r="AX88" i="159"/>
  <c r="AX86" i="159"/>
  <c r="AX84" i="159"/>
  <c r="AX82" i="159"/>
  <c r="AX80" i="159"/>
  <c r="AX78" i="159"/>
  <c r="AX76" i="159"/>
  <c r="BA123" i="159"/>
  <c r="BA121" i="159"/>
  <c r="BA119" i="159"/>
  <c r="BA115" i="159"/>
  <c r="BA113" i="159"/>
  <c r="BA111" i="159"/>
  <c r="BA109" i="159"/>
  <c r="BA107" i="159"/>
  <c r="BA105" i="159"/>
  <c r="BE122" i="159"/>
  <c r="BE120" i="159"/>
  <c r="BE118" i="159"/>
  <c r="BE116" i="159"/>
  <c r="BE114" i="159"/>
  <c r="BE112" i="159"/>
  <c r="BE110" i="159"/>
  <c r="BE108" i="159"/>
  <c r="BE106" i="159"/>
  <c r="AZ123" i="159"/>
  <c r="AZ121" i="159"/>
  <c r="AZ119" i="159"/>
  <c r="AZ115" i="159"/>
  <c r="AZ113" i="159"/>
  <c r="AZ111" i="159"/>
  <c r="AZ109" i="159"/>
  <c r="AZ107" i="159"/>
  <c r="AZ105" i="159"/>
  <c r="BE101" i="159"/>
  <c r="BE99" i="159"/>
  <c r="BE97" i="159"/>
  <c r="BE95" i="159"/>
  <c r="BE93" i="159"/>
  <c r="BE91" i="159"/>
  <c r="AZ102" i="159"/>
  <c r="AZ100" i="159"/>
  <c r="AZ98" i="159"/>
  <c r="AZ96" i="159"/>
  <c r="AZ94" i="159"/>
  <c r="AZ92" i="159"/>
  <c r="AZ90" i="159"/>
  <c r="BE87" i="159"/>
  <c r="BE85" i="159"/>
  <c r="BE83" i="159"/>
  <c r="BE81" i="159"/>
  <c r="BE79" i="159"/>
  <c r="BE77" i="159"/>
  <c r="BE75" i="159"/>
  <c r="AZ87" i="159"/>
  <c r="AZ85" i="159"/>
  <c r="AZ83" i="159"/>
  <c r="AZ81" i="159"/>
  <c r="AZ79" i="159"/>
  <c r="AZ77" i="159"/>
  <c r="AZ75" i="159"/>
  <c r="BD122" i="159"/>
  <c r="BD120" i="159"/>
  <c r="BD118" i="159"/>
  <c r="BD116" i="159"/>
  <c r="BD114" i="159"/>
  <c r="BD112" i="159"/>
  <c r="BD110" i="159"/>
  <c r="BD108" i="159"/>
  <c r="BD106" i="159"/>
  <c r="AY123" i="159"/>
  <c r="AY121" i="159"/>
  <c r="AY119" i="159"/>
  <c r="AY115" i="159"/>
  <c r="AY113" i="159"/>
  <c r="AY111" i="159"/>
  <c r="AY109" i="159"/>
  <c r="AY107" i="159"/>
  <c r="AY105" i="159"/>
  <c r="BD101" i="159"/>
  <c r="BD99" i="159"/>
  <c r="BD97" i="159"/>
  <c r="BD95" i="159"/>
  <c r="BD93" i="159"/>
  <c r="BD91" i="159"/>
  <c r="AY102" i="159"/>
  <c r="AY100" i="159"/>
  <c r="AY98" i="159"/>
  <c r="AY96" i="159"/>
  <c r="AY94" i="159"/>
  <c r="AY92" i="159"/>
  <c r="AY90" i="159"/>
  <c r="BD87" i="159"/>
  <c r="BD85" i="159"/>
  <c r="BD83" i="159"/>
  <c r="BD81" i="159"/>
  <c r="BD79" i="159"/>
  <c r="BD77" i="159"/>
  <c r="BD75" i="159"/>
  <c r="AY87" i="159"/>
  <c r="AY85" i="159"/>
  <c r="AY83" i="159"/>
  <c r="AY81" i="159"/>
  <c r="AY79" i="159"/>
  <c r="AY77" i="159"/>
  <c r="AY75" i="159"/>
  <c r="BC122" i="159"/>
  <c r="BC120" i="159"/>
  <c r="BC118" i="159"/>
  <c r="BC116" i="159"/>
  <c r="BC114" i="159"/>
  <c r="BC112" i="159"/>
  <c r="BC110" i="159"/>
  <c r="BC108" i="159"/>
  <c r="BC106" i="159"/>
  <c r="AX123" i="159"/>
  <c r="AX121" i="159"/>
  <c r="AX119" i="159"/>
  <c r="AX115" i="159"/>
  <c r="AX113" i="159"/>
  <c r="AX111" i="159"/>
  <c r="AX109" i="159"/>
  <c r="AX107" i="159"/>
  <c r="AX105" i="159"/>
  <c r="BC101" i="159"/>
  <c r="BC99" i="159"/>
  <c r="BC97" i="159"/>
  <c r="BC95" i="159"/>
  <c r="BC93" i="159"/>
  <c r="BC91" i="159"/>
  <c r="AX102" i="159"/>
  <c r="AX100" i="159"/>
  <c r="AX98" i="159"/>
  <c r="AX96" i="159"/>
  <c r="AX94" i="159"/>
  <c r="AX92" i="159"/>
  <c r="AX90" i="159"/>
  <c r="BC87" i="159"/>
  <c r="BC85" i="159"/>
  <c r="BC83" i="159"/>
  <c r="BC81" i="159"/>
  <c r="BC79" i="159"/>
  <c r="BC77" i="159"/>
  <c r="BC75" i="159"/>
  <c r="AX87" i="159"/>
  <c r="AX85" i="159"/>
  <c r="AX83" i="159"/>
  <c r="AX81" i="159"/>
  <c r="AX79" i="159"/>
  <c r="AX77" i="159"/>
  <c r="AX75" i="159"/>
  <c r="AX8" i="190"/>
  <c r="BE9" i="190"/>
  <c r="CI9" i="190" s="1"/>
  <c r="BC11" i="190"/>
  <c r="CG11" i="190" s="1"/>
  <c r="AY13" i="190"/>
  <c r="CC13" i="190" s="1"/>
  <c r="CW13" i="190"/>
  <c r="DC12" i="163" s="1"/>
  <c r="BE14" i="190"/>
  <c r="CI14" i="190" s="1"/>
  <c r="BE15" i="190"/>
  <c r="CI15" i="190" s="1"/>
  <c r="BE16" i="190"/>
  <c r="CI16" i="190" s="1"/>
  <c r="BB17" i="190"/>
  <c r="CF17" i="190" s="1"/>
  <c r="AX18" i="190"/>
  <c r="CB18" i="190" s="1"/>
  <c r="CV18" i="190"/>
  <c r="DB17" i="163" s="1"/>
  <c r="BC20" i="190"/>
  <c r="AX21" i="190"/>
  <c r="CB21" i="190" s="1"/>
  <c r="CV21" i="190"/>
  <c r="DB20" i="163" s="1"/>
  <c r="BC24" i="190"/>
  <c r="CG24" i="190" s="1"/>
  <c r="AX25" i="190"/>
  <c r="CB25" i="190" s="1"/>
  <c r="CV25" i="190"/>
  <c r="DB24" i="163" s="1"/>
  <c r="AY8" i="190"/>
  <c r="AW9" i="190"/>
  <c r="CA9" i="190" s="1"/>
  <c r="CU9" i="190"/>
  <c r="DA8" i="163" s="1"/>
  <c r="BD11" i="190"/>
  <c r="CH11" i="190" s="1"/>
  <c r="AZ13" i="190"/>
  <c r="CD13" i="190" s="1"/>
  <c r="AW14" i="190"/>
  <c r="CA14" i="190" s="1"/>
  <c r="CU14" i="190"/>
  <c r="AW15" i="190"/>
  <c r="CA15" i="190" s="1"/>
  <c r="AW16" i="190"/>
  <c r="CA16" i="190" s="1"/>
  <c r="CU16" i="190"/>
  <c r="DA15" i="163" s="1"/>
  <c r="BC17" i="190"/>
  <c r="CG17" i="190" s="1"/>
  <c r="AY18" i="190"/>
  <c r="CC18" i="190" s="1"/>
  <c r="CW18" i="190"/>
  <c r="DC17" i="163" s="1"/>
  <c r="BD20" i="190"/>
  <c r="AY21" i="190"/>
  <c r="CC21" i="190" s="1"/>
  <c r="CW21" i="190"/>
  <c r="DC20" i="163" s="1"/>
  <c r="BD24" i="190"/>
  <c r="CH24" i="190" s="1"/>
  <c r="AY25" i="190"/>
  <c r="CC25" i="190" s="1"/>
  <c r="CW25" i="190"/>
  <c r="DC24" i="163" s="1"/>
  <c r="AZ8" i="190"/>
  <c r="AX9" i="190"/>
  <c r="CB9" i="190" s="1"/>
  <c r="CV9" i="190"/>
  <c r="DB8" i="163" s="1"/>
  <c r="BE11" i="190"/>
  <c r="CI11" i="190" s="1"/>
  <c r="BB13" i="190"/>
  <c r="CF13" i="190" s="1"/>
  <c r="AX14" i="190"/>
  <c r="CB14" i="190" s="1"/>
  <c r="CV14" i="190"/>
  <c r="AX15" i="190"/>
  <c r="CB15" i="190" s="1"/>
  <c r="AX16" i="190"/>
  <c r="CB16" i="190" s="1"/>
  <c r="CV16" i="190"/>
  <c r="DB15" i="163" s="1"/>
  <c r="BD17" i="190"/>
  <c r="CH17" i="190" s="1"/>
  <c r="AZ18" i="190"/>
  <c r="CD18" i="190" s="1"/>
  <c r="CX18" i="190"/>
  <c r="DD17" i="163" s="1"/>
  <c r="BE20" i="190"/>
  <c r="CI20" i="190" s="1"/>
  <c r="AZ21" i="190"/>
  <c r="CD21" i="190" s="1"/>
  <c r="CX21" i="190"/>
  <c r="DD20" i="163" s="1"/>
  <c r="BE24" i="190"/>
  <c r="AZ25" i="190"/>
  <c r="CD25" i="190" s="1"/>
  <c r="CX25" i="190"/>
  <c r="DD24" i="163" s="1"/>
  <c r="BB8" i="190"/>
  <c r="AY9" i="190"/>
  <c r="CC9" i="190" s="1"/>
  <c r="CW9" i="190"/>
  <c r="DC8" i="163" s="1"/>
  <c r="AW11" i="190"/>
  <c r="CA11" i="190" s="1"/>
  <c r="CU11" i="190"/>
  <c r="DA10" i="163" s="1"/>
  <c r="BC13" i="190"/>
  <c r="CG13" i="190" s="1"/>
  <c r="AY14" i="190"/>
  <c r="CC14" i="190" s="1"/>
  <c r="CW14" i="190"/>
  <c r="AY15" i="190"/>
  <c r="CC15" i="190" s="1"/>
  <c r="AY16" i="190"/>
  <c r="CC16" i="190" s="1"/>
  <c r="CW16" i="190"/>
  <c r="DC15" i="163" s="1"/>
  <c r="BE17" i="190"/>
  <c r="CI17" i="190" s="1"/>
  <c r="BB18" i="190"/>
  <c r="CF18" i="190" s="1"/>
  <c r="AW20" i="190"/>
  <c r="CU20" i="190"/>
  <c r="BB21" i="190"/>
  <c r="CF21" i="190" s="1"/>
  <c r="AW24" i="190"/>
  <c r="CA24" i="190" s="1"/>
  <c r="CU24" i="190"/>
  <c r="DA23" i="163" s="1"/>
  <c r="BB25" i="190"/>
  <c r="CF25" i="190" s="1"/>
  <c r="BC8" i="190"/>
  <c r="AZ9" i="190"/>
  <c r="CD9" i="190" s="1"/>
  <c r="AX11" i="190"/>
  <c r="CB11" i="190" s="1"/>
  <c r="BD13" i="190"/>
  <c r="CH13" i="190" s="1"/>
  <c r="AZ14" i="190"/>
  <c r="CD14" i="190" s="1"/>
  <c r="AZ15" i="190"/>
  <c r="CD15" i="190" s="1"/>
  <c r="AZ16" i="190"/>
  <c r="CD16" i="190" s="1"/>
  <c r="AW17" i="190"/>
  <c r="CA17" i="190" s="1"/>
  <c r="CU17" i="190"/>
  <c r="DA16" i="163" s="1"/>
  <c r="BC18" i="190"/>
  <c r="CG18" i="190" s="1"/>
  <c r="AX20" i="190"/>
  <c r="CV20" i="190"/>
  <c r="BC21" i="190"/>
  <c r="CG21" i="190" s="1"/>
  <c r="AX24" i="190"/>
  <c r="CB24" i="190" s="1"/>
  <c r="CV24" i="190"/>
  <c r="DB23" i="163" s="1"/>
  <c r="BC25" i="190"/>
  <c r="CG25" i="190" s="1"/>
  <c r="BD8" i="190"/>
  <c r="BB9" i="190"/>
  <c r="CF9" i="190" s="1"/>
  <c r="AY11" i="190"/>
  <c r="CC11" i="190" s="1"/>
  <c r="BE13" i="190"/>
  <c r="CI13" i="190" s="1"/>
  <c r="BB14" i="190"/>
  <c r="CF14" i="190" s="1"/>
  <c r="BB15" i="190"/>
  <c r="CF15" i="190" s="1"/>
  <c r="BB16" i="190"/>
  <c r="CF16" i="190" s="1"/>
  <c r="AX17" i="190"/>
  <c r="CB17" i="190" s="1"/>
  <c r="CV17" i="190"/>
  <c r="DB16" i="163" s="1"/>
  <c r="BD18" i="190"/>
  <c r="CH18" i="190" s="1"/>
  <c r="AY20" i="190"/>
  <c r="CW20" i="190"/>
  <c r="BD21" i="190"/>
  <c r="CH21" i="190" s="1"/>
  <c r="AY24" i="190"/>
  <c r="CC24" i="190" s="1"/>
  <c r="CW24" i="190"/>
  <c r="DC23" i="163" s="1"/>
  <c r="BD25" i="190"/>
  <c r="CH25" i="190" s="1"/>
  <c r="BE8" i="190"/>
  <c r="CI8" i="190" s="1"/>
  <c r="BC9" i="190"/>
  <c r="CG9" i="190" s="1"/>
  <c r="AZ11" i="190"/>
  <c r="CD11" i="190" s="1"/>
  <c r="AW13" i="190"/>
  <c r="CA13" i="190" s="1"/>
  <c r="CU13" i="190"/>
  <c r="DA12" i="163" s="1"/>
  <c r="BC14" i="190"/>
  <c r="CG14" i="190" s="1"/>
  <c r="BC15" i="190"/>
  <c r="CG15" i="190" s="1"/>
  <c r="BC16" i="190"/>
  <c r="CG16" i="190" s="1"/>
  <c r="AY17" i="190"/>
  <c r="CC17" i="190" s="1"/>
  <c r="CW17" i="190"/>
  <c r="DC16" i="163" s="1"/>
  <c r="BE18" i="190"/>
  <c r="CI18" i="190" s="1"/>
  <c r="AZ20" i="190"/>
  <c r="CX20" i="190"/>
  <c r="BE21" i="190"/>
  <c r="CI21" i="190" s="1"/>
  <c r="AZ24" i="190"/>
  <c r="CD24" i="190" s="1"/>
  <c r="CX24" i="190"/>
  <c r="DD23" i="163" s="1"/>
  <c r="BE25" i="190"/>
  <c r="CI25" i="190" s="1"/>
  <c r="AW8" i="190"/>
  <c r="CU8" i="190"/>
  <c r="BD9" i="190"/>
  <c r="CH9" i="190" s="1"/>
  <c r="BB11" i="190"/>
  <c r="CF11" i="190" s="1"/>
  <c r="AX13" i="190"/>
  <c r="CB13" i="190" s="1"/>
  <c r="CV13" i="190"/>
  <c r="DB12" i="163" s="1"/>
  <c r="BD14" i="190"/>
  <c r="CH14" i="190" s="1"/>
  <c r="BD15" i="190"/>
  <c r="CH15" i="190" s="1"/>
  <c r="BD16" i="190"/>
  <c r="CH16" i="190" s="1"/>
  <c r="AZ17" i="190"/>
  <c r="CD17" i="190" s="1"/>
  <c r="AW18" i="190"/>
  <c r="CA18" i="190" s="1"/>
  <c r="CU18" i="190"/>
  <c r="DA17" i="163" s="1"/>
  <c r="BB20" i="190"/>
  <c r="AW21" i="190"/>
  <c r="CA21" i="190" s="1"/>
  <c r="CU21" i="190"/>
  <c r="DA20" i="163" s="1"/>
  <c r="BB24" i="190"/>
  <c r="CF24" i="190" s="1"/>
  <c r="AW25" i="190"/>
  <c r="CA25" i="190" s="1"/>
  <c r="CU25" i="190"/>
  <c r="DA24" i="163" s="1"/>
  <c r="CX14" i="190"/>
  <c r="CX8" i="190"/>
  <c r="CX11" i="190"/>
  <c r="DD10" i="163" s="1"/>
  <c r="CX17" i="190"/>
  <c r="DD16" i="163" s="1"/>
  <c r="CX9" i="190"/>
  <c r="DD8" i="163" s="1"/>
  <c r="CX13" i="190"/>
  <c r="CX16" i="190"/>
  <c r="DD15" i="163" s="1"/>
  <c r="Y34" i="159"/>
  <c r="Y60" i="163" s="1"/>
  <c r="F29" i="143"/>
  <c r="M6" i="143"/>
  <c r="M96" i="143" s="1"/>
  <c r="CL5" i="159"/>
  <c r="AC5" i="190"/>
  <c r="BH5" i="159"/>
  <c r="BG5" i="190"/>
  <c r="AD5" i="159"/>
  <c r="CK5" i="190"/>
  <c r="CG5" i="159"/>
  <c r="X5" i="190"/>
  <c r="Y5" i="159"/>
  <c r="BB5" i="190"/>
  <c r="CF5" i="190"/>
  <c r="T5" i="159"/>
  <c r="AW5" i="190"/>
  <c r="CB5" i="159"/>
  <c r="CA5" i="190"/>
  <c r="AX5" i="159"/>
  <c r="S5" i="190"/>
  <c r="N5" i="190"/>
  <c r="BV5" i="190"/>
  <c r="BW5" i="159"/>
  <c r="O5" i="159"/>
  <c r="AR5" i="190"/>
  <c r="AS5" i="159"/>
  <c r="AN5" i="159"/>
  <c r="AM5" i="190"/>
  <c r="AP4" i="190" s="1"/>
  <c r="BR5" i="159"/>
  <c r="I5" i="190"/>
  <c r="J5" i="159"/>
  <c r="BQ5" i="190"/>
  <c r="AN4" i="163"/>
  <c r="BR4" i="163" s="1"/>
  <c r="E5" i="159"/>
  <c r="AH5" i="190"/>
  <c r="AK4" i="190" s="1"/>
  <c r="D5" i="190"/>
  <c r="Q103" i="159"/>
  <c r="Q129" i="163" s="1"/>
  <c r="Q130" i="163"/>
  <c r="W35" i="163"/>
  <c r="T54" i="163"/>
  <c r="K43" i="159"/>
  <c r="K69" i="163" s="1"/>
  <c r="K70" i="163"/>
  <c r="U70" i="163"/>
  <c r="T100" i="163"/>
  <c r="AD103" i="159"/>
  <c r="AD129" i="163" s="1"/>
  <c r="AD130" i="163"/>
  <c r="J104" i="159"/>
  <c r="J130" i="163" s="1"/>
  <c r="J131" i="163"/>
  <c r="V35" i="163"/>
  <c r="U54" i="163"/>
  <c r="L43" i="159"/>
  <c r="L69" i="163" s="1"/>
  <c r="L70" i="163"/>
  <c r="V43" i="159"/>
  <c r="V70" i="163"/>
  <c r="U100" i="163"/>
  <c r="E103" i="159"/>
  <c r="E129" i="163" s="1"/>
  <c r="E130" i="163"/>
  <c r="T103" i="159"/>
  <c r="T130" i="163"/>
  <c r="AE103" i="159"/>
  <c r="AE129" i="163" s="1"/>
  <c r="AE130" i="163"/>
  <c r="T38" i="163"/>
  <c r="W70" i="163"/>
  <c r="V100" i="163"/>
  <c r="T115" i="163"/>
  <c r="Y115" i="163"/>
  <c r="F103" i="159"/>
  <c r="F129" i="163" s="1"/>
  <c r="F130" i="163"/>
  <c r="U103" i="159"/>
  <c r="U130" i="163"/>
  <c r="L104" i="159"/>
  <c r="L130" i="163" s="1"/>
  <c r="L131" i="163"/>
  <c r="AK131" i="163" s="1"/>
  <c r="T43" i="159"/>
  <c r="T70" i="163"/>
  <c r="U38" i="163"/>
  <c r="CH38" i="163" s="1"/>
  <c r="H34" i="143" s="1"/>
  <c r="CM38" i="163"/>
  <c r="I34" i="143" s="1"/>
  <c r="T42" i="163"/>
  <c r="O43" i="159"/>
  <c r="O69" i="163" s="1"/>
  <c r="O70" i="163"/>
  <c r="W100" i="163"/>
  <c r="Z115" i="163"/>
  <c r="U115" i="163"/>
  <c r="G103" i="159"/>
  <c r="G129" i="163" s="1"/>
  <c r="G130" i="163"/>
  <c r="V130" i="163"/>
  <c r="AG103" i="159"/>
  <c r="AG129" i="163" s="1"/>
  <c r="AG130" i="163"/>
  <c r="AE43" i="159"/>
  <c r="AE69" i="163" s="1"/>
  <c r="AE70" i="163"/>
  <c r="CN38" i="163"/>
  <c r="P34" i="143" s="1"/>
  <c r="V38" i="163"/>
  <c r="CI38" i="163" s="1"/>
  <c r="O34" i="143" s="1"/>
  <c r="U42" i="163"/>
  <c r="T51" i="163"/>
  <c r="AA115" i="163"/>
  <c r="V115" i="163"/>
  <c r="M103" i="159"/>
  <c r="M129" i="163" s="1"/>
  <c r="M130" i="163"/>
  <c r="W51" i="163"/>
  <c r="J43" i="159"/>
  <c r="J69" i="163" s="1"/>
  <c r="J70" i="163"/>
  <c r="H104" i="159"/>
  <c r="H130" i="163" s="1"/>
  <c r="H131" i="163"/>
  <c r="T35" i="163"/>
  <c r="CO38" i="163"/>
  <c r="W34" i="143" s="1"/>
  <c r="W38" i="163"/>
  <c r="CJ38" i="163" s="1"/>
  <c r="V34" i="143" s="1"/>
  <c r="V42" i="163"/>
  <c r="U51" i="163"/>
  <c r="AB115" i="163"/>
  <c r="W115" i="163"/>
  <c r="O103" i="159"/>
  <c r="O129" i="163" s="1"/>
  <c r="O130" i="163"/>
  <c r="U35" i="163"/>
  <c r="V51" i="163"/>
  <c r="R43" i="159"/>
  <c r="R69" i="163" s="1"/>
  <c r="R70" i="163"/>
  <c r="AD43" i="159"/>
  <c r="AD70" i="163"/>
  <c r="P103" i="159"/>
  <c r="P129" i="163" s="1"/>
  <c r="P130" i="163"/>
  <c r="BW61" i="163"/>
  <c r="BW26" i="163"/>
  <c r="AK13" i="163"/>
  <c r="AK15" i="163"/>
  <c r="AI20" i="163"/>
  <c r="BU26" i="163"/>
  <c r="E73" i="159"/>
  <c r="E99" i="163" s="1"/>
  <c r="BU27" i="163"/>
  <c r="AJ141" i="163"/>
  <c r="AL15" i="163"/>
  <c r="U30" i="163"/>
  <c r="BS27" i="163"/>
  <c r="CC27" i="163"/>
  <c r="CD27" i="163"/>
  <c r="CJ61" i="163"/>
  <c r="V57" i="143" s="1"/>
  <c r="CS26" i="163"/>
  <c r="CC26" i="163"/>
  <c r="CM26" i="163"/>
  <c r="U73" i="159"/>
  <c r="BY73" i="163"/>
  <c r="CI73" i="163"/>
  <c r="CS73" i="163"/>
  <c r="AL92" i="163"/>
  <c r="BY26" i="163"/>
  <c r="AK68" i="163"/>
  <c r="AI24" i="163"/>
  <c r="CI61" i="163"/>
  <c r="O57" i="143" s="1"/>
  <c r="CS61" i="163"/>
  <c r="AJ74" i="163"/>
  <c r="AJ84" i="163"/>
  <c r="AL132" i="163"/>
  <c r="AI23" i="163"/>
  <c r="W73" i="159"/>
  <c r="AG73" i="159"/>
  <c r="AG99" i="163" s="1"/>
  <c r="Z8" i="159"/>
  <c r="F73" i="159"/>
  <c r="F99" i="163" s="1"/>
  <c r="AK56" i="163"/>
  <c r="AL67" i="163"/>
  <c r="T73" i="159"/>
  <c r="AD73" i="159"/>
  <c r="AD99" i="163" s="1"/>
  <c r="CE27" i="163"/>
  <c r="L34" i="159"/>
  <c r="L60" i="163" s="1"/>
  <c r="AK26" i="163"/>
  <c r="AJ58" i="163"/>
  <c r="AJ148" i="163"/>
  <c r="Y8" i="159"/>
  <c r="J73" i="159"/>
  <c r="J99" i="163" s="1"/>
  <c r="AK23" i="163"/>
  <c r="BZ76" i="163"/>
  <c r="CT76" i="163"/>
  <c r="AK123" i="163"/>
  <c r="AK10" i="163"/>
  <c r="AI15" i="163"/>
  <c r="AI121" i="163"/>
  <c r="E8" i="159"/>
  <c r="E34" i="163" s="1"/>
  <c r="L30" i="163"/>
  <c r="AI17" i="163"/>
  <c r="BY27" i="163"/>
  <c r="AJ104" i="163"/>
  <c r="AB30" i="163"/>
  <c r="AK8" i="163"/>
  <c r="AK12" i="163"/>
  <c r="CT38" i="163"/>
  <c r="CS76" i="163"/>
  <c r="AK127" i="163"/>
  <c r="AI132" i="163"/>
  <c r="F8" i="159"/>
  <c r="F34" i="163" s="1"/>
  <c r="AJ13" i="163"/>
  <c r="AI19" i="163"/>
  <c r="AJ40" i="163"/>
  <c r="AL56" i="163"/>
  <c r="CJ85" i="163"/>
  <c r="CT85" i="163"/>
  <c r="AI149" i="163"/>
  <c r="V8" i="159"/>
  <c r="CG26" i="163"/>
  <c r="CR26" i="163"/>
  <c r="O73" i="159"/>
  <c r="O99" i="163" s="1"/>
  <c r="BX27" i="163"/>
  <c r="CB76" i="163"/>
  <c r="AI110" i="163"/>
  <c r="AJ12" i="163"/>
  <c r="AI16" i="163"/>
  <c r="AK24" i="163"/>
  <c r="AI26" i="163"/>
  <c r="BW27" i="163"/>
  <c r="CQ27" i="163"/>
  <c r="AJ71" i="163"/>
  <c r="BX73" i="163"/>
  <c r="CH73" i="163"/>
  <c r="CC76" i="163"/>
  <c r="CM76" i="163"/>
  <c r="CR76" i="163"/>
  <c r="AK88" i="163"/>
  <c r="AK93" i="163"/>
  <c r="AI104" i="163"/>
  <c r="AI105" i="163"/>
  <c r="AJ109" i="163"/>
  <c r="AJ110" i="163"/>
  <c r="AI118" i="163"/>
  <c r="AI119" i="163"/>
  <c r="AK144" i="163"/>
  <c r="AJ8" i="163"/>
  <c r="AJ107" i="163"/>
  <c r="AJ138" i="163"/>
  <c r="G8" i="159"/>
  <c r="G34" i="163" s="1"/>
  <c r="Q8" i="159"/>
  <c r="Q34" i="163" s="1"/>
  <c r="H73" i="159"/>
  <c r="H99" i="163" s="1"/>
  <c r="R73" i="159"/>
  <c r="R99" i="163" s="1"/>
  <c r="P73" i="159"/>
  <c r="P99" i="163" s="1"/>
  <c r="Z73" i="159"/>
  <c r="AL72" i="163"/>
  <c r="CT73" i="163"/>
  <c r="AK103" i="163"/>
  <c r="AL123" i="163"/>
  <c r="AI95" i="163"/>
  <c r="M8" i="159"/>
  <c r="M34" i="163" s="1"/>
  <c r="O8" i="159"/>
  <c r="O34" i="163" s="1"/>
  <c r="Y73" i="159"/>
  <c r="M73" i="159"/>
  <c r="M99" i="163" s="1"/>
  <c r="AJ37" i="163"/>
  <c r="CM61" i="163"/>
  <c r="I57" i="143" s="1"/>
  <c r="AK65" i="163"/>
  <c r="CO73" i="163"/>
  <c r="BZ73" i="163"/>
  <c r="CJ73" i="163"/>
  <c r="AK79" i="163"/>
  <c r="AJ88" i="163"/>
  <c r="AJ126" i="163"/>
  <c r="AK140" i="163"/>
  <c r="P8" i="159"/>
  <c r="P34" i="163" s="1"/>
  <c r="CR38" i="163"/>
  <c r="AI46" i="163"/>
  <c r="AK58" i="163"/>
  <c r="AI64" i="163"/>
  <c r="AI65" i="163"/>
  <c r="AI67" i="163"/>
  <c r="AI72" i="163"/>
  <c r="BW73" i="163"/>
  <c r="CG73" i="163"/>
  <c r="CQ73" i="163"/>
  <c r="CL73" i="163"/>
  <c r="AK86" i="163"/>
  <c r="AK117" i="163"/>
  <c r="AJ122" i="163"/>
  <c r="AK128" i="163"/>
  <c r="AI138" i="163"/>
  <c r="AI139" i="163"/>
  <c r="J8" i="159"/>
  <c r="J34" i="163" s="1"/>
  <c r="T8" i="159"/>
  <c r="AF8" i="159"/>
  <c r="AF34" i="163" s="1"/>
  <c r="AK41" i="163"/>
  <c r="AJ46" i="163"/>
  <c r="AK83" i="163"/>
  <c r="CH61" i="163"/>
  <c r="H57" i="143" s="1"/>
  <c r="CR61" i="163"/>
  <c r="AI83" i="163"/>
  <c r="AI134" i="163"/>
  <c r="AI143" i="163"/>
  <c r="AJ135" i="163"/>
  <c r="AL36" i="163"/>
  <c r="CS38" i="163"/>
  <c r="AK66" i="163"/>
  <c r="CD76" i="163"/>
  <c r="CN76" i="163"/>
  <c r="BY76" i="163"/>
  <c r="CI76" i="163"/>
  <c r="AL88" i="163"/>
  <c r="BW91" i="163"/>
  <c r="AJ144" i="163"/>
  <c r="AK146" i="163"/>
  <c r="AJ49" i="163"/>
  <c r="AL75" i="163"/>
  <c r="AJ78" i="163"/>
  <c r="CL85" i="163"/>
  <c r="AI88" i="163"/>
  <c r="AK113" i="163"/>
  <c r="AI127" i="163"/>
  <c r="AK132" i="163"/>
  <c r="AA8" i="159"/>
  <c r="CN85" i="163"/>
  <c r="R8" i="159"/>
  <c r="R34" i="163" s="1"/>
  <c r="AD8" i="159"/>
  <c r="AD34" i="163" s="1"/>
  <c r="L8" i="159"/>
  <c r="L34" i="163" s="1"/>
  <c r="H43" i="159"/>
  <c r="H69" i="163" s="1"/>
  <c r="AJ111" i="163"/>
  <c r="BY38" i="163"/>
  <c r="M34" i="143" s="1"/>
  <c r="AB73" i="159"/>
  <c r="AI62" i="163"/>
  <c r="AJ146" i="163"/>
  <c r="AK48" i="163"/>
  <c r="AI55" i="163"/>
  <c r="AI56" i="163"/>
  <c r="CO85" i="163"/>
  <c r="AK143" i="163"/>
  <c r="K73" i="159"/>
  <c r="K99" i="163" s="1"/>
  <c r="AE30" i="163"/>
  <c r="BT26" i="163"/>
  <c r="CD26" i="163"/>
  <c r="CN26" i="163"/>
  <c r="CG85" i="163"/>
  <c r="CQ85" i="163"/>
  <c r="AK106" i="163"/>
  <c r="AJ137" i="163"/>
  <c r="AF30" i="163"/>
  <c r="CE26" i="163"/>
  <c r="BT27" i="163"/>
  <c r="AI40" i="163"/>
  <c r="AK53" i="163"/>
  <c r="AK55" i="163"/>
  <c r="CE76" i="163"/>
  <c r="CO76" i="163"/>
  <c r="CJ76" i="163"/>
  <c r="AK78" i="163"/>
  <c r="AL84" i="163"/>
  <c r="CH85" i="163"/>
  <c r="CR85" i="163"/>
  <c r="AI87" i="163"/>
  <c r="AK90" i="163"/>
  <c r="AL101" i="163"/>
  <c r="AL102" i="163"/>
  <c r="AL103" i="163"/>
  <c r="AL105" i="163"/>
  <c r="AL109" i="163"/>
  <c r="AK110" i="163"/>
  <c r="AK111" i="163"/>
  <c r="AK137" i="163"/>
  <c r="AI141" i="163"/>
  <c r="AL144" i="163"/>
  <c r="V30" i="163"/>
  <c r="BX26" i="163"/>
  <c r="CH26" i="163"/>
  <c r="CS27" i="163"/>
  <c r="AJ41" i="163"/>
  <c r="CL61" i="163"/>
  <c r="CG76" i="163"/>
  <c r="CQ76" i="163"/>
  <c r="CL76" i="163"/>
  <c r="AL110" i="163"/>
  <c r="AJ113" i="163"/>
  <c r="AI116" i="163"/>
  <c r="AL145" i="163"/>
  <c r="CT27" i="163"/>
  <c r="AK63" i="163"/>
  <c r="CM73" i="163"/>
  <c r="CR73" i="163"/>
  <c r="AL74" i="163"/>
  <c r="AI79" i="163"/>
  <c r="AJ81" i="163"/>
  <c r="BW85" i="163"/>
  <c r="AK94" i="163"/>
  <c r="AI113" i="163"/>
  <c r="AJ120" i="163"/>
  <c r="AJ15" i="163"/>
  <c r="CJ26" i="163"/>
  <c r="CI26" i="163"/>
  <c r="CR27" i="163"/>
  <c r="CL38" i="163"/>
  <c r="BW38" i="163"/>
  <c r="CQ38" i="163"/>
  <c r="AI50" i="163"/>
  <c r="AL57" i="163"/>
  <c r="CO61" i="163"/>
  <c r="W57" i="143" s="1"/>
  <c r="CN61" i="163"/>
  <c r="P57" i="143" s="1"/>
  <c r="AJ62" i="163"/>
  <c r="AI66" i="163"/>
  <c r="CN73" i="163"/>
  <c r="AK80" i="163"/>
  <c r="AK81" i="163"/>
  <c r="CM85" i="163"/>
  <c r="AJ93" i="163"/>
  <c r="AK116" i="163"/>
  <c r="G73" i="159"/>
  <c r="G99" i="163" s="1"/>
  <c r="Q73" i="159"/>
  <c r="Q99" i="163" s="1"/>
  <c r="AA73" i="159"/>
  <c r="BR26" i="163"/>
  <c r="CB26" i="163"/>
  <c r="CL26" i="163"/>
  <c r="BR27" i="163"/>
  <c r="CB27" i="163"/>
  <c r="BX38" i="163"/>
  <c r="AK45" i="163"/>
  <c r="CG61" i="163"/>
  <c r="CQ61" i="163"/>
  <c r="AI68" i="163"/>
  <c r="CY10" i="159"/>
  <c r="BE68" i="159"/>
  <c r="AX66" i="159"/>
  <c r="AY57" i="159"/>
  <c r="BE54" i="159"/>
  <c r="AZ69" i="159"/>
  <c r="AZ67" i="159"/>
  <c r="BE66" i="159"/>
  <c r="AX57" i="159"/>
  <c r="AZ55" i="159"/>
  <c r="AZ53" i="159"/>
  <c r="AZ51" i="159"/>
  <c r="AY69" i="159"/>
  <c r="AY67" i="159"/>
  <c r="BE57" i="159"/>
  <c r="AY55" i="159"/>
  <c r="AY53" i="159"/>
  <c r="AX69" i="159"/>
  <c r="AX67" i="159"/>
  <c r="AZ58" i="159"/>
  <c r="AX55" i="159"/>
  <c r="AX53" i="159"/>
  <c r="AX51" i="159"/>
  <c r="BE69" i="159"/>
  <c r="BE67" i="159"/>
  <c r="AY58" i="159"/>
  <c r="BE55" i="159"/>
  <c r="BE53" i="159"/>
  <c r="BE51" i="159"/>
  <c r="AZ68" i="159"/>
  <c r="AX58" i="159"/>
  <c r="AZ54" i="159"/>
  <c r="AZ52" i="159"/>
  <c r="AY68" i="159"/>
  <c r="AZ66" i="159"/>
  <c r="BE58" i="159"/>
  <c r="AX54" i="159"/>
  <c r="AZ49" i="159"/>
  <c r="AZ45" i="159"/>
  <c r="AX42" i="159"/>
  <c r="AX40" i="159"/>
  <c r="AX38" i="159"/>
  <c r="AX36" i="159"/>
  <c r="BE33" i="159"/>
  <c r="BE52" i="159"/>
  <c r="AY49" i="159"/>
  <c r="AY45" i="159"/>
  <c r="BE42" i="159"/>
  <c r="BE40" i="159"/>
  <c r="BE38" i="159"/>
  <c r="BE36" i="159"/>
  <c r="AZ32" i="159"/>
  <c r="AX29" i="159"/>
  <c r="AX27" i="159"/>
  <c r="BE22" i="159"/>
  <c r="BE20" i="159"/>
  <c r="AX68" i="159"/>
  <c r="AY51" i="159"/>
  <c r="AX49" i="159"/>
  <c r="AX45" i="159"/>
  <c r="AZ41" i="159"/>
  <c r="AZ39" i="159"/>
  <c r="AZ37" i="159"/>
  <c r="AY32" i="159"/>
  <c r="AZ30" i="159"/>
  <c r="BE29" i="159"/>
  <c r="BE27" i="159"/>
  <c r="AY52" i="159"/>
  <c r="BE49" i="159"/>
  <c r="AZ46" i="159"/>
  <c r="BE45" i="159"/>
  <c r="AY41" i="159"/>
  <c r="AY39" i="159"/>
  <c r="AY37" i="159"/>
  <c r="AX32" i="159"/>
  <c r="AY30" i="159"/>
  <c r="AX52" i="159"/>
  <c r="AZ48" i="159"/>
  <c r="AY46" i="159"/>
  <c r="AX41" i="159"/>
  <c r="AX39" i="159"/>
  <c r="AX37" i="159"/>
  <c r="BE32" i="159"/>
  <c r="AX30" i="159"/>
  <c r="AZ26" i="159"/>
  <c r="BE23" i="159"/>
  <c r="AZ57" i="159"/>
  <c r="AY48" i="159"/>
  <c r="AX46" i="159"/>
  <c r="BE41" i="159"/>
  <c r="BE39" i="159"/>
  <c r="BE37" i="159"/>
  <c r="AZ33" i="159"/>
  <c r="AZ31" i="159"/>
  <c r="BE30" i="159"/>
  <c r="AY26" i="159"/>
  <c r="BE21" i="159"/>
  <c r="AY66" i="159"/>
  <c r="AX48" i="159"/>
  <c r="BE46" i="159"/>
  <c r="AZ42" i="159"/>
  <c r="AZ40" i="159"/>
  <c r="AZ38" i="159"/>
  <c r="AZ36" i="159"/>
  <c r="AY33" i="159"/>
  <c r="AY31" i="159"/>
  <c r="AX26" i="159"/>
  <c r="AX33" i="159"/>
  <c r="BE24" i="159"/>
  <c r="BE17" i="159"/>
  <c r="BE14" i="159"/>
  <c r="AY40" i="159"/>
  <c r="AY36" i="159"/>
  <c r="AZ27" i="159"/>
  <c r="AY27" i="159"/>
  <c r="BE10" i="159"/>
  <c r="BE31" i="159"/>
  <c r="AZ29" i="159"/>
  <c r="BE18" i="159"/>
  <c r="AY42" i="159"/>
  <c r="AY38" i="159"/>
  <c r="BE13" i="159"/>
  <c r="BE11" i="159"/>
  <c r="BE19" i="159"/>
  <c r="BE15" i="159"/>
  <c r="BE48" i="159"/>
  <c r="AY29" i="159"/>
  <c r="CW14" i="159"/>
  <c r="DB40" i="163" s="1"/>
  <c r="AY54" i="159"/>
  <c r="AX31" i="159"/>
  <c r="BF43" i="163"/>
  <c r="BE26" i="159"/>
  <c r="CW17" i="159"/>
  <c r="BH4" i="163"/>
  <c r="CL4" i="163"/>
  <c r="Y4" i="163"/>
  <c r="CV119" i="159"/>
  <c r="DA145" i="163" s="1"/>
  <c r="CV116" i="159"/>
  <c r="DA142" i="163" s="1"/>
  <c r="CV112" i="159"/>
  <c r="DA138" i="163" s="1"/>
  <c r="CV110" i="159"/>
  <c r="DA136" i="163" s="1"/>
  <c r="CV108" i="159"/>
  <c r="DA134" i="163" s="1"/>
  <c r="CV114" i="159"/>
  <c r="DA140" i="163" s="1"/>
  <c r="CV115" i="159"/>
  <c r="DA141" i="163" s="1"/>
  <c r="CV113" i="159"/>
  <c r="DA139" i="163" s="1"/>
  <c r="CV111" i="159"/>
  <c r="DA137" i="163" s="1"/>
  <c r="CV118" i="159"/>
  <c r="CV109" i="159"/>
  <c r="DA135" i="163" s="1"/>
  <c r="CV107" i="159"/>
  <c r="DA133" i="163" s="1"/>
  <c r="CV101" i="159"/>
  <c r="DA127" i="163" s="1"/>
  <c r="CV99" i="159"/>
  <c r="DA125" i="163" s="1"/>
  <c r="CV100" i="159"/>
  <c r="DA126" i="163" s="1"/>
  <c r="CV98" i="159"/>
  <c r="DA124" i="163" s="1"/>
  <c r="CV97" i="159"/>
  <c r="DA123" i="163" s="1"/>
  <c r="CV94" i="159"/>
  <c r="DA120" i="163" s="1"/>
  <c r="CV92" i="159"/>
  <c r="DA118" i="163" s="1"/>
  <c r="CV90" i="159"/>
  <c r="CV102" i="159"/>
  <c r="DA128" i="163" s="1"/>
  <c r="CV96" i="159"/>
  <c r="DA122" i="163" s="1"/>
  <c r="CV95" i="159"/>
  <c r="DA121" i="163" s="1"/>
  <c r="CV106" i="159"/>
  <c r="DA132" i="163" s="1"/>
  <c r="CV105" i="159"/>
  <c r="CV93" i="159"/>
  <c r="DA119" i="163" s="1"/>
  <c r="CV91" i="159"/>
  <c r="DA117" i="163" s="1"/>
  <c r="CV84" i="159"/>
  <c r="DA110" i="163" s="1"/>
  <c r="CV77" i="159"/>
  <c r="DA103" i="163" s="1"/>
  <c r="CV69" i="159"/>
  <c r="DA95" i="163" s="1"/>
  <c r="CV67" i="159"/>
  <c r="DA93" i="163" s="1"/>
  <c r="CV55" i="159"/>
  <c r="DA81" i="163" s="1"/>
  <c r="CV51" i="159"/>
  <c r="DA77" i="163" s="1"/>
  <c r="CV86" i="159"/>
  <c r="DA112" i="163" s="1"/>
  <c r="CV82" i="159"/>
  <c r="DA108" i="163" s="1"/>
  <c r="CV80" i="159"/>
  <c r="DA106" i="163" s="1"/>
  <c r="CV87" i="159"/>
  <c r="DA113" i="163" s="1"/>
  <c r="CV75" i="159"/>
  <c r="CV63" i="159"/>
  <c r="DA89" i="163" s="1"/>
  <c r="CV61" i="159"/>
  <c r="DA87" i="163" s="1"/>
  <c r="CV58" i="159"/>
  <c r="DA84" i="163" s="1"/>
  <c r="CV85" i="159"/>
  <c r="DA111" i="163" s="1"/>
  <c r="CV78" i="159"/>
  <c r="DA104" i="163" s="1"/>
  <c r="CV88" i="159"/>
  <c r="DA114" i="163" s="1"/>
  <c r="CV68" i="159"/>
  <c r="DA94" i="163" s="1"/>
  <c r="CV54" i="159"/>
  <c r="DA80" i="163" s="1"/>
  <c r="CV52" i="159"/>
  <c r="DA78" i="163" s="1"/>
  <c r="CV83" i="159"/>
  <c r="DA109" i="163" s="1"/>
  <c r="CV81" i="159"/>
  <c r="DA107" i="163" s="1"/>
  <c r="CV76" i="159"/>
  <c r="DA102" i="163" s="1"/>
  <c r="CV66" i="159"/>
  <c r="CV64" i="159"/>
  <c r="DA90" i="163" s="1"/>
  <c r="CV79" i="159"/>
  <c r="DA105" i="163" s="1"/>
  <c r="CV49" i="159"/>
  <c r="DA75" i="163" s="1"/>
  <c r="CV45" i="159"/>
  <c r="CV32" i="159"/>
  <c r="DA58" i="163" s="1"/>
  <c r="CV23" i="159"/>
  <c r="DA49" i="163" s="1"/>
  <c r="CV41" i="159"/>
  <c r="DA67" i="163" s="1"/>
  <c r="CV39" i="159"/>
  <c r="DA65" i="163" s="1"/>
  <c r="CV37" i="159"/>
  <c r="DA63" i="163" s="1"/>
  <c r="CV30" i="159"/>
  <c r="DA56" i="163" s="1"/>
  <c r="CV21" i="159"/>
  <c r="DA47" i="163" s="1"/>
  <c r="CV19" i="159"/>
  <c r="DA45" i="163" s="1"/>
  <c r="CV46" i="159"/>
  <c r="DA72" i="163" s="1"/>
  <c r="CV60" i="159"/>
  <c r="DA86" i="163" s="1"/>
  <c r="CV48" i="159"/>
  <c r="DA74" i="163" s="1"/>
  <c r="CV26" i="159"/>
  <c r="CV33" i="159"/>
  <c r="DA59" i="163" s="1"/>
  <c r="CV31" i="159"/>
  <c r="DA57" i="163" s="1"/>
  <c r="CV24" i="159"/>
  <c r="DA50" i="163" s="1"/>
  <c r="CV57" i="159"/>
  <c r="DA83" i="163" s="1"/>
  <c r="CV42" i="159"/>
  <c r="DA68" i="163" s="1"/>
  <c r="CV40" i="159"/>
  <c r="DA66" i="163" s="1"/>
  <c r="CV38" i="159"/>
  <c r="DA64" i="163" s="1"/>
  <c r="CV36" i="159"/>
  <c r="CV22" i="159"/>
  <c r="DA48" i="163" s="1"/>
  <c r="CV20" i="159"/>
  <c r="DA46" i="163" s="1"/>
  <c r="CV29" i="159"/>
  <c r="CV12" i="159"/>
  <c r="DA38" i="163" s="1"/>
  <c r="CV10" i="159"/>
  <c r="CV62" i="159"/>
  <c r="DA88" i="163" s="1"/>
  <c r="CV18" i="159"/>
  <c r="DA44" i="163" s="1"/>
  <c r="CV15" i="159"/>
  <c r="DA41" i="163" s="1"/>
  <c r="CV13" i="159"/>
  <c r="DA39" i="163" s="1"/>
  <c r="CV11" i="159"/>
  <c r="DA37" i="163" s="1"/>
  <c r="CV27" i="159"/>
  <c r="DA53" i="163" s="1"/>
  <c r="CV17" i="159"/>
  <c r="CV14" i="159"/>
  <c r="DA40" i="163" s="1"/>
  <c r="H8" i="159"/>
  <c r="H34" i="163" s="1"/>
  <c r="CY39" i="159"/>
  <c r="DD65" i="163" s="1"/>
  <c r="J34" i="159"/>
  <c r="J60" i="163" s="1"/>
  <c r="AE34" i="159"/>
  <c r="AE60" i="163" s="1"/>
  <c r="BM4" i="163"/>
  <c r="CQ4" i="163" s="1"/>
  <c r="AD4" i="163"/>
  <c r="CW116" i="159"/>
  <c r="DB142" i="163" s="1"/>
  <c r="CW114" i="159"/>
  <c r="DB140" i="163" s="1"/>
  <c r="CW112" i="159"/>
  <c r="DB138" i="163" s="1"/>
  <c r="CW110" i="159"/>
  <c r="DB136" i="163" s="1"/>
  <c r="CW108" i="159"/>
  <c r="DB134" i="163" s="1"/>
  <c r="CW102" i="159"/>
  <c r="DB128" i="163" s="1"/>
  <c r="CW100" i="159"/>
  <c r="DB126" i="163" s="1"/>
  <c r="CW106" i="159"/>
  <c r="DB132" i="163" s="1"/>
  <c r="CW115" i="159"/>
  <c r="DB141" i="163" s="1"/>
  <c r="CW113" i="159"/>
  <c r="DB139" i="163" s="1"/>
  <c r="CW111" i="159"/>
  <c r="DB137" i="163" s="1"/>
  <c r="CW118" i="159"/>
  <c r="CW109" i="159"/>
  <c r="DB135" i="163" s="1"/>
  <c r="CW107" i="159"/>
  <c r="DB133" i="163" s="1"/>
  <c r="CW101" i="159"/>
  <c r="DB127" i="163" s="1"/>
  <c r="CW99" i="159"/>
  <c r="DB125" i="163" s="1"/>
  <c r="CW119" i="159"/>
  <c r="DB145" i="163" s="1"/>
  <c r="CW97" i="159"/>
  <c r="DB123" i="163" s="1"/>
  <c r="CW98" i="159"/>
  <c r="DB124" i="163" s="1"/>
  <c r="CW96" i="159"/>
  <c r="DB122" i="163" s="1"/>
  <c r="CW87" i="159"/>
  <c r="DB113" i="163" s="1"/>
  <c r="CW95" i="159"/>
  <c r="DB121" i="163" s="1"/>
  <c r="CW105" i="159"/>
  <c r="CW93" i="159"/>
  <c r="DB119" i="163" s="1"/>
  <c r="CW91" i="159"/>
  <c r="DB117" i="163" s="1"/>
  <c r="CW88" i="159"/>
  <c r="DB114" i="163" s="1"/>
  <c r="CW86" i="159"/>
  <c r="DB112" i="163" s="1"/>
  <c r="CW84" i="159"/>
  <c r="DB110" i="163" s="1"/>
  <c r="CW77" i="159"/>
  <c r="DB103" i="163" s="1"/>
  <c r="CW69" i="159"/>
  <c r="DB95" i="163" s="1"/>
  <c r="CW67" i="159"/>
  <c r="DB93" i="163" s="1"/>
  <c r="CW55" i="159"/>
  <c r="DB81" i="163" s="1"/>
  <c r="CW92" i="159"/>
  <c r="DB118" i="163" s="1"/>
  <c r="CW82" i="159"/>
  <c r="DB108" i="163" s="1"/>
  <c r="CW80" i="159"/>
  <c r="DB106" i="163" s="1"/>
  <c r="CW75" i="159"/>
  <c r="CW63" i="159"/>
  <c r="DB89" i="163" s="1"/>
  <c r="CW61" i="159"/>
  <c r="DB87" i="163" s="1"/>
  <c r="CW58" i="159"/>
  <c r="DB84" i="163" s="1"/>
  <c r="CW90" i="159"/>
  <c r="CW85" i="159"/>
  <c r="DB111" i="163" s="1"/>
  <c r="CW78" i="159"/>
  <c r="DB104" i="163" s="1"/>
  <c r="CW94" i="159"/>
  <c r="DB120" i="163" s="1"/>
  <c r="CW68" i="159"/>
  <c r="DB94" i="163" s="1"/>
  <c r="CW54" i="159"/>
  <c r="DB80" i="163" s="1"/>
  <c r="CW52" i="159"/>
  <c r="DB78" i="163" s="1"/>
  <c r="CW83" i="159"/>
  <c r="DB109" i="163" s="1"/>
  <c r="CW81" i="159"/>
  <c r="DB107" i="163" s="1"/>
  <c r="CW76" i="159"/>
  <c r="DB102" i="163" s="1"/>
  <c r="CW66" i="159"/>
  <c r="CW64" i="159"/>
  <c r="DB90" i="163" s="1"/>
  <c r="CW79" i="159"/>
  <c r="DB105" i="163" s="1"/>
  <c r="CW62" i="159"/>
  <c r="DB88" i="163" s="1"/>
  <c r="CW60" i="159"/>
  <c r="DB86" i="163" s="1"/>
  <c r="CW57" i="159"/>
  <c r="DB83" i="163" s="1"/>
  <c r="CW51" i="159"/>
  <c r="DB77" i="163" s="1"/>
  <c r="CW41" i="159"/>
  <c r="DB67" i="163" s="1"/>
  <c r="CW39" i="159"/>
  <c r="DB65" i="163" s="1"/>
  <c r="CW37" i="159"/>
  <c r="DB63" i="163" s="1"/>
  <c r="CW30" i="159"/>
  <c r="DB56" i="163" s="1"/>
  <c r="CW21" i="159"/>
  <c r="DB47" i="163" s="1"/>
  <c r="CW19" i="159"/>
  <c r="DB45" i="163" s="1"/>
  <c r="CW46" i="159"/>
  <c r="DB72" i="163" s="1"/>
  <c r="CW48" i="159"/>
  <c r="DB74" i="163" s="1"/>
  <c r="CW26" i="159"/>
  <c r="CW33" i="159"/>
  <c r="DB59" i="163" s="1"/>
  <c r="CW31" i="159"/>
  <c r="DB57" i="163" s="1"/>
  <c r="CW24" i="159"/>
  <c r="DB50" i="163" s="1"/>
  <c r="CW42" i="159"/>
  <c r="DB68" i="163" s="1"/>
  <c r="CW40" i="159"/>
  <c r="DB66" i="163" s="1"/>
  <c r="CW38" i="159"/>
  <c r="DB64" i="163" s="1"/>
  <c r="CW36" i="159"/>
  <c r="CW22" i="159"/>
  <c r="DB48" i="163" s="1"/>
  <c r="CW20" i="159"/>
  <c r="DB46" i="163" s="1"/>
  <c r="CW29" i="159"/>
  <c r="CW27" i="159"/>
  <c r="DB53" i="163" s="1"/>
  <c r="CW18" i="159"/>
  <c r="DB44" i="163" s="1"/>
  <c r="CW15" i="159"/>
  <c r="DB41" i="163" s="1"/>
  <c r="CW13" i="159"/>
  <c r="DB39" i="163" s="1"/>
  <c r="CW11" i="159"/>
  <c r="DB37" i="163" s="1"/>
  <c r="CW49" i="159"/>
  <c r="DB75" i="163" s="1"/>
  <c r="CW45" i="159"/>
  <c r="CW32" i="159"/>
  <c r="DB58" i="163" s="1"/>
  <c r="CW23" i="159"/>
  <c r="DB49" i="163" s="1"/>
  <c r="CW12" i="159"/>
  <c r="DB38" i="163" s="1"/>
  <c r="CW10" i="159"/>
  <c r="K8" i="159"/>
  <c r="K34" i="163" s="1"/>
  <c r="U8" i="159"/>
  <c r="AE8" i="159"/>
  <c r="AE34" i="163" s="1"/>
  <c r="CY116" i="159"/>
  <c r="DD142" i="163" s="1"/>
  <c r="CY114" i="159"/>
  <c r="DD140" i="163" s="1"/>
  <c r="CY118" i="159"/>
  <c r="DD144" i="163" s="1"/>
  <c r="CY115" i="159"/>
  <c r="DD141" i="163" s="1"/>
  <c r="CY113" i="159"/>
  <c r="DD139" i="163" s="1"/>
  <c r="CY111" i="159"/>
  <c r="DD137" i="163" s="1"/>
  <c r="CY109" i="159"/>
  <c r="DD135" i="163" s="1"/>
  <c r="CY119" i="159"/>
  <c r="DD145" i="163" s="1"/>
  <c r="CY105" i="159"/>
  <c r="CY99" i="159"/>
  <c r="DD125" i="163" s="1"/>
  <c r="CY97" i="159"/>
  <c r="DD123" i="163" s="1"/>
  <c r="CY94" i="159"/>
  <c r="DD120" i="163" s="1"/>
  <c r="CY92" i="159"/>
  <c r="DD118" i="163" s="1"/>
  <c r="CY90" i="159"/>
  <c r="CY101" i="159"/>
  <c r="DD127" i="163" s="1"/>
  <c r="CY96" i="159"/>
  <c r="DD122" i="163" s="1"/>
  <c r="CY108" i="159"/>
  <c r="DD134" i="163" s="1"/>
  <c r="CY102" i="159"/>
  <c r="DD128" i="163" s="1"/>
  <c r="CY112" i="159"/>
  <c r="DD138" i="163" s="1"/>
  <c r="CY95" i="159"/>
  <c r="DD121" i="163" s="1"/>
  <c r="CY93" i="159"/>
  <c r="DD119" i="163" s="1"/>
  <c r="CY91" i="159"/>
  <c r="DD117" i="163" s="1"/>
  <c r="CY110" i="159"/>
  <c r="DD136" i="163" s="1"/>
  <c r="CY106" i="159"/>
  <c r="DD132" i="163" s="1"/>
  <c r="CY100" i="159"/>
  <c r="DD126" i="163" s="1"/>
  <c r="CY98" i="159"/>
  <c r="DD124" i="163" s="1"/>
  <c r="CY107" i="159"/>
  <c r="DD133" i="163" s="1"/>
  <c r="CY75" i="159"/>
  <c r="CY63" i="159"/>
  <c r="DD89" i="163" s="1"/>
  <c r="CY61" i="159"/>
  <c r="DD87" i="163" s="1"/>
  <c r="CY58" i="159"/>
  <c r="DD84" i="163" s="1"/>
  <c r="CY87" i="159"/>
  <c r="DD113" i="163" s="1"/>
  <c r="CY86" i="159"/>
  <c r="DD112" i="163" s="1"/>
  <c r="CY85" i="159"/>
  <c r="DD111" i="163" s="1"/>
  <c r="CY78" i="159"/>
  <c r="DD104" i="163" s="1"/>
  <c r="CY68" i="159"/>
  <c r="DD94" i="163" s="1"/>
  <c r="CY54" i="159"/>
  <c r="DD80" i="163" s="1"/>
  <c r="CY52" i="159"/>
  <c r="DD78" i="163" s="1"/>
  <c r="CY83" i="159"/>
  <c r="DD109" i="163" s="1"/>
  <c r="CY81" i="159"/>
  <c r="DD107" i="163" s="1"/>
  <c r="CY76" i="159"/>
  <c r="DD102" i="163" s="1"/>
  <c r="CY66" i="159"/>
  <c r="DD92" i="163" s="1"/>
  <c r="CY64" i="159"/>
  <c r="DD90" i="163" s="1"/>
  <c r="CY88" i="159"/>
  <c r="DD114" i="163" s="1"/>
  <c r="CY79" i="159"/>
  <c r="DD105" i="163" s="1"/>
  <c r="CY62" i="159"/>
  <c r="DD88" i="163" s="1"/>
  <c r="CY60" i="159"/>
  <c r="DD86" i="163" s="1"/>
  <c r="CY57" i="159"/>
  <c r="DD83" i="163" s="1"/>
  <c r="CY49" i="159"/>
  <c r="DD75" i="163" s="1"/>
  <c r="CY84" i="159"/>
  <c r="DD110" i="163" s="1"/>
  <c r="CY77" i="159"/>
  <c r="DD103" i="163" s="1"/>
  <c r="CY69" i="159"/>
  <c r="DD95" i="163" s="1"/>
  <c r="CY67" i="159"/>
  <c r="DD93" i="163" s="1"/>
  <c r="CY55" i="159"/>
  <c r="DD81" i="163" s="1"/>
  <c r="CY46" i="159"/>
  <c r="DD72" i="163" s="1"/>
  <c r="CY82" i="159"/>
  <c r="DD108" i="163" s="1"/>
  <c r="CY48" i="159"/>
  <c r="DD74" i="163" s="1"/>
  <c r="CY26" i="159"/>
  <c r="DD52" i="163" s="1"/>
  <c r="CY33" i="159"/>
  <c r="DD59" i="163" s="1"/>
  <c r="CY31" i="159"/>
  <c r="DD57" i="163" s="1"/>
  <c r="CY24" i="159"/>
  <c r="DD50" i="163" s="1"/>
  <c r="CY42" i="159"/>
  <c r="DD68" i="163" s="1"/>
  <c r="CY40" i="159"/>
  <c r="DD66" i="163" s="1"/>
  <c r="CY38" i="159"/>
  <c r="DD64" i="163" s="1"/>
  <c r="CY36" i="159"/>
  <c r="CY29" i="159"/>
  <c r="DD55" i="163" s="1"/>
  <c r="CY27" i="159"/>
  <c r="DD53" i="163" s="1"/>
  <c r="CY80" i="159"/>
  <c r="DD106" i="163" s="1"/>
  <c r="CY45" i="159"/>
  <c r="DD71" i="163" s="1"/>
  <c r="CY32" i="159"/>
  <c r="DD58" i="163" s="1"/>
  <c r="CY23" i="159"/>
  <c r="DD49" i="163" s="1"/>
  <c r="CY13" i="159"/>
  <c r="DD39" i="163" s="1"/>
  <c r="CY11" i="159"/>
  <c r="DD37" i="163" s="1"/>
  <c r="CY41" i="159"/>
  <c r="DD67" i="163" s="1"/>
  <c r="CY37" i="159"/>
  <c r="DD63" i="163" s="1"/>
  <c r="CY22" i="159"/>
  <c r="DD48" i="163" s="1"/>
  <c r="CY30" i="159"/>
  <c r="DD56" i="163" s="1"/>
  <c r="CY19" i="159"/>
  <c r="DD45" i="163" s="1"/>
  <c r="CY17" i="159"/>
  <c r="CY14" i="159"/>
  <c r="DD40" i="163" s="1"/>
  <c r="CY51" i="159"/>
  <c r="DD77" i="163" s="1"/>
  <c r="CY18" i="159"/>
  <c r="DD44" i="163" s="1"/>
  <c r="CY15" i="159"/>
  <c r="DD41" i="163" s="1"/>
  <c r="CX116" i="159"/>
  <c r="DC142" i="163" s="1"/>
  <c r="CX114" i="159"/>
  <c r="DC140" i="163" s="1"/>
  <c r="CX118" i="159"/>
  <c r="CX112" i="159"/>
  <c r="DC138" i="163" s="1"/>
  <c r="CX110" i="159"/>
  <c r="DC136" i="163" s="1"/>
  <c r="CX108" i="159"/>
  <c r="DC134" i="163" s="1"/>
  <c r="CX106" i="159"/>
  <c r="DC132" i="163" s="1"/>
  <c r="CX115" i="159"/>
  <c r="DC141" i="163" s="1"/>
  <c r="CX113" i="159"/>
  <c r="DC139" i="163" s="1"/>
  <c r="CX111" i="159"/>
  <c r="DC137" i="163" s="1"/>
  <c r="CX109" i="159"/>
  <c r="DC135" i="163" s="1"/>
  <c r="CX107" i="159"/>
  <c r="DC133" i="163" s="1"/>
  <c r="CX101" i="159"/>
  <c r="DC127" i="163" s="1"/>
  <c r="CX99" i="159"/>
  <c r="DC125" i="163" s="1"/>
  <c r="CX119" i="159"/>
  <c r="DC145" i="163" s="1"/>
  <c r="CX97" i="159"/>
  <c r="DC123" i="163" s="1"/>
  <c r="CX105" i="159"/>
  <c r="CX95" i="159"/>
  <c r="DC121" i="163" s="1"/>
  <c r="CX94" i="159"/>
  <c r="DC120" i="163" s="1"/>
  <c r="CX92" i="159"/>
  <c r="DC118" i="163" s="1"/>
  <c r="CX96" i="159"/>
  <c r="DC122" i="163" s="1"/>
  <c r="CX102" i="159"/>
  <c r="DC128" i="163" s="1"/>
  <c r="CX93" i="159"/>
  <c r="DC119" i="163" s="1"/>
  <c r="CX91" i="159"/>
  <c r="DC117" i="163" s="1"/>
  <c r="CX88" i="159"/>
  <c r="DC114" i="163" s="1"/>
  <c r="CX86" i="159"/>
  <c r="DC112" i="163" s="1"/>
  <c r="CX100" i="159"/>
  <c r="DC126" i="163" s="1"/>
  <c r="CX98" i="159"/>
  <c r="DC124" i="163" s="1"/>
  <c r="CX82" i="159"/>
  <c r="DC108" i="163" s="1"/>
  <c r="CX80" i="159"/>
  <c r="DC106" i="163" s="1"/>
  <c r="CX75" i="159"/>
  <c r="CX63" i="159"/>
  <c r="DC89" i="163" s="1"/>
  <c r="CX61" i="159"/>
  <c r="DC87" i="163" s="1"/>
  <c r="CX58" i="159"/>
  <c r="DC84" i="163" s="1"/>
  <c r="CX90" i="159"/>
  <c r="CX87" i="159"/>
  <c r="DC113" i="163" s="1"/>
  <c r="CX85" i="159"/>
  <c r="DC111" i="163" s="1"/>
  <c r="CX78" i="159"/>
  <c r="DC104" i="163" s="1"/>
  <c r="CX68" i="159"/>
  <c r="DC94" i="163" s="1"/>
  <c r="CX54" i="159"/>
  <c r="DC80" i="163" s="1"/>
  <c r="CX52" i="159"/>
  <c r="DC78" i="163" s="1"/>
  <c r="CX83" i="159"/>
  <c r="DC109" i="163" s="1"/>
  <c r="CX81" i="159"/>
  <c r="DC107" i="163" s="1"/>
  <c r="CX76" i="159"/>
  <c r="DC102" i="163" s="1"/>
  <c r="CX66" i="159"/>
  <c r="CX64" i="159"/>
  <c r="DC90" i="163" s="1"/>
  <c r="CX79" i="159"/>
  <c r="DC105" i="163" s="1"/>
  <c r="CX62" i="159"/>
  <c r="DC88" i="163" s="1"/>
  <c r="CX60" i="159"/>
  <c r="DC86" i="163" s="1"/>
  <c r="CX57" i="159"/>
  <c r="DC83" i="163" s="1"/>
  <c r="CX69" i="159"/>
  <c r="DC95" i="163" s="1"/>
  <c r="CX55" i="159"/>
  <c r="DC81" i="163" s="1"/>
  <c r="CX51" i="159"/>
  <c r="DC77" i="163" s="1"/>
  <c r="CX41" i="159"/>
  <c r="DC67" i="163" s="1"/>
  <c r="CX39" i="159"/>
  <c r="DC65" i="163" s="1"/>
  <c r="CX37" i="159"/>
  <c r="DC63" i="163" s="1"/>
  <c r="CX46" i="159"/>
  <c r="DC72" i="163" s="1"/>
  <c r="CX48" i="159"/>
  <c r="DC74" i="163" s="1"/>
  <c r="CX26" i="159"/>
  <c r="CX33" i="159"/>
  <c r="DC59" i="163" s="1"/>
  <c r="CX31" i="159"/>
  <c r="DC57" i="163" s="1"/>
  <c r="CX42" i="159"/>
  <c r="DC68" i="163" s="1"/>
  <c r="CX40" i="159"/>
  <c r="DC66" i="163" s="1"/>
  <c r="CX38" i="159"/>
  <c r="DC64" i="163" s="1"/>
  <c r="CX36" i="159"/>
  <c r="CX22" i="159"/>
  <c r="DC48" i="163" s="1"/>
  <c r="CX84" i="159"/>
  <c r="DC110" i="163" s="1"/>
  <c r="CX77" i="159"/>
  <c r="DC103" i="163" s="1"/>
  <c r="CX67" i="159"/>
  <c r="DC93" i="163" s="1"/>
  <c r="CX29" i="159"/>
  <c r="CX27" i="159"/>
  <c r="DC53" i="163" s="1"/>
  <c r="CX49" i="159"/>
  <c r="DC75" i="163" s="1"/>
  <c r="CX45" i="159"/>
  <c r="CX18" i="159"/>
  <c r="DC44" i="163" s="1"/>
  <c r="CX15" i="159"/>
  <c r="DC41" i="163" s="1"/>
  <c r="CX13" i="159"/>
  <c r="DC39" i="163" s="1"/>
  <c r="CX11" i="159"/>
  <c r="DC37" i="163" s="1"/>
  <c r="CX32" i="159"/>
  <c r="DC58" i="163" s="1"/>
  <c r="CX23" i="159"/>
  <c r="DC49" i="163" s="1"/>
  <c r="CX30" i="159"/>
  <c r="DC56" i="163" s="1"/>
  <c r="CX19" i="159"/>
  <c r="DC45" i="163" s="1"/>
  <c r="CX17" i="159"/>
  <c r="CX14" i="159"/>
  <c r="DC40" i="163" s="1"/>
  <c r="CX24" i="159"/>
  <c r="DC50" i="163" s="1"/>
  <c r="CX21" i="159"/>
  <c r="DC47" i="163" s="1"/>
  <c r="CX20" i="159"/>
  <c r="DC46" i="163" s="1"/>
  <c r="CX12" i="159"/>
  <c r="DC38" i="163" s="1"/>
  <c r="CX10" i="159"/>
  <c r="CY21" i="159"/>
  <c r="DD47" i="163" s="1"/>
  <c r="J4" i="163"/>
  <c r="AS4" i="163"/>
  <c r="BW4" i="163" s="1"/>
  <c r="CT21" i="163"/>
  <c r="CY12" i="159"/>
  <c r="DD38" i="163" s="1"/>
  <c r="AL20" i="163"/>
  <c r="O4" i="163"/>
  <c r="AX4" i="163"/>
  <c r="CB4" i="163" s="1"/>
  <c r="T4" i="163"/>
  <c r="BC4" i="163"/>
  <c r="CG4" i="163"/>
  <c r="AL7" i="163"/>
  <c r="CT9" i="163"/>
  <c r="CY20" i="159"/>
  <c r="DD46" i="163" s="1"/>
  <c r="H34" i="159"/>
  <c r="H60" i="163" s="1"/>
  <c r="L103" i="159"/>
  <c r="L129" i="163" s="1"/>
  <c r="AG8" i="159"/>
  <c r="AG34" i="163" s="1"/>
  <c r="CG38" i="163"/>
  <c r="CB12" i="159"/>
  <c r="CC12" i="159"/>
  <c r="CD12" i="159"/>
  <c r="K34" i="159"/>
  <c r="K60" i="163" s="1"/>
  <c r="CE12" i="159"/>
  <c r="T34" i="159"/>
  <c r="AB70" i="159"/>
  <c r="AB96" i="163" s="1"/>
  <c r="M43" i="159"/>
  <c r="M69" i="163" s="1"/>
  <c r="W43" i="159"/>
  <c r="E43" i="159"/>
  <c r="E69" i="163" s="1"/>
  <c r="U43" i="159"/>
  <c r="AF43" i="159"/>
  <c r="AF69" i="163" s="1"/>
  <c r="G124" i="159"/>
  <c r="Q124" i="159"/>
  <c r="AA124" i="159"/>
  <c r="AG124" i="159"/>
  <c r="F43" i="159"/>
  <c r="F69" i="163" s="1"/>
  <c r="P43" i="159"/>
  <c r="P69" i="163" s="1"/>
  <c r="Z43" i="159"/>
  <c r="Z34" i="159" s="1"/>
  <c r="Z60" i="163" s="1"/>
  <c r="Y70" i="159"/>
  <c r="Y96" i="163" s="1"/>
  <c r="G43" i="159"/>
  <c r="G69" i="163" s="1"/>
  <c r="Q43" i="159"/>
  <c r="Q69" i="163" s="1"/>
  <c r="AA43" i="159"/>
  <c r="AA34" i="159" s="1"/>
  <c r="AA60" i="163" s="1"/>
  <c r="U124" i="159"/>
  <c r="L73" i="159"/>
  <c r="L99" i="163" s="1"/>
  <c r="V73" i="159"/>
  <c r="AF73" i="159"/>
  <c r="AF99" i="163" s="1"/>
  <c r="Y124" i="159"/>
  <c r="P124" i="159"/>
  <c r="Z124" i="159"/>
  <c r="BR89" i="159"/>
  <c r="AK82" i="163"/>
  <c r="AD124" i="159"/>
  <c r="AE73" i="159"/>
  <c r="AE99" i="163" s="1"/>
  <c r="R103" i="159"/>
  <c r="AB103" i="159"/>
  <c r="AB124" i="159" s="1"/>
  <c r="H103" i="159"/>
  <c r="H129" i="163" s="1"/>
  <c r="J103" i="159"/>
  <c r="V103" i="159"/>
  <c r="AF103" i="159"/>
  <c r="AF129" i="163" s="1"/>
  <c r="AJ131" i="163"/>
  <c r="K104" i="159"/>
  <c r="K130" i="163" s="1"/>
  <c r="AJ52" i="163"/>
  <c r="AI10" i="163"/>
  <c r="AJ23" i="163"/>
  <c r="AI8" i="163"/>
  <c r="Z30" i="163"/>
  <c r="AA30" i="163"/>
  <c r="AJ10" i="163"/>
  <c r="AI12" i="163"/>
  <c r="AI13" i="163"/>
  <c r="F30" i="163"/>
  <c r="P30" i="163"/>
  <c r="Q30" i="163"/>
  <c r="AK52" i="163"/>
  <c r="CO28" i="163"/>
  <c r="M30" i="163"/>
  <c r="AG30" i="163"/>
  <c r="AL8" i="163"/>
  <c r="AK19" i="163"/>
  <c r="AK49" i="163"/>
  <c r="AL19" i="163"/>
  <c r="AJ47" i="163"/>
  <c r="AK64" i="163"/>
  <c r="G30" i="163"/>
  <c r="AK20" i="163"/>
  <c r="BZ27" i="163"/>
  <c r="AL27" i="163"/>
  <c r="AJ24" i="163"/>
  <c r="AI45" i="163"/>
  <c r="AI47" i="163"/>
  <c r="AJ63" i="163"/>
  <c r="AK7" i="163"/>
  <c r="AK30" i="163" s="1"/>
  <c r="AK16" i="163"/>
  <c r="AK17" i="163"/>
  <c r="AJ19" i="163"/>
  <c r="AJ20" i="163"/>
  <c r="AL37" i="163"/>
  <c r="AI43" i="163"/>
  <c r="AI44" i="163"/>
  <c r="AJ45" i="163"/>
  <c r="AL45" i="163"/>
  <c r="AI48" i="163"/>
  <c r="H30" i="163"/>
  <c r="R30" i="163"/>
  <c r="AJ16" i="163"/>
  <c r="AJ17" i="163"/>
  <c r="AK40" i="163"/>
  <c r="AI41" i="163"/>
  <c r="BZ26" i="163"/>
  <c r="AL26" i="163"/>
  <c r="AK46" i="163"/>
  <c r="AI53" i="163"/>
  <c r="AJ56" i="163"/>
  <c r="AL59" i="163"/>
  <c r="CT61" i="163"/>
  <c r="AL24" i="163"/>
  <c r="BS26" i="163"/>
  <c r="AJ26" i="163"/>
  <c r="AI49" i="163"/>
  <c r="AI52" i="163"/>
  <c r="AL55" i="163"/>
  <c r="AJ65" i="163"/>
  <c r="AK71" i="163"/>
  <c r="AI63" i="163"/>
  <c r="AJ66" i="163"/>
  <c r="AI39" i="163"/>
  <c r="AJ43" i="163"/>
  <c r="AI58" i="163"/>
  <c r="AL68" i="163"/>
  <c r="AI81" i="163"/>
  <c r="AJ39" i="163"/>
  <c r="AK43" i="163"/>
  <c r="AJ55" i="163"/>
  <c r="AI57" i="163"/>
  <c r="AI36" i="163"/>
  <c r="AI37" i="163"/>
  <c r="AK39" i="163"/>
  <c r="AJ44" i="163"/>
  <c r="AL53" i="163"/>
  <c r="AJ57" i="163"/>
  <c r="AI59" i="163"/>
  <c r="AJ36" i="163"/>
  <c r="AL39" i="163"/>
  <c r="AK44" i="163"/>
  <c r="AJ50" i="163"/>
  <c r="AJ59" i="163"/>
  <c r="AK62" i="163"/>
  <c r="AK36" i="163"/>
  <c r="AL44" i="163"/>
  <c r="AK47" i="163"/>
  <c r="AJ48" i="163"/>
  <c r="AK50" i="163"/>
  <c r="AK67" i="163"/>
  <c r="AL48" i="163"/>
  <c r="AL52" i="163"/>
  <c r="AJ53" i="163"/>
  <c r="AK57" i="163"/>
  <c r="AK59" i="163"/>
  <c r="AJ72" i="163"/>
  <c r="AJ80" i="163"/>
  <c r="AJ83" i="163"/>
  <c r="AL63" i="163"/>
  <c r="AJ64" i="163"/>
  <c r="AL71" i="163"/>
  <c r="AI108" i="163"/>
  <c r="AK108" i="163"/>
  <c r="AJ68" i="163"/>
  <c r="AI74" i="163"/>
  <c r="BX76" i="163"/>
  <c r="CH76" i="163"/>
  <c r="AI71" i="163"/>
  <c r="AK74" i="163"/>
  <c r="AI78" i="163"/>
  <c r="AL81" i="163"/>
  <c r="AL93" i="163"/>
  <c r="AI75" i="163"/>
  <c r="AI77" i="163"/>
  <c r="AI86" i="163"/>
  <c r="AI89" i="163"/>
  <c r="AJ75" i="163"/>
  <c r="AJ77" i="163"/>
  <c r="AJ79" i="163"/>
  <c r="AL80" i="163"/>
  <c r="AL83" i="163"/>
  <c r="AJ86" i="163"/>
  <c r="AJ89" i="163"/>
  <c r="AK75" i="163"/>
  <c r="AK77" i="163"/>
  <c r="AI80" i="163"/>
  <c r="AJ87" i="163"/>
  <c r="AK89" i="163"/>
  <c r="AL90" i="163"/>
  <c r="AK92" i="163"/>
  <c r="AJ119" i="163"/>
  <c r="BW76" i="163"/>
  <c r="AL77" i="163"/>
  <c r="AI84" i="163"/>
  <c r="CI85" i="163"/>
  <c r="CS85" i="163"/>
  <c r="AK87" i="163"/>
  <c r="AJ118" i="163"/>
  <c r="AK84" i="163"/>
  <c r="AK95" i="163"/>
  <c r="AK107" i="163"/>
  <c r="AJ94" i="163"/>
  <c r="AL95" i="163"/>
  <c r="AI101" i="163"/>
  <c r="AI102" i="163"/>
  <c r="AI111" i="163"/>
  <c r="AI90" i="163"/>
  <c r="AI92" i="163"/>
  <c r="AI93" i="163"/>
  <c r="AJ106" i="163"/>
  <c r="AJ90" i="163"/>
  <c r="AJ95" i="163"/>
  <c r="AK101" i="163"/>
  <c r="AK102" i="163"/>
  <c r="AK105" i="163"/>
  <c r="AI94" i="163"/>
  <c r="AK121" i="163"/>
  <c r="AI124" i="163"/>
  <c r="AI126" i="163"/>
  <c r="AK109" i="163"/>
  <c r="AI114" i="163"/>
  <c r="AK120" i="163"/>
  <c r="AJ105" i="163"/>
  <c r="AJ108" i="163"/>
  <c r="AL108" i="163"/>
  <c r="AJ101" i="163"/>
  <c r="AI107" i="163"/>
  <c r="AK114" i="163"/>
  <c r="AJ92" i="163"/>
  <c r="AJ102" i="163"/>
  <c r="AI103" i="163"/>
  <c r="AK104" i="163"/>
  <c r="AI117" i="163"/>
  <c r="AK118" i="163"/>
  <c r="AK125" i="163"/>
  <c r="AL104" i="163"/>
  <c r="AL114" i="163"/>
  <c r="AJ121" i="163"/>
  <c r="AL121" i="163"/>
  <c r="AI106" i="163"/>
  <c r="AK119" i="163"/>
  <c r="AJ124" i="163"/>
  <c r="AK112" i="163"/>
  <c r="AI112" i="163"/>
  <c r="AJ114" i="163"/>
  <c r="AJ116" i="163"/>
  <c r="AL122" i="163"/>
  <c r="AI109" i="163"/>
  <c r="AJ112" i="163"/>
  <c r="AI120" i="163"/>
  <c r="AI122" i="163"/>
  <c r="AK124" i="163"/>
  <c r="AL120" i="163"/>
  <c r="AK122" i="163"/>
  <c r="AL117" i="163"/>
  <c r="AL107" i="163"/>
  <c r="AL111" i="163"/>
  <c r="AJ117" i="163"/>
  <c r="AK126" i="163"/>
  <c r="AJ128" i="163"/>
  <c r="AI123" i="163"/>
  <c r="AI125" i="163"/>
  <c r="AI128" i="163"/>
  <c r="AL134" i="163"/>
  <c r="AJ123" i="163"/>
  <c r="AJ125" i="163"/>
  <c r="AJ127" i="163"/>
  <c r="AL127" i="163"/>
  <c r="AJ133" i="163"/>
  <c r="AL142" i="163"/>
  <c r="AL126" i="163"/>
  <c r="AI135" i="163"/>
  <c r="AK135" i="163"/>
  <c r="AK133" i="163"/>
  <c r="AJ134" i="163"/>
  <c r="AI136" i="163"/>
  <c r="AI147" i="163"/>
  <c r="AJ132" i="163"/>
  <c r="AJ140" i="163"/>
  <c r="AK148" i="163"/>
  <c r="AJ139" i="163"/>
  <c r="AL139" i="163"/>
  <c r="AK138" i="163"/>
  <c r="AK141" i="163"/>
  <c r="AI142" i="163"/>
  <c r="AI133" i="163"/>
  <c r="AK134" i="163"/>
  <c r="AJ136" i="163"/>
  <c r="AK139" i="163"/>
  <c r="AK136" i="163"/>
  <c r="AI140" i="163"/>
  <c r="AI137" i="163"/>
  <c r="AJ142" i="163"/>
  <c r="AK142" i="163"/>
  <c r="AJ147" i="163"/>
  <c r="AI145" i="163"/>
  <c r="AJ143" i="163"/>
  <c r="AI144" i="163"/>
  <c r="AJ145" i="163"/>
  <c r="AK145" i="163"/>
  <c r="AK149" i="163"/>
  <c r="AI148" i="163"/>
  <c r="AJ149" i="163"/>
  <c r="AL149" i="163"/>
  <c r="AL148" i="163"/>
  <c r="AI146" i="163"/>
  <c r="AK147" i="163"/>
  <c r="AX117" i="159" l="1"/>
  <c r="AZ117" i="159"/>
  <c r="AY117" i="159"/>
  <c r="BK145" i="163"/>
  <c r="CO145" i="163" s="1"/>
  <c r="W143" i="143" s="1"/>
  <c r="BF65" i="159"/>
  <c r="BA9" i="159"/>
  <c r="BA104" i="159"/>
  <c r="BF130" i="163" s="1"/>
  <c r="BF74" i="159"/>
  <c r="CJ74" i="159" s="1"/>
  <c r="BF43" i="159"/>
  <c r="BK70" i="163"/>
  <c r="CO70" i="163" s="1"/>
  <c r="CJ44" i="159"/>
  <c r="BF28" i="159"/>
  <c r="BA56" i="159"/>
  <c r="BF16" i="159"/>
  <c r="BA103" i="159"/>
  <c r="BF129" i="163" s="1"/>
  <c r="BK100" i="163"/>
  <c r="CO100" i="163" s="1"/>
  <c r="BA65" i="159"/>
  <c r="CI24" i="190"/>
  <c r="BE26" i="190"/>
  <c r="BF9" i="159"/>
  <c r="BA44" i="159"/>
  <c r="BF104" i="159"/>
  <c r="BA28" i="159"/>
  <c r="BE56" i="159"/>
  <c r="BA74" i="159"/>
  <c r="BA25" i="159"/>
  <c r="CJ65" i="159"/>
  <c r="BK91" i="163"/>
  <c r="CO91" i="163" s="1"/>
  <c r="BF56" i="159"/>
  <c r="BA89" i="159"/>
  <c r="BF89" i="159"/>
  <c r="BA16" i="159"/>
  <c r="BF25" i="159"/>
  <c r="DD12" i="163"/>
  <c r="CX30" i="190"/>
  <c r="BF12" i="163"/>
  <c r="BF23" i="163"/>
  <c r="CJ23" i="163" s="1"/>
  <c r="V23" i="143" s="1"/>
  <c r="BF16" i="163"/>
  <c r="BF13" i="163"/>
  <c r="BF17" i="163"/>
  <c r="DA7" i="163"/>
  <c r="CU10" i="190"/>
  <c r="CC20" i="190"/>
  <c r="AY22" i="190"/>
  <c r="CC22" i="190" s="1"/>
  <c r="DB19" i="163"/>
  <c r="CV22" i="190"/>
  <c r="DB21" i="163" s="1"/>
  <c r="CW15" i="190"/>
  <c r="DC14" i="163" s="1"/>
  <c r="DC13" i="163"/>
  <c r="CH20" i="190"/>
  <c r="BD22" i="190"/>
  <c r="CH22" i="190" s="1"/>
  <c r="CA8" i="190"/>
  <c r="AW10" i="190"/>
  <c r="CB20" i="190"/>
  <c r="AX22" i="190"/>
  <c r="CB22" i="190" s="1"/>
  <c r="DA19" i="163"/>
  <c r="CU22" i="190"/>
  <c r="DA21" i="163" s="1"/>
  <c r="CA20" i="190"/>
  <c r="AW22" i="190"/>
  <c r="CA22" i="190" s="1"/>
  <c r="CD8" i="190"/>
  <c r="AZ10" i="190"/>
  <c r="CH8" i="190"/>
  <c r="BD10" i="190"/>
  <c r="CG20" i="190"/>
  <c r="BC22" i="190"/>
  <c r="CG22" i="190" s="1"/>
  <c r="CG8" i="190"/>
  <c r="BC10" i="190"/>
  <c r="CV15" i="190"/>
  <c r="DB14" i="163" s="1"/>
  <c r="DB13" i="163"/>
  <c r="BK143" i="163"/>
  <c r="CJ117" i="159"/>
  <c r="CF20" i="190"/>
  <c r="BB22" i="190"/>
  <c r="CF22" i="190" s="1"/>
  <c r="CC8" i="190"/>
  <c r="AY10" i="190"/>
  <c r="DD7" i="163"/>
  <c r="CX10" i="190"/>
  <c r="DD19" i="163"/>
  <c r="CX22" i="190"/>
  <c r="DD21" i="163" s="1"/>
  <c r="CX15" i="190"/>
  <c r="DD14" i="163" s="1"/>
  <c r="DD13" i="163"/>
  <c r="AZ22" i="190"/>
  <c r="CD22" i="190" s="1"/>
  <c r="CD20" i="190"/>
  <c r="DC19" i="163"/>
  <c r="CW22" i="190"/>
  <c r="DC21" i="163" s="1"/>
  <c r="CF8" i="190"/>
  <c r="BB10" i="190"/>
  <c r="CU15" i="190"/>
  <c r="DA14" i="163" s="1"/>
  <c r="DA13" i="163"/>
  <c r="CB8" i="190"/>
  <c r="AX10" i="190"/>
  <c r="AK15" i="190"/>
  <c r="AK17" i="190"/>
  <c r="AK8" i="190"/>
  <c r="AK16" i="190"/>
  <c r="AK24" i="190"/>
  <c r="AK9" i="190"/>
  <c r="AK25" i="190"/>
  <c r="AK18" i="190"/>
  <c r="AK20" i="190"/>
  <c r="AK11" i="190"/>
  <c r="AK13" i="190"/>
  <c r="AK21" i="190"/>
  <c r="AK14" i="190"/>
  <c r="AP15" i="190"/>
  <c r="AP8" i="190"/>
  <c r="AP16" i="190"/>
  <c r="AP24" i="190"/>
  <c r="AP9" i="190"/>
  <c r="AP17" i="190"/>
  <c r="AP25" i="190"/>
  <c r="AP18" i="190"/>
  <c r="AP11" i="190"/>
  <c r="AP20" i="190"/>
  <c r="AP21" i="190"/>
  <c r="AP13" i="190"/>
  <c r="AP14" i="190"/>
  <c r="AQ4" i="159"/>
  <c r="AO4" i="159"/>
  <c r="AN4" i="159"/>
  <c r="M29" i="143"/>
  <c r="T6" i="143"/>
  <c r="T96" i="143" s="1"/>
  <c r="F124" i="159"/>
  <c r="T124" i="159"/>
  <c r="O124" i="159"/>
  <c r="O34" i="159"/>
  <c r="M124" i="159"/>
  <c r="M150" i="163" s="1"/>
  <c r="L70" i="159"/>
  <c r="E124" i="159"/>
  <c r="R34" i="159"/>
  <c r="BH4" i="190"/>
  <c r="BJ4" i="190"/>
  <c r="BI4" i="190"/>
  <c r="BK4" i="159"/>
  <c r="BJ4" i="159"/>
  <c r="AT117" i="159"/>
  <c r="AR4" i="190"/>
  <c r="AU4" i="190"/>
  <c r="AT4" i="190"/>
  <c r="AS4" i="190"/>
  <c r="AN4" i="190"/>
  <c r="AO4" i="190"/>
  <c r="AM4" i="190"/>
  <c r="E4" i="163"/>
  <c r="AH4" i="190"/>
  <c r="AI4" i="190"/>
  <c r="AJ4" i="190"/>
  <c r="BL5" i="190"/>
  <c r="BM5" i="159"/>
  <c r="V34" i="163"/>
  <c r="AK34" i="163" s="1"/>
  <c r="U99" i="163"/>
  <c r="U34" i="163"/>
  <c r="W99" i="163"/>
  <c r="V34" i="159"/>
  <c r="V69" i="163"/>
  <c r="J124" i="159"/>
  <c r="J129" i="163"/>
  <c r="T129" i="163"/>
  <c r="V99" i="163"/>
  <c r="U69" i="163"/>
  <c r="U129" i="163"/>
  <c r="R124" i="159"/>
  <c r="R150" i="163" s="1"/>
  <c r="R129" i="163"/>
  <c r="W69" i="163"/>
  <c r="T60" i="163"/>
  <c r="T99" i="163"/>
  <c r="T34" i="163"/>
  <c r="AD34" i="159"/>
  <c r="AD69" i="163"/>
  <c r="T69" i="163"/>
  <c r="V129" i="163"/>
  <c r="CV26" i="163"/>
  <c r="DF26" i="163" s="1"/>
  <c r="CV27" i="163"/>
  <c r="DF27" i="163" s="1"/>
  <c r="AJ30" i="163"/>
  <c r="CX26" i="163"/>
  <c r="DH26" i="163" s="1"/>
  <c r="CW27" i="163"/>
  <c r="DG27" i="163" s="1"/>
  <c r="AC15" i="143"/>
  <c r="AI15" i="143" s="1"/>
  <c r="CY26" i="163"/>
  <c r="DI26" i="163" s="1"/>
  <c r="CX27" i="163"/>
  <c r="DH27" i="163" s="1"/>
  <c r="BF7" i="163"/>
  <c r="CJ7" i="163" s="1"/>
  <c r="AL23" i="163"/>
  <c r="BF10" i="163"/>
  <c r="BC13" i="163"/>
  <c r="CG13" i="163" s="1"/>
  <c r="BD68" i="163"/>
  <c r="CH68" i="163" s="1"/>
  <c r="H64" i="143" s="1"/>
  <c r="CC42" i="159"/>
  <c r="BF39" i="163"/>
  <c r="CJ39" i="163" s="1"/>
  <c r="V35" i="143" s="1"/>
  <c r="CE13" i="159"/>
  <c r="BE8" i="163"/>
  <c r="CI8" i="163" s="1"/>
  <c r="O8" i="143" s="1"/>
  <c r="BF20" i="163"/>
  <c r="CJ20" i="163" s="1"/>
  <c r="V20" i="143" s="1"/>
  <c r="BF75" i="163"/>
  <c r="CJ75" i="163" s="1"/>
  <c r="V71" i="143" s="1"/>
  <c r="CE49" i="159"/>
  <c r="BK23" i="163"/>
  <c r="CO23" i="163" s="1"/>
  <c r="W23" i="143" s="1"/>
  <c r="BD102" i="163"/>
  <c r="CH102" i="163" s="1"/>
  <c r="H100" i="143" s="1"/>
  <c r="CC76" i="159"/>
  <c r="BJ46" i="163"/>
  <c r="CN46" i="163" s="1"/>
  <c r="P42" i="143" s="1"/>
  <c r="CI20" i="159"/>
  <c r="BJ87" i="163"/>
  <c r="CN87" i="163" s="1"/>
  <c r="P83" i="143" s="1"/>
  <c r="CI61" i="159"/>
  <c r="BD111" i="163"/>
  <c r="CH111" i="163" s="1"/>
  <c r="H109" i="143" s="1"/>
  <c r="CC85" i="159"/>
  <c r="BC103" i="163"/>
  <c r="CG103" i="163" s="1"/>
  <c r="CB77" i="159"/>
  <c r="BE81" i="163"/>
  <c r="CI81" i="163" s="1"/>
  <c r="O77" i="143" s="1"/>
  <c r="CD55" i="159"/>
  <c r="BK120" i="163"/>
  <c r="CO120" i="163" s="1"/>
  <c r="W118" i="143" s="1"/>
  <c r="CJ94" i="159"/>
  <c r="BH132" i="163"/>
  <c r="CL132" i="163" s="1"/>
  <c r="CG106" i="159"/>
  <c r="CW26" i="163"/>
  <c r="DG26" i="163" s="1"/>
  <c r="BE10" i="163"/>
  <c r="CI10" i="163" s="1"/>
  <c r="O10" i="143" s="1"/>
  <c r="BH12" i="163"/>
  <c r="CL12" i="163" s="1"/>
  <c r="BE43" i="163"/>
  <c r="CI43" i="163" s="1"/>
  <c r="O39" i="143" s="1"/>
  <c r="CD17" i="159"/>
  <c r="AZ16" i="159"/>
  <c r="BJ17" i="163"/>
  <c r="CN17" i="163" s="1"/>
  <c r="P17" i="143" s="1"/>
  <c r="BC43" i="163"/>
  <c r="CG43" i="163" s="1"/>
  <c r="CB17" i="159"/>
  <c r="AX16" i="159"/>
  <c r="BJ63" i="163"/>
  <c r="CN63" i="163" s="1"/>
  <c r="P59" i="143" s="1"/>
  <c r="CI37" i="159"/>
  <c r="BJ64" i="163"/>
  <c r="CN64" i="163" s="1"/>
  <c r="P60" i="143" s="1"/>
  <c r="CI38" i="159"/>
  <c r="BK114" i="163"/>
  <c r="CO114" i="163" s="1"/>
  <c r="W112" i="143" s="1"/>
  <c r="CJ88" i="159"/>
  <c r="BJ95" i="163"/>
  <c r="CN95" i="163" s="1"/>
  <c r="P91" i="143" s="1"/>
  <c r="CI69" i="159"/>
  <c r="BF120" i="163"/>
  <c r="CJ120" i="163" s="1"/>
  <c r="V118" i="143" s="1"/>
  <c r="CE94" i="159"/>
  <c r="BJ102" i="163"/>
  <c r="CN102" i="163" s="1"/>
  <c r="P100" i="143" s="1"/>
  <c r="CI76" i="159"/>
  <c r="BF114" i="163"/>
  <c r="CJ114" i="163" s="1"/>
  <c r="V112" i="143" s="1"/>
  <c r="CE88" i="159"/>
  <c r="BE128" i="163"/>
  <c r="CI128" i="163" s="1"/>
  <c r="O126" i="143" s="1"/>
  <c r="CD102" i="159"/>
  <c r="BE126" i="163"/>
  <c r="CI126" i="163" s="1"/>
  <c r="O124" i="143" s="1"/>
  <c r="CD100" i="159"/>
  <c r="BW115" i="163"/>
  <c r="AI76" i="163"/>
  <c r="L124" i="159"/>
  <c r="BF15" i="163"/>
  <c r="BJ16" i="163"/>
  <c r="CN16" i="163" s="1"/>
  <c r="P16" i="143" s="1"/>
  <c r="BD39" i="163"/>
  <c r="CH39" i="163" s="1"/>
  <c r="H35" i="143" s="1"/>
  <c r="CC13" i="159"/>
  <c r="BJ13" i="163"/>
  <c r="CN13" i="163" s="1"/>
  <c r="P13" i="143" s="1"/>
  <c r="BF53" i="163"/>
  <c r="CJ53" i="163" s="1"/>
  <c r="V49" i="143" s="1"/>
  <c r="CE27" i="159"/>
  <c r="BC56" i="163"/>
  <c r="CG56" i="163" s="1"/>
  <c r="CB30" i="159"/>
  <c r="BF92" i="163"/>
  <c r="CJ92" i="163" s="1"/>
  <c r="V88" i="143" s="1"/>
  <c r="CE66" i="159"/>
  <c r="BC117" i="163"/>
  <c r="CG117" i="163" s="1"/>
  <c r="CB91" i="159"/>
  <c r="BJ105" i="163"/>
  <c r="CN105" i="163" s="1"/>
  <c r="P103" i="143" s="1"/>
  <c r="CI79" i="159"/>
  <c r="BD88" i="163"/>
  <c r="CH88" i="163" s="1"/>
  <c r="H84" i="143" s="1"/>
  <c r="CC62" i="159"/>
  <c r="BH121" i="163"/>
  <c r="CL121" i="163" s="1"/>
  <c r="CG95" i="159"/>
  <c r="BH133" i="163"/>
  <c r="CL133" i="163" s="1"/>
  <c r="CG107" i="159"/>
  <c r="AF34" i="159"/>
  <c r="AF60" i="163" s="1"/>
  <c r="AK51" i="163"/>
  <c r="AJ9" i="163"/>
  <c r="AJ31" i="163" s="1"/>
  <c r="BI17" i="163"/>
  <c r="CM17" i="163" s="1"/>
  <c r="I17" i="143" s="1"/>
  <c r="BE19" i="163"/>
  <c r="CI19" i="163" s="1"/>
  <c r="O19" i="143" s="1"/>
  <c r="BK48" i="163"/>
  <c r="CO48" i="163" s="1"/>
  <c r="W44" i="143" s="1"/>
  <c r="CJ22" i="159"/>
  <c r="BE46" i="163"/>
  <c r="CI46" i="163" s="1"/>
  <c r="O42" i="143" s="1"/>
  <c r="CD20" i="159"/>
  <c r="BK72" i="163"/>
  <c r="CO72" i="163" s="1"/>
  <c r="W68" i="143" s="1"/>
  <c r="CJ46" i="159"/>
  <c r="BJ75" i="163"/>
  <c r="CN75" i="163" s="1"/>
  <c r="P71" i="143" s="1"/>
  <c r="CI49" i="159"/>
  <c r="BE107" i="163"/>
  <c r="CI107" i="163" s="1"/>
  <c r="O105" i="143" s="1"/>
  <c r="CD81" i="159"/>
  <c r="BJ79" i="163"/>
  <c r="CN79" i="163" s="1"/>
  <c r="CI53" i="159"/>
  <c r="BJ112" i="163"/>
  <c r="CN112" i="163" s="1"/>
  <c r="P110" i="143" s="1"/>
  <c r="CI86" i="159"/>
  <c r="BJ94" i="163"/>
  <c r="CN94" i="163" s="1"/>
  <c r="P90" i="143" s="1"/>
  <c r="CI68" i="159"/>
  <c r="BH128" i="163"/>
  <c r="CL128" i="163" s="1"/>
  <c r="CG102" i="159"/>
  <c r="BK140" i="163"/>
  <c r="CO140" i="163" s="1"/>
  <c r="W138" i="143" s="1"/>
  <c r="CJ114" i="159"/>
  <c r="AJ115" i="163"/>
  <c r="AJ61" i="163"/>
  <c r="AJ73" i="163"/>
  <c r="DA131" i="163"/>
  <c r="BI15" i="163"/>
  <c r="BJ45" i="163"/>
  <c r="CN45" i="163" s="1"/>
  <c r="P41" i="143" s="1"/>
  <c r="CI19" i="159"/>
  <c r="BJ36" i="163"/>
  <c r="CN36" i="163" s="1"/>
  <c r="P32" i="143" s="1"/>
  <c r="BE9" i="159"/>
  <c r="CI10" i="159"/>
  <c r="BF41" i="163"/>
  <c r="CJ41" i="163" s="1"/>
  <c r="V37" i="143" s="1"/>
  <c r="CE15" i="159"/>
  <c r="BE62" i="163"/>
  <c r="CI62" i="163" s="1"/>
  <c r="O58" i="143" s="1"/>
  <c r="CD36" i="159"/>
  <c r="BK64" i="163"/>
  <c r="CO64" i="163" s="1"/>
  <c r="W60" i="143" s="1"/>
  <c r="CJ38" i="159"/>
  <c r="BK84" i="163"/>
  <c r="CO84" i="163" s="1"/>
  <c r="W80" i="143" s="1"/>
  <c r="CJ58" i="159"/>
  <c r="BK106" i="163"/>
  <c r="CO106" i="163" s="1"/>
  <c r="W104" i="143" s="1"/>
  <c r="CJ80" i="159"/>
  <c r="BJ86" i="163"/>
  <c r="CN86" i="163" s="1"/>
  <c r="P82" i="143" s="1"/>
  <c r="CI60" i="159"/>
  <c r="BJ109" i="163"/>
  <c r="CN109" i="163" s="1"/>
  <c r="P107" i="143" s="1"/>
  <c r="CI83" i="159"/>
  <c r="BC123" i="163"/>
  <c r="CG123" i="163" s="1"/>
  <c r="CB97" i="159"/>
  <c r="BH119" i="163"/>
  <c r="CL119" i="163" s="1"/>
  <c r="CG93" i="159"/>
  <c r="BD121" i="163"/>
  <c r="CH121" i="163" s="1"/>
  <c r="H119" i="143" s="1"/>
  <c r="CC95" i="159"/>
  <c r="BF127" i="163"/>
  <c r="CJ127" i="163" s="1"/>
  <c r="V125" i="143" s="1"/>
  <c r="CE101" i="159"/>
  <c r="BH135" i="163"/>
  <c r="CL135" i="163" s="1"/>
  <c r="CG109" i="159"/>
  <c r="BE136" i="163"/>
  <c r="CI136" i="163" s="1"/>
  <c r="O134" i="143" s="1"/>
  <c r="CD110" i="159"/>
  <c r="BF134" i="163"/>
  <c r="CJ134" i="163" s="1"/>
  <c r="V132" i="143" s="1"/>
  <c r="CE108" i="159"/>
  <c r="BK142" i="163"/>
  <c r="CO142" i="163" s="1"/>
  <c r="W140" i="143" s="1"/>
  <c r="CJ116" i="159"/>
  <c r="BD146" i="163"/>
  <c r="CH146" i="163" s="1"/>
  <c r="H144" i="143" s="1"/>
  <c r="CC120" i="159"/>
  <c r="BE146" i="163"/>
  <c r="CI146" i="163" s="1"/>
  <c r="O144" i="143" s="1"/>
  <c r="CD120" i="159"/>
  <c r="BC15" i="163"/>
  <c r="BD48" i="163"/>
  <c r="CH48" i="163" s="1"/>
  <c r="H44" i="143" s="1"/>
  <c r="CC22" i="159"/>
  <c r="BK20" i="163"/>
  <c r="CO20" i="163" s="1"/>
  <c r="W20" i="143" s="1"/>
  <c r="BJ72" i="163"/>
  <c r="CN72" i="163" s="1"/>
  <c r="P68" i="143" s="1"/>
  <c r="CI46" i="159"/>
  <c r="BD72" i="163"/>
  <c r="CH72" i="163" s="1"/>
  <c r="H68" i="143" s="1"/>
  <c r="CC46" i="159"/>
  <c r="BK75" i="163"/>
  <c r="CO75" i="163" s="1"/>
  <c r="W71" i="143" s="1"/>
  <c r="CJ49" i="159"/>
  <c r="BI101" i="163"/>
  <c r="CM101" i="163" s="1"/>
  <c r="I99" i="143" s="1"/>
  <c r="CH75" i="159"/>
  <c r="BD74" i="159"/>
  <c r="BD104" i="163"/>
  <c r="CH104" i="163" s="1"/>
  <c r="H102" i="143" s="1"/>
  <c r="CC78" i="159"/>
  <c r="BK81" i="163"/>
  <c r="CO81" i="163" s="1"/>
  <c r="W77" i="143" s="1"/>
  <c r="CJ55" i="159"/>
  <c r="BJ80" i="163"/>
  <c r="CN80" i="163" s="1"/>
  <c r="P76" i="143" s="1"/>
  <c r="CI54" i="159"/>
  <c r="BC113" i="163"/>
  <c r="CG113" i="163" s="1"/>
  <c r="CB87" i="159"/>
  <c r="BE120" i="163"/>
  <c r="CI120" i="163" s="1"/>
  <c r="O118" i="143" s="1"/>
  <c r="CD94" i="159"/>
  <c r="BC122" i="163"/>
  <c r="CG122" i="163" s="1"/>
  <c r="CB96" i="159"/>
  <c r="BJ136" i="163"/>
  <c r="CN136" i="163" s="1"/>
  <c r="P134" i="143" s="1"/>
  <c r="CI110" i="159"/>
  <c r="BI142" i="163"/>
  <c r="CM142" i="163" s="1"/>
  <c r="I140" i="143" s="1"/>
  <c r="CH116" i="159"/>
  <c r="BI146" i="163"/>
  <c r="CM146" i="163" s="1"/>
  <c r="I144" i="143" s="1"/>
  <c r="CH120" i="159"/>
  <c r="AJ85" i="163"/>
  <c r="AE124" i="159"/>
  <c r="AL54" i="163"/>
  <c r="BK37" i="163"/>
  <c r="CO37" i="163" s="1"/>
  <c r="W33" i="143" s="1"/>
  <c r="CJ11" i="159"/>
  <c r="BD14" i="163"/>
  <c r="CH14" i="163" s="1"/>
  <c r="H14" i="143" s="1"/>
  <c r="BK44" i="163"/>
  <c r="CO44" i="163" s="1"/>
  <c r="W40" i="143" s="1"/>
  <c r="CJ18" i="159"/>
  <c r="BC58" i="163"/>
  <c r="CG58" i="163" s="1"/>
  <c r="CB32" i="159"/>
  <c r="BC55" i="163"/>
  <c r="CG55" i="163" s="1"/>
  <c r="CB29" i="159"/>
  <c r="AX28" i="159"/>
  <c r="BK88" i="163"/>
  <c r="CO88" i="163" s="1"/>
  <c r="W84" i="143" s="1"/>
  <c r="CJ62" i="159"/>
  <c r="BI111" i="163"/>
  <c r="CM111" i="163" s="1"/>
  <c r="I109" i="143" s="1"/>
  <c r="CH85" i="159"/>
  <c r="BK131" i="163"/>
  <c r="CO131" i="163" s="1"/>
  <c r="CJ105" i="159"/>
  <c r="BD119" i="163"/>
  <c r="CH119" i="163" s="1"/>
  <c r="H117" i="143" s="1"/>
  <c r="CC93" i="159"/>
  <c r="BD138" i="163"/>
  <c r="CH138" i="163" s="1"/>
  <c r="H136" i="143" s="1"/>
  <c r="CC112" i="159"/>
  <c r="DC71" i="163"/>
  <c r="CX44" i="159"/>
  <c r="DC62" i="163"/>
  <c r="CX35" i="159"/>
  <c r="DC131" i="163"/>
  <c r="AF124" i="159"/>
  <c r="Q34" i="159"/>
  <c r="Q60" i="163" s="1"/>
  <c r="AI61" i="163"/>
  <c r="AK35" i="163"/>
  <c r="AK9" i="163"/>
  <c r="AK31" i="163" s="1"/>
  <c r="AL30" i="163"/>
  <c r="AK115" i="163"/>
  <c r="AK91" i="163"/>
  <c r="AB125" i="159"/>
  <c r="AB150" i="163" s="1"/>
  <c r="AL82" i="163"/>
  <c r="P150" i="163"/>
  <c r="AK61" i="163"/>
  <c r="G34" i="159"/>
  <c r="G60" i="163" s="1"/>
  <c r="AK54" i="163"/>
  <c r="AJ51" i="163"/>
  <c r="AI85" i="163"/>
  <c r="AJ54" i="163"/>
  <c r="AI51" i="163"/>
  <c r="AJ76" i="163"/>
  <c r="AI73" i="163"/>
  <c r="AI38" i="163"/>
  <c r="AG70" i="159"/>
  <c r="AL51" i="163"/>
  <c r="AL9" i="163"/>
  <c r="AF28" i="163"/>
  <c r="DC52" i="163"/>
  <c r="CX25" i="159"/>
  <c r="DC51" i="163" s="1"/>
  <c r="DC116" i="163"/>
  <c r="CX89" i="159"/>
  <c r="DC115" i="163" s="1"/>
  <c r="DC144" i="163"/>
  <c r="CX117" i="159"/>
  <c r="DC143" i="163" s="1"/>
  <c r="DD43" i="163"/>
  <c r="CY16" i="159"/>
  <c r="DD42" i="163" s="1"/>
  <c r="DD62" i="163"/>
  <c r="CY35" i="159"/>
  <c r="DD131" i="163"/>
  <c r="DB62" i="163"/>
  <c r="CW35" i="159"/>
  <c r="DB116" i="163"/>
  <c r="CW89" i="159"/>
  <c r="DB115" i="163" s="1"/>
  <c r="AV105" i="159"/>
  <c r="DA43" i="163"/>
  <c r="CV16" i="159"/>
  <c r="DA42" i="163" s="1"/>
  <c r="DA62" i="163"/>
  <c r="CV35" i="159"/>
  <c r="DA52" i="163"/>
  <c r="CV25" i="159"/>
  <c r="DA51" i="163" s="1"/>
  <c r="DA92" i="163"/>
  <c r="CV65" i="159"/>
  <c r="DA91" i="163" s="1"/>
  <c r="BE7" i="163"/>
  <c r="CI7" i="163" s="1"/>
  <c r="O7" i="143" s="1"/>
  <c r="BD19" i="163"/>
  <c r="CH19" i="163" s="1"/>
  <c r="H19" i="143" s="1"/>
  <c r="BH10" i="163"/>
  <c r="CL10" i="163" s="1"/>
  <c r="BD55" i="163"/>
  <c r="CH55" i="163" s="1"/>
  <c r="H51" i="143" s="1"/>
  <c r="CC29" i="159"/>
  <c r="AY28" i="159"/>
  <c r="BC12" i="163"/>
  <c r="CG12" i="163" s="1"/>
  <c r="BI7" i="163"/>
  <c r="CM7" i="163" s="1"/>
  <c r="I7" i="143" s="1"/>
  <c r="BK15" i="163"/>
  <c r="BC10" i="163"/>
  <c r="CG10" i="163" s="1"/>
  <c r="BK12" i="163"/>
  <c r="CO12" i="163" s="1"/>
  <c r="W12" i="143" s="1"/>
  <c r="BK14" i="163"/>
  <c r="CO14" i="163" s="1"/>
  <c r="W14" i="143" s="1"/>
  <c r="BH24" i="163"/>
  <c r="CL24" i="163" s="1"/>
  <c r="BJ12" i="163"/>
  <c r="CN12" i="163" s="1"/>
  <c r="P12" i="143" s="1"/>
  <c r="BC19" i="163"/>
  <c r="CG19" i="163" s="1"/>
  <c r="BE40" i="163"/>
  <c r="CI40" i="163" s="1"/>
  <c r="O36" i="143" s="1"/>
  <c r="CD14" i="159"/>
  <c r="BE16" i="163"/>
  <c r="CI16" i="163" s="1"/>
  <c r="O16" i="143" s="1"/>
  <c r="BD37" i="163"/>
  <c r="CH37" i="163" s="1"/>
  <c r="H33" i="143" s="1"/>
  <c r="CC11" i="159"/>
  <c r="BJ44" i="163"/>
  <c r="CN44" i="163" s="1"/>
  <c r="P40" i="143" s="1"/>
  <c r="CI18" i="159"/>
  <c r="BD24" i="163"/>
  <c r="CH24" i="163" s="1"/>
  <c r="H24" i="143" s="1"/>
  <c r="BK57" i="163"/>
  <c r="CO57" i="163" s="1"/>
  <c r="W53" i="143" s="1"/>
  <c r="CJ31" i="159"/>
  <c r="BK36" i="163"/>
  <c r="CO36" i="163" s="1"/>
  <c r="W32" i="143" s="1"/>
  <c r="CJ10" i="159"/>
  <c r="BD45" i="163"/>
  <c r="CH45" i="163" s="1"/>
  <c r="H41" i="143" s="1"/>
  <c r="CC19" i="159"/>
  <c r="BH19" i="163"/>
  <c r="CL19" i="163" s="1"/>
  <c r="BK40" i="163"/>
  <c r="CO40" i="163" s="1"/>
  <c r="W36" i="143" s="1"/>
  <c r="CJ14" i="159"/>
  <c r="BC49" i="163"/>
  <c r="CG49" i="163" s="1"/>
  <c r="CB23" i="159"/>
  <c r="BE105" i="163"/>
  <c r="CI105" i="163" s="1"/>
  <c r="O103" i="143" s="1"/>
  <c r="CD79" i="159"/>
  <c r="BC52" i="163"/>
  <c r="CG52" i="163" s="1"/>
  <c r="AX25" i="159"/>
  <c r="CB26" i="159"/>
  <c r="BD59" i="163"/>
  <c r="CH59" i="163" s="1"/>
  <c r="H55" i="143" s="1"/>
  <c r="CC33" i="159"/>
  <c r="BE68" i="163"/>
  <c r="CI68" i="163" s="1"/>
  <c r="O64" i="143" s="1"/>
  <c r="CD42" i="159"/>
  <c r="BE88" i="163"/>
  <c r="CI88" i="163" s="1"/>
  <c r="O84" i="143" s="1"/>
  <c r="CD62" i="159"/>
  <c r="BE50" i="163"/>
  <c r="CI50" i="163" s="1"/>
  <c r="O46" i="143" s="1"/>
  <c r="CD24" i="159"/>
  <c r="BE59" i="163"/>
  <c r="CI59" i="163" s="1"/>
  <c r="O55" i="143" s="1"/>
  <c r="CD33" i="159"/>
  <c r="BC63" i="163"/>
  <c r="CG63" i="163" s="1"/>
  <c r="CB37" i="159"/>
  <c r="BE72" i="163"/>
  <c r="CI72" i="163" s="1"/>
  <c r="O68" i="143" s="1"/>
  <c r="CD46" i="159"/>
  <c r="BJ55" i="163"/>
  <c r="CN55" i="163" s="1"/>
  <c r="P51" i="143" s="1"/>
  <c r="BE28" i="159"/>
  <c r="CI29" i="159"/>
  <c r="BD107" i="163"/>
  <c r="CH107" i="163" s="1"/>
  <c r="H105" i="143" s="1"/>
  <c r="CC81" i="159"/>
  <c r="BC53" i="163"/>
  <c r="CG53" i="163" s="1"/>
  <c r="CB27" i="159"/>
  <c r="BJ62" i="163"/>
  <c r="CN62" i="163" s="1"/>
  <c r="P58" i="143" s="1"/>
  <c r="CI36" i="159"/>
  <c r="BK94" i="163"/>
  <c r="CO94" i="163" s="1"/>
  <c r="W90" i="143" s="1"/>
  <c r="CJ68" i="159"/>
  <c r="BK68" i="163"/>
  <c r="CO68" i="163" s="1"/>
  <c r="W64" i="143" s="1"/>
  <c r="CJ42" i="159"/>
  <c r="BJ84" i="163"/>
  <c r="CN84" i="163" s="1"/>
  <c r="P80" i="143" s="1"/>
  <c r="CI58" i="159"/>
  <c r="BD94" i="163"/>
  <c r="CH94" i="163" s="1"/>
  <c r="H90" i="143" s="1"/>
  <c r="CC68" i="159"/>
  <c r="BF105" i="163"/>
  <c r="CJ105" i="163" s="1"/>
  <c r="V103" i="143" s="1"/>
  <c r="CE79" i="159"/>
  <c r="BD112" i="163"/>
  <c r="CH112" i="163" s="1"/>
  <c r="H110" i="143" s="1"/>
  <c r="CC86" i="159"/>
  <c r="BK89" i="163"/>
  <c r="CO89" i="163" s="1"/>
  <c r="W85" i="143" s="1"/>
  <c r="CJ63" i="159"/>
  <c r="BF102" i="163"/>
  <c r="CJ102" i="163" s="1"/>
  <c r="V100" i="143" s="1"/>
  <c r="CE76" i="159"/>
  <c r="BF109" i="163"/>
  <c r="CJ109" i="163" s="1"/>
  <c r="V107" i="143" s="1"/>
  <c r="CE83" i="159"/>
  <c r="BJ77" i="163"/>
  <c r="CN77" i="163" s="1"/>
  <c r="P73" i="143" s="1"/>
  <c r="CI51" i="159"/>
  <c r="BJ93" i="163"/>
  <c r="CN93" i="163" s="1"/>
  <c r="P89" i="143" s="1"/>
  <c r="CI67" i="159"/>
  <c r="BH105" i="163"/>
  <c r="CL105" i="163" s="1"/>
  <c r="CG79" i="159"/>
  <c r="BE111" i="163"/>
  <c r="CI111" i="163" s="1"/>
  <c r="O109" i="143" s="1"/>
  <c r="CD85" i="159"/>
  <c r="BE89" i="163"/>
  <c r="CI89" i="163" s="1"/>
  <c r="O85" i="143" s="1"/>
  <c r="CD63" i="159"/>
  <c r="BE101" i="163"/>
  <c r="CI101" i="163" s="1"/>
  <c r="O99" i="143" s="1"/>
  <c r="AZ74" i="159"/>
  <c r="CD75" i="159"/>
  <c r="BH107" i="163"/>
  <c r="CL107" i="163" s="1"/>
  <c r="CG81" i="159"/>
  <c r="BC114" i="163"/>
  <c r="CG114" i="163" s="1"/>
  <c r="CB88" i="159"/>
  <c r="BJ83" i="163"/>
  <c r="CN83" i="163" s="1"/>
  <c r="P79" i="143" s="1"/>
  <c r="CI57" i="159"/>
  <c r="BD93" i="163"/>
  <c r="CH93" i="163" s="1"/>
  <c r="H89" i="143" s="1"/>
  <c r="CC67" i="159"/>
  <c r="BE79" i="163"/>
  <c r="CI79" i="163" s="1"/>
  <c r="CD53" i="159"/>
  <c r="BE95" i="163"/>
  <c r="CI95" i="163" s="1"/>
  <c r="O91" i="143" s="1"/>
  <c r="CD69" i="159"/>
  <c r="BJ107" i="163"/>
  <c r="CN107" i="163" s="1"/>
  <c r="P105" i="143" s="1"/>
  <c r="CI81" i="159"/>
  <c r="BC121" i="163"/>
  <c r="CG121" i="163" s="1"/>
  <c r="CB95" i="159"/>
  <c r="BK92" i="163"/>
  <c r="CO92" i="163" s="1"/>
  <c r="W88" i="143" s="1"/>
  <c r="CJ66" i="159"/>
  <c r="BI104" i="163"/>
  <c r="CM104" i="163" s="1"/>
  <c r="I102" i="143" s="1"/>
  <c r="CH78" i="159"/>
  <c r="BK109" i="163"/>
  <c r="CO109" i="163" s="1"/>
  <c r="W107" i="143" s="1"/>
  <c r="CJ83" i="159"/>
  <c r="BF112" i="163"/>
  <c r="CJ112" i="163" s="1"/>
  <c r="V110" i="143" s="1"/>
  <c r="CE86" i="159"/>
  <c r="BF121" i="163"/>
  <c r="CJ121" i="163" s="1"/>
  <c r="V119" i="143" s="1"/>
  <c r="CE95" i="159"/>
  <c r="BD135" i="163"/>
  <c r="CH135" i="163" s="1"/>
  <c r="H133" i="143" s="1"/>
  <c r="CC109" i="159"/>
  <c r="BF119" i="163"/>
  <c r="CJ119" i="163" s="1"/>
  <c r="V117" i="143" s="1"/>
  <c r="CE93" i="159"/>
  <c r="BD118" i="163"/>
  <c r="CH118" i="163" s="1"/>
  <c r="H116" i="143" s="1"/>
  <c r="CC92" i="159"/>
  <c r="BE124" i="163"/>
  <c r="CI124" i="163" s="1"/>
  <c r="O122" i="143" s="1"/>
  <c r="CD98" i="159"/>
  <c r="BE118" i="163"/>
  <c r="CI118" i="163" s="1"/>
  <c r="O116" i="143" s="1"/>
  <c r="CD92" i="159"/>
  <c r="BC127" i="163"/>
  <c r="CG127" i="163" s="1"/>
  <c r="CB101" i="159"/>
  <c r="BK119" i="163"/>
  <c r="CO119" i="163" s="1"/>
  <c r="W117" i="143" s="1"/>
  <c r="CJ93" i="159"/>
  <c r="BK124" i="163"/>
  <c r="CO124" i="163" s="1"/>
  <c r="W122" i="143" s="1"/>
  <c r="CJ98" i="159"/>
  <c r="BJ148" i="163"/>
  <c r="CN148" i="163" s="1"/>
  <c r="P146" i="143" s="1"/>
  <c r="CI122" i="159"/>
  <c r="BE127" i="163"/>
  <c r="CI127" i="163" s="1"/>
  <c r="O125" i="143" s="1"/>
  <c r="CD101" i="159"/>
  <c r="BE137" i="163"/>
  <c r="CI137" i="163" s="1"/>
  <c r="O135" i="143" s="1"/>
  <c r="CD111" i="159"/>
  <c r="BF125" i="163"/>
  <c r="CJ125" i="163" s="1"/>
  <c r="V123" i="143" s="1"/>
  <c r="CE99" i="159"/>
  <c r="BJ134" i="163"/>
  <c r="CN134" i="163" s="1"/>
  <c r="P132" i="143" s="1"/>
  <c r="CI108" i="159"/>
  <c r="BE144" i="163"/>
  <c r="CI144" i="163" s="1"/>
  <c r="O142" i="143" s="1"/>
  <c r="CD118" i="159"/>
  <c r="BI131" i="163"/>
  <c r="CM131" i="163" s="1"/>
  <c r="CH105" i="159"/>
  <c r="BK136" i="163"/>
  <c r="CO136" i="163" s="1"/>
  <c r="W134" i="143" s="1"/>
  <c r="CJ110" i="159"/>
  <c r="BD134" i="163"/>
  <c r="CH134" i="163" s="1"/>
  <c r="H132" i="143" s="1"/>
  <c r="CC108" i="159"/>
  <c r="BC140" i="163"/>
  <c r="CG140" i="163" s="1"/>
  <c r="CB114" i="159"/>
  <c r="BE134" i="163"/>
  <c r="CI134" i="163" s="1"/>
  <c r="O132" i="143" s="1"/>
  <c r="CD108" i="159"/>
  <c r="BJ142" i="163"/>
  <c r="CN142" i="163" s="1"/>
  <c r="P140" i="143" s="1"/>
  <c r="CI116" i="159"/>
  <c r="BE140" i="163"/>
  <c r="CI140" i="163" s="1"/>
  <c r="O138" i="143" s="1"/>
  <c r="CD114" i="159"/>
  <c r="BK146" i="163"/>
  <c r="CO146" i="163" s="1"/>
  <c r="W144" i="143" s="1"/>
  <c r="CJ120" i="159"/>
  <c r="BE142" i="163"/>
  <c r="CI142" i="163" s="1"/>
  <c r="O140" i="143" s="1"/>
  <c r="CD116" i="159"/>
  <c r="BJ139" i="163"/>
  <c r="CN139" i="163" s="1"/>
  <c r="P137" i="143" s="1"/>
  <c r="CI113" i="159"/>
  <c r="BJ149" i="163"/>
  <c r="CN149" i="163" s="1"/>
  <c r="P147" i="143" s="1"/>
  <c r="CI123" i="159"/>
  <c r="BD141" i="163"/>
  <c r="CH141" i="163" s="1"/>
  <c r="H139" i="143" s="1"/>
  <c r="CC115" i="159"/>
  <c r="BD149" i="163"/>
  <c r="CH149" i="163" s="1"/>
  <c r="H147" i="143" s="1"/>
  <c r="CC123" i="159"/>
  <c r="BI69" i="159"/>
  <c r="BI67" i="159"/>
  <c r="BI55" i="159"/>
  <c r="BI53" i="159"/>
  <c r="BI58" i="159"/>
  <c r="BI68" i="159"/>
  <c r="BI54" i="159"/>
  <c r="BI52" i="159"/>
  <c r="BI66" i="159"/>
  <c r="BI57" i="159"/>
  <c r="BI56" i="159" s="1"/>
  <c r="BI41" i="159"/>
  <c r="BI39" i="159"/>
  <c r="BI37" i="159"/>
  <c r="BI30" i="159"/>
  <c r="BI21" i="159"/>
  <c r="BI19" i="159"/>
  <c r="BI46" i="159"/>
  <c r="BI48" i="159"/>
  <c r="BI26" i="159"/>
  <c r="BI33" i="159"/>
  <c r="BI31" i="159"/>
  <c r="BI24" i="159"/>
  <c r="BI51" i="159"/>
  <c r="BI42" i="159"/>
  <c r="BI40" i="159"/>
  <c r="BI38" i="159"/>
  <c r="BI36" i="159"/>
  <c r="BI22" i="159"/>
  <c r="BI20" i="159"/>
  <c r="BI29" i="159"/>
  <c r="BI27" i="159"/>
  <c r="BI18" i="159"/>
  <c r="BI15" i="159"/>
  <c r="BI49" i="159"/>
  <c r="BI45" i="159"/>
  <c r="BI13" i="159"/>
  <c r="BI11" i="159"/>
  <c r="BI23" i="159"/>
  <c r="BI32" i="159"/>
  <c r="BI10" i="159"/>
  <c r="BI14" i="159"/>
  <c r="BI17" i="159"/>
  <c r="AI131" i="163"/>
  <c r="AL131" i="163"/>
  <c r="AJ91" i="163"/>
  <c r="AJ100" i="163"/>
  <c r="AK85" i="163"/>
  <c r="O150" i="163"/>
  <c r="AI70" i="163"/>
  <c r="W34" i="159"/>
  <c r="K70" i="159"/>
  <c r="AI34" i="163"/>
  <c r="AI21" i="163"/>
  <c r="AL61" i="163"/>
  <c r="AI42" i="163"/>
  <c r="AL35" i="163"/>
  <c r="DB131" i="163"/>
  <c r="AE70" i="159"/>
  <c r="AK42" i="163"/>
  <c r="DA144" i="163"/>
  <c r="CV117" i="159"/>
  <c r="DA143" i="163" s="1"/>
  <c r="BH8" i="163"/>
  <c r="CL8" i="163" s="1"/>
  <c r="BI8" i="163"/>
  <c r="CM8" i="163" s="1"/>
  <c r="I8" i="143" s="1"/>
  <c r="BJ74" i="163"/>
  <c r="CN74" i="163" s="1"/>
  <c r="P70" i="143" s="1"/>
  <c r="CI48" i="159"/>
  <c r="BH13" i="163"/>
  <c r="CL13" i="163" s="1"/>
  <c r="BD17" i="163"/>
  <c r="CH17" i="163" s="1"/>
  <c r="H17" i="143" s="1"/>
  <c r="BK10" i="163"/>
  <c r="CO10" i="163" s="1"/>
  <c r="W10" i="143" s="1"/>
  <c r="BJ14" i="163"/>
  <c r="CN14" i="163" s="1"/>
  <c r="P14" i="143" s="1"/>
  <c r="BF36" i="163"/>
  <c r="CJ36" i="163" s="1"/>
  <c r="V32" i="143" s="1"/>
  <c r="CE10" i="159"/>
  <c r="BE13" i="163"/>
  <c r="CI13" i="163" s="1"/>
  <c r="O13" i="143" s="1"/>
  <c r="BK19" i="163"/>
  <c r="CO19" i="163" s="1"/>
  <c r="W19" i="143" s="1"/>
  <c r="BD64" i="163"/>
  <c r="CH64" i="163" s="1"/>
  <c r="H60" i="143" s="1"/>
  <c r="CC38" i="159"/>
  <c r="BH17" i="163"/>
  <c r="CL17" i="163" s="1"/>
  <c r="BK46" i="163"/>
  <c r="CO46" i="163" s="1"/>
  <c r="W42" i="143" s="1"/>
  <c r="CJ20" i="159"/>
  <c r="BC44" i="163"/>
  <c r="CG44" i="163" s="1"/>
  <c r="CB18" i="159"/>
  <c r="BF71" i="163"/>
  <c r="CJ71" i="163" s="1"/>
  <c r="V67" i="143" s="1"/>
  <c r="CE45" i="159"/>
  <c r="BF37" i="163"/>
  <c r="CJ37" i="163" s="1"/>
  <c r="V33" i="143" s="1"/>
  <c r="CE11" i="159"/>
  <c r="BC47" i="163"/>
  <c r="CG47" i="163" s="1"/>
  <c r="CB21" i="159"/>
  <c r="BC20" i="163"/>
  <c r="CG20" i="163" s="1"/>
  <c r="BJ40" i="163"/>
  <c r="CN40" i="163" s="1"/>
  <c r="P36" i="143" s="1"/>
  <c r="CI14" i="159"/>
  <c r="BC23" i="163"/>
  <c r="CG23" i="163" s="1"/>
  <c r="BJ50" i="163"/>
  <c r="CN50" i="163" s="1"/>
  <c r="P46" i="143" s="1"/>
  <c r="CI24" i="159"/>
  <c r="BK52" i="163"/>
  <c r="CO52" i="163" s="1"/>
  <c r="W48" i="143" s="1"/>
  <c r="CJ26" i="159"/>
  <c r="BD92" i="163"/>
  <c r="CH92" i="163" s="1"/>
  <c r="H88" i="143" s="1"/>
  <c r="CC66" i="159"/>
  <c r="AY65" i="159"/>
  <c r="BD52" i="163"/>
  <c r="CH52" i="163" s="1"/>
  <c r="H48" i="143" s="1"/>
  <c r="AY25" i="159"/>
  <c r="CC26" i="159"/>
  <c r="BF62" i="163"/>
  <c r="CJ62" i="163" s="1"/>
  <c r="V58" i="143" s="1"/>
  <c r="CE36" i="159"/>
  <c r="BC72" i="163"/>
  <c r="CG72" i="163" s="1"/>
  <c r="CB46" i="159"/>
  <c r="BK63" i="163"/>
  <c r="CO63" i="163" s="1"/>
  <c r="W59" i="143" s="1"/>
  <c r="CJ37" i="159"/>
  <c r="BH106" i="163"/>
  <c r="CL106" i="163" s="1"/>
  <c r="CG80" i="159"/>
  <c r="BD65" i="163"/>
  <c r="CH65" i="163" s="1"/>
  <c r="H61" i="143" s="1"/>
  <c r="CC39" i="159"/>
  <c r="BF74" i="163"/>
  <c r="CJ74" i="163" s="1"/>
  <c r="V70" i="143" s="1"/>
  <c r="CE48" i="159"/>
  <c r="BE47" i="163"/>
  <c r="CI47" i="163" s="1"/>
  <c r="O43" i="143" s="1"/>
  <c r="CD21" i="159"/>
  <c r="BE56" i="163"/>
  <c r="CI56" i="163" s="1"/>
  <c r="O52" i="143" s="1"/>
  <c r="CD30" i="159"/>
  <c r="BE65" i="163"/>
  <c r="CI65" i="163" s="1"/>
  <c r="O61" i="143" s="1"/>
  <c r="CD39" i="159"/>
  <c r="BC75" i="163"/>
  <c r="CG75" i="163" s="1"/>
  <c r="CB49" i="159"/>
  <c r="BF45" i="163"/>
  <c r="CJ45" i="163" s="1"/>
  <c r="V41" i="143" s="1"/>
  <c r="CE19" i="159"/>
  <c r="BK53" i="163"/>
  <c r="CO53" i="163" s="1"/>
  <c r="W49" i="143" s="1"/>
  <c r="CJ27" i="159"/>
  <c r="BF63" i="163"/>
  <c r="CJ63" i="163" s="1"/>
  <c r="V59" i="143" s="1"/>
  <c r="CE37" i="159"/>
  <c r="BJ104" i="163"/>
  <c r="CN104" i="163" s="1"/>
  <c r="P102" i="143" s="1"/>
  <c r="CI78" i="159"/>
  <c r="BC64" i="163"/>
  <c r="CG64" i="163" s="1"/>
  <c r="CB38" i="159"/>
  <c r="BE71" i="163"/>
  <c r="CI71" i="163" s="1"/>
  <c r="O67" i="143" s="1"/>
  <c r="CD45" i="159"/>
  <c r="AZ44" i="159"/>
  <c r="BF86" i="163"/>
  <c r="CJ86" i="163" s="1"/>
  <c r="V82" i="143" s="1"/>
  <c r="CE60" i="159"/>
  <c r="BI106" i="163"/>
  <c r="CM106" i="163" s="1"/>
  <c r="I104" i="143" s="1"/>
  <c r="CH80" i="159"/>
  <c r="BI113" i="163"/>
  <c r="CM113" i="163" s="1"/>
  <c r="I111" i="143" s="1"/>
  <c r="CH87" i="159"/>
  <c r="BC84" i="163"/>
  <c r="CG84" i="163" s="1"/>
  <c r="CB58" i="159"/>
  <c r="BF90" i="163"/>
  <c r="CJ90" i="163" s="1"/>
  <c r="V86" i="143" s="1"/>
  <c r="CE64" i="159"/>
  <c r="BI103" i="163"/>
  <c r="CM103" i="163" s="1"/>
  <c r="I101" i="143" s="1"/>
  <c r="CH77" i="159"/>
  <c r="BI110" i="163"/>
  <c r="CM110" i="163" s="1"/>
  <c r="I108" i="143" s="1"/>
  <c r="CH84" i="159"/>
  <c r="BF78" i="163"/>
  <c r="CJ78" i="163" s="1"/>
  <c r="V74" i="143" s="1"/>
  <c r="CE52" i="159"/>
  <c r="BD87" i="163"/>
  <c r="CH87" i="163" s="1"/>
  <c r="H83" i="143" s="1"/>
  <c r="CC61" i="159"/>
  <c r="BF94" i="163"/>
  <c r="CJ94" i="163" s="1"/>
  <c r="V90" i="143" s="1"/>
  <c r="CE68" i="159"/>
  <c r="BC106" i="163"/>
  <c r="CG106" i="163" s="1"/>
  <c r="CB80" i="159"/>
  <c r="BH112" i="163"/>
  <c r="CL112" i="163" s="1"/>
  <c r="CG86" i="159"/>
  <c r="BC81" i="163"/>
  <c r="CG81" i="163" s="1"/>
  <c r="CB55" i="159"/>
  <c r="BH102" i="163"/>
  <c r="CL102" i="163" s="1"/>
  <c r="CG76" i="159"/>
  <c r="BD108" i="163"/>
  <c r="CH108" i="163" s="1"/>
  <c r="H106" i="143" s="1"/>
  <c r="CC82" i="159"/>
  <c r="BJ117" i="163"/>
  <c r="CN117" i="163" s="1"/>
  <c r="P115" i="143" s="1"/>
  <c r="CI91" i="159"/>
  <c r="BF84" i="163"/>
  <c r="CJ84" i="163" s="1"/>
  <c r="V80" i="143" s="1"/>
  <c r="CE58" i="159"/>
  <c r="BC88" i="163"/>
  <c r="CG88" i="163" s="1"/>
  <c r="CB62" i="159"/>
  <c r="BF108" i="163"/>
  <c r="CJ108" i="163" s="1"/>
  <c r="V106" i="143" s="1"/>
  <c r="CE82" i="159"/>
  <c r="BF79" i="163"/>
  <c r="CJ79" i="163" s="1"/>
  <c r="CE53" i="159"/>
  <c r="BF93" i="163"/>
  <c r="CJ93" i="163" s="1"/>
  <c r="V89" i="143" s="1"/>
  <c r="CE67" i="159"/>
  <c r="BD105" i="163"/>
  <c r="CH105" i="163" s="1"/>
  <c r="H103" i="143" s="1"/>
  <c r="CC79" i="159"/>
  <c r="BF110" i="163"/>
  <c r="CJ110" i="163" s="1"/>
  <c r="V108" i="143" s="1"/>
  <c r="CE84" i="159"/>
  <c r="BJ113" i="163"/>
  <c r="CN113" i="163" s="1"/>
  <c r="P111" i="143" s="1"/>
  <c r="CI87" i="159"/>
  <c r="BD122" i="163"/>
  <c r="CH122" i="163" s="1"/>
  <c r="H120" i="143" s="1"/>
  <c r="CC96" i="159"/>
  <c r="BJ120" i="163"/>
  <c r="CN120" i="163" s="1"/>
  <c r="P118" i="143" s="1"/>
  <c r="CI94" i="159"/>
  <c r="BJ131" i="163"/>
  <c r="CN131" i="163" s="1"/>
  <c r="CI105" i="159"/>
  <c r="BC120" i="163"/>
  <c r="CG120" i="163" s="1"/>
  <c r="CB94" i="159"/>
  <c r="BD128" i="163"/>
  <c r="CH128" i="163" s="1"/>
  <c r="H126" i="143" s="1"/>
  <c r="CC102" i="159"/>
  <c r="BJ125" i="163"/>
  <c r="CN125" i="163" s="1"/>
  <c r="P123" i="143" s="1"/>
  <c r="CI99" i="159"/>
  <c r="BI119" i="163"/>
  <c r="CM119" i="163" s="1"/>
  <c r="I117" i="143" s="1"/>
  <c r="CH93" i="159"/>
  <c r="BD127" i="163"/>
  <c r="CH127" i="163" s="1"/>
  <c r="H125" i="143" s="1"/>
  <c r="CC101" i="159"/>
  <c r="BC131" i="163"/>
  <c r="CG131" i="163" s="1"/>
  <c r="CB105" i="159"/>
  <c r="BH118" i="163"/>
  <c r="CL118" i="163" s="1"/>
  <c r="CG92" i="159"/>
  <c r="BC125" i="163"/>
  <c r="CG125" i="163" s="1"/>
  <c r="CB99" i="159"/>
  <c r="BI128" i="163"/>
  <c r="CM128" i="163" s="1"/>
  <c r="I126" i="143" s="1"/>
  <c r="CH102" i="159"/>
  <c r="BK138" i="163"/>
  <c r="CO138" i="163" s="1"/>
  <c r="W136" i="143" s="1"/>
  <c r="CJ112" i="159"/>
  <c r="BJ126" i="163"/>
  <c r="CN126" i="163" s="1"/>
  <c r="P124" i="143" s="1"/>
  <c r="CI100" i="159"/>
  <c r="BF135" i="163"/>
  <c r="CJ135" i="163" s="1"/>
  <c r="V133" i="143" s="1"/>
  <c r="CE109" i="159"/>
  <c r="BF147" i="163"/>
  <c r="CJ147" i="163" s="1"/>
  <c r="CE121" i="159"/>
  <c r="BD132" i="163"/>
  <c r="CH132" i="163" s="1"/>
  <c r="H130" i="143" s="1"/>
  <c r="CC106" i="159"/>
  <c r="BE141" i="163"/>
  <c r="CI141" i="163" s="1"/>
  <c r="O139" i="143" s="1"/>
  <c r="CD115" i="159"/>
  <c r="BI135" i="163"/>
  <c r="CM135" i="163" s="1"/>
  <c r="I133" i="143" s="1"/>
  <c r="CH109" i="159"/>
  <c r="BJ133" i="163"/>
  <c r="CN133" i="163" s="1"/>
  <c r="P131" i="143" s="1"/>
  <c r="CI107" i="159"/>
  <c r="BC137" i="163"/>
  <c r="CG137" i="163" s="1"/>
  <c r="CB111" i="159"/>
  <c r="BC148" i="163"/>
  <c r="CG148" i="163" s="1"/>
  <c r="CB122" i="159"/>
  <c r="BF140" i="163"/>
  <c r="CJ140" i="163" s="1"/>
  <c r="V138" i="143" s="1"/>
  <c r="CE114" i="159"/>
  <c r="BC139" i="163"/>
  <c r="CG139" i="163" s="1"/>
  <c r="CB113" i="159"/>
  <c r="BC147" i="163"/>
  <c r="CG147" i="163" s="1"/>
  <c r="CB121" i="159"/>
  <c r="BJ58" i="159"/>
  <c r="BJ68" i="159"/>
  <c r="BJ54" i="159"/>
  <c r="BJ52" i="159"/>
  <c r="BJ66" i="159"/>
  <c r="BJ57" i="159"/>
  <c r="BJ56" i="159" s="1"/>
  <c r="BJ41" i="159"/>
  <c r="BJ39" i="159"/>
  <c r="BJ37" i="159"/>
  <c r="BJ53" i="159"/>
  <c r="BJ46" i="159"/>
  <c r="BJ48" i="159"/>
  <c r="BJ26" i="159"/>
  <c r="BJ67" i="159"/>
  <c r="BJ33" i="159"/>
  <c r="BJ31" i="159"/>
  <c r="BJ51" i="159"/>
  <c r="BJ42" i="159"/>
  <c r="BJ40" i="159"/>
  <c r="BJ38" i="159"/>
  <c r="BJ36" i="159"/>
  <c r="BJ22" i="159"/>
  <c r="BJ29" i="159"/>
  <c r="BJ27" i="159"/>
  <c r="BJ69" i="159"/>
  <c r="BJ55" i="159"/>
  <c r="BJ49" i="159"/>
  <c r="BJ45" i="159"/>
  <c r="BJ15" i="159"/>
  <c r="BJ13" i="159"/>
  <c r="BJ11" i="159"/>
  <c r="BJ20" i="159"/>
  <c r="BJ23" i="159"/>
  <c r="BJ19" i="159"/>
  <c r="BJ17" i="159"/>
  <c r="BJ14" i="159"/>
  <c r="BJ32" i="159"/>
  <c r="BJ24" i="159"/>
  <c r="BJ10" i="159"/>
  <c r="BJ30" i="159"/>
  <c r="BJ18" i="159"/>
  <c r="BJ21" i="159"/>
  <c r="BK139" i="163"/>
  <c r="CO139" i="163" s="1"/>
  <c r="W137" i="143" s="1"/>
  <c r="CJ113" i="159"/>
  <c r="BI148" i="163"/>
  <c r="CM148" i="163" s="1"/>
  <c r="I146" i="143" s="1"/>
  <c r="CH122" i="159"/>
  <c r="BK58" i="159"/>
  <c r="BK68" i="159"/>
  <c r="BK54" i="159"/>
  <c r="BK66" i="159"/>
  <c r="BK57" i="159"/>
  <c r="BK69" i="159"/>
  <c r="BK67" i="159"/>
  <c r="BK55" i="159"/>
  <c r="BK53" i="159"/>
  <c r="BK46" i="159"/>
  <c r="BK48" i="159"/>
  <c r="BK26" i="159"/>
  <c r="BK33" i="159"/>
  <c r="BK31" i="159"/>
  <c r="BK24" i="159"/>
  <c r="BK51" i="159"/>
  <c r="BK42" i="159"/>
  <c r="BK40" i="159"/>
  <c r="BK38" i="159"/>
  <c r="BK36" i="159"/>
  <c r="BK29" i="159"/>
  <c r="BK27" i="159"/>
  <c r="BK49" i="159"/>
  <c r="BK45" i="159"/>
  <c r="BK52" i="159"/>
  <c r="BK32" i="159"/>
  <c r="BK23" i="159"/>
  <c r="BK22" i="159"/>
  <c r="BK13" i="159"/>
  <c r="BK11" i="159"/>
  <c r="BK20" i="159"/>
  <c r="BK39" i="159"/>
  <c r="BK19" i="159"/>
  <c r="BK17" i="159"/>
  <c r="BK14" i="159"/>
  <c r="BK21" i="159"/>
  <c r="BK30" i="159"/>
  <c r="BK18" i="159"/>
  <c r="BK41" i="159"/>
  <c r="BK37" i="159"/>
  <c r="BK15" i="159"/>
  <c r="BK10" i="159"/>
  <c r="CY27" i="163"/>
  <c r="DI27" i="163" s="1"/>
  <c r="F150" i="163"/>
  <c r="AK76" i="163"/>
  <c r="AK21" i="163"/>
  <c r="AJ38" i="163"/>
  <c r="AK14" i="163"/>
  <c r="DD116" i="163"/>
  <c r="CY89" i="159"/>
  <c r="DD115" i="163" s="1"/>
  <c r="DA36" i="163"/>
  <c r="CV9" i="159"/>
  <c r="AU105" i="159"/>
  <c r="BD16" i="163"/>
  <c r="CH16" i="163" s="1"/>
  <c r="H16" i="143" s="1"/>
  <c r="BH7" i="163"/>
  <c r="CL7" i="163" s="1"/>
  <c r="BC48" i="163"/>
  <c r="CG48" i="163" s="1"/>
  <c r="CB22" i="159"/>
  <c r="BC7" i="163"/>
  <c r="CG7" i="163" s="1"/>
  <c r="BI20" i="163"/>
  <c r="CM20" i="163" s="1"/>
  <c r="I20" i="143" s="1"/>
  <c r="BE17" i="163"/>
  <c r="CI17" i="163" s="1"/>
  <c r="O17" i="143" s="1"/>
  <c r="BD46" i="163"/>
  <c r="CH46" i="163" s="1"/>
  <c r="H42" i="143" s="1"/>
  <c r="CC20" i="159"/>
  <c r="BE23" i="163"/>
  <c r="CI23" i="163" s="1"/>
  <c r="O23" i="143" s="1"/>
  <c r="BD12" i="163"/>
  <c r="CH12" i="163" s="1"/>
  <c r="H12" i="143" s="1"/>
  <c r="BH20" i="163"/>
  <c r="CL20" i="163" s="1"/>
  <c r="BE55" i="163"/>
  <c r="CI55" i="163" s="1"/>
  <c r="O51" i="143" s="1"/>
  <c r="CD29" i="159"/>
  <c r="AZ28" i="159"/>
  <c r="BE37" i="163"/>
  <c r="CI37" i="163" s="1"/>
  <c r="O33" i="143" s="1"/>
  <c r="CD11" i="159"/>
  <c r="BC45" i="163"/>
  <c r="CG45" i="163" s="1"/>
  <c r="CB19" i="159"/>
  <c r="BC50" i="163"/>
  <c r="CG50" i="163" s="1"/>
  <c r="CB24" i="159"/>
  <c r="BI14" i="163"/>
  <c r="CM14" i="163" s="1"/>
  <c r="I14" i="143" s="1"/>
  <c r="BJ23" i="163"/>
  <c r="CN23" i="163" s="1"/>
  <c r="P23" i="143" s="1"/>
  <c r="BJ43" i="163"/>
  <c r="CN43" i="163" s="1"/>
  <c r="P39" i="143" s="1"/>
  <c r="CI17" i="159"/>
  <c r="BE16" i="159"/>
  <c r="BF58" i="163"/>
  <c r="CJ58" i="163" s="1"/>
  <c r="V54" i="143" s="1"/>
  <c r="CE32" i="159"/>
  <c r="BK43" i="163"/>
  <c r="CJ17" i="159"/>
  <c r="BF55" i="163"/>
  <c r="CJ55" i="163" s="1"/>
  <c r="V51" i="143" s="1"/>
  <c r="CE29" i="159"/>
  <c r="BC74" i="163"/>
  <c r="CG74" i="163" s="1"/>
  <c r="CB48" i="159"/>
  <c r="BD109" i="163"/>
  <c r="CH109" i="163" s="1"/>
  <c r="H107" i="143" s="1"/>
  <c r="CC83" i="159"/>
  <c r="BF64" i="163"/>
  <c r="CJ64" i="163" s="1"/>
  <c r="V60" i="143" s="1"/>
  <c r="CE38" i="159"/>
  <c r="BD74" i="163"/>
  <c r="CH74" i="163" s="1"/>
  <c r="H70" i="143" s="1"/>
  <c r="CC48" i="159"/>
  <c r="BK47" i="163"/>
  <c r="CO47" i="163" s="1"/>
  <c r="W43" i="143" s="1"/>
  <c r="CJ21" i="159"/>
  <c r="BK56" i="163"/>
  <c r="CO56" i="163" s="1"/>
  <c r="W52" i="143" s="1"/>
  <c r="CJ30" i="159"/>
  <c r="BC65" i="163"/>
  <c r="CG65" i="163" s="1"/>
  <c r="CB39" i="159"/>
  <c r="BK58" i="163"/>
  <c r="CO58" i="163" s="1"/>
  <c r="W54" i="143" s="1"/>
  <c r="CJ32" i="159"/>
  <c r="BD78" i="163"/>
  <c r="CH78" i="163" s="1"/>
  <c r="H74" i="143" s="1"/>
  <c r="CC52" i="159"/>
  <c r="BD49" i="163"/>
  <c r="CH49" i="163" s="1"/>
  <c r="H45" i="143" s="1"/>
  <c r="CC23" i="159"/>
  <c r="BD58" i="163"/>
  <c r="CH58" i="163" s="1"/>
  <c r="H54" i="143" s="1"/>
  <c r="CC32" i="159"/>
  <c r="BE67" i="163"/>
  <c r="CI67" i="163" s="1"/>
  <c r="O63" i="143" s="1"/>
  <c r="CD41" i="159"/>
  <c r="BD77" i="163"/>
  <c r="CH77" i="163" s="1"/>
  <c r="H73" i="143" s="1"/>
  <c r="CC51" i="159"/>
  <c r="BF47" i="163"/>
  <c r="CJ47" i="163" s="1"/>
  <c r="V43" i="143" s="1"/>
  <c r="CE21" i="159"/>
  <c r="BK55" i="163"/>
  <c r="CO55" i="163" s="1"/>
  <c r="W51" i="143" s="1"/>
  <c r="CJ29" i="159"/>
  <c r="BF65" i="163"/>
  <c r="CJ65" i="163" s="1"/>
  <c r="V61" i="143" s="1"/>
  <c r="CE39" i="159"/>
  <c r="BD75" i="163"/>
  <c r="CH75" i="163" s="1"/>
  <c r="H71" i="143" s="1"/>
  <c r="CC49" i="159"/>
  <c r="BJ111" i="163"/>
  <c r="CN111" i="163" s="1"/>
  <c r="P109" i="143" s="1"/>
  <c r="CI85" i="159"/>
  <c r="BH108" i="163"/>
  <c r="CL108" i="163" s="1"/>
  <c r="CG82" i="159"/>
  <c r="BF88" i="163"/>
  <c r="CJ88" i="163" s="1"/>
  <c r="V84" i="143" s="1"/>
  <c r="CE62" i="159"/>
  <c r="BJ101" i="163"/>
  <c r="CN101" i="163" s="1"/>
  <c r="P99" i="143" s="1"/>
  <c r="CI75" i="159"/>
  <c r="BE74" i="159"/>
  <c r="BI108" i="163"/>
  <c r="CM108" i="163" s="1"/>
  <c r="I106" i="143" s="1"/>
  <c r="CH82" i="159"/>
  <c r="BF80" i="163"/>
  <c r="CJ80" i="163" s="1"/>
  <c r="V76" i="143" s="1"/>
  <c r="CE54" i="159"/>
  <c r="BD101" i="163"/>
  <c r="CH101" i="163" s="1"/>
  <c r="H99" i="143" s="1"/>
  <c r="AY74" i="159"/>
  <c r="CC75" i="159"/>
  <c r="BC77" i="163"/>
  <c r="CG77" i="163" s="1"/>
  <c r="CB51" i="159"/>
  <c r="BC93" i="163"/>
  <c r="CG93" i="163" s="1"/>
  <c r="CB67" i="159"/>
  <c r="BK103" i="163"/>
  <c r="CO103" i="163" s="1"/>
  <c r="W101" i="143" s="1"/>
  <c r="CJ77" i="159"/>
  <c r="BH109" i="163"/>
  <c r="CL109" i="163" s="1"/>
  <c r="CG83" i="159"/>
  <c r="BD79" i="163"/>
  <c r="CH79" i="163" s="1"/>
  <c r="CC53" i="159"/>
  <c r="BF87" i="163"/>
  <c r="CJ87" i="163" s="1"/>
  <c r="V83" i="143" s="1"/>
  <c r="CE61" i="159"/>
  <c r="BD95" i="163"/>
  <c r="CH95" i="163" s="1"/>
  <c r="H91" i="143" s="1"/>
  <c r="CC69" i="159"/>
  <c r="BE106" i="163"/>
  <c r="CI106" i="163" s="1"/>
  <c r="O104" i="143" s="1"/>
  <c r="CD80" i="159"/>
  <c r="BD113" i="163"/>
  <c r="CH113" i="163" s="1"/>
  <c r="H111" i="143" s="1"/>
  <c r="CC87" i="159"/>
  <c r="BC83" i="163"/>
  <c r="CG83" i="163" s="1"/>
  <c r="AX56" i="159"/>
  <c r="CB57" i="159"/>
  <c r="BE103" i="163"/>
  <c r="CI103" i="163" s="1"/>
  <c r="O101" i="143" s="1"/>
  <c r="CD77" i="159"/>
  <c r="BE110" i="163"/>
  <c r="CI110" i="163" s="1"/>
  <c r="O108" i="143" s="1"/>
  <c r="CD84" i="159"/>
  <c r="BF81" i="163"/>
  <c r="CJ81" i="163" s="1"/>
  <c r="V77" i="143" s="1"/>
  <c r="CE55" i="159"/>
  <c r="BF95" i="163"/>
  <c r="CJ95" i="163" s="1"/>
  <c r="V91" i="143" s="1"/>
  <c r="CE69" i="159"/>
  <c r="BI116" i="163"/>
  <c r="CM116" i="163" s="1"/>
  <c r="I114" i="143" s="1"/>
  <c r="BD89" i="159"/>
  <c r="CH90" i="159"/>
  <c r="BK113" i="163"/>
  <c r="CO113" i="163" s="1"/>
  <c r="W111" i="143" s="1"/>
  <c r="CJ87" i="159"/>
  <c r="BE122" i="163"/>
  <c r="CI122" i="163" s="1"/>
  <c r="O120" i="143" s="1"/>
  <c r="CD96" i="159"/>
  <c r="BC116" i="163"/>
  <c r="CG116" i="163" s="1"/>
  <c r="AX89" i="159"/>
  <c r="CB90" i="159"/>
  <c r="BI121" i="163"/>
  <c r="CM121" i="163" s="1"/>
  <c r="I119" i="143" s="1"/>
  <c r="CH95" i="159"/>
  <c r="BC133" i="163"/>
  <c r="CG133" i="163" s="1"/>
  <c r="CB107" i="159"/>
  <c r="BD120" i="163"/>
  <c r="CH120" i="163" s="1"/>
  <c r="H118" i="143" s="1"/>
  <c r="CC94" i="159"/>
  <c r="BD133" i="163"/>
  <c r="CH133" i="163" s="1"/>
  <c r="H131" i="143" s="1"/>
  <c r="CC107" i="159"/>
  <c r="BK121" i="163"/>
  <c r="CO121" i="163" s="1"/>
  <c r="W119" i="143" s="1"/>
  <c r="CJ95" i="159"/>
  <c r="BD137" i="163"/>
  <c r="CH137" i="163" s="1"/>
  <c r="H135" i="143" s="1"/>
  <c r="CC111" i="159"/>
  <c r="BE132" i="163"/>
  <c r="CI132" i="163" s="1"/>
  <c r="O130" i="143" s="1"/>
  <c r="CD106" i="159"/>
  <c r="BJ122" i="163"/>
  <c r="CN122" i="163" s="1"/>
  <c r="P120" i="143" s="1"/>
  <c r="CI96" i="159"/>
  <c r="BH134" i="163"/>
  <c r="CL134" i="163" s="1"/>
  <c r="CG108" i="159"/>
  <c r="BI127" i="163"/>
  <c r="CM127" i="163" s="1"/>
  <c r="I125" i="143" s="1"/>
  <c r="CH101" i="159"/>
  <c r="BK122" i="163"/>
  <c r="CO122" i="163" s="1"/>
  <c r="W120" i="143" s="1"/>
  <c r="CJ96" i="159"/>
  <c r="BJ132" i="163"/>
  <c r="CN132" i="163" s="1"/>
  <c r="P130" i="143" s="1"/>
  <c r="CI106" i="159"/>
  <c r="BD144" i="163"/>
  <c r="CH144" i="163" s="1"/>
  <c r="H142" i="143" s="1"/>
  <c r="CC118" i="159"/>
  <c r="BJ128" i="163"/>
  <c r="CN128" i="163" s="1"/>
  <c r="P126" i="143" s="1"/>
  <c r="CI102" i="159"/>
  <c r="BF137" i="163"/>
  <c r="CJ137" i="163" s="1"/>
  <c r="V135" i="143" s="1"/>
  <c r="CE111" i="159"/>
  <c r="BC126" i="163"/>
  <c r="CG126" i="163" s="1"/>
  <c r="CB100" i="159"/>
  <c r="BD139" i="163"/>
  <c r="CH139" i="163" s="1"/>
  <c r="H137" i="143" s="1"/>
  <c r="CC113" i="159"/>
  <c r="BD136" i="163"/>
  <c r="CH136" i="163" s="1"/>
  <c r="H134" i="143" s="1"/>
  <c r="CC110" i="159"/>
  <c r="BK144" i="163"/>
  <c r="CO144" i="163" s="1"/>
  <c r="W142" i="143" s="1"/>
  <c r="CJ118" i="159"/>
  <c r="BI137" i="163"/>
  <c r="CM137" i="163" s="1"/>
  <c r="I135" i="143" s="1"/>
  <c r="CH111" i="159"/>
  <c r="BF126" i="163"/>
  <c r="CJ126" i="163" s="1"/>
  <c r="V124" i="143" s="1"/>
  <c r="CE100" i="159"/>
  <c r="BJ135" i="163"/>
  <c r="CN135" i="163" s="1"/>
  <c r="P133" i="143" s="1"/>
  <c r="CI109" i="159"/>
  <c r="BJ146" i="163"/>
  <c r="CN146" i="163" s="1"/>
  <c r="P144" i="143" s="1"/>
  <c r="CI120" i="159"/>
  <c r="BI138" i="163"/>
  <c r="CM138" i="163" s="1"/>
  <c r="I136" i="143" s="1"/>
  <c r="CH112" i="159"/>
  <c r="BI147" i="163"/>
  <c r="CM147" i="163" s="1"/>
  <c r="CH121" i="159"/>
  <c r="BF142" i="163"/>
  <c r="CJ142" i="163" s="1"/>
  <c r="V140" i="143" s="1"/>
  <c r="CE116" i="159"/>
  <c r="BJ144" i="163"/>
  <c r="CN144" i="163" s="1"/>
  <c r="P142" i="143" s="1"/>
  <c r="CI118" i="159"/>
  <c r="BE149" i="163"/>
  <c r="CI149" i="163" s="1"/>
  <c r="O147" i="143" s="1"/>
  <c r="CD123" i="159"/>
  <c r="H28" i="163"/>
  <c r="M28" i="163"/>
  <c r="CT18" i="163"/>
  <c r="BK147" i="163"/>
  <c r="CO147" i="163" s="1"/>
  <c r="CJ121" i="159"/>
  <c r="AI130" i="163"/>
  <c r="J150" i="163"/>
  <c r="AJ35" i="163"/>
  <c r="AI91" i="163"/>
  <c r="AL115" i="163"/>
  <c r="AI100" i="163"/>
  <c r="E150" i="163"/>
  <c r="V124" i="159"/>
  <c r="P34" i="159"/>
  <c r="P60" i="163" s="1"/>
  <c r="AL70" i="163"/>
  <c r="AK70" i="163"/>
  <c r="AJ70" i="163"/>
  <c r="AI14" i="163"/>
  <c r="AS105" i="159"/>
  <c r="O28" i="163"/>
  <c r="DB71" i="163"/>
  <c r="CW44" i="159"/>
  <c r="DB101" i="163"/>
  <c r="CW74" i="159"/>
  <c r="DB144" i="163"/>
  <c r="CW117" i="159"/>
  <c r="DB143" i="163" s="1"/>
  <c r="DA71" i="163"/>
  <c r="CV44" i="159"/>
  <c r="BK39" i="163"/>
  <c r="CO39" i="163" s="1"/>
  <c r="W35" i="143" s="1"/>
  <c r="CJ13" i="159"/>
  <c r="BK49" i="163"/>
  <c r="CO49" i="163" s="1"/>
  <c r="W45" i="143" s="1"/>
  <c r="CJ23" i="159"/>
  <c r="BF19" i="163"/>
  <c r="CJ19" i="163" s="1"/>
  <c r="V19" i="143" s="1"/>
  <c r="V21" i="143" s="1"/>
  <c r="BC37" i="163"/>
  <c r="CG37" i="163" s="1"/>
  <c r="CB11" i="159"/>
  <c r="BJ10" i="163"/>
  <c r="CN10" i="163" s="1"/>
  <c r="P10" i="143" s="1"/>
  <c r="BK7" i="163"/>
  <c r="CO7" i="163" s="1"/>
  <c r="W7" i="143" s="1"/>
  <c r="BI12" i="163"/>
  <c r="CM12" i="163" s="1"/>
  <c r="I12" i="143" s="1"/>
  <c r="BJ19" i="163"/>
  <c r="CN19" i="163" s="1"/>
  <c r="P19" i="143" s="1"/>
  <c r="BD40" i="163"/>
  <c r="CH40" i="163" s="1"/>
  <c r="H36" i="143" s="1"/>
  <c r="CC14" i="159"/>
  <c r="BH15" i="163"/>
  <c r="BI24" i="163"/>
  <c r="CM24" i="163" s="1"/>
  <c r="I24" i="143" s="1"/>
  <c r="BK45" i="163"/>
  <c r="CO45" i="163" s="1"/>
  <c r="W41" i="143" s="1"/>
  <c r="CJ19" i="159"/>
  <c r="BJ57" i="163"/>
  <c r="CN57" i="163" s="1"/>
  <c r="P53" i="143" s="1"/>
  <c r="CI31" i="159"/>
  <c r="BE39" i="163"/>
  <c r="CI39" i="163" s="1"/>
  <c r="O35" i="143" s="1"/>
  <c r="CD13" i="159"/>
  <c r="BJ20" i="163"/>
  <c r="CN20" i="163" s="1"/>
  <c r="P20" i="143" s="1"/>
  <c r="BE41" i="163"/>
  <c r="CI41" i="163" s="1"/>
  <c r="O37" i="143" s="1"/>
  <c r="CD15" i="159"/>
  <c r="BE53" i="163"/>
  <c r="CI53" i="163" s="1"/>
  <c r="O49" i="143" s="1"/>
  <c r="CD27" i="159"/>
  <c r="BE15" i="163"/>
  <c r="BF24" i="163"/>
  <c r="CJ24" i="163" s="1"/>
  <c r="V24" i="143" s="1"/>
  <c r="BE44" i="163"/>
  <c r="CI44" i="163" s="1"/>
  <c r="O40" i="143" s="1"/>
  <c r="CD18" i="159"/>
  <c r="BE36" i="163"/>
  <c r="CI36" i="163" s="1"/>
  <c r="O32" i="143" s="1"/>
  <c r="AZ9" i="159"/>
  <c r="CD10" i="159"/>
  <c r="BF44" i="163"/>
  <c r="CJ44" i="163" s="1"/>
  <c r="V40" i="143" s="1"/>
  <c r="CE18" i="159"/>
  <c r="BC59" i="163"/>
  <c r="CG59" i="163" s="1"/>
  <c r="CB33" i="159"/>
  <c r="BE48" i="163"/>
  <c r="CI48" i="163" s="1"/>
  <c r="O44" i="143" s="1"/>
  <c r="CD22" i="159"/>
  <c r="BE64" i="163"/>
  <c r="CI64" i="163" s="1"/>
  <c r="O60" i="143" s="1"/>
  <c r="CD38" i="159"/>
  <c r="BK74" i="163"/>
  <c r="CO74" i="163" s="1"/>
  <c r="W70" i="143" s="1"/>
  <c r="CJ48" i="159"/>
  <c r="BF46" i="163"/>
  <c r="CJ46" i="163" s="1"/>
  <c r="V42" i="143" s="1"/>
  <c r="CE20" i="159"/>
  <c r="BJ65" i="163"/>
  <c r="CN65" i="163" s="1"/>
  <c r="P61" i="143" s="1"/>
  <c r="CI39" i="159"/>
  <c r="BF57" i="163"/>
  <c r="CJ57" i="163" s="1"/>
  <c r="V53" i="143" s="1"/>
  <c r="CE31" i="159"/>
  <c r="BK65" i="163"/>
  <c r="CO65" i="163" s="1"/>
  <c r="W61" i="143" s="1"/>
  <c r="CJ39" i="159"/>
  <c r="BE74" i="163"/>
  <c r="CI74" i="163" s="1"/>
  <c r="O70" i="143" s="1"/>
  <c r="CD48" i="159"/>
  <c r="BF52" i="163"/>
  <c r="CJ52" i="163" s="1"/>
  <c r="V48" i="143" s="1"/>
  <c r="CE26" i="159"/>
  <c r="BD67" i="163"/>
  <c r="CH67" i="163" s="1"/>
  <c r="H63" i="143" s="1"/>
  <c r="CC41" i="159"/>
  <c r="BJ48" i="163"/>
  <c r="CN48" i="163" s="1"/>
  <c r="P44" i="143" s="1"/>
  <c r="CI22" i="159"/>
  <c r="BF56" i="163"/>
  <c r="CJ56" i="163" s="1"/>
  <c r="V52" i="143" s="1"/>
  <c r="CE30" i="159"/>
  <c r="BJ66" i="163"/>
  <c r="CN66" i="163" s="1"/>
  <c r="P62" i="143" s="1"/>
  <c r="CI40" i="159"/>
  <c r="BI114" i="163"/>
  <c r="CM114" i="163" s="1"/>
  <c r="I112" i="143" s="1"/>
  <c r="CH88" i="159"/>
  <c r="BC66" i="163"/>
  <c r="CG66" i="163" s="1"/>
  <c r="CB40" i="159"/>
  <c r="BE75" i="163"/>
  <c r="CI75" i="163" s="1"/>
  <c r="O71" i="143" s="1"/>
  <c r="O69" i="143" s="1"/>
  <c r="CD49" i="159"/>
  <c r="BC112" i="163"/>
  <c r="CG112" i="163" s="1"/>
  <c r="CB86" i="159"/>
  <c r="BJ89" i="163"/>
  <c r="CN89" i="163" s="1"/>
  <c r="P85" i="143" s="1"/>
  <c r="CI63" i="159"/>
  <c r="BE102" i="163"/>
  <c r="CI102" i="163" s="1"/>
  <c r="O100" i="143" s="1"/>
  <c r="CD76" i="159"/>
  <c r="BE109" i="163"/>
  <c r="CI109" i="163" s="1"/>
  <c r="O107" i="143" s="1"/>
  <c r="CD83" i="159"/>
  <c r="BE78" i="163"/>
  <c r="CI78" i="163" s="1"/>
  <c r="O74" i="143" s="1"/>
  <c r="CD52" i="159"/>
  <c r="BC87" i="163"/>
  <c r="CG87" i="163" s="1"/>
  <c r="CB61" i="159"/>
  <c r="BE94" i="163"/>
  <c r="CI94" i="163" s="1"/>
  <c r="O90" i="143" s="1"/>
  <c r="CD68" i="159"/>
  <c r="BE112" i="163"/>
  <c r="CI112" i="163" s="1"/>
  <c r="O110" i="143" s="1"/>
  <c r="CD86" i="159"/>
  <c r="BJ81" i="163"/>
  <c r="CN81" i="163" s="1"/>
  <c r="P77" i="143" s="1"/>
  <c r="CI55" i="159"/>
  <c r="BD89" i="163"/>
  <c r="CH89" i="163" s="1"/>
  <c r="H85" i="143" s="1"/>
  <c r="CC63" i="159"/>
  <c r="BC108" i="163"/>
  <c r="CG108" i="163" s="1"/>
  <c r="CB82" i="159"/>
  <c r="BK77" i="163"/>
  <c r="CO77" i="163" s="1"/>
  <c r="W73" i="143" s="1"/>
  <c r="CJ51" i="159"/>
  <c r="BE84" i="163"/>
  <c r="CI84" i="163" s="1"/>
  <c r="O80" i="143" s="1"/>
  <c r="CD58" i="159"/>
  <c r="BK93" i="163"/>
  <c r="CO93" i="163" s="1"/>
  <c r="W89" i="143" s="1"/>
  <c r="CJ67" i="159"/>
  <c r="BF104" i="163"/>
  <c r="CJ104" i="163" s="1"/>
  <c r="V102" i="143" s="1"/>
  <c r="CE78" i="159"/>
  <c r="BC110" i="163"/>
  <c r="CG110" i="163" s="1"/>
  <c r="CB84" i="159"/>
  <c r="BJ88" i="163"/>
  <c r="CN88" i="163" s="1"/>
  <c r="P84" i="143" s="1"/>
  <c r="CI62" i="159"/>
  <c r="BI107" i="163"/>
  <c r="CM107" i="163" s="1"/>
  <c r="I105" i="143" s="1"/>
  <c r="CH81" i="159"/>
  <c r="BD114" i="163"/>
  <c r="CH114" i="163" s="1"/>
  <c r="H112" i="143" s="1"/>
  <c r="CC88" i="159"/>
  <c r="BK83" i="163"/>
  <c r="CO83" i="163" s="1"/>
  <c r="W79" i="143" s="1"/>
  <c r="CJ57" i="159"/>
  <c r="BJ90" i="163"/>
  <c r="CN90" i="163" s="1"/>
  <c r="P86" i="143" s="1"/>
  <c r="CI64" i="159"/>
  <c r="BH104" i="163"/>
  <c r="CL104" i="163" s="1"/>
  <c r="CG78" i="159"/>
  <c r="BH111" i="163"/>
  <c r="CL111" i="163" s="1"/>
  <c r="CG85" i="159"/>
  <c r="BD83" i="163"/>
  <c r="CH83" i="163" s="1"/>
  <c r="H79" i="143" s="1"/>
  <c r="CC57" i="159"/>
  <c r="AY56" i="159"/>
  <c r="BH101" i="163"/>
  <c r="CL101" i="163" s="1"/>
  <c r="CG75" i="159"/>
  <c r="BC74" i="159"/>
  <c r="BC107" i="163"/>
  <c r="CG107" i="163" s="1"/>
  <c r="CB81" i="159"/>
  <c r="BE117" i="163"/>
  <c r="CI117" i="163" s="1"/>
  <c r="O115" i="143" s="1"/>
  <c r="CD91" i="159"/>
  <c r="BD125" i="163"/>
  <c r="CH125" i="163" s="1"/>
  <c r="H123" i="143" s="1"/>
  <c r="CC99" i="159"/>
  <c r="BD123" i="163"/>
  <c r="CH123" i="163" s="1"/>
  <c r="H121" i="143" s="1"/>
  <c r="CC97" i="159"/>
  <c r="BK116" i="163"/>
  <c r="CO116" i="163" s="1"/>
  <c r="W114" i="143" s="1"/>
  <c r="CJ90" i="159"/>
  <c r="BF122" i="163"/>
  <c r="CJ122" i="163" s="1"/>
  <c r="V120" i="143" s="1"/>
  <c r="CE96" i="159"/>
  <c r="BH136" i="163"/>
  <c r="CL136" i="163" s="1"/>
  <c r="CG110" i="159"/>
  <c r="BF113" i="163"/>
  <c r="CJ113" i="163" s="1"/>
  <c r="V111" i="143" s="1"/>
  <c r="CE87" i="159"/>
  <c r="BH122" i="163"/>
  <c r="CL122" i="163" s="1"/>
  <c r="CG96" i="159"/>
  <c r="BK123" i="163"/>
  <c r="CO123" i="163" s="1"/>
  <c r="W121" i="143" s="1"/>
  <c r="CJ97" i="159"/>
  <c r="BJ138" i="163"/>
  <c r="CN138" i="163" s="1"/>
  <c r="P136" i="143" s="1"/>
  <c r="CI112" i="159"/>
  <c r="BH120" i="163"/>
  <c r="CL120" i="163" s="1"/>
  <c r="CG94" i="159"/>
  <c r="BE131" i="163"/>
  <c r="CI131" i="163" s="1"/>
  <c r="CD105" i="159"/>
  <c r="BF123" i="163"/>
  <c r="CJ123" i="163" s="1"/>
  <c r="V121" i="143" s="1"/>
  <c r="CE97" i="159"/>
  <c r="BE133" i="163"/>
  <c r="CI133" i="163" s="1"/>
  <c r="O131" i="143" s="1"/>
  <c r="CD107" i="159"/>
  <c r="BE147" i="163"/>
  <c r="CI147" i="163" s="1"/>
  <c r="CD121" i="159"/>
  <c r="BH131" i="163"/>
  <c r="CL131" i="163" s="1"/>
  <c r="CG105" i="159"/>
  <c r="BC138" i="163"/>
  <c r="CG138" i="163" s="1"/>
  <c r="CB112" i="159"/>
  <c r="BK126" i="163"/>
  <c r="CO126" i="163" s="1"/>
  <c r="W124" i="143" s="1"/>
  <c r="CJ100" i="159"/>
  <c r="BC134" i="163"/>
  <c r="CG134" i="163" s="1"/>
  <c r="CB108" i="159"/>
  <c r="BD142" i="163"/>
  <c r="CH142" i="163" s="1"/>
  <c r="H140" i="143" s="1"/>
  <c r="CC116" i="159"/>
  <c r="BC146" i="163"/>
  <c r="CG146" i="163" s="1"/>
  <c r="CB120" i="159"/>
  <c r="BJ127" i="163"/>
  <c r="CN127" i="163" s="1"/>
  <c r="P125" i="143" s="1"/>
  <c r="CI101" i="159"/>
  <c r="BF136" i="163"/>
  <c r="CJ136" i="163" s="1"/>
  <c r="V134" i="143" s="1"/>
  <c r="CE110" i="159"/>
  <c r="BK133" i="163"/>
  <c r="CO133" i="163" s="1"/>
  <c r="W131" i="143" s="1"/>
  <c r="CJ107" i="159"/>
  <c r="BH139" i="163"/>
  <c r="CL139" i="163" s="1"/>
  <c r="CG113" i="159"/>
  <c r="BH147" i="163"/>
  <c r="CL147" i="163" s="1"/>
  <c r="CG121" i="159"/>
  <c r="BE148" i="163"/>
  <c r="CI148" i="163" s="1"/>
  <c r="O146" i="143" s="1"/>
  <c r="CD122" i="159"/>
  <c r="BH144" i="163"/>
  <c r="CL144" i="163" s="1"/>
  <c r="CG118" i="159"/>
  <c r="BC141" i="163"/>
  <c r="CG141" i="163" s="1"/>
  <c r="CB115" i="159"/>
  <c r="BC149" i="163"/>
  <c r="CG149" i="163" s="1"/>
  <c r="CB123" i="159"/>
  <c r="BH146" i="163"/>
  <c r="CL146" i="163" s="1"/>
  <c r="CG120" i="159"/>
  <c r="BJ141" i="163"/>
  <c r="CN141" i="163" s="1"/>
  <c r="P139" i="143" s="1"/>
  <c r="CI115" i="159"/>
  <c r="BH142" i="163"/>
  <c r="CL142" i="163" s="1"/>
  <c r="CG116" i="159"/>
  <c r="AL100" i="163"/>
  <c r="AJ82" i="163"/>
  <c r="AI54" i="163"/>
  <c r="Q150" i="163"/>
  <c r="AL76" i="163"/>
  <c r="U34" i="159"/>
  <c r="AL91" i="163"/>
  <c r="AI82" i="163"/>
  <c r="AI35" i="163"/>
  <c r="AJ21" i="163"/>
  <c r="DC101" i="163"/>
  <c r="CX74" i="159"/>
  <c r="AJ14" i="163"/>
  <c r="AK130" i="163"/>
  <c r="AD150" i="163"/>
  <c r="U150" i="163"/>
  <c r="F34" i="159"/>
  <c r="F60" i="163" s="1"/>
  <c r="AG150" i="163"/>
  <c r="AG125" i="159"/>
  <c r="AL73" i="163"/>
  <c r="AK73" i="163"/>
  <c r="T70" i="159"/>
  <c r="AL14" i="163"/>
  <c r="AJ42" i="163"/>
  <c r="W30" i="163"/>
  <c r="DC36" i="163"/>
  <c r="CX9" i="159"/>
  <c r="DC43" i="163"/>
  <c r="CX16" i="159"/>
  <c r="DC42" i="163" s="1"/>
  <c r="DC55" i="163"/>
  <c r="CX28" i="159"/>
  <c r="DC54" i="163" s="1"/>
  <c r="DD101" i="163"/>
  <c r="CY74" i="159"/>
  <c r="DB55" i="163"/>
  <c r="CW28" i="159"/>
  <c r="DB54" i="163" s="1"/>
  <c r="AL38" i="163"/>
  <c r="DA55" i="163"/>
  <c r="CV28" i="159"/>
  <c r="DA54" i="163" s="1"/>
  <c r="DA101" i="163"/>
  <c r="CV74" i="159"/>
  <c r="DB43" i="163"/>
  <c r="CW16" i="159"/>
  <c r="DB42" i="163" s="1"/>
  <c r="BC39" i="163"/>
  <c r="CG39" i="163" s="1"/>
  <c r="CB13" i="159"/>
  <c r="BD8" i="163"/>
  <c r="CH8" i="163" s="1"/>
  <c r="H8" i="143" s="1"/>
  <c r="BE12" i="163"/>
  <c r="CI12" i="163" s="1"/>
  <c r="O12" i="143" s="1"/>
  <c r="BI16" i="163"/>
  <c r="CM16" i="163" s="1"/>
  <c r="I16" i="143" s="1"/>
  <c r="BD13" i="163"/>
  <c r="CH13" i="163" s="1"/>
  <c r="H13" i="143" s="1"/>
  <c r="BE20" i="163"/>
  <c r="CI20" i="163" s="1"/>
  <c r="O20" i="143" s="1"/>
  <c r="BF49" i="163"/>
  <c r="CJ49" i="163" s="1"/>
  <c r="V45" i="143" s="1"/>
  <c r="CE23" i="159"/>
  <c r="BC16" i="163"/>
  <c r="CG16" i="163" s="1"/>
  <c r="BC24" i="163"/>
  <c r="CG24" i="163" s="1"/>
  <c r="BC41" i="163"/>
  <c r="CG41" i="163" s="1"/>
  <c r="CB15" i="159"/>
  <c r="BI13" i="163"/>
  <c r="CM13" i="163" s="1"/>
  <c r="I13" i="143" s="1"/>
  <c r="BI23" i="163"/>
  <c r="CM23" i="163" s="1"/>
  <c r="I23" i="143" s="1"/>
  <c r="BD62" i="163"/>
  <c r="CH62" i="163" s="1"/>
  <c r="H58" i="143" s="1"/>
  <c r="CC36" i="159"/>
  <c r="BH16" i="163"/>
  <c r="CL16" i="163" s="1"/>
  <c r="BD36" i="163"/>
  <c r="CH36" i="163" s="1"/>
  <c r="H32" i="143" s="1"/>
  <c r="AY9" i="159"/>
  <c r="CC10" i="159"/>
  <c r="BD57" i="163"/>
  <c r="CH57" i="163" s="1"/>
  <c r="H53" i="143" s="1"/>
  <c r="CC31" i="159"/>
  <c r="BJ47" i="163"/>
  <c r="CN47" i="163" s="1"/>
  <c r="P43" i="143" s="1"/>
  <c r="CI21" i="159"/>
  <c r="BJ56" i="163"/>
  <c r="CN56" i="163" s="1"/>
  <c r="P52" i="143" s="1"/>
  <c r="CI30" i="159"/>
  <c r="BF66" i="163"/>
  <c r="CJ66" i="163" s="1"/>
  <c r="V62" i="143" s="1"/>
  <c r="CE40" i="159"/>
  <c r="BJ49" i="163"/>
  <c r="CN49" i="163" s="1"/>
  <c r="P45" i="143" s="1"/>
  <c r="CI23" i="159"/>
  <c r="BJ58" i="163"/>
  <c r="CN58" i="163" s="1"/>
  <c r="P54" i="143" s="1"/>
  <c r="CI32" i="159"/>
  <c r="BE86" i="163"/>
  <c r="CI86" i="163" s="1"/>
  <c r="O82" i="143" s="1"/>
  <c r="CD60" i="159"/>
  <c r="BC71" i="163"/>
  <c r="CG71" i="163" s="1"/>
  <c r="AX44" i="159"/>
  <c r="CB45" i="159"/>
  <c r="BE49" i="163"/>
  <c r="CI49" i="163" s="1"/>
  <c r="O45" i="143" s="1"/>
  <c r="CD23" i="159"/>
  <c r="BF67" i="163"/>
  <c r="CJ67" i="163" s="1"/>
  <c r="V63" i="143" s="1"/>
  <c r="CE41" i="159"/>
  <c r="BF77" i="163"/>
  <c r="CJ77" i="163" s="1"/>
  <c r="V73" i="143" s="1"/>
  <c r="CE51" i="159"/>
  <c r="BJ59" i="163"/>
  <c r="CN59" i="163" s="1"/>
  <c r="P55" i="143" s="1"/>
  <c r="CI33" i="159"/>
  <c r="BK66" i="163"/>
  <c r="CO66" i="163" s="1"/>
  <c r="W62" i="143" s="1"/>
  <c r="CJ40" i="159"/>
  <c r="BH113" i="163"/>
  <c r="CL113" i="163" s="1"/>
  <c r="CG87" i="159"/>
  <c r="BE90" i="163"/>
  <c r="CI90" i="163" s="1"/>
  <c r="O86" i="143" s="1"/>
  <c r="CD64" i="159"/>
  <c r="BH103" i="163"/>
  <c r="CL103" i="163" s="1"/>
  <c r="CG77" i="159"/>
  <c r="BH110" i="163"/>
  <c r="CL110" i="163" s="1"/>
  <c r="CG84" i="159"/>
  <c r="BK87" i="163"/>
  <c r="CO87" i="163" s="1"/>
  <c r="W83" i="143" s="1"/>
  <c r="CJ61" i="159"/>
  <c r="BJ106" i="163"/>
  <c r="CN106" i="163" s="1"/>
  <c r="P104" i="143" s="1"/>
  <c r="CI80" i="159"/>
  <c r="BK108" i="163"/>
  <c r="CO108" i="163" s="1"/>
  <c r="W106" i="143" s="1"/>
  <c r="CJ82" i="159"/>
  <c r="BI105" i="163"/>
  <c r="CM105" i="163" s="1"/>
  <c r="I103" i="143" s="1"/>
  <c r="CH79" i="159"/>
  <c r="BK110" i="163"/>
  <c r="CO110" i="163" s="1"/>
  <c r="W108" i="143" s="1"/>
  <c r="CJ84" i="159"/>
  <c r="BF89" i="163"/>
  <c r="CJ89" i="163" s="1"/>
  <c r="V85" i="143" s="1"/>
  <c r="CE63" i="159"/>
  <c r="BF101" i="163"/>
  <c r="CJ101" i="163" s="1"/>
  <c r="V99" i="143" s="1"/>
  <c r="CE75" i="159"/>
  <c r="BE108" i="163"/>
  <c r="CI108" i="163" s="1"/>
  <c r="O106" i="143" s="1"/>
  <c r="CD82" i="159"/>
  <c r="BK117" i="163"/>
  <c r="CO117" i="163" s="1"/>
  <c r="W115" i="143" s="1"/>
  <c r="CJ91" i="159"/>
  <c r="BJ92" i="163"/>
  <c r="CN92" i="163" s="1"/>
  <c r="P88" i="143" s="1"/>
  <c r="BE65" i="159"/>
  <c r="CI66" i="159"/>
  <c r="BC105" i="163"/>
  <c r="CG105" i="163" s="1"/>
  <c r="CB79" i="159"/>
  <c r="BK112" i="163"/>
  <c r="CO112" i="163" s="1"/>
  <c r="W110" i="143" s="1"/>
  <c r="CJ86" i="159"/>
  <c r="BC90" i="163"/>
  <c r="CG90" i="163" s="1"/>
  <c r="CB64" i="159"/>
  <c r="BC102" i="163"/>
  <c r="CG102" i="163" s="1"/>
  <c r="CB76" i="159"/>
  <c r="BK107" i="163"/>
  <c r="CO107" i="163" s="1"/>
  <c r="W105" i="143" s="1"/>
  <c r="CJ81" i="159"/>
  <c r="BH114" i="163"/>
  <c r="CL114" i="163" s="1"/>
  <c r="CG88" i="159"/>
  <c r="BI118" i="163"/>
  <c r="CM118" i="163" s="1"/>
  <c r="I116" i="143" s="1"/>
  <c r="CH92" i="159"/>
  <c r="BJ116" i="163"/>
  <c r="CN116" i="163" s="1"/>
  <c r="P114" i="143" s="1"/>
  <c r="CI90" i="159"/>
  <c r="BE89" i="159"/>
  <c r="BC124" i="163"/>
  <c r="CG124" i="163" s="1"/>
  <c r="CB98" i="159"/>
  <c r="BE123" i="163"/>
  <c r="CI123" i="163" s="1"/>
  <c r="O121" i="143" s="1"/>
  <c r="CD97" i="159"/>
  <c r="BD116" i="163"/>
  <c r="CH116" i="163" s="1"/>
  <c r="H114" i="143" s="1"/>
  <c r="AY89" i="159"/>
  <c r="CC90" i="159"/>
  <c r="BJ121" i="163"/>
  <c r="CN121" i="163" s="1"/>
  <c r="P119" i="143" s="1"/>
  <c r="CI95" i="159"/>
  <c r="BJ114" i="163"/>
  <c r="CN114" i="163" s="1"/>
  <c r="P112" i="143" s="1"/>
  <c r="CI88" i="159"/>
  <c r="BI123" i="163"/>
  <c r="CM123" i="163" s="1"/>
  <c r="I121" i="143" s="1"/>
  <c r="CH97" i="159"/>
  <c r="BI122" i="163"/>
  <c r="CM122" i="163" s="1"/>
  <c r="I120" i="143" s="1"/>
  <c r="CH96" i="159"/>
  <c r="BI141" i="163"/>
  <c r="CM141" i="163" s="1"/>
  <c r="I139" i="143" s="1"/>
  <c r="CH115" i="159"/>
  <c r="BH124" i="163"/>
  <c r="CL124" i="163" s="1"/>
  <c r="CG98" i="159"/>
  <c r="BJ140" i="163"/>
  <c r="CN140" i="163" s="1"/>
  <c r="P138" i="143" s="1"/>
  <c r="CI114" i="159"/>
  <c r="BE121" i="163"/>
  <c r="CI121" i="163" s="1"/>
  <c r="O119" i="143" s="1"/>
  <c r="CD95" i="159"/>
  <c r="BI132" i="163"/>
  <c r="CM132" i="163" s="1"/>
  <c r="I130" i="143" s="1"/>
  <c r="CH106" i="159"/>
  <c r="BI124" i="163"/>
  <c r="CM124" i="163" s="1"/>
  <c r="I122" i="143" s="1"/>
  <c r="CH98" i="159"/>
  <c r="BI134" i="163"/>
  <c r="CM134" i="163" s="1"/>
  <c r="I132" i="143" s="1"/>
  <c r="CH108" i="159"/>
  <c r="BK148" i="163"/>
  <c r="CO148" i="163" s="1"/>
  <c r="W146" i="143" s="1"/>
  <c r="CJ122" i="159"/>
  <c r="BC132" i="163"/>
  <c r="CG132" i="163" s="1"/>
  <c r="CB106" i="159"/>
  <c r="BK134" i="163"/>
  <c r="CO134" i="163" s="1"/>
  <c r="W132" i="143" s="1"/>
  <c r="CJ108" i="159"/>
  <c r="BF144" i="163"/>
  <c r="CJ144" i="163" s="1"/>
  <c r="V142" i="143" s="1"/>
  <c r="CE118" i="159"/>
  <c r="BH137" i="163"/>
  <c r="CL137" i="163" s="1"/>
  <c r="CG111" i="159"/>
  <c r="BF139" i="163"/>
  <c r="CJ139" i="163" s="1"/>
  <c r="V137" i="143" s="1"/>
  <c r="CE113" i="159"/>
  <c r="BF128" i="163"/>
  <c r="CJ128" i="163" s="1"/>
  <c r="V126" i="143" s="1"/>
  <c r="CE102" i="159"/>
  <c r="BK137" i="163"/>
  <c r="CO137" i="163" s="1"/>
  <c r="W135" i="143" s="1"/>
  <c r="CJ111" i="159"/>
  <c r="BI140" i="163"/>
  <c r="CM140" i="163" s="1"/>
  <c r="I138" i="143" s="1"/>
  <c r="CH114" i="159"/>
  <c r="BD148" i="163"/>
  <c r="CH148" i="163" s="1"/>
  <c r="H146" i="143" s="1"/>
  <c r="CC122" i="159"/>
  <c r="BI149" i="163"/>
  <c r="CM149" i="163" s="1"/>
  <c r="I147" i="143" s="1"/>
  <c r="CH123" i="159"/>
  <c r="BF146" i="163"/>
  <c r="CJ146" i="163" s="1"/>
  <c r="V144" i="143" s="1"/>
  <c r="CE120" i="159"/>
  <c r="BK141" i="163"/>
  <c r="CO141" i="163" s="1"/>
  <c r="W139" i="143" s="1"/>
  <c r="CJ115" i="159"/>
  <c r="BK149" i="163"/>
  <c r="CO149" i="163" s="1"/>
  <c r="W147" i="143" s="1"/>
  <c r="CJ123" i="159"/>
  <c r="BD147" i="163"/>
  <c r="CH147" i="163" s="1"/>
  <c r="CC121" i="159"/>
  <c r="DD36" i="163"/>
  <c r="CY9" i="159"/>
  <c r="L28" i="163"/>
  <c r="K103" i="159"/>
  <c r="K129" i="163" s="1"/>
  <c r="H124" i="159"/>
  <c r="AL85" i="163"/>
  <c r="Y125" i="159"/>
  <c r="Y150" i="163" s="1"/>
  <c r="AI99" i="163"/>
  <c r="E34" i="159"/>
  <c r="E60" i="163" s="1"/>
  <c r="M34" i="159"/>
  <c r="L96" i="163"/>
  <c r="H70" i="159"/>
  <c r="DC92" i="163"/>
  <c r="CX65" i="159"/>
  <c r="DC91" i="163" s="1"/>
  <c r="DB36" i="163"/>
  <c r="CW9" i="159"/>
  <c r="DB92" i="163"/>
  <c r="CW65" i="159"/>
  <c r="DB91" i="163" s="1"/>
  <c r="Y28" i="163"/>
  <c r="J70" i="159"/>
  <c r="J125" i="159" s="1"/>
  <c r="AI9" i="163"/>
  <c r="AI31" i="163" s="1"/>
  <c r="BJ52" i="163"/>
  <c r="CN52" i="163" s="1"/>
  <c r="P48" i="143" s="1"/>
  <c r="CI26" i="159"/>
  <c r="BE25" i="159"/>
  <c r="BC57" i="163"/>
  <c r="CG57" i="163" s="1"/>
  <c r="CB31" i="159"/>
  <c r="BC8" i="163"/>
  <c r="CG8" i="163" s="1"/>
  <c r="BF40" i="163"/>
  <c r="CJ40" i="163" s="1"/>
  <c r="V36" i="143" s="1"/>
  <c r="CE14" i="159"/>
  <c r="BK13" i="163"/>
  <c r="CO13" i="163" s="1"/>
  <c r="W13" i="143" s="1"/>
  <c r="BJ7" i="163"/>
  <c r="CN7" i="163" s="1"/>
  <c r="P7" i="143" s="1"/>
  <c r="BJ24" i="163"/>
  <c r="CN24" i="163" s="1"/>
  <c r="P24" i="143" s="1"/>
  <c r="BD10" i="163"/>
  <c r="CH10" i="163" s="1"/>
  <c r="H10" i="143" s="1"/>
  <c r="BD23" i="163"/>
  <c r="CH23" i="163" s="1"/>
  <c r="H23" i="143" s="1"/>
  <c r="BK50" i="163"/>
  <c r="CO50" i="163" s="1"/>
  <c r="W46" i="143" s="1"/>
  <c r="CJ24" i="159"/>
  <c r="BK16" i="163"/>
  <c r="CO16" i="163" s="1"/>
  <c r="W16" i="143" s="1"/>
  <c r="BJ37" i="163"/>
  <c r="CN37" i="163" s="1"/>
  <c r="P33" i="143" s="1"/>
  <c r="CI11" i="159"/>
  <c r="BF14" i="163"/>
  <c r="CJ14" i="163" s="1"/>
  <c r="V14" i="143" s="1"/>
  <c r="BK24" i="163"/>
  <c r="CO24" i="163" s="1"/>
  <c r="W24" i="143" s="1"/>
  <c r="BK41" i="163"/>
  <c r="CO41" i="163" s="1"/>
  <c r="W37" i="143" s="1"/>
  <c r="CJ15" i="159"/>
  <c r="BD41" i="163"/>
  <c r="CH41" i="163" s="1"/>
  <c r="H37" i="143" s="1"/>
  <c r="CC15" i="159"/>
  <c r="BD53" i="163"/>
  <c r="CH53" i="163" s="1"/>
  <c r="H49" i="143" s="1"/>
  <c r="CC27" i="159"/>
  <c r="BH14" i="163"/>
  <c r="CL14" i="163" s="1"/>
  <c r="BE24" i="163"/>
  <c r="CI24" i="163" s="1"/>
  <c r="O24" i="143" s="1"/>
  <c r="BD44" i="163"/>
  <c r="CH44" i="163" s="1"/>
  <c r="H40" i="143" s="1"/>
  <c r="CC18" i="159"/>
  <c r="BD66" i="163"/>
  <c r="CH66" i="163" s="1"/>
  <c r="H62" i="143" s="1"/>
  <c r="CC40" i="159"/>
  <c r="BC17" i="163"/>
  <c r="CG17" i="163" s="1"/>
  <c r="BD47" i="163"/>
  <c r="CH47" i="163" s="1"/>
  <c r="H43" i="143" s="1"/>
  <c r="CC21" i="159"/>
  <c r="BI19" i="163"/>
  <c r="CM19" i="163" s="1"/>
  <c r="I19" i="143" s="1"/>
  <c r="BC46" i="163"/>
  <c r="CG46" i="163" s="1"/>
  <c r="CB20" i="159"/>
  <c r="BD50" i="163"/>
  <c r="CH50" i="163" s="1"/>
  <c r="H46" i="143" s="1"/>
  <c r="CC24" i="159"/>
  <c r="BE66" i="163"/>
  <c r="CI66" i="163" s="1"/>
  <c r="O62" i="143" s="1"/>
  <c r="CD40" i="159"/>
  <c r="BF48" i="163"/>
  <c r="CJ48" i="163" s="1"/>
  <c r="V44" i="143" s="1"/>
  <c r="CE22" i="159"/>
  <c r="BE57" i="163"/>
  <c r="CI57" i="163" s="1"/>
  <c r="O53" i="143" s="1"/>
  <c r="CD31" i="159"/>
  <c r="BJ67" i="163"/>
  <c r="CN67" i="163" s="1"/>
  <c r="P63" i="143" s="1"/>
  <c r="CI41" i="159"/>
  <c r="BF50" i="163"/>
  <c r="CJ50" i="163" s="1"/>
  <c r="V46" i="143" s="1"/>
  <c r="CE24" i="159"/>
  <c r="BF59" i="163"/>
  <c r="CJ59" i="163" s="1"/>
  <c r="V55" i="143" s="1"/>
  <c r="CE33" i="159"/>
  <c r="BC67" i="163"/>
  <c r="CG67" i="163" s="1"/>
  <c r="CB41" i="159"/>
  <c r="BC78" i="163"/>
  <c r="CG78" i="163" s="1"/>
  <c r="CB52" i="159"/>
  <c r="BD63" i="163"/>
  <c r="CH63" i="163" s="1"/>
  <c r="H59" i="143" s="1"/>
  <c r="CC37" i="159"/>
  <c r="BK71" i="163"/>
  <c r="CO71" i="163" s="1"/>
  <c r="W67" i="143" s="1"/>
  <c r="CJ45" i="159"/>
  <c r="BE58" i="163"/>
  <c r="CI58" i="163" s="1"/>
  <c r="O54" i="143" s="1"/>
  <c r="CD32" i="159"/>
  <c r="BJ68" i="163"/>
  <c r="CN68" i="163" s="1"/>
  <c r="P64" i="143" s="1"/>
  <c r="CI42" i="159"/>
  <c r="BJ78" i="163"/>
  <c r="CN78" i="163" s="1"/>
  <c r="P74" i="143" s="1"/>
  <c r="CI52" i="159"/>
  <c r="BC62" i="163"/>
  <c r="CG62" i="163" s="1"/>
  <c r="CB36" i="159"/>
  <c r="BK78" i="163"/>
  <c r="CO78" i="163" s="1"/>
  <c r="W74" i="143" s="1"/>
  <c r="CJ52" i="159"/>
  <c r="BE92" i="163"/>
  <c r="CI92" i="163" s="1"/>
  <c r="O88" i="143" s="1"/>
  <c r="CD66" i="159"/>
  <c r="AZ65" i="159"/>
  <c r="BC104" i="163"/>
  <c r="CG104" i="163" s="1"/>
  <c r="CB78" i="159"/>
  <c r="BC111" i="163"/>
  <c r="CG111" i="163" s="1"/>
  <c r="CB85" i="159"/>
  <c r="BE80" i="163"/>
  <c r="CI80" i="163" s="1"/>
  <c r="O76" i="143" s="1"/>
  <c r="CD54" i="159"/>
  <c r="BC101" i="163"/>
  <c r="CG101" i="163" s="1"/>
  <c r="AX74" i="159"/>
  <c r="CB75" i="159"/>
  <c r="BF107" i="163"/>
  <c r="CJ107" i="163" s="1"/>
  <c r="V105" i="143" s="1"/>
  <c r="CE81" i="159"/>
  <c r="BD84" i="163"/>
  <c r="CH84" i="163" s="1"/>
  <c r="H80" i="143" s="1"/>
  <c r="CC58" i="159"/>
  <c r="BJ103" i="163"/>
  <c r="CN103" i="163" s="1"/>
  <c r="P101" i="143" s="1"/>
  <c r="CI77" i="159"/>
  <c r="BC79" i="163"/>
  <c r="CG79" i="163" s="1"/>
  <c r="CB53" i="159"/>
  <c r="BE87" i="163"/>
  <c r="CI87" i="163" s="1"/>
  <c r="O83" i="143" s="1"/>
  <c r="CD61" i="159"/>
  <c r="BC95" i="163"/>
  <c r="CG95" i="163" s="1"/>
  <c r="CB69" i="159"/>
  <c r="BD106" i="163"/>
  <c r="CH106" i="163" s="1"/>
  <c r="H104" i="143" s="1"/>
  <c r="CC80" i="159"/>
  <c r="BF111" i="163"/>
  <c r="CJ111" i="163" s="1"/>
  <c r="V109" i="143" s="1"/>
  <c r="CE85" i="159"/>
  <c r="BD81" i="163"/>
  <c r="CH81" i="163" s="1"/>
  <c r="H77" i="143" s="1"/>
  <c r="CC55" i="159"/>
  <c r="BI102" i="163"/>
  <c r="CM102" i="163" s="1"/>
  <c r="I100" i="143" s="1"/>
  <c r="CH76" i="159"/>
  <c r="BI109" i="163"/>
  <c r="CM109" i="163" s="1"/>
  <c r="I107" i="143" s="1"/>
  <c r="CH83" i="159"/>
  <c r="BE77" i="163"/>
  <c r="CI77" i="163" s="1"/>
  <c r="O73" i="143" s="1"/>
  <c r="CD51" i="159"/>
  <c r="BC86" i="163"/>
  <c r="CG86" i="163" s="1"/>
  <c r="CB60" i="159"/>
  <c r="BE93" i="163"/>
  <c r="CI93" i="163" s="1"/>
  <c r="O89" i="143" s="1"/>
  <c r="CD67" i="159"/>
  <c r="BK105" i="163"/>
  <c r="CO105" i="163" s="1"/>
  <c r="W103" i="143" s="1"/>
  <c r="CJ79" i="159"/>
  <c r="BE113" i="163"/>
  <c r="CI113" i="163" s="1"/>
  <c r="O111" i="143" s="1"/>
  <c r="CD87" i="159"/>
  <c r="BK90" i="163"/>
  <c r="CO90" i="163" s="1"/>
  <c r="W86" i="143" s="1"/>
  <c r="CJ64" i="159"/>
  <c r="BK102" i="163"/>
  <c r="CO102" i="163" s="1"/>
  <c r="W100" i="143" s="1"/>
  <c r="CJ76" i="159"/>
  <c r="BF116" i="163"/>
  <c r="CJ116" i="163" s="1"/>
  <c r="V114" i="143" s="1"/>
  <c r="CE90" i="159"/>
  <c r="BE119" i="163"/>
  <c r="CI119" i="163" s="1"/>
  <c r="O117" i="143" s="1"/>
  <c r="CD93" i="159"/>
  <c r="BK127" i="163"/>
  <c r="CO127" i="163" s="1"/>
  <c r="W125" i="143" s="1"/>
  <c r="CJ101" i="159"/>
  <c r="BF117" i="163"/>
  <c r="CJ117" i="163" s="1"/>
  <c r="V115" i="143" s="1"/>
  <c r="CE91" i="159"/>
  <c r="BH125" i="163"/>
  <c r="CL125" i="163" s="1"/>
  <c r="CG99" i="159"/>
  <c r="BC118" i="163"/>
  <c r="CG118" i="163" s="1"/>
  <c r="CB92" i="159"/>
  <c r="BD124" i="163"/>
  <c r="CH124" i="163" s="1"/>
  <c r="H122" i="143" s="1"/>
  <c r="CC98" i="159"/>
  <c r="BE116" i="163"/>
  <c r="CI116" i="163" s="1"/>
  <c r="O114" i="143" s="1"/>
  <c r="AZ89" i="159"/>
  <c r="CD90" i="159"/>
  <c r="BF124" i="163"/>
  <c r="CJ124" i="163" s="1"/>
  <c r="V122" i="143" s="1"/>
  <c r="CE98" i="159"/>
  <c r="BJ123" i="163"/>
  <c r="CN123" i="163" s="1"/>
  <c r="P121" i="143" s="1"/>
  <c r="CI97" i="159"/>
  <c r="BD126" i="163"/>
  <c r="CH126" i="163" s="1"/>
  <c r="H124" i="143" s="1"/>
  <c r="CC100" i="159"/>
  <c r="BH116" i="163"/>
  <c r="CL116" i="163" s="1"/>
  <c r="BC89" i="159"/>
  <c r="CG90" i="159"/>
  <c r="BI139" i="163"/>
  <c r="CM139" i="163" s="1"/>
  <c r="I137" i="143" s="1"/>
  <c r="CH113" i="159"/>
  <c r="BE125" i="163"/>
  <c r="CI125" i="163" s="1"/>
  <c r="O123" i="143" s="1"/>
  <c r="CD99" i="159"/>
  <c r="BE135" i="163"/>
  <c r="CI135" i="163" s="1"/>
  <c r="O133" i="143" s="1"/>
  <c r="CD109" i="159"/>
  <c r="BK132" i="163"/>
  <c r="CO132" i="163" s="1"/>
  <c r="W130" i="143" s="1"/>
  <c r="CJ106" i="159"/>
  <c r="BC128" i="163"/>
  <c r="CG128" i="163" s="1"/>
  <c r="CB102" i="159"/>
  <c r="BE138" i="163"/>
  <c r="CI138" i="163" s="1"/>
  <c r="O136" i="143" s="1"/>
  <c r="CD112" i="159"/>
  <c r="BF132" i="163"/>
  <c r="CJ132" i="163" s="1"/>
  <c r="V130" i="143" s="1"/>
  <c r="CE106" i="159"/>
  <c r="BD140" i="163"/>
  <c r="CH140" i="163" s="1"/>
  <c r="H138" i="143" s="1"/>
  <c r="CC114" i="159"/>
  <c r="BD131" i="163"/>
  <c r="CH131" i="163" s="1"/>
  <c r="CC105" i="159"/>
  <c r="BH138" i="163"/>
  <c r="CL138" i="163" s="1"/>
  <c r="CG112" i="159"/>
  <c r="BC135" i="163"/>
  <c r="CG135" i="163" s="1"/>
  <c r="CB109" i="159"/>
  <c r="BH141" i="163"/>
  <c r="CL141" i="163" s="1"/>
  <c r="CG115" i="159"/>
  <c r="BJ137" i="163"/>
  <c r="CN137" i="163" s="1"/>
  <c r="P135" i="143" s="1"/>
  <c r="CI111" i="159"/>
  <c r="BJ147" i="163"/>
  <c r="CN147" i="163" s="1"/>
  <c r="CI121" i="159"/>
  <c r="AI115" i="163"/>
  <c r="AK100" i="163"/>
  <c r="G150" i="163"/>
  <c r="AK38" i="163"/>
  <c r="J28" i="163"/>
  <c r="DB52" i="163"/>
  <c r="CW25" i="159"/>
  <c r="DB51" i="163" s="1"/>
  <c r="DA116" i="163"/>
  <c r="CV89" i="159"/>
  <c r="DA115" i="163" s="1"/>
  <c r="BD7" i="163"/>
  <c r="CH7" i="163" s="1"/>
  <c r="H7" i="143" s="1"/>
  <c r="BJ8" i="163"/>
  <c r="CN8" i="163" s="1"/>
  <c r="P8" i="143" s="1"/>
  <c r="BD80" i="163"/>
  <c r="CH80" i="163" s="1"/>
  <c r="H76" i="143" s="1"/>
  <c r="CC54" i="159"/>
  <c r="BK8" i="163"/>
  <c r="CO8" i="163" s="1"/>
  <c r="W8" i="143" s="1"/>
  <c r="BI10" i="163"/>
  <c r="CM10" i="163" s="1"/>
  <c r="I10" i="143" s="1"/>
  <c r="BE14" i="163"/>
  <c r="O14" i="143" s="1"/>
  <c r="BF8" i="163"/>
  <c r="CJ8" i="163" s="1"/>
  <c r="V8" i="143" s="1"/>
  <c r="BJ41" i="163"/>
  <c r="CN41" i="163" s="1"/>
  <c r="P37" i="143" s="1"/>
  <c r="CI15" i="159"/>
  <c r="BC14" i="163"/>
  <c r="CG14" i="163" s="1"/>
  <c r="BD43" i="163"/>
  <c r="CH43" i="163" s="1"/>
  <c r="H39" i="143" s="1"/>
  <c r="CC17" i="159"/>
  <c r="AY16" i="159"/>
  <c r="BK59" i="163"/>
  <c r="CO59" i="163" s="1"/>
  <c r="W55" i="143" s="1"/>
  <c r="CJ33" i="159"/>
  <c r="BJ39" i="163"/>
  <c r="CN39" i="163" s="1"/>
  <c r="P35" i="143" s="1"/>
  <c r="CI13" i="159"/>
  <c r="BJ15" i="163"/>
  <c r="BH23" i="163"/>
  <c r="CL23" i="163" s="1"/>
  <c r="BD15" i="163"/>
  <c r="BC36" i="163"/>
  <c r="CG36" i="163" s="1"/>
  <c r="AX9" i="159"/>
  <c r="CB10" i="159"/>
  <c r="BK17" i="163"/>
  <c r="CO17" i="163" s="1"/>
  <c r="W17" i="143" s="1"/>
  <c r="BD20" i="163"/>
  <c r="CH20" i="163" s="1"/>
  <c r="H20" i="143" s="1"/>
  <c r="BC40" i="163"/>
  <c r="CG40" i="163" s="1"/>
  <c r="CB14" i="159"/>
  <c r="BK80" i="163"/>
  <c r="CO80" i="163" s="1"/>
  <c r="W76" i="143" s="1"/>
  <c r="CJ54" i="159"/>
  <c r="BF68" i="163"/>
  <c r="CJ68" i="163" s="1"/>
  <c r="V64" i="143" s="1"/>
  <c r="CE42" i="159"/>
  <c r="BE83" i="163"/>
  <c r="CI83" i="163" s="1"/>
  <c r="O79" i="143" s="1"/>
  <c r="CD57" i="159"/>
  <c r="AZ56" i="159"/>
  <c r="BE52" i="163"/>
  <c r="CI52" i="163" s="1"/>
  <c r="O48" i="143" s="1"/>
  <c r="CD26" i="159"/>
  <c r="AZ25" i="159"/>
  <c r="BK67" i="163"/>
  <c r="CO67" i="163" s="1"/>
  <c r="W63" i="143" s="1"/>
  <c r="CJ41" i="159"/>
  <c r="BD56" i="163"/>
  <c r="CH56" i="163" s="1"/>
  <c r="H52" i="143" s="1"/>
  <c r="CC30" i="159"/>
  <c r="BJ71" i="163"/>
  <c r="CN71" i="163" s="1"/>
  <c r="P67" i="143" s="1"/>
  <c r="BE44" i="159"/>
  <c r="CI45" i="159"/>
  <c r="BE45" i="163"/>
  <c r="CI45" i="163" s="1"/>
  <c r="O41" i="143" s="1"/>
  <c r="CD19" i="159"/>
  <c r="BJ53" i="163"/>
  <c r="CN53" i="163" s="1"/>
  <c r="P49" i="143" s="1"/>
  <c r="CI27" i="159"/>
  <c r="BE63" i="163"/>
  <c r="CI63" i="163" s="1"/>
  <c r="O59" i="143" s="1"/>
  <c r="CD37" i="159"/>
  <c r="BF72" i="163"/>
  <c r="CJ72" i="163" s="1"/>
  <c r="V68" i="143" s="1"/>
  <c r="V66" i="143" s="1"/>
  <c r="CE46" i="159"/>
  <c r="BC94" i="163"/>
  <c r="CG94" i="163" s="1"/>
  <c r="CB68" i="159"/>
  <c r="BD71" i="163"/>
  <c r="CH71" i="163" s="1"/>
  <c r="H67" i="143" s="1"/>
  <c r="AY44" i="159"/>
  <c r="CC45" i="159"/>
  <c r="BD90" i="163"/>
  <c r="CH90" i="163" s="1"/>
  <c r="H86" i="143" s="1"/>
  <c r="CC64" i="159"/>
  <c r="BK62" i="163"/>
  <c r="CO62" i="163" s="1"/>
  <c r="W58" i="143" s="1"/>
  <c r="CJ36" i="159"/>
  <c r="BC68" i="163"/>
  <c r="CG68" i="163" s="1"/>
  <c r="CB42" i="159"/>
  <c r="BC80" i="163"/>
  <c r="CG80" i="163" s="1"/>
  <c r="CB54" i="159"/>
  <c r="BF83" i="163"/>
  <c r="CJ83" i="163" s="1"/>
  <c r="V79" i="143" s="1"/>
  <c r="V78" i="143" s="1"/>
  <c r="CE57" i="159"/>
  <c r="BK104" i="163"/>
  <c r="CO104" i="163" s="1"/>
  <c r="W102" i="143" s="1"/>
  <c r="CJ78" i="159"/>
  <c r="BK111" i="163"/>
  <c r="CO111" i="163" s="1"/>
  <c r="W109" i="143" s="1"/>
  <c r="CJ85" i="159"/>
  <c r="BC89" i="163"/>
  <c r="CG89" i="163" s="1"/>
  <c r="CB63" i="159"/>
  <c r="BK101" i="163"/>
  <c r="CO101" i="163" s="1"/>
  <c r="W99" i="143" s="1"/>
  <c r="CJ75" i="159"/>
  <c r="BJ108" i="163"/>
  <c r="CN108" i="163" s="1"/>
  <c r="P106" i="143" s="1"/>
  <c r="CI82" i="159"/>
  <c r="BJ119" i="163"/>
  <c r="CN119" i="163" s="1"/>
  <c r="P117" i="143" s="1"/>
  <c r="CI93" i="159"/>
  <c r="BE104" i="163"/>
  <c r="CI104" i="163" s="1"/>
  <c r="O102" i="143" s="1"/>
  <c r="CD78" i="159"/>
  <c r="BJ110" i="163"/>
  <c r="CN110" i="163" s="1"/>
  <c r="P108" i="143" s="1"/>
  <c r="CI84" i="159"/>
  <c r="BK79" i="163"/>
  <c r="CO79" i="163" s="1"/>
  <c r="CJ53" i="159"/>
  <c r="BK95" i="163"/>
  <c r="CO95" i="163" s="1"/>
  <c r="W91" i="143" s="1"/>
  <c r="CJ69" i="159"/>
  <c r="BI112" i="163"/>
  <c r="CM112" i="163" s="1"/>
  <c r="I110" i="143" s="1"/>
  <c r="CH86" i="159"/>
  <c r="BD103" i="163"/>
  <c r="CH103" i="163" s="1"/>
  <c r="H101" i="143" s="1"/>
  <c r="CC77" i="159"/>
  <c r="BD110" i="163"/>
  <c r="CH110" i="163" s="1"/>
  <c r="H108" i="143" s="1"/>
  <c r="CC84" i="159"/>
  <c r="BK86" i="163"/>
  <c r="CO86" i="163" s="1"/>
  <c r="W82" i="143" s="1"/>
  <c r="CJ60" i="159"/>
  <c r="BF106" i="163"/>
  <c r="CJ106" i="163" s="1"/>
  <c r="V104" i="143" s="1"/>
  <c r="CE80" i="159"/>
  <c r="BE114" i="163"/>
  <c r="CI114" i="163" s="1"/>
  <c r="O112" i="143" s="1"/>
  <c r="CD88" i="159"/>
  <c r="BD86" i="163"/>
  <c r="CH86" i="163" s="1"/>
  <c r="H82" i="143" s="1"/>
  <c r="CC60" i="159"/>
  <c r="BC92" i="163"/>
  <c r="CG92" i="163" s="1"/>
  <c r="AX65" i="159"/>
  <c r="CB66" i="159"/>
  <c r="BF103" i="163"/>
  <c r="CJ103" i="163" s="1"/>
  <c r="V101" i="143" s="1"/>
  <c r="CE77" i="159"/>
  <c r="BC109" i="163"/>
  <c r="CG109" i="163" s="1"/>
  <c r="CB83" i="159"/>
  <c r="BF118" i="163"/>
  <c r="CJ118" i="163" s="1"/>
  <c r="V116" i="143" s="1"/>
  <c r="CE92" i="159"/>
  <c r="BI120" i="163"/>
  <c r="CM120" i="163" s="1"/>
  <c r="I118" i="143" s="1"/>
  <c r="CH94" i="159"/>
  <c r="BF131" i="163"/>
  <c r="CJ131" i="163" s="1"/>
  <c r="CE105" i="159"/>
  <c r="BJ118" i="163"/>
  <c r="CN118" i="163" s="1"/>
  <c r="P116" i="143" s="1"/>
  <c r="CI92" i="159"/>
  <c r="BH126" i="163"/>
  <c r="CL126" i="163" s="1"/>
  <c r="CG100" i="159"/>
  <c r="BK118" i="163"/>
  <c r="CO118" i="163" s="1"/>
  <c r="W116" i="143" s="1"/>
  <c r="CJ92" i="159"/>
  <c r="BI125" i="163"/>
  <c r="CM125" i="163" s="1"/>
  <c r="I123" i="143" s="1"/>
  <c r="CH99" i="159"/>
  <c r="BH117" i="163"/>
  <c r="CL117" i="163" s="1"/>
  <c r="CG91" i="159"/>
  <c r="BH123" i="163"/>
  <c r="CL123" i="163" s="1"/>
  <c r="CG97" i="159"/>
  <c r="BI117" i="163"/>
  <c r="CM117" i="163" s="1"/>
  <c r="I115" i="143" s="1"/>
  <c r="CH91" i="159"/>
  <c r="BK125" i="163"/>
  <c r="CO125" i="163" s="1"/>
  <c r="W123" i="143" s="1"/>
  <c r="CJ99" i="159"/>
  <c r="BC119" i="163"/>
  <c r="CG119" i="163" s="1"/>
  <c r="CB93" i="159"/>
  <c r="BH127" i="163"/>
  <c r="CL127" i="163" s="1"/>
  <c r="CG101" i="159"/>
  <c r="BD117" i="163"/>
  <c r="CH117" i="163" s="1"/>
  <c r="H115" i="143" s="1"/>
  <c r="CC91" i="159"/>
  <c r="BC144" i="163"/>
  <c r="CG144" i="163" s="1"/>
  <c r="CB118" i="159"/>
  <c r="BI126" i="163"/>
  <c r="CM126" i="163" s="1"/>
  <c r="I124" i="143" s="1"/>
  <c r="CH100" i="159"/>
  <c r="BI136" i="163"/>
  <c r="CM136" i="163" s="1"/>
  <c r="I134" i="143" s="1"/>
  <c r="CH110" i="159"/>
  <c r="BJ124" i="163"/>
  <c r="CN124" i="163" s="1"/>
  <c r="P122" i="143" s="1"/>
  <c r="CI98" i="159"/>
  <c r="BF133" i="163"/>
  <c r="CJ133" i="163" s="1"/>
  <c r="V131" i="143" s="1"/>
  <c r="CE107" i="159"/>
  <c r="BC142" i="163"/>
  <c r="CG142" i="163" s="1"/>
  <c r="CB116" i="159"/>
  <c r="BK128" i="163"/>
  <c r="CO128" i="163" s="1"/>
  <c r="W126" i="143" s="1"/>
  <c r="CJ102" i="159"/>
  <c r="BC136" i="163"/>
  <c r="CG136" i="163" s="1"/>
  <c r="CB110" i="159"/>
  <c r="BF149" i="163"/>
  <c r="CJ149" i="163" s="1"/>
  <c r="V147" i="143" s="1"/>
  <c r="CE123" i="159"/>
  <c r="BE139" i="163"/>
  <c r="CI139" i="163" s="1"/>
  <c r="O137" i="143" s="1"/>
  <c r="CD113" i="159"/>
  <c r="BI133" i="163"/>
  <c r="CM133" i="163" s="1"/>
  <c r="I131" i="143" s="1"/>
  <c r="CH107" i="159"/>
  <c r="BF141" i="163"/>
  <c r="CJ141" i="163" s="1"/>
  <c r="V139" i="143" s="1"/>
  <c r="CE115" i="159"/>
  <c r="BK135" i="163"/>
  <c r="CO135" i="163" s="1"/>
  <c r="W133" i="143" s="1"/>
  <c r="CJ109" i="159"/>
  <c r="BH149" i="163"/>
  <c r="CL149" i="163" s="1"/>
  <c r="CG123" i="159"/>
  <c r="BF138" i="163"/>
  <c r="CJ138" i="163" s="1"/>
  <c r="V136" i="143" s="1"/>
  <c r="CE112" i="159"/>
  <c r="BF148" i="163"/>
  <c r="CJ148" i="163" s="1"/>
  <c r="V146" i="143" s="1"/>
  <c r="CE122" i="159"/>
  <c r="BI144" i="163"/>
  <c r="CM144" i="163" s="1"/>
  <c r="I142" i="143" s="1"/>
  <c r="CH118" i="159"/>
  <c r="BH140" i="163"/>
  <c r="CL140" i="163" s="1"/>
  <c r="CG114" i="159"/>
  <c r="BH148" i="163"/>
  <c r="CL148" i="163" s="1"/>
  <c r="CG122" i="159"/>
  <c r="BH69" i="159"/>
  <c r="BH67" i="159"/>
  <c r="BH55" i="159"/>
  <c r="BH53" i="159"/>
  <c r="BH51" i="159"/>
  <c r="BH58" i="159"/>
  <c r="BH68" i="159"/>
  <c r="BH54" i="159"/>
  <c r="BH52" i="159"/>
  <c r="BH66" i="159"/>
  <c r="BH49" i="159"/>
  <c r="BH45" i="159"/>
  <c r="BH32" i="159"/>
  <c r="BH23" i="159"/>
  <c r="BH41" i="159"/>
  <c r="BH39" i="159"/>
  <c r="BH37" i="159"/>
  <c r="BH30" i="159"/>
  <c r="BH21" i="159"/>
  <c r="BH19" i="159"/>
  <c r="BH46" i="159"/>
  <c r="BH57" i="159"/>
  <c r="BH48" i="159"/>
  <c r="BH26" i="159"/>
  <c r="BH33" i="159"/>
  <c r="BH31" i="159"/>
  <c r="BH24" i="159"/>
  <c r="BH42" i="159"/>
  <c r="BH40" i="159"/>
  <c r="BH38" i="159"/>
  <c r="BH36" i="159"/>
  <c r="BH22" i="159"/>
  <c r="BH20" i="159"/>
  <c r="BH27" i="159"/>
  <c r="BH10" i="159"/>
  <c r="BH18" i="159"/>
  <c r="BH29" i="159"/>
  <c r="BH15" i="159"/>
  <c r="BH13" i="159"/>
  <c r="BH11" i="159"/>
  <c r="BH17" i="159"/>
  <c r="BH14" i="159"/>
  <c r="AG28" i="163"/>
  <c r="CT11" i="163"/>
  <c r="AV23" i="159" l="1"/>
  <c r="AV117" i="159"/>
  <c r="P129" i="143"/>
  <c r="W21" i="143"/>
  <c r="P87" i="143"/>
  <c r="H31" i="143"/>
  <c r="BH56" i="159"/>
  <c r="BM82" i="163" s="1"/>
  <c r="CQ82" i="163" s="1"/>
  <c r="O75" i="143"/>
  <c r="BK56" i="159"/>
  <c r="CO56" i="159" s="1"/>
  <c r="W75" i="143"/>
  <c r="O9" i="143"/>
  <c r="H81" i="143"/>
  <c r="O145" i="143"/>
  <c r="O78" i="143"/>
  <c r="BF35" i="163"/>
  <c r="CJ35" i="163" s="1"/>
  <c r="CE9" i="159"/>
  <c r="V145" i="143"/>
  <c r="W145" i="143"/>
  <c r="O11" i="143"/>
  <c r="O18" i="143" s="1"/>
  <c r="W81" i="143"/>
  <c r="I21" i="143"/>
  <c r="H9" i="143"/>
  <c r="H11" i="143" s="1"/>
  <c r="H18" i="143" s="1"/>
  <c r="W129" i="143"/>
  <c r="O87" i="143"/>
  <c r="V7" i="143"/>
  <c r="V9" i="143" s="1"/>
  <c r="BK35" i="163"/>
  <c r="CO35" i="163" s="1"/>
  <c r="CJ9" i="159"/>
  <c r="H78" i="143"/>
  <c r="H87" i="143"/>
  <c r="CM56" i="159"/>
  <c r="BN82" i="163"/>
  <c r="CR82" i="163" s="1"/>
  <c r="O66" i="143"/>
  <c r="BF51" i="163"/>
  <c r="CJ51" i="163" s="1"/>
  <c r="CE25" i="159"/>
  <c r="CI26" i="190"/>
  <c r="BK25" i="163"/>
  <c r="CO25" i="163" s="1"/>
  <c r="CO29" i="163" s="1"/>
  <c r="BF8" i="159"/>
  <c r="CJ16" i="159"/>
  <c r="BK42" i="163"/>
  <c r="P21" i="143"/>
  <c r="H69" i="143"/>
  <c r="H129" i="143"/>
  <c r="V31" i="143"/>
  <c r="BK51" i="163"/>
  <c r="CO51" i="163" s="1"/>
  <c r="CJ25" i="159"/>
  <c r="BF100" i="163"/>
  <c r="CJ100" i="163" s="1"/>
  <c r="CE74" i="159"/>
  <c r="H21" i="143"/>
  <c r="BA8" i="159"/>
  <c r="BF42" i="163"/>
  <c r="BJ82" i="163"/>
  <c r="CN82" i="163" s="1"/>
  <c r="CI56" i="159"/>
  <c r="CJ28" i="159"/>
  <c r="BK54" i="163"/>
  <c r="CO54" i="163" s="1"/>
  <c r="W9" i="143"/>
  <c r="W11" i="143" s="1"/>
  <c r="W18" i="143" s="1"/>
  <c r="W22" i="143" s="1"/>
  <c r="W25" i="143" s="1"/>
  <c r="BK115" i="163"/>
  <c r="CO115" i="163" s="1"/>
  <c r="CJ89" i="159"/>
  <c r="CE28" i="159"/>
  <c r="BF54" i="163"/>
  <c r="CJ54" i="163" s="1"/>
  <c r="I9" i="143"/>
  <c r="I11" i="143" s="1"/>
  <c r="I18" i="143" s="1"/>
  <c r="I22" i="143" s="1"/>
  <c r="I25" i="143" s="1"/>
  <c r="O21" i="143"/>
  <c r="BA73" i="159"/>
  <c r="BF115" i="163"/>
  <c r="CJ115" i="163" s="1"/>
  <c r="CE89" i="159"/>
  <c r="BF103" i="159"/>
  <c r="BK130" i="163"/>
  <c r="CJ104" i="159"/>
  <c r="O47" i="143"/>
  <c r="P9" i="143"/>
  <c r="P11" i="143" s="1"/>
  <c r="P18" i="143" s="1"/>
  <c r="O31" i="143"/>
  <c r="CN56" i="159"/>
  <c r="BO82" i="163"/>
  <c r="CS82" i="163" s="1"/>
  <c r="BK82" i="163"/>
  <c r="CO82" i="163" s="1"/>
  <c r="CJ56" i="159"/>
  <c r="BA43" i="159"/>
  <c r="BF70" i="163"/>
  <c r="CJ70" i="163" s="1"/>
  <c r="CE44" i="159"/>
  <c r="BF73" i="159"/>
  <c r="BF34" i="159"/>
  <c r="CJ43" i="159"/>
  <c r="BK69" i="163"/>
  <c r="CO69" i="163" s="1"/>
  <c r="W65" i="143" s="1"/>
  <c r="H75" i="143"/>
  <c r="I98" i="143"/>
  <c r="P113" i="143"/>
  <c r="H72" i="143"/>
  <c r="V81" i="143"/>
  <c r="O98" i="143"/>
  <c r="P75" i="143"/>
  <c r="O38" i="143"/>
  <c r="H50" i="143"/>
  <c r="V69" i="143"/>
  <c r="V129" i="143"/>
  <c r="O113" i="143"/>
  <c r="W72" i="143"/>
  <c r="H113" i="143"/>
  <c r="W113" i="143"/>
  <c r="I113" i="143"/>
  <c r="H98" i="143"/>
  <c r="P38" i="143"/>
  <c r="W47" i="143"/>
  <c r="V113" i="143"/>
  <c r="P98" i="143"/>
  <c r="P78" i="143"/>
  <c r="W31" i="143"/>
  <c r="W69" i="143"/>
  <c r="P81" i="143"/>
  <c r="O81" i="143"/>
  <c r="V50" i="143"/>
  <c r="V72" i="143"/>
  <c r="P72" i="143"/>
  <c r="O129" i="143"/>
  <c r="V75" i="143"/>
  <c r="P145" i="143"/>
  <c r="H66" i="143"/>
  <c r="V87" i="143"/>
  <c r="V98" i="143"/>
  <c r="H38" i="143"/>
  <c r="W50" i="143"/>
  <c r="O50" i="143"/>
  <c r="H47" i="143"/>
  <c r="P69" i="143"/>
  <c r="W98" i="143"/>
  <c r="P47" i="143"/>
  <c r="O72" i="143"/>
  <c r="V47" i="143"/>
  <c r="W87" i="143"/>
  <c r="P50" i="143"/>
  <c r="P66" i="143"/>
  <c r="W78" i="143"/>
  <c r="H145" i="143"/>
  <c r="P31" i="143"/>
  <c r="W66" i="143"/>
  <c r="I145" i="143"/>
  <c r="I129" i="143"/>
  <c r="M60" i="163"/>
  <c r="BF21" i="163"/>
  <c r="AX12" i="190"/>
  <c r="CB10" i="190"/>
  <c r="CX12" i="190"/>
  <c r="CX29" i="190" s="1"/>
  <c r="DD9" i="163"/>
  <c r="CH10" i="190"/>
  <c r="BD12" i="190"/>
  <c r="AY12" i="190"/>
  <c r="CC10" i="190"/>
  <c r="AZ12" i="190"/>
  <c r="CD10" i="190"/>
  <c r="AW12" i="190"/>
  <c r="CA10" i="190"/>
  <c r="BB12" i="190"/>
  <c r="CF10" i="190"/>
  <c r="BC12" i="190"/>
  <c r="CG10" i="190"/>
  <c r="DA9" i="163"/>
  <c r="CU12" i="190"/>
  <c r="AP22" i="190"/>
  <c r="AK22" i="190"/>
  <c r="AP10" i="190"/>
  <c r="AP12" i="190" s="1"/>
  <c r="AP19" i="190" s="1"/>
  <c r="AK10" i="190"/>
  <c r="AK12" i="190" s="1"/>
  <c r="AK19" i="190" s="1"/>
  <c r="BO8" i="190"/>
  <c r="AJ99" i="163"/>
  <c r="T29" i="143"/>
  <c r="AA6" i="143"/>
  <c r="AA96" i="143" s="1"/>
  <c r="T150" i="163"/>
  <c r="T125" i="159"/>
  <c r="O60" i="163"/>
  <c r="O70" i="159"/>
  <c r="R60" i="163"/>
  <c r="R70" i="159"/>
  <c r="BK119" i="159"/>
  <c r="BK111" i="159"/>
  <c r="CO111" i="159" s="1"/>
  <c r="BK99" i="159"/>
  <c r="BP125" i="163" s="1"/>
  <c r="CT125" i="163" s="1"/>
  <c r="BK91" i="159"/>
  <c r="CO91" i="159" s="1"/>
  <c r="BK84" i="159"/>
  <c r="BP110" i="163" s="1"/>
  <c r="CT110" i="163" s="1"/>
  <c r="BK76" i="159"/>
  <c r="BP102" i="163" s="1"/>
  <c r="CT102" i="163" s="1"/>
  <c r="BK122" i="159"/>
  <c r="BP148" i="163" s="1"/>
  <c r="CT148" i="163" s="1"/>
  <c r="BK114" i="159"/>
  <c r="BP140" i="163" s="1"/>
  <c r="CT140" i="163" s="1"/>
  <c r="BK106" i="159"/>
  <c r="BP132" i="163" s="1"/>
  <c r="CT132" i="163" s="1"/>
  <c r="BK102" i="159"/>
  <c r="BP128" i="163" s="1"/>
  <c r="CT128" i="163" s="1"/>
  <c r="BK94" i="159"/>
  <c r="BP120" i="163" s="1"/>
  <c r="CT120" i="163" s="1"/>
  <c r="BK87" i="159"/>
  <c r="BP113" i="163" s="1"/>
  <c r="CT113" i="163" s="1"/>
  <c r="BK79" i="159"/>
  <c r="BP105" i="163" s="1"/>
  <c r="CT105" i="163" s="1"/>
  <c r="BK117" i="159"/>
  <c r="BK109" i="159"/>
  <c r="BP135" i="163" s="1"/>
  <c r="CT135" i="163" s="1"/>
  <c r="BK97" i="159"/>
  <c r="BP123" i="163" s="1"/>
  <c r="CT123" i="163" s="1"/>
  <c r="BK82" i="159"/>
  <c r="BK120" i="159"/>
  <c r="BP146" i="163" s="1"/>
  <c r="CT146" i="163" s="1"/>
  <c r="BK112" i="159"/>
  <c r="BP138" i="163" s="1"/>
  <c r="CT138" i="163" s="1"/>
  <c r="BK100" i="159"/>
  <c r="CO100" i="159" s="1"/>
  <c r="BK92" i="159"/>
  <c r="BP118" i="163" s="1"/>
  <c r="CT118" i="163" s="1"/>
  <c r="BK85" i="159"/>
  <c r="BP111" i="163" s="1"/>
  <c r="CT111" i="163" s="1"/>
  <c r="BK77" i="159"/>
  <c r="BP103" i="163" s="1"/>
  <c r="CT103" i="163" s="1"/>
  <c r="BK123" i="159"/>
  <c r="CO123" i="159" s="1"/>
  <c r="BK115" i="159"/>
  <c r="BP141" i="163" s="1"/>
  <c r="CT141" i="163" s="1"/>
  <c r="BK107" i="159"/>
  <c r="CO107" i="159" s="1"/>
  <c r="BK95" i="159"/>
  <c r="BP121" i="163" s="1"/>
  <c r="CT121" i="163" s="1"/>
  <c r="BK88" i="159"/>
  <c r="CO88" i="159" s="1"/>
  <c r="BK80" i="159"/>
  <c r="BP106" i="163" s="1"/>
  <c r="CT106" i="163" s="1"/>
  <c r="BK118" i="159"/>
  <c r="CO118" i="159" s="1"/>
  <c r="BK110" i="159"/>
  <c r="BP136" i="163" s="1"/>
  <c r="CT136" i="163" s="1"/>
  <c r="BK98" i="159"/>
  <c r="BP124" i="163" s="1"/>
  <c r="CT124" i="163" s="1"/>
  <c r="BK90" i="159"/>
  <c r="BP116" i="163" s="1"/>
  <c r="CT116" i="163" s="1"/>
  <c r="BK83" i="159"/>
  <c r="BP109" i="163" s="1"/>
  <c r="CT109" i="163" s="1"/>
  <c r="BK75" i="159"/>
  <c r="CO75" i="159" s="1"/>
  <c r="BK121" i="159"/>
  <c r="CO121" i="159" s="1"/>
  <c r="BK113" i="159"/>
  <c r="BP139" i="163" s="1"/>
  <c r="CT139" i="163" s="1"/>
  <c r="BK105" i="159"/>
  <c r="CO105" i="159" s="1"/>
  <c r="BK101" i="159"/>
  <c r="BP127" i="163" s="1"/>
  <c r="CT127" i="163" s="1"/>
  <c r="BK93" i="159"/>
  <c r="BP119" i="163" s="1"/>
  <c r="CT119" i="163" s="1"/>
  <c r="BK86" i="159"/>
  <c r="BP112" i="163" s="1"/>
  <c r="CT112" i="163" s="1"/>
  <c r="BK78" i="159"/>
  <c r="CO78" i="159" s="1"/>
  <c r="BK116" i="159"/>
  <c r="CO116" i="159" s="1"/>
  <c r="BK108" i="159"/>
  <c r="BP134" i="163" s="1"/>
  <c r="CT134" i="163" s="1"/>
  <c r="BK96" i="159"/>
  <c r="BP122" i="163" s="1"/>
  <c r="CT122" i="163" s="1"/>
  <c r="BK81" i="159"/>
  <c r="BP107" i="163" s="1"/>
  <c r="CT107" i="163" s="1"/>
  <c r="BH118" i="159"/>
  <c r="CL118" i="159" s="1"/>
  <c r="BH110" i="159"/>
  <c r="BM136" i="163" s="1"/>
  <c r="CQ136" i="163" s="1"/>
  <c r="BH98" i="159"/>
  <c r="BM124" i="163" s="1"/>
  <c r="CQ124" i="163" s="1"/>
  <c r="BH90" i="159"/>
  <c r="BM116" i="163" s="1"/>
  <c r="CQ116" i="163" s="1"/>
  <c r="BH83" i="159"/>
  <c r="BM109" i="163" s="1"/>
  <c r="CQ109" i="163" s="1"/>
  <c r="BH75" i="159"/>
  <c r="BM101" i="163" s="1"/>
  <c r="CQ101" i="163" s="1"/>
  <c r="BH121" i="159"/>
  <c r="CL121" i="159" s="1"/>
  <c r="BH113" i="159"/>
  <c r="CL113" i="159" s="1"/>
  <c r="BH105" i="159"/>
  <c r="BM131" i="163" s="1"/>
  <c r="CQ131" i="163" s="1"/>
  <c r="BH101" i="159"/>
  <c r="BM127" i="163" s="1"/>
  <c r="CQ127" i="163" s="1"/>
  <c r="BH93" i="159"/>
  <c r="BH86" i="159"/>
  <c r="BM112" i="163" s="1"/>
  <c r="CQ112" i="163" s="1"/>
  <c r="BH78" i="159"/>
  <c r="BM104" i="163" s="1"/>
  <c r="CQ104" i="163" s="1"/>
  <c r="BH116" i="159"/>
  <c r="BM142" i="163" s="1"/>
  <c r="CQ142" i="163" s="1"/>
  <c r="BH108" i="159"/>
  <c r="BM134" i="163" s="1"/>
  <c r="CQ134" i="163" s="1"/>
  <c r="BH96" i="159"/>
  <c r="CL96" i="159" s="1"/>
  <c r="BH81" i="159"/>
  <c r="BM107" i="163" s="1"/>
  <c r="CQ107" i="163" s="1"/>
  <c r="BH119" i="159"/>
  <c r="BH111" i="159"/>
  <c r="BM137" i="163" s="1"/>
  <c r="CQ137" i="163" s="1"/>
  <c r="BH99" i="159"/>
  <c r="CL99" i="159" s="1"/>
  <c r="BH91" i="159"/>
  <c r="BM117" i="163" s="1"/>
  <c r="CQ117" i="163" s="1"/>
  <c r="BH84" i="159"/>
  <c r="BM110" i="163" s="1"/>
  <c r="CQ110" i="163" s="1"/>
  <c r="BH76" i="159"/>
  <c r="BM102" i="163" s="1"/>
  <c r="CQ102" i="163" s="1"/>
  <c r="BH122" i="159"/>
  <c r="BM148" i="163" s="1"/>
  <c r="CQ148" i="163" s="1"/>
  <c r="BH114" i="159"/>
  <c r="CL114" i="159" s="1"/>
  <c r="BH106" i="159"/>
  <c r="CL106" i="159" s="1"/>
  <c r="BH102" i="159"/>
  <c r="BM128" i="163" s="1"/>
  <c r="CQ128" i="163" s="1"/>
  <c r="BH94" i="159"/>
  <c r="BM120" i="163" s="1"/>
  <c r="CQ120" i="163" s="1"/>
  <c r="BH87" i="159"/>
  <c r="BM113" i="163" s="1"/>
  <c r="CQ113" i="163" s="1"/>
  <c r="BH79" i="159"/>
  <c r="CL79" i="159" s="1"/>
  <c r="BH117" i="159"/>
  <c r="BH109" i="159"/>
  <c r="BM135" i="163" s="1"/>
  <c r="CQ135" i="163" s="1"/>
  <c r="BH97" i="159"/>
  <c r="BM123" i="163" s="1"/>
  <c r="CQ123" i="163" s="1"/>
  <c r="BH82" i="159"/>
  <c r="BM108" i="163" s="1"/>
  <c r="CQ108" i="163" s="1"/>
  <c r="BH120" i="159"/>
  <c r="CL120" i="159" s="1"/>
  <c r="BH112" i="159"/>
  <c r="BM138" i="163" s="1"/>
  <c r="CQ138" i="163" s="1"/>
  <c r="BH100" i="159"/>
  <c r="BM126" i="163" s="1"/>
  <c r="CQ126" i="163" s="1"/>
  <c r="BH92" i="159"/>
  <c r="BM118" i="163" s="1"/>
  <c r="CQ118" i="163" s="1"/>
  <c r="BH85" i="159"/>
  <c r="BM111" i="163" s="1"/>
  <c r="CQ111" i="163" s="1"/>
  <c r="BH77" i="159"/>
  <c r="BM103" i="163" s="1"/>
  <c r="CQ103" i="163" s="1"/>
  <c r="BH123" i="159"/>
  <c r="BM149" i="163" s="1"/>
  <c r="CQ149" i="163" s="1"/>
  <c r="BH115" i="159"/>
  <c r="CL115" i="159" s="1"/>
  <c r="BH107" i="159"/>
  <c r="BM133" i="163" s="1"/>
  <c r="CQ133" i="163" s="1"/>
  <c r="BH95" i="159"/>
  <c r="BM121" i="163" s="1"/>
  <c r="CQ121" i="163" s="1"/>
  <c r="BH88" i="159"/>
  <c r="CL88" i="159" s="1"/>
  <c r="BH80" i="159"/>
  <c r="BM106" i="163" s="1"/>
  <c r="CQ106" i="163" s="1"/>
  <c r="BI121" i="159"/>
  <c r="BN147" i="163" s="1"/>
  <c r="CR147" i="163" s="1"/>
  <c r="BI113" i="159"/>
  <c r="CM113" i="159" s="1"/>
  <c r="BI105" i="159"/>
  <c r="CM105" i="159" s="1"/>
  <c r="BI101" i="159"/>
  <c r="BN127" i="163" s="1"/>
  <c r="CR127" i="163" s="1"/>
  <c r="BI93" i="159"/>
  <c r="CM93" i="159" s="1"/>
  <c r="BI86" i="159"/>
  <c r="CM86" i="159" s="1"/>
  <c r="BI78" i="159"/>
  <c r="BN104" i="163" s="1"/>
  <c r="CR104" i="163" s="1"/>
  <c r="BI116" i="159"/>
  <c r="BN142" i="163" s="1"/>
  <c r="CR142" i="163" s="1"/>
  <c r="BI108" i="159"/>
  <c r="BN134" i="163" s="1"/>
  <c r="CR134" i="163" s="1"/>
  <c r="BI96" i="159"/>
  <c r="CM96" i="159" s="1"/>
  <c r="BI81" i="159"/>
  <c r="BN107" i="163" s="1"/>
  <c r="CR107" i="163" s="1"/>
  <c r="BI119" i="159"/>
  <c r="BI111" i="159"/>
  <c r="BN137" i="163" s="1"/>
  <c r="CR137" i="163" s="1"/>
  <c r="BI99" i="159"/>
  <c r="BN125" i="163" s="1"/>
  <c r="CR125" i="163" s="1"/>
  <c r="BI91" i="159"/>
  <c r="BN117" i="163" s="1"/>
  <c r="CR117" i="163" s="1"/>
  <c r="BI84" i="159"/>
  <c r="BN110" i="163" s="1"/>
  <c r="CR110" i="163" s="1"/>
  <c r="BI76" i="159"/>
  <c r="BN102" i="163" s="1"/>
  <c r="CR102" i="163" s="1"/>
  <c r="BI122" i="159"/>
  <c r="BN148" i="163" s="1"/>
  <c r="CR148" i="163" s="1"/>
  <c r="BI114" i="159"/>
  <c r="BN140" i="163" s="1"/>
  <c r="CR140" i="163" s="1"/>
  <c r="BI106" i="159"/>
  <c r="BN132" i="163" s="1"/>
  <c r="CR132" i="163" s="1"/>
  <c r="BI102" i="159"/>
  <c r="BN128" i="163" s="1"/>
  <c r="CR128" i="163" s="1"/>
  <c r="BI94" i="159"/>
  <c r="BN120" i="163" s="1"/>
  <c r="CR120" i="163" s="1"/>
  <c r="BI87" i="159"/>
  <c r="BN113" i="163" s="1"/>
  <c r="CR113" i="163" s="1"/>
  <c r="BI79" i="159"/>
  <c r="BN105" i="163" s="1"/>
  <c r="CR105" i="163" s="1"/>
  <c r="BI117" i="159"/>
  <c r="BI109" i="159"/>
  <c r="BN135" i="163" s="1"/>
  <c r="CR135" i="163" s="1"/>
  <c r="BI97" i="159"/>
  <c r="BN123" i="163" s="1"/>
  <c r="CR123" i="163" s="1"/>
  <c r="BI82" i="159"/>
  <c r="CM82" i="159" s="1"/>
  <c r="BI120" i="159"/>
  <c r="BN146" i="163" s="1"/>
  <c r="CR146" i="163" s="1"/>
  <c r="BI112" i="159"/>
  <c r="BN138" i="163" s="1"/>
  <c r="CR138" i="163" s="1"/>
  <c r="BI100" i="159"/>
  <c r="BN126" i="163" s="1"/>
  <c r="CR126" i="163" s="1"/>
  <c r="BI92" i="159"/>
  <c r="BN118" i="163" s="1"/>
  <c r="CR118" i="163" s="1"/>
  <c r="BI85" i="159"/>
  <c r="CM85" i="159" s="1"/>
  <c r="BI77" i="159"/>
  <c r="BN103" i="163" s="1"/>
  <c r="CR103" i="163" s="1"/>
  <c r="BI123" i="159"/>
  <c r="BN149" i="163" s="1"/>
  <c r="CR149" i="163" s="1"/>
  <c r="BI115" i="159"/>
  <c r="CM115" i="159" s="1"/>
  <c r="BI107" i="159"/>
  <c r="CM107" i="159" s="1"/>
  <c r="BI95" i="159"/>
  <c r="BN121" i="163" s="1"/>
  <c r="CR121" i="163" s="1"/>
  <c r="BI88" i="159"/>
  <c r="BN114" i="163" s="1"/>
  <c r="CR114" i="163" s="1"/>
  <c r="BI80" i="159"/>
  <c r="BN106" i="163" s="1"/>
  <c r="CR106" i="163" s="1"/>
  <c r="BI118" i="159"/>
  <c r="BN144" i="163" s="1"/>
  <c r="CR144" i="163" s="1"/>
  <c r="BI110" i="159"/>
  <c r="CM110" i="159" s="1"/>
  <c r="BI98" i="159"/>
  <c r="BN124" i="163" s="1"/>
  <c r="CR124" i="163" s="1"/>
  <c r="BI90" i="159"/>
  <c r="CM90" i="159" s="1"/>
  <c r="BI83" i="159"/>
  <c r="CM83" i="159" s="1"/>
  <c r="BI75" i="159"/>
  <c r="BN101" i="163" s="1"/>
  <c r="CR101" i="163" s="1"/>
  <c r="BG14" i="190"/>
  <c r="CK14" i="190" s="1"/>
  <c r="BG8" i="190"/>
  <c r="BM7" i="163" s="1"/>
  <c r="CQ7" i="163" s="1"/>
  <c r="BG16" i="190"/>
  <c r="CK16" i="190" s="1"/>
  <c r="BG9" i="190"/>
  <c r="CK9" i="190" s="1"/>
  <c r="BG24" i="190"/>
  <c r="CK24" i="190" s="1"/>
  <c r="BG15" i="190"/>
  <c r="CK15" i="190" s="1"/>
  <c r="BG17" i="190"/>
  <c r="CK17" i="190" s="1"/>
  <c r="BG21" i="190"/>
  <c r="CK21" i="190" s="1"/>
  <c r="BG11" i="190"/>
  <c r="CK11" i="190" s="1"/>
  <c r="BG25" i="190"/>
  <c r="CK25" i="190" s="1"/>
  <c r="BG20" i="190"/>
  <c r="BM19" i="163" s="1"/>
  <c r="CQ19" i="163" s="1"/>
  <c r="BG13" i="190"/>
  <c r="CK13" i="190" s="1"/>
  <c r="BG18" i="190"/>
  <c r="CK18" i="190" s="1"/>
  <c r="BI21" i="190"/>
  <c r="CM21" i="190" s="1"/>
  <c r="BI24" i="190"/>
  <c r="CM24" i="190" s="1"/>
  <c r="BI25" i="190"/>
  <c r="CM25" i="190" s="1"/>
  <c r="BI11" i="190"/>
  <c r="CM11" i="190" s="1"/>
  <c r="BI8" i="190"/>
  <c r="BO7" i="163" s="1"/>
  <c r="CS7" i="163" s="1"/>
  <c r="BI17" i="190"/>
  <c r="CM17" i="190" s="1"/>
  <c r="BI20" i="190"/>
  <c r="BO19" i="163" s="1"/>
  <c r="CS19" i="163" s="1"/>
  <c r="BI14" i="190"/>
  <c r="CM14" i="190" s="1"/>
  <c r="BI18" i="190"/>
  <c r="CM18" i="190" s="1"/>
  <c r="BI16" i="190"/>
  <c r="CM16" i="190" s="1"/>
  <c r="BI9" i="190"/>
  <c r="CM9" i="190" s="1"/>
  <c r="BI13" i="190"/>
  <c r="CM13" i="190" s="1"/>
  <c r="BI15" i="190"/>
  <c r="CM15" i="190" s="1"/>
  <c r="BC66" i="159"/>
  <c r="BC48" i="159"/>
  <c r="BC27" i="159"/>
  <c r="BC45" i="159"/>
  <c r="BC37" i="159"/>
  <c r="BC19" i="159"/>
  <c r="BC11" i="159"/>
  <c r="BC15" i="159"/>
  <c r="BC20" i="159"/>
  <c r="BC58" i="159"/>
  <c r="BC68" i="159"/>
  <c r="BC57" i="159"/>
  <c r="BC38" i="159"/>
  <c r="BC23" i="159"/>
  <c r="BC17" i="159"/>
  <c r="BC39" i="159"/>
  <c r="BC67" i="159"/>
  <c r="BC21" i="159"/>
  <c r="BC55" i="159"/>
  <c r="BC46" i="159"/>
  <c r="BC26" i="159"/>
  <c r="BC42" i="159"/>
  <c r="BC49" i="159"/>
  <c r="BC30" i="159"/>
  <c r="BC53" i="159"/>
  <c r="BC33" i="159"/>
  <c r="BC24" i="159"/>
  <c r="BC36" i="159"/>
  <c r="BC51" i="159"/>
  <c r="BC22" i="159"/>
  <c r="BC14" i="159"/>
  <c r="BC52" i="159"/>
  <c r="BC54" i="159"/>
  <c r="BC40" i="159"/>
  <c r="BC10" i="159"/>
  <c r="BC69" i="159"/>
  <c r="BC31" i="159"/>
  <c r="BC29" i="159"/>
  <c r="BC32" i="159"/>
  <c r="BC41" i="159"/>
  <c r="BC13" i="159"/>
  <c r="BC18" i="159"/>
  <c r="BJ18" i="190"/>
  <c r="CN18" i="190" s="1"/>
  <c r="BJ24" i="190"/>
  <c r="CN24" i="190" s="1"/>
  <c r="BJ16" i="190"/>
  <c r="CN16" i="190" s="1"/>
  <c r="BJ15" i="190"/>
  <c r="CN15" i="190" s="1"/>
  <c r="BJ25" i="190"/>
  <c r="CN25" i="190" s="1"/>
  <c r="BJ8" i="190"/>
  <c r="CN8" i="190" s="1"/>
  <c r="BJ14" i="190"/>
  <c r="CN14" i="190" s="1"/>
  <c r="BJ17" i="190"/>
  <c r="CN17" i="190" s="1"/>
  <c r="BJ9" i="190"/>
  <c r="CN9" i="190" s="1"/>
  <c r="BJ11" i="190"/>
  <c r="CN11" i="190" s="1"/>
  <c r="BJ20" i="190"/>
  <c r="CN20" i="190" s="1"/>
  <c r="BJ21" i="190"/>
  <c r="CN21" i="190" s="1"/>
  <c r="BJ13" i="190"/>
  <c r="CN13" i="190" s="1"/>
  <c r="BD14" i="159"/>
  <c r="BD68" i="159"/>
  <c r="BD52" i="159"/>
  <c r="BD38" i="159"/>
  <c r="BD20" i="159"/>
  <c r="BD32" i="159"/>
  <c r="BD23" i="159"/>
  <c r="BD39" i="159"/>
  <c r="BD15" i="159"/>
  <c r="BD55" i="159"/>
  <c r="BD48" i="159"/>
  <c r="BD30" i="159"/>
  <c r="BD26" i="159"/>
  <c r="BD33" i="159"/>
  <c r="BD58" i="159"/>
  <c r="BD36" i="159"/>
  <c r="BD29" i="159"/>
  <c r="BD49" i="159"/>
  <c r="BD37" i="159"/>
  <c r="BD21" i="159"/>
  <c r="BD13" i="159"/>
  <c r="BD66" i="159"/>
  <c r="BD69" i="159"/>
  <c r="BD53" i="159"/>
  <c r="BD24" i="159"/>
  <c r="BD27" i="159"/>
  <c r="BD11" i="159"/>
  <c r="BD18" i="159"/>
  <c r="BD31" i="159"/>
  <c r="BD42" i="159"/>
  <c r="BD19" i="159"/>
  <c r="BD67" i="159"/>
  <c r="BD51" i="159"/>
  <c r="BD46" i="159"/>
  <c r="BD17" i="159"/>
  <c r="BD54" i="159"/>
  <c r="BD57" i="159"/>
  <c r="BD40" i="159"/>
  <c r="BD22" i="159"/>
  <c r="BD45" i="159"/>
  <c r="BD41" i="159"/>
  <c r="BD10" i="159"/>
  <c r="BJ116" i="159"/>
  <c r="BO142" i="163" s="1"/>
  <c r="CS142" i="163" s="1"/>
  <c r="BJ108" i="159"/>
  <c r="BO134" i="163" s="1"/>
  <c r="CS134" i="163" s="1"/>
  <c r="BJ96" i="159"/>
  <c r="BO122" i="163" s="1"/>
  <c r="CS122" i="163" s="1"/>
  <c r="BJ81" i="159"/>
  <c r="BJ119" i="159"/>
  <c r="BJ111" i="159"/>
  <c r="BO137" i="163" s="1"/>
  <c r="CS137" i="163" s="1"/>
  <c r="BJ99" i="159"/>
  <c r="CN99" i="159" s="1"/>
  <c r="BJ91" i="159"/>
  <c r="CN91" i="159" s="1"/>
  <c r="BJ84" i="159"/>
  <c r="BO110" i="163" s="1"/>
  <c r="CS110" i="163" s="1"/>
  <c r="BJ76" i="159"/>
  <c r="CN76" i="159" s="1"/>
  <c r="BJ122" i="159"/>
  <c r="CN122" i="159" s="1"/>
  <c r="BJ114" i="159"/>
  <c r="BJ106" i="159"/>
  <c r="BO132" i="163" s="1"/>
  <c r="CS132" i="163" s="1"/>
  <c r="BJ102" i="159"/>
  <c r="BO128" i="163" s="1"/>
  <c r="CS128" i="163" s="1"/>
  <c r="BJ94" i="159"/>
  <c r="BO120" i="163" s="1"/>
  <c r="CS120" i="163" s="1"/>
  <c r="BJ87" i="159"/>
  <c r="BO113" i="163" s="1"/>
  <c r="CS113" i="163" s="1"/>
  <c r="BJ79" i="159"/>
  <c r="BO105" i="163" s="1"/>
  <c r="CS105" i="163" s="1"/>
  <c r="BJ117" i="159"/>
  <c r="BJ109" i="159"/>
  <c r="BO135" i="163" s="1"/>
  <c r="CS135" i="163" s="1"/>
  <c r="BJ97" i="159"/>
  <c r="BJ82" i="159"/>
  <c r="BO108" i="163" s="1"/>
  <c r="CS108" i="163" s="1"/>
  <c r="BJ120" i="159"/>
  <c r="BO146" i="163" s="1"/>
  <c r="CS146" i="163" s="1"/>
  <c r="BJ112" i="159"/>
  <c r="BO138" i="163" s="1"/>
  <c r="CS138" i="163" s="1"/>
  <c r="BJ100" i="159"/>
  <c r="CN100" i="159" s="1"/>
  <c r="BJ92" i="159"/>
  <c r="CN92" i="159" s="1"/>
  <c r="BJ85" i="159"/>
  <c r="BO111" i="163" s="1"/>
  <c r="CS111" i="163" s="1"/>
  <c r="BJ77" i="159"/>
  <c r="BO103" i="163" s="1"/>
  <c r="CS103" i="163" s="1"/>
  <c r="BJ123" i="159"/>
  <c r="BJ115" i="159"/>
  <c r="BO141" i="163" s="1"/>
  <c r="CS141" i="163" s="1"/>
  <c r="BJ107" i="159"/>
  <c r="CN107" i="159" s="1"/>
  <c r="BJ95" i="159"/>
  <c r="BO121" i="163" s="1"/>
  <c r="CS121" i="163" s="1"/>
  <c r="BJ88" i="159"/>
  <c r="BO114" i="163" s="1"/>
  <c r="CS114" i="163" s="1"/>
  <c r="BJ80" i="159"/>
  <c r="BO106" i="163" s="1"/>
  <c r="CS106" i="163" s="1"/>
  <c r="BJ118" i="159"/>
  <c r="CN118" i="159" s="1"/>
  <c r="BJ110" i="159"/>
  <c r="BO136" i="163" s="1"/>
  <c r="CS136" i="163" s="1"/>
  <c r="BJ98" i="159"/>
  <c r="CN98" i="159" s="1"/>
  <c r="BJ90" i="159"/>
  <c r="CN90" i="159" s="1"/>
  <c r="BJ83" i="159"/>
  <c r="BO109" i="163" s="1"/>
  <c r="CS109" i="163" s="1"/>
  <c r="BJ75" i="159"/>
  <c r="BO101" i="163" s="1"/>
  <c r="CS101" i="163" s="1"/>
  <c r="BJ121" i="159"/>
  <c r="CN121" i="159" s="1"/>
  <c r="BJ113" i="159"/>
  <c r="BO139" i="163" s="1"/>
  <c r="CS139" i="163" s="1"/>
  <c r="BJ105" i="159"/>
  <c r="CN105" i="159" s="1"/>
  <c r="BJ101" i="159"/>
  <c r="CN101" i="159" s="1"/>
  <c r="BJ93" i="159"/>
  <c r="BO119" i="163" s="1"/>
  <c r="CS119" i="163" s="1"/>
  <c r="BJ86" i="159"/>
  <c r="BO112" i="163" s="1"/>
  <c r="CS112" i="163" s="1"/>
  <c r="BJ78" i="159"/>
  <c r="BO104" i="163" s="1"/>
  <c r="CS104" i="163" s="1"/>
  <c r="BH21" i="190"/>
  <c r="CL21" i="190" s="1"/>
  <c r="BH14" i="190"/>
  <c r="CL14" i="190" s="1"/>
  <c r="BH20" i="190"/>
  <c r="BN19" i="163" s="1"/>
  <c r="CR19" i="163" s="1"/>
  <c r="BH25" i="190"/>
  <c r="CL25" i="190" s="1"/>
  <c r="BH18" i="190"/>
  <c r="CL18" i="190" s="1"/>
  <c r="BH24" i="190"/>
  <c r="CL24" i="190" s="1"/>
  <c r="BH17" i="190"/>
  <c r="CL17" i="190" s="1"/>
  <c r="BH15" i="190"/>
  <c r="CL15" i="190" s="1"/>
  <c r="BH13" i="190"/>
  <c r="CL13" i="190" s="1"/>
  <c r="BH9" i="190"/>
  <c r="CL9" i="190" s="1"/>
  <c r="BH16" i="190"/>
  <c r="CL16" i="190" s="1"/>
  <c r="BH8" i="190"/>
  <c r="BH11" i="190"/>
  <c r="CL11" i="190" s="1"/>
  <c r="AT8" i="190"/>
  <c r="AT20" i="190"/>
  <c r="AT18" i="190"/>
  <c r="AT11" i="190"/>
  <c r="AT25" i="190"/>
  <c r="AT14" i="190"/>
  <c r="AT21" i="190"/>
  <c r="AT24" i="190"/>
  <c r="AT17" i="190"/>
  <c r="AT9" i="190"/>
  <c r="AT13" i="190"/>
  <c r="AT16" i="190"/>
  <c r="AU11" i="190"/>
  <c r="AU15" i="190"/>
  <c r="AU25" i="190"/>
  <c r="AU17" i="190"/>
  <c r="AU24" i="190"/>
  <c r="AU9" i="190"/>
  <c r="AU20" i="190"/>
  <c r="AU13" i="190"/>
  <c r="AU16" i="190"/>
  <c r="AU8" i="190"/>
  <c r="AU21" i="190"/>
  <c r="AU18" i="190"/>
  <c r="AU14" i="190"/>
  <c r="AR17" i="190"/>
  <c r="AR21" i="190"/>
  <c r="AR11" i="190"/>
  <c r="AR9" i="190"/>
  <c r="AR18" i="190"/>
  <c r="AR24" i="190"/>
  <c r="AR20" i="190"/>
  <c r="AR13" i="190"/>
  <c r="AR8" i="190"/>
  <c r="AR15" i="190"/>
  <c r="AR14" i="190"/>
  <c r="AR16" i="190"/>
  <c r="AR25" i="190"/>
  <c r="AU61" i="159"/>
  <c r="BY61" i="159" s="1"/>
  <c r="AU51" i="159"/>
  <c r="AZ77" i="163" s="1"/>
  <c r="CD77" i="163" s="1"/>
  <c r="N73" i="143" s="1"/>
  <c r="AU40" i="159"/>
  <c r="AZ66" i="163" s="1"/>
  <c r="CD66" i="163" s="1"/>
  <c r="N62" i="143" s="1"/>
  <c r="AU31" i="159"/>
  <c r="AZ57" i="163" s="1"/>
  <c r="CD57" i="163" s="1"/>
  <c r="N53" i="143" s="1"/>
  <c r="AU21" i="159"/>
  <c r="AZ47" i="163" s="1"/>
  <c r="CD47" i="163" s="1"/>
  <c r="N43" i="143" s="1"/>
  <c r="AU12" i="159"/>
  <c r="AU120" i="159"/>
  <c r="AZ146" i="163" s="1"/>
  <c r="CD146" i="163" s="1"/>
  <c r="N144" i="143" s="1"/>
  <c r="AU115" i="159"/>
  <c r="AZ141" i="163" s="1"/>
  <c r="CD141" i="163" s="1"/>
  <c r="N139" i="143" s="1"/>
  <c r="AU107" i="159"/>
  <c r="AZ133" i="163" s="1"/>
  <c r="CD133" i="163" s="1"/>
  <c r="N131" i="143" s="1"/>
  <c r="AU96" i="159"/>
  <c r="AZ122" i="163" s="1"/>
  <c r="CD122" i="163" s="1"/>
  <c r="N120" i="143" s="1"/>
  <c r="AU87" i="159"/>
  <c r="AZ113" i="163" s="1"/>
  <c r="CD113" i="163" s="1"/>
  <c r="N111" i="143" s="1"/>
  <c r="AU79" i="159"/>
  <c r="AZ105" i="163" s="1"/>
  <c r="CD105" i="163" s="1"/>
  <c r="N103" i="143" s="1"/>
  <c r="AU27" i="159"/>
  <c r="AZ53" i="163" s="1"/>
  <c r="CD53" i="163" s="1"/>
  <c r="N49" i="143" s="1"/>
  <c r="AU64" i="159"/>
  <c r="AZ90" i="163" s="1"/>
  <c r="CD90" i="163" s="1"/>
  <c r="N86" i="143" s="1"/>
  <c r="AU54" i="159"/>
  <c r="AZ80" i="163" s="1"/>
  <c r="CD80" i="163" s="1"/>
  <c r="N76" i="143" s="1"/>
  <c r="AU45" i="159"/>
  <c r="BY45" i="159" s="1"/>
  <c r="AU35" i="159"/>
  <c r="AU24" i="159"/>
  <c r="AZ50" i="163" s="1"/>
  <c r="CD50" i="163" s="1"/>
  <c r="N46" i="143" s="1"/>
  <c r="AU15" i="159"/>
  <c r="BY15" i="159" s="1"/>
  <c r="AU123" i="159"/>
  <c r="AZ149" i="163" s="1"/>
  <c r="CD149" i="163" s="1"/>
  <c r="N147" i="143" s="1"/>
  <c r="AU110" i="159"/>
  <c r="BY110" i="159" s="1"/>
  <c r="AU99" i="159"/>
  <c r="AZ125" i="163" s="1"/>
  <c r="CD125" i="163" s="1"/>
  <c r="N123" i="143" s="1"/>
  <c r="AU91" i="159"/>
  <c r="AZ117" i="163" s="1"/>
  <c r="CD117" i="163" s="1"/>
  <c r="N115" i="143" s="1"/>
  <c r="AU82" i="159"/>
  <c r="AZ108" i="163" s="1"/>
  <c r="CD108" i="163" s="1"/>
  <c r="N106" i="143" s="1"/>
  <c r="AU18" i="159"/>
  <c r="AZ44" i="163" s="1"/>
  <c r="CD44" i="163" s="1"/>
  <c r="N40" i="143" s="1"/>
  <c r="AU68" i="159"/>
  <c r="BY68" i="159" s="1"/>
  <c r="AU58" i="159"/>
  <c r="BY58" i="159" s="1"/>
  <c r="AU48" i="159"/>
  <c r="AZ74" i="163" s="1"/>
  <c r="CD74" i="163" s="1"/>
  <c r="N70" i="143" s="1"/>
  <c r="AU38" i="159"/>
  <c r="BY38" i="159" s="1"/>
  <c r="AU29" i="159"/>
  <c r="AZ55" i="163" s="1"/>
  <c r="CD55" i="163" s="1"/>
  <c r="N51" i="143" s="1"/>
  <c r="AU19" i="159"/>
  <c r="AZ45" i="163" s="1"/>
  <c r="CD45" i="163" s="1"/>
  <c r="N41" i="143" s="1"/>
  <c r="AU10" i="159"/>
  <c r="AZ36" i="163" s="1"/>
  <c r="CD36" i="163" s="1"/>
  <c r="N32" i="143" s="1"/>
  <c r="AU118" i="159"/>
  <c r="BY118" i="159" s="1"/>
  <c r="AU113" i="159"/>
  <c r="AZ139" i="163" s="1"/>
  <c r="CD139" i="163" s="1"/>
  <c r="N137" i="143" s="1"/>
  <c r="AU102" i="159"/>
  <c r="BY102" i="159" s="1"/>
  <c r="AU94" i="159"/>
  <c r="AZ120" i="163" s="1"/>
  <c r="CD120" i="163" s="1"/>
  <c r="N118" i="143" s="1"/>
  <c r="AU85" i="159"/>
  <c r="AZ111" i="163" s="1"/>
  <c r="CD111" i="163" s="1"/>
  <c r="N109" i="143" s="1"/>
  <c r="AU77" i="159"/>
  <c r="BY77" i="159" s="1"/>
  <c r="AU80" i="159"/>
  <c r="AZ106" i="163" s="1"/>
  <c r="CD106" i="163" s="1"/>
  <c r="N104" i="143" s="1"/>
  <c r="AU67" i="159"/>
  <c r="AZ93" i="163" s="1"/>
  <c r="CD93" i="163" s="1"/>
  <c r="N89" i="143" s="1"/>
  <c r="AU47" i="159"/>
  <c r="AU62" i="159"/>
  <c r="AZ88" i="163" s="1"/>
  <c r="CD88" i="163" s="1"/>
  <c r="N84" i="143" s="1"/>
  <c r="AU52" i="159"/>
  <c r="AZ78" i="163" s="1"/>
  <c r="CD78" i="163" s="1"/>
  <c r="N74" i="143" s="1"/>
  <c r="AU41" i="159"/>
  <c r="AZ67" i="163" s="1"/>
  <c r="CD67" i="163" s="1"/>
  <c r="N63" i="143" s="1"/>
  <c r="AU32" i="159"/>
  <c r="AZ58" i="163" s="1"/>
  <c r="CD58" i="163" s="1"/>
  <c r="N54" i="143" s="1"/>
  <c r="AU22" i="159"/>
  <c r="BY22" i="159" s="1"/>
  <c r="AU13" i="159"/>
  <c r="AZ39" i="163" s="1"/>
  <c r="CD39" i="163" s="1"/>
  <c r="N35" i="143" s="1"/>
  <c r="AU121" i="159"/>
  <c r="AZ147" i="163" s="1"/>
  <c r="CD147" i="163" s="1"/>
  <c r="AU116" i="159"/>
  <c r="AZ142" i="163" s="1"/>
  <c r="CD142" i="163" s="1"/>
  <c r="N140" i="143" s="1"/>
  <c r="AU108" i="159"/>
  <c r="AZ134" i="163" s="1"/>
  <c r="CD134" i="163" s="1"/>
  <c r="N132" i="143" s="1"/>
  <c r="AU97" i="159"/>
  <c r="BY97" i="159" s="1"/>
  <c r="AU88" i="159"/>
  <c r="BY88" i="159" s="1"/>
  <c r="AU75" i="159"/>
  <c r="AZ101" i="163" s="1"/>
  <c r="CD101" i="163" s="1"/>
  <c r="N99" i="143" s="1"/>
  <c r="AU57" i="159"/>
  <c r="AZ83" i="163" s="1"/>
  <c r="CD83" i="163" s="1"/>
  <c r="N79" i="143" s="1"/>
  <c r="AU76" i="159"/>
  <c r="BY76" i="159" s="1"/>
  <c r="AU66" i="159"/>
  <c r="AZ92" i="163" s="1"/>
  <c r="CD92" i="163" s="1"/>
  <c r="N88" i="143" s="1"/>
  <c r="AU55" i="159"/>
  <c r="AZ81" i="163" s="1"/>
  <c r="CD81" i="163" s="1"/>
  <c r="N77" i="143" s="1"/>
  <c r="AU46" i="159"/>
  <c r="AZ72" i="163" s="1"/>
  <c r="CD72" i="163" s="1"/>
  <c r="N68" i="143" s="1"/>
  <c r="AU36" i="159"/>
  <c r="AZ62" i="163" s="1"/>
  <c r="CD62" i="163" s="1"/>
  <c r="N58" i="143" s="1"/>
  <c r="AU26" i="159"/>
  <c r="AZ52" i="163" s="1"/>
  <c r="CD52" i="163" s="1"/>
  <c r="N48" i="143" s="1"/>
  <c r="AU17" i="159"/>
  <c r="AZ43" i="163" s="1"/>
  <c r="CD43" i="163" s="1"/>
  <c r="N39" i="143" s="1"/>
  <c r="AU111" i="159"/>
  <c r="BY111" i="159" s="1"/>
  <c r="AU100" i="159"/>
  <c r="BY100" i="159" s="1"/>
  <c r="AU92" i="159"/>
  <c r="AZ118" i="163" s="1"/>
  <c r="CD118" i="163" s="1"/>
  <c r="N116" i="143" s="1"/>
  <c r="AU83" i="159"/>
  <c r="AZ109" i="163" s="1"/>
  <c r="CD109" i="163" s="1"/>
  <c r="N107" i="143" s="1"/>
  <c r="AU69" i="159"/>
  <c r="BY69" i="159" s="1"/>
  <c r="AU60" i="159"/>
  <c r="AU49" i="159"/>
  <c r="AZ75" i="163" s="1"/>
  <c r="CD75" i="163" s="1"/>
  <c r="N71" i="143" s="1"/>
  <c r="N69" i="143" s="1"/>
  <c r="AU39" i="159"/>
  <c r="AZ65" i="163" s="1"/>
  <c r="CD65" i="163" s="1"/>
  <c r="N61" i="143" s="1"/>
  <c r="AU30" i="159"/>
  <c r="AZ56" i="163" s="1"/>
  <c r="CD56" i="163" s="1"/>
  <c r="N52" i="143" s="1"/>
  <c r="AU20" i="159"/>
  <c r="AZ46" i="163" s="1"/>
  <c r="CD46" i="163" s="1"/>
  <c r="N42" i="143" s="1"/>
  <c r="AU11" i="159"/>
  <c r="AZ37" i="163" s="1"/>
  <c r="CD37" i="163" s="1"/>
  <c r="N33" i="143" s="1"/>
  <c r="AU119" i="159"/>
  <c r="AZ145" i="163" s="1"/>
  <c r="CD145" i="163" s="1"/>
  <c r="N143" i="143" s="1"/>
  <c r="AU114" i="159"/>
  <c r="BY114" i="159" s="1"/>
  <c r="AU106" i="159"/>
  <c r="AU95" i="159"/>
  <c r="BY95" i="159" s="1"/>
  <c r="AU86" i="159"/>
  <c r="BY86" i="159" s="1"/>
  <c r="AU78" i="159"/>
  <c r="BY78" i="159" s="1"/>
  <c r="AU37" i="159"/>
  <c r="AZ63" i="163" s="1"/>
  <c r="CD63" i="163" s="1"/>
  <c r="N59" i="143" s="1"/>
  <c r="AU63" i="159"/>
  <c r="AZ89" i="163" s="1"/>
  <c r="CD89" i="163" s="1"/>
  <c r="N85" i="143" s="1"/>
  <c r="AU53" i="159"/>
  <c r="AZ79" i="163" s="1"/>
  <c r="CD79" i="163" s="1"/>
  <c r="AU42" i="159"/>
  <c r="BY42" i="159" s="1"/>
  <c r="AU33" i="159"/>
  <c r="BY33" i="159" s="1"/>
  <c r="AU23" i="159"/>
  <c r="BY23" i="159" s="1"/>
  <c r="AU14" i="159"/>
  <c r="AZ40" i="163" s="1"/>
  <c r="CD40" i="163" s="1"/>
  <c r="N36" i="143" s="1"/>
  <c r="AU122" i="159"/>
  <c r="AZ148" i="163" s="1"/>
  <c r="CD148" i="163" s="1"/>
  <c r="N146" i="143" s="1"/>
  <c r="AZ143" i="163"/>
  <c r="CD143" i="163" s="1"/>
  <c r="N141" i="143" s="1"/>
  <c r="AU109" i="159"/>
  <c r="AZ135" i="163" s="1"/>
  <c r="CD135" i="163" s="1"/>
  <c r="N133" i="143" s="1"/>
  <c r="AU98" i="159"/>
  <c r="AZ124" i="163" s="1"/>
  <c r="CD124" i="163" s="1"/>
  <c r="N122" i="143" s="1"/>
  <c r="AU90" i="159"/>
  <c r="AZ116" i="163" s="1"/>
  <c r="CD116" i="163" s="1"/>
  <c r="N114" i="143" s="1"/>
  <c r="AU81" i="159"/>
  <c r="BY81" i="159" s="1"/>
  <c r="AU112" i="159"/>
  <c r="BY112" i="159" s="1"/>
  <c r="AU101" i="159"/>
  <c r="BY101" i="159" s="1"/>
  <c r="AU93" i="159"/>
  <c r="AZ119" i="163" s="1"/>
  <c r="CD119" i="163" s="1"/>
  <c r="N117" i="143" s="1"/>
  <c r="AU84" i="159"/>
  <c r="AZ110" i="163" s="1"/>
  <c r="CD110" i="163" s="1"/>
  <c r="N108" i="143" s="1"/>
  <c r="AV64" i="159"/>
  <c r="BA90" i="163" s="1"/>
  <c r="CE90" i="163" s="1"/>
  <c r="U86" i="143" s="1"/>
  <c r="AV54" i="159"/>
  <c r="BA80" i="163" s="1"/>
  <c r="CE80" i="163" s="1"/>
  <c r="U76" i="143" s="1"/>
  <c r="AV45" i="159"/>
  <c r="BZ45" i="159" s="1"/>
  <c r="AV35" i="159"/>
  <c r="AV24" i="159"/>
  <c r="BA50" i="163" s="1"/>
  <c r="CE50" i="163" s="1"/>
  <c r="U46" i="143" s="1"/>
  <c r="AV15" i="159"/>
  <c r="BZ15" i="159" s="1"/>
  <c r="AV123" i="159"/>
  <c r="BA149" i="163" s="1"/>
  <c r="CE149" i="163" s="1"/>
  <c r="U147" i="143" s="1"/>
  <c r="AV110" i="159"/>
  <c r="BA136" i="163" s="1"/>
  <c r="CE136" i="163" s="1"/>
  <c r="U134" i="143" s="1"/>
  <c r="AV99" i="159"/>
  <c r="BA125" i="163" s="1"/>
  <c r="CE125" i="163" s="1"/>
  <c r="U123" i="143" s="1"/>
  <c r="AV91" i="159"/>
  <c r="BA117" i="163" s="1"/>
  <c r="CE117" i="163" s="1"/>
  <c r="U115" i="143" s="1"/>
  <c r="AV82" i="159"/>
  <c r="BZ82" i="159" s="1"/>
  <c r="AV51" i="159"/>
  <c r="BZ51" i="159" s="1"/>
  <c r="AV115" i="159"/>
  <c r="BZ115" i="159" s="1"/>
  <c r="AV68" i="159"/>
  <c r="BZ68" i="159" s="1"/>
  <c r="AV58" i="159"/>
  <c r="BA84" i="163" s="1"/>
  <c r="CE84" i="163" s="1"/>
  <c r="U80" i="143" s="1"/>
  <c r="AV48" i="159"/>
  <c r="BA74" i="163" s="1"/>
  <c r="CE74" i="163" s="1"/>
  <c r="U70" i="143" s="1"/>
  <c r="AV38" i="159"/>
  <c r="BZ38" i="159" s="1"/>
  <c r="AV29" i="159"/>
  <c r="BZ29" i="159" s="1"/>
  <c r="AV19" i="159"/>
  <c r="BZ19" i="159" s="1"/>
  <c r="AV10" i="159"/>
  <c r="AV118" i="159"/>
  <c r="BA144" i="163" s="1"/>
  <c r="CE144" i="163" s="1"/>
  <c r="U142" i="143" s="1"/>
  <c r="AV113" i="159"/>
  <c r="BZ113" i="159" s="1"/>
  <c r="AV102" i="159"/>
  <c r="BA128" i="163" s="1"/>
  <c r="CE128" i="163" s="1"/>
  <c r="U126" i="143" s="1"/>
  <c r="AV94" i="159"/>
  <c r="AV85" i="159"/>
  <c r="BA111" i="163" s="1"/>
  <c r="CE111" i="163" s="1"/>
  <c r="U109" i="143" s="1"/>
  <c r="AV77" i="159"/>
  <c r="BA103" i="163" s="1"/>
  <c r="CE103" i="163" s="1"/>
  <c r="U101" i="143" s="1"/>
  <c r="AV120" i="159"/>
  <c r="BZ120" i="159" s="1"/>
  <c r="AV62" i="159"/>
  <c r="AV52" i="159"/>
  <c r="BA78" i="163" s="1"/>
  <c r="CE78" i="163" s="1"/>
  <c r="U74" i="143" s="1"/>
  <c r="AV41" i="159"/>
  <c r="BA67" i="163" s="1"/>
  <c r="CE67" i="163" s="1"/>
  <c r="U63" i="143" s="1"/>
  <c r="AV32" i="159"/>
  <c r="BA58" i="163" s="1"/>
  <c r="CE58" i="163" s="1"/>
  <c r="U54" i="143" s="1"/>
  <c r="AV22" i="159"/>
  <c r="BA48" i="163" s="1"/>
  <c r="CE48" i="163" s="1"/>
  <c r="U44" i="143" s="1"/>
  <c r="AV13" i="159"/>
  <c r="BA39" i="163" s="1"/>
  <c r="CE39" i="163" s="1"/>
  <c r="U35" i="143" s="1"/>
  <c r="AV121" i="159"/>
  <c r="BZ121" i="159" s="1"/>
  <c r="AV116" i="159"/>
  <c r="BA142" i="163" s="1"/>
  <c r="CE142" i="163" s="1"/>
  <c r="U140" i="143" s="1"/>
  <c r="AV108" i="159"/>
  <c r="AV97" i="159"/>
  <c r="BA123" i="163" s="1"/>
  <c r="CE123" i="163" s="1"/>
  <c r="U121" i="143" s="1"/>
  <c r="AV88" i="159"/>
  <c r="BA114" i="163" s="1"/>
  <c r="CE114" i="163" s="1"/>
  <c r="U112" i="143" s="1"/>
  <c r="AV80" i="159"/>
  <c r="BA106" i="163" s="1"/>
  <c r="CE106" i="163" s="1"/>
  <c r="U104" i="143" s="1"/>
  <c r="AV40" i="159"/>
  <c r="BA66" i="163" s="1"/>
  <c r="CE66" i="163" s="1"/>
  <c r="U62" i="143" s="1"/>
  <c r="AV79" i="159"/>
  <c r="BZ79" i="159" s="1"/>
  <c r="AV66" i="159"/>
  <c r="BA92" i="163" s="1"/>
  <c r="CE92" i="163" s="1"/>
  <c r="U88" i="143" s="1"/>
  <c r="AV55" i="159"/>
  <c r="BZ55" i="159" s="1"/>
  <c r="AV46" i="159"/>
  <c r="AV36" i="159"/>
  <c r="BZ36" i="159" s="1"/>
  <c r="AV26" i="159"/>
  <c r="BA52" i="163" s="1"/>
  <c r="CE52" i="163" s="1"/>
  <c r="U48" i="143" s="1"/>
  <c r="AV17" i="159"/>
  <c r="BZ17" i="159" s="1"/>
  <c r="AV111" i="159"/>
  <c r="BA137" i="163" s="1"/>
  <c r="CE137" i="163" s="1"/>
  <c r="U135" i="143" s="1"/>
  <c r="AV100" i="159"/>
  <c r="BZ100" i="159" s="1"/>
  <c r="AV92" i="159"/>
  <c r="BA118" i="163" s="1"/>
  <c r="CE118" i="163" s="1"/>
  <c r="U116" i="143" s="1"/>
  <c r="AV83" i="159"/>
  <c r="BA109" i="163" s="1"/>
  <c r="CE109" i="163" s="1"/>
  <c r="U107" i="143" s="1"/>
  <c r="AV75" i="159"/>
  <c r="BA101" i="163" s="1"/>
  <c r="CE101" i="163" s="1"/>
  <c r="U99" i="143" s="1"/>
  <c r="AV96" i="159"/>
  <c r="BA122" i="163" s="1"/>
  <c r="CE122" i="163" s="1"/>
  <c r="U120" i="143" s="1"/>
  <c r="AV87" i="159"/>
  <c r="BZ87" i="159" s="1"/>
  <c r="AV69" i="159"/>
  <c r="BZ69" i="159" s="1"/>
  <c r="AV60" i="159"/>
  <c r="AV49" i="159"/>
  <c r="BA75" i="163" s="1"/>
  <c r="CE75" i="163" s="1"/>
  <c r="U71" i="143" s="1"/>
  <c r="AV39" i="159"/>
  <c r="BA65" i="163" s="1"/>
  <c r="CE65" i="163" s="1"/>
  <c r="U61" i="143" s="1"/>
  <c r="AV30" i="159"/>
  <c r="BA56" i="163" s="1"/>
  <c r="CE56" i="163" s="1"/>
  <c r="U52" i="143" s="1"/>
  <c r="AV20" i="159"/>
  <c r="BZ20" i="159" s="1"/>
  <c r="AV11" i="159"/>
  <c r="BZ11" i="159" s="1"/>
  <c r="AV119" i="159"/>
  <c r="BZ119" i="159" s="1"/>
  <c r="AV114" i="159"/>
  <c r="BZ114" i="159" s="1"/>
  <c r="AV106" i="159"/>
  <c r="BA132" i="163" s="1"/>
  <c r="CE132" i="163" s="1"/>
  <c r="U130" i="143" s="1"/>
  <c r="AV95" i="159"/>
  <c r="BZ95" i="159" s="1"/>
  <c r="AV86" i="159"/>
  <c r="BZ86" i="159" s="1"/>
  <c r="AV78" i="159"/>
  <c r="BA104" i="163" s="1"/>
  <c r="CE104" i="163" s="1"/>
  <c r="U102" i="143" s="1"/>
  <c r="AV31" i="159"/>
  <c r="BA57" i="163" s="1"/>
  <c r="CE57" i="163" s="1"/>
  <c r="U53" i="143" s="1"/>
  <c r="AV63" i="159"/>
  <c r="BA89" i="163" s="1"/>
  <c r="CE89" i="163" s="1"/>
  <c r="U85" i="143" s="1"/>
  <c r="AV53" i="159"/>
  <c r="BA79" i="163" s="1"/>
  <c r="CE79" i="163" s="1"/>
  <c r="AV42" i="159"/>
  <c r="BA68" i="163" s="1"/>
  <c r="CE68" i="163" s="1"/>
  <c r="U64" i="143" s="1"/>
  <c r="AV33" i="159"/>
  <c r="AV14" i="159"/>
  <c r="BZ14" i="159" s="1"/>
  <c r="AV122" i="159"/>
  <c r="BA148" i="163" s="1"/>
  <c r="CE148" i="163" s="1"/>
  <c r="U146" i="143" s="1"/>
  <c r="AV109" i="159"/>
  <c r="AV98" i="159"/>
  <c r="BA124" i="163" s="1"/>
  <c r="CE124" i="163" s="1"/>
  <c r="U122" i="143" s="1"/>
  <c r="AV90" i="159"/>
  <c r="BA116" i="163" s="1"/>
  <c r="CE116" i="163" s="1"/>
  <c r="U114" i="143" s="1"/>
  <c r="AV81" i="159"/>
  <c r="BA107" i="163" s="1"/>
  <c r="CE107" i="163" s="1"/>
  <c r="U105" i="143" s="1"/>
  <c r="AV107" i="159"/>
  <c r="BZ107" i="159" s="1"/>
  <c r="AV67" i="159"/>
  <c r="BA93" i="163" s="1"/>
  <c r="CE93" i="163" s="1"/>
  <c r="U89" i="143" s="1"/>
  <c r="AV57" i="159"/>
  <c r="BA83" i="163" s="1"/>
  <c r="CE83" i="163" s="1"/>
  <c r="U79" i="143" s="1"/>
  <c r="AV47" i="159"/>
  <c r="AV37" i="159"/>
  <c r="AV27" i="159"/>
  <c r="BA53" i="163" s="1"/>
  <c r="CE53" i="163" s="1"/>
  <c r="U49" i="143" s="1"/>
  <c r="AV18" i="159"/>
  <c r="BA44" i="163" s="1"/>
  <c r="CE44" i="163" s="1"/>
  <c r="U40" i="143" s="1"/>
  <c r="AV112" i="159"/>
  <c r="BA138" i="163" s="1"/>
  <c r="CE138" i="163" s="1"/>
  <c r="U136" i="143" s="1"/>
  <c r="AV101" i="159"/>
  <c r="BA127" i="163" s="1"/>
  <c r="CE127" i="163" s="1"/>
  <c r="U125" i="143" s="1"/>
  <c r="AV93" i="159"/>
  <c r="BA119" i="163" s="1"/>
  <c r="CE119" i="163" s="1"/>
  <c r="U117" i="143" s="1"/>
  <c r="AV84" i="159"/>
  <c r="BZ84" i="159" s="1"/>
  <c r="AV76" i="159"/>
  <c r="BA102" i="163" s="1"/>
  <c r="CE102" i="163" s="1"/>
  <c r="U100" i="143" s="1"/>
  <c r="AV61" i="159"/>
  <c r="BZ61" i="159" s="1"/>
  <c r="AV21" i="159"/>
  <c r="BZ21" i="159" s="1"/>
  <c r="AV12" i="159"/>
  <c r="AT67" i="159"/>
  <c r="AT57" i="159"/>
  <c r="AT47" i="159"/>
  <c r="AT37" i="159"/>
  <c r="AT27" i="159"/>
  <c r="AT18" i="159"/>
  <c r="AT112" i="159"/>
  <c r="AT101" i="159"/>
  <c r="AT93" i="159"/>
  <c r="AT84" i="159"/>
  <c r="AT76" i="159"/>
  <c r="AT14" i="159"/>
  <c r="AT81" i="159"/>
  <c r="AT61" i="159"/>
  <c r="AT51" i="159"/>
  <c r="AT40" i="159"/>
  <c r="AT31" i="159"/>
  <c r="AT21" i="159"/>
  <c r="AT12" i="159"/>
  <c r="AT120" i="159"/>
  <c r="AT115" i="159"/>
  <c r="AT107" i="159"/>
  <c r="AT96" i="159"/>
  <c r="AT87" i="159"/>
  <c r="AT79" i="159"/>
  <c r="AT64" i="159"/>
  <c r="AT54" i="159"/>
  <c r="AT45" i="159"/>
  <c r="AT35" i="159"/>
  <c r="AT24" i="159"/>
  <c r="AT15" i="159"/>
  <c r="AT123" i="159"/>
  <c r="AT110" i="159"/>
  <c r="AT99" i="159"/>
  <c r="AT91" i="159"/>
  <c r="AT82" i="159"/>
  <c r="AT77" i="159"/>
  <c r="AT63" i="159"/>
  <c r="AT53" i="159"/>
  <c r="AT33" i="159"/>
  <c r="AT23" i="159"/>
  <c r="AT109" i="159"/>
  <c r="AT98" i="159"/>
  <c r="AT90" i="159"/>
  <c r="AT68" i="159"/>
  <c r="AT58" i="159"/>
  <c r="AT48" i="159"/>
  <c r="AT38" i="159"/>
  <c r="AT29" i="159"/>
  <c r="AT19" i="159"/>
  <c r="AT10" i="159"/>
  <c r="AT118" i="159"/>
  <c r="AT113" i="159"/>
  <c r="AT102" i="159"/>
  <c r="AT94" i="159"/>
  <c r="AT85" i="159"/>
  <c r="AT122" i="159"/>
  <c r="AT62" i="159"/>
  <c r="AT52" i="159"/>
  <c r="AT41" i="159"/>
  <c r="AT32" i="159"/>
  <c r="AT22" i="159"/>
  <c r="AT13" i="159"/>
  <c r="AT121" i="159"/>
  <c r="AT116" i="159"/>
  <c r="AT108" i="159"/>
  <c r="AT97" i="159"/>
  <c r="AT88" i="159"/>
  <c r="AT80" i="159"/>
  <c r="AT66" i="159"/>
  <c r="AT55" i="159"/>
  <c r="AT46" i="159"/>
  <c r="AT36" i="159"/>
  <c r="AT26" i="159"/>
  <c r="AT17" i="159"/>
  <c r="AT111" i="159"/>
  <c r="AT100" i="159"/>
  <c r="AT92" i="159"/>
  <c r="AT83" i="159"/>
  <c r="AT75" i="159"/>
  <c r="AT69" i="159"/>
  <c r="AT60" i="159"/>
  <c r="AT49" i="159"/>
  <c r="AT39" i="159"/>
  <c r="AT30" i="159"/>
  <c r="AT20" i="159"/>
  <c r="AT11" i="159"/>
  <c r="AT119" i="159"/>
  <c r="AT114" i="159"/>
  <c r="AT106" i="159"/>
  <c r="AT95" i="159"/>
  <c r="AT86" i="159"/>
  <c r="AT78" i="159"/>
  <c r="AT42" i="159"/>
  <c r="AS13" i="190"/>
  <c r="AS18" i="190"/>
  <c r="AS8" i="190"/>
  <c r="AS17" i="190"/>
  <c r="AS25" i="190"/>
  <c r="AS21" i="190"/>
  <c r="AS24" i="190"/>
  <c r="AS11" i="190"/>
  <c r="AS20" i="190"/>
  <c r="AS16" i="190"/>
  <c r="AS9" i="190"/>
  <c r="AS14" i="190"/>
  <c r="AS15" i="190"/>
  <c r="AS63" i="159"/>
  <c r="BW63" i="159" s="1"/>
  <c r="AS53" i="159"/>
  <c r="AX79" i="163" s="1"/>
  <c r="CB79" i="163" s="1"/>
  <c r="AS42" i="159"/>
  <c r="AX68" i="163" s="1"/>
  <c r="CB68" i="163" s="1"/>
  <c r="AS33" i="159"/>
  <c r="AX59" i="163" s="1"/>
  <c r="CB59" i="163" s="1"/>
  <c r="AS23" i="159"/>
  <c r="BW23" i="159" s="1"/>
  <c r="AS14" i="159"/>
  <c r="AX40" i="163" s="1"/>
  <c r="CB40" i="163" s="1"/>
  <c r="AS122" i="159"/>
  <c r="AX148" i="163" s="1"/>
  <c r="CB148" i="163" s="1"/>
  <c r="AX143" i="163"/>
  <c r="CB143" i="163" s="1"/>
  <c r="AS109" i="159"/>
  <c r="AX135" i="163" s="1"/>
  <c r="CB135" i="163" s="1"/>
  <c r="AS98" i="159"/>
  <c r="BW98" i="159" s="1"/>
  <c r="AS90" i="159"/>
  <c r="BW90" i="159" s="1"/>
  <c r="AS81" i="159"/>
  <c r="AX107" i="163" s="1"/>
  <c r="CB107" i="163" s="1"/>
  <c r="AS76" i="159"/>
  <c r="AX102" i="163" s="1"/>
  <c r="CB102" i="163" s="1"/>
  <c r="AS106" i="159"/>
  <c r="AS67" i="159"/>
  <c r="BW67" i="159" s="1"/>
  <c r="AS57" i="159"/>
  <c r="AX83" i="163" s="1"/>
  <c r="CB83" i="163" s="1"/>
  <c r="AS47" i="159"/>
  <c r="AS37" i="159"/>
  <c r="AX63" i="163" s="1"/>
  <c r="CB63" i="163" s="1"/>
  <c r="AS27" i="159"/>
  <c r="AX53" i="163" s="1"/>
  <c r="CB53" i="163" s="1"/>
  <c r="AS18" i="159"/>
  <c r="BW18" i="159" s="1"/>
  <c r="AS112" i="159"/>
  <c r="AX138" i="163" s="1"/>
  <c r="CB138" i="163" s="1"/>
  <c r="AS101" i="159"/>
  <c r="AX127" i="163" s="1"/>
  <c r="CB127" i="163" s="1"/>
  <c r="AS93" i="159"/>
  <c r="AX119" i="163" s="1"/>
  <c r="CB119" i="163" s="1"/>
  <c r="AS84" i="159"/>
  <c r="BW84" i="159" s="1"/>
  <c r="AS86" i="159"/>
  <c r="AX112" i="163" s="1"/>
  <c r="CB112" i="163" s="1"/>
  <c r="AS61" i="159"/>
  <c r="AX87" i="163" s="1"/>
  <c r="CB87" i="163" s="1"/>
  <c r="AS51" i="159"/>
  <c r="AX77" i="163" s="1"/>
  <c r="CB77" i="163" s="1"/>
  <c r="AS40" i="159"/>
  <c r="AX66" i="163" s="1"/>
  <c r="CB66" i="163" s="1"/>
  <c r="AS31" i="159"/>
  <c r="AX57" i="163" s="1"/>
  <c r="CB57" i="163" s="1"/>
  <c r="AS21" i="159"/>
  <c r="AX47" i="163" s="1"/>
  <c r="CB47" i="163" s="1"/>
  <c r="AS12" i="159"/>
  <c r="AS120" i="159"/>
  <c r="BW120" i="159" s="1"/>
  <c r="AS115" i="159"/>
  <c r="AX141" i="163" s="1"/>
  <c r="CB141" i="163" s="1"/>
  <c r="AS107" i="159"/>
  <c r="BW107" i="159" s="1"/>
  <c r="AS96" i="159"/>
  <c r="BW96" i="159" s="1"/>
  <c r="AS87" i="159"/>
  <c r="AX113" i="163" s="1"/>
  <c r="CB113" i="163" s="1"/>
  <c r="AS79" i="159"/>
  <c r="AX105" i="163" s="1"/>
  <c r="CB105" i="163" s="1"/>
  <c r="AS77" i="159"/>
  <c r="AS60" i="159"/>
  <c r="AS114" i="159"/>
  <c r="BW114" i="159" s="1"/>
  <c r="AS64" i="159"/>
  <c r="AX90" i="163" s="1"/>
  <c r="CB90" i="163" s="1"/>
  <c r="AS54" i="159"/>
  <c r="AX80" i="163" s="1"/>
  <c r="CB80" i="163" s="1"/>
  <c r="AS45" i="159"/>
  <c r="BW45" i="159" s="1"/>
  <c r="AS35" i="159"/>
  <c r="AS24" i="159"/>
  <c r="AX50" i="163" s="1"/>
  <c r="CB50" i="163" s="1"/>
  <c r="AS15" i="159"/>
  <c r="AX41" i="163" s="1"/>
  <c r="CB41" i="163" s="1"/>
  <c r="AS123" i="159"/>
  <c r="AX149" i="163" s="1"/>
  <c r="CB149" i="163" s="1"/>
  <c r="AS110" i="159"/>
  <c r="BW110" i="159" s="1"/>
  <c r="AS99" i="159"/>
  <c r="AX125" i="163" s="1"/>
  <c r="CB125" i="163" s="1"/>
  <c r="AS91" i="159"/>
  <c r="AX117" i="163" s="1"/>
  <c r="CB117" i="163" s="1"/>
  <c r="AS82" i="159"/>
  <c r="AX108" i="163" s="1"/>
  <c r="CB108" i="163" s="1"/>
  <c r="AS39" i="159"/>
  <c r="BW39" i="159" s="1"/>
  <c r="AS20" i="159"/>
  <c r="BW20" i="159" s="1"/>
  <c r="AS68" i="159"/>
  <c r="BW68" i="159" s="1"/>
  <c r="AS58" i="159"/>
  <c r="BW58" i="159" s="1"/>
  <c r="AS48" i="159"/>
  <c r="AX74" i="163" s="1"/>
  <c r="CB74" i="163" s="1"/>
  <c r="AS38" i="159"/>
  <c r="BW38" i="159" s="1"/>
  <c r="AS29" i="159"/>
  <c r="BW29" i="159" s="1"/>
  <c r="AS19" i="159"/>
  <c r="AX45" i="163" s="1"/>
  <c r="CB45" i="163" s="1"/>
  <c r="AS10" i="159"/>
  <c r="AX36" i="163" s="1"/>
  <c r="CB36" i="163" s="1"/>
  <c r="AS118" i="159"/>
  <c r="AX144" i="163" s="1"/>
  <c r="CB144" i="163" s="1"/>
  <c r="AS113" i="159"/>
  <c r="AS102" i="159"/>
  <c r="AX128" i="163" s="1"/>
  <c r="CB128" i="163" s="1"/>
  <c r="AS94" i="159"/>
  <c r="AX120" i="163" s="1"/>
  <c r="CB120" i="163" s="1"/>
  <c r="AS85" i="159"/>
  <c r="AS62" i="159"/>
  <c r="BW62" i="159" s="1"/>
  <c r="AS52" i="159"/>
  <c r="AX78" i="163" s="1"/>
  <c r="CB78" i="163" s="1"/>
  <c r="AS41" i="159"/>
  <c r="AX67" i="163" s="1"/>
  <c r="CB67" i="163" s="1"/>
  <c r="AS32" i="159"/>
  <c r="AX58" i="163" s="1"/>
  <c r="CB58" i="163" s="1"/>
  <c r="AS22" i="159"/>
  <c r="AS13" i="159"/>
  <c r="BW13" i="159" s="1"/>
  <c r="AS121" i="159"/>
  <c r="BW121" i="159" s="1"/>
  <c r="AS116" i="159"/>
  <c r="AX142" i="163" s="1"/>
  <c r="CB142" i="163" s="1"/>
  <c r="AS108" i="159"/>
  <c r="AX134" i="163" s="1"/>
  <c r="CB134" i="163" s="1"/>
  <c r="AS97" i="159"/>
  <c r="BW97" i="159" s="1"/>
  <c r="AS88" i="159"/>
  <c r="AX114" i="163" s="1"/>
  <c r="CB114" i="163" s="1"/>
  <c r="AS80" i="159"/>
  <c r="BW80" i="159" s="1"/>
  <c r="AS11" i="159"/>
  <c r="AX37" i="163" s="1"/>
  <c r="CB37" i="163" s="1"/>
  <c r="AS95" i="159"/>
  <c r="AX121" i="163" s="1"/>
  <c r="CB121" i="163" s="1"/>
  <c r="AS66" i="159"/>
  <c r="AX92" i="163" s="1"/>
  <c r="CB92" i="163" s="1"/>
  <c r="AS55" i="159"/>
  <c r="BW55" i="159" s="1"/>
  <c r="AS46" i="159"/>
  <c r="AX72" i="163" s="1"/>
  <c r="CB72" i="163" s="1"/>
  <c r="AS36" i="159"/>
  <c r="AX62" i="163" s="1"/>
  <c r="CB62" i="163" s="1"/>
  <c r="AS26" i="159"/>
  <c r="AX52" i="163" s="1"/>
  <c r="CB52" i="163" s="1"/>
  <c r="AS17" i="159"/>
  <c r="AX43" i="163" s="1"/>
  <c r="CB43" i="163" s="1"/>
  <c r="AS111" i="159"/>
  <c r="BW111" i="159" s="1"/>
  <c r="AS100" i="159"/>
  <c r="AX126" i="163" s="1"/>
  <c r="CB126" i="163" s="1"/>
  <c r="AS92" i="159"/>
  <c r="AX118" i="163" s="1"/>
  <c r="CB118" i="163" s="1"/>
  <c r="AS83" i="159"/>
  <c r="BW83" i="159" s="1"/>
  <c r="AS75" i="159"/>
  <c r="BW75" i="159" s="1"/>
  <c r="AS69" i="159"/>
  <c r="AX95" i="163" s="1"/>
  <c r="CB95" i="163" s="1"/>
  <c r="AS49" i="159"/>
  <c r="AX75" i="163" s="1"/>
  <c r="CB75" i="163" s="1"/>
  <c r="AS30" i="159"/>
  <c r="AS119" i="159"/>
  <c r="BW119" i="159" s="1"/>
  <c r="AS78" i="159"/>
  <c r="BW78" i="159" s="1"/>
  <c r="AN122" i="159"/>
  <c r="AS148" i="163" s="1"/>
  <c r="BW148" i="163" s="1"/>
  <c r="AN109" i="159"/>
  <c r="AS135" i="163" s="1"/>
  <c r="BW135" i="163" s="1"/>
  <c r="AN99" i="159"/>
  <c r="BR99" i="159" s="1"/>
  <c r="AN91" i="159"/>
  <c r="AS117" i="163" s="1"/>
  <c r="BW117" i="163" s="1"/>
  <c r="AN82" i="159"/>
  <c r="AS108" i="163" s="1"/>
  <c r="BW108" i="163" s="1"/>
  <c r="AN69" i="159"/>
  <c r="BR69" i="159" s="1"/>
  <c r="AN60" i="159"/>
  <c r="AS86" i="163" s="1"/>
  <c r="BW86" i="163" s="1"/>
  <c r="AN46" i="159"/>
  <c r="AN38" i="159"/>
  <c r="AN27" i="159"/>
  <c r="AS53" i="163" s="1"/>
  <c r="BW53" i="163" s="1"/>
  <c r="AN18" i="159"/>
  <c r="AS44" i="163" s="1"/>
  <c r="BW44" i="163" s="1"/>
  <c r="AN79" i="159"/>
  <c r="BR79" i="159" s="1"/>
  <c r="AN33" i="159"/>
  <c r="BR33" i="159" s="1"/>
  <c r="AN112" i="159"/>
  <c r="AS138" i="163" s="1"/>
  <c r="BW138" i="163" s="1"/>
  <c r="AN102" i="159"/>
  <c r="AS128" i="163" s="1"/>
  <c r="BW128" i="163" s="1"/>
  <c r="AN94" i="159"/>
  <c r="BR94" i="159" s="1"/>
  <c r="AN85" i="159"/>
  <c r="BR85" i="159" s="1"/>
  <c r="AN77" i="159"/>
  <c r="AS103" i="163" s="1"/>
  <c r="BW103" i="163" s="1"/>
  <c r="AN63" i="159"/>
  <c r="AS89" i="163" s="1"/>
  <c r="BW89" i="163" s="1"/>
  <c r="AN51" i="159"/>
  <c r="AS77" i="163" s="1"/>
  <c r="BW77" i="163" s="1"/>
  <c r="AN41" i="159"/>
  <c r="AS67" i="163" s="1"/>
  <c r="BW67" i="163" s="1"/>
  <c r="AN31" i="159"/>
  <c r="AS57" i="163" s="1"/>
  <c r="BW57" i="163" s="1"/>
  <c r="AN21" i="159"/>
  <c r="AS47" i="163" s="1"/>
  <c r="BW47" i="163" s="1"/>
  <c r="AN11" i="159"/>
  <c r="BR11" i="159" s="1"/>
  <c r="AN119" i="159"/>
  <c r="BR119" i="159" s="1"/>
  <c r="AN120" i="159"/>
  <c r="BR120" i="159" s="1"/>
  <c r="AN115" i="159"/>
  <c r="AS141" i="163" s="1"/>
  <c r="BW141" i="163" s="1"/>
  <c r="AN107" i="159"/>
  <c r="AS133" i="163" s="1"/>
  <c r="BW133" i="163" s="1"/>
  <c r="AN97" i="159"/>
  <c r="AS123" i="163" s="1"/>
  <c r="BW123" i="163" s="1"/>
  <c r="AN88" i="159"/>
  <c r="AS114" i="163" s="1"/>
  <c r="BW114" i="163" s="1"/>
  <c r="AN80" i="159"/>
  <c r="AN67" i="159"/>
  <c r="AS93" i="163" s="1"/>
  <c r="BW93" i="163" s="1"/>
  <c r="AN54" i="159"/>
  <c r="AS80" i="163" s="1"/>
  <c r="BW80" i="163" s="1"/>
  <c r="AN58" i="159"/>
  <c r="BR58" i="159" s="1"/>
  <c r="AN36" i="159"/>
  <c r="BR36" i="159" s="1"/>
  <c r="AN24" i="159"/>
  <c r="BR24" i="159" s="1"/>
  <c r="AN15" i="159"/>
  <c r="AS41" i="163" s="1"/>
  <c r="BW41" i="163" s="1"/>
  <c r="AN106" i="159"/>
  <c r="AS132" i="163" s="1"/>
  <c r="BW132" i="163" s="1"/>
  <c r="AN123" i="159"/>
  <c r="AN110" i="159"/>
  <c r="AS136" i="163" s="1"/>
  <c r="BW136" i="163" s="1"/>
  <c r="AN100" i="159"/>
  <c r="BR100" i="159" s="1"/>
  <c r="AN92" i="159"/>
  <c r="AS118" i="163" s="1"/>
  <c r="BW118" i="163" s="1"/>
  <c r="AN83" i="159"/>
  <c r="AS109" i="163" s="1"/>
  <c r="BW109" i="163" s="1"/>
  <c r="AN75" i="159"/>
  <c r="AS101" i="163" s="1"/>
  <c r="BW101" i="163" s="1"/>
  <c r="AN10" i="159"/>
  <c r="BR10" i="159" s="1"/>
  <c r="AN61" i="159"/>
  <c r="AN48" i="159"/>
  <c r="AS74" i="163" s="1"/>
  <c r="BW74" i="163" s="1"/>
  <c r="AN39" i="159"/>
  <c r="AS65" i="163" s="1"/>
  <c r="BW65" i="163" s="1"/>
  <c r="AN29" i="159"/>
  <c r="AS55" i="163" s="1"/>
  <c r="BW55" i="163" s="1"/>
  <c r="AN19" i="159"/>
  <c r="AS45" i="163" s="1"/>
  <c r="BW45" i="163" s="1"/>
  <c r="AN22" i="159"/>
  <c r="AS48" i="163" s="1"/>
  <c r="BW48" i="163" s="1"/>
  <c r="AN114" i="159"/>
  <c r="AS140" i="163" s="1"/>
  <c r="BW140" i="163" s="1"/>
  <c r="AN96" i="159"/>
  <c r="AS122" i="163" s="1"/>
  <c r="BW122" i="163" s="1"/>
  <c r="AN87" i="159"/>
  <c r="BR87" i="159" s="1"/>
  <c r="AN66" i="159"/>
  <c r="AS92" i="163" s="1"/>
  <c r="BW92" i="163" s="1"/>
  <c r="AN53" i="159"/>
  <c r="AS79" i="163" s="1"/>
  <c r="BW79" i="163" s="1"/>
  <c r="AN118" i="159"/>
  <c r="BR118" i="159" s="1"/>
  <c r="AN113" i="159"/>
  <c r="AS139" i="163" s="1"/>
  <c r="BW139" i="163" s="1"/>
  <c r="AN105" i="159"/>
  <c r="AS131" i="163" s="1"/>
  <c r="BW131" i="163" s="1"/>
  <c r="AN95" i="159"/>
  <c r="AS121" i="163" s="1"/>
  <c r="BW121" i="163" s="1"/>
  <c r="AN86" i="159"/>
  <c r="BR86" i="159" s="1"/>
  <c r="AN78" i="159"/>
  <c r="AN64" i="159"/>
  <c r="BR64" i="159" s="1"/>
  <c r="AN52" i="159"/>
  <c r="AS78" i="163" s="1"/>
  <c r="BW78" i="163" s="1"/>
  <c r="AN42" i="159"/>
  <c r="BR42" i="159" s="1"/>
  <c r="AN32" i="159"/>
  <c r="AS58" i="163" s="1"/>
  <c r="BW58" i="163" s="1"/>
  <c r="AN13" i="159"/>
  <c r="AS39" i="163" s="1"/>
  <c r="BW39" i="163" s="1"/>
  <c r="AN121" i="159"/>
  <c r="BR121" i="159" s="1"/>
  <c r="AN116" i="159"/>
  <c r="AS142" i="163" s="1"/>
  <c r="BW142" i="163" s="1"/>
  <c r="AN108" i="159"/>
  <c r="AS134" i="163" s="1"/>
  <c r="BW134" i="163" s="1"/>
  <c r="AN98" i="159"/>
  <c r="BR98" i="159" s="1"/>
  <c r="AN90" i="159"/>
  <c r="AS116" i="163" s="1"/>
  <c r="BW116" i="163" s="1"/>
  <c r="AN81" i="159"/>
  <c r="BR81" i="159" s="1"/>
  <c r="AN68" i="159"/>
  <c r="BR68" i="159" s="1"/>
  <c r="AN55" i="159"/>
  <c r="AS81" i="163" s="1"/>
  <c r="BW81" i="163" s="1"/>
  <c r="AN45" i="159"/>
  <c r="AS71" i="163" s="1"/>
  <c r="BW71" i="163" s="1"/>
  <c r="AN37" i="159"/>
  <c r="AS63" i="163" s="1"/>
  <c r="BW63" i="163" s="1"/>
  <c r="AN26" i="159"/>
  <c r="AN17" i="159"/>
  <c r="AN111" i="159"/>
  <c r="BR111" i="159" s="1"/>
  <c r="AN101" i="159"/>
  <c r="AN93" i="159"/>
  <c r="BR93" i="159" s="1"/>
  <c r="AN84" i="159"/>
  <c r="AS110" i="163" s="1"/>
  <c r="BW110" i="163" s="1"/>
  <c r="AN76" i="159"/>
  <c r="AS102" i="163" s="1"/>
  <c r="BW102" i="163" s="1"/>
  <c r="AN62" i="159"/>
  <c r="BR62" i="159" s="1"/>
  <c r="AN49" i="159"/>
  <c r="BR49" i="159" s="1"/>
  <c r="AN40" i="159"/>
  <c r="BR40" i="159" s="1"/>
  <c r="AN30" i="159"/>
  <c r="AS56" i="163" s="1"/>
  <c r="BW56" i="163" s="1"/>
  <c r="AN20" i="159"/>
  <c r="AS46" i="163" s="1"/>
  <c r="BW46" i="163" s="1"/>
  <c r="AN57" i="159"/>
  <c r="AS83" i="163" s="1"/>
  <c r="BW83" i="163" s="1"/>
  <c r="AN23" i="159"/>
  <c r="AS49" i="163" s="1"/>
  <c r="BW49" i="163" s="1"/>
  <c r="AN14" i="159"/>
  <c r="AS40" i="163" s="1"/>
  <c r="BW40" i="163" s="1"/>
  <c r="AO112" i="159"/>
  <c r="BS112" i="159" s="1"/>
  <c r="AO102" i="159"/>
  <c r="BS102" i="159" s="1"/>
  <c r="AO94" i="159"/>
  <c r="AT120" i="163" s="1"/>
  <c r="BX120" i="163" s="1"/>
  <c r="F118" i="143" s="1"/>
  <c r="AO85" i="159"/>
  <c r="AT111" i="163" s="1"/>
  <c r="BX111" i="163" s="1"/>
  <c r="F109" i="143" s="1"/>
  <c r="AO77" i="159"/>
  <c r="AO63" i="159"/>
  <c r="AT89" i="163" s="1"/>
  <c r="BX89" i="163" s="1"/>
  <c r="F85" i="143" s="1"/>
  <c r="AO51" i="159"/>
  <c r="AT77" i="163" s="1"/>
  <c r="BX77" i="163" s="1"/>
  <c r="F73" i="143" s="1"/>
  <c r="AO41" i="159"/>
  <c r="AT67" i="163" s="1"/>
  <c r="BX67" i="163" s="1"/>
  <c r="F63" i="143" s="1"/>
  <c r="AO31" i="159"/>
  <c r="BS31" i="159" s="1"/>
  <c r="AO21" i="159"/>
  <c r="AO120" i="159"/>
  <c r="AO115" i="159"/>
  <c r="BS115" i="159" s="1"/>
  <c r="AO107" i="159"/>
  <c r="AT133" i="163" s="1"/>
  <c r="BX133" i="163" s="1"/>
  <c r="F131" i="143" s="1"/>
  <c r="AO97" i="159"/>
  <c r="AT123" i="163" s="1"/>
  <c r="AO88" i="159"/>
  <c r="AT114" i="163" s="1"/>
  <c r="BX114" i="163" s="1"/>
  <c r="F112" i="143" s="1"/>
  <c r="AO80" i="159"/>
  <c r="AT106" i="163" s="1"/>
  <c r="BX106" i="163" s="1"/>
  <c r="F104" i="143" s="1"/>
  <c r="AO67" i="159"/>
  <c r="AT93" i="163" s="1"/>
  <c r="BX93" i="163" s="1"/>
  <c r="F89" i="143" s="1"/>
  <c r="AO54" i="159"/>
  <c r="AT80" i="163" s="1"/>
  <c r="BX80" i="163" s="1"/>
  <c r="F76" i="143" s="1"/>
  <c r="AO58" i="159"/>
  <c r="AT84" i="163" s="1"/>
  <c r="BX84" i="163" s="1"/>
  <c r="F80" i="143" s="1"/>
  <c r="AO36" i="159"/>
  <c r="BS36" i="159" s="1"/>
  <c r="AO24" i="159"/>
  <c r="AO15" i="159"/>
  <c r="BS15" i="159" s="1"/>
  <c r="AO11" i="159"/>
  <c r="AT37" i="163" s="1"/>
  <c r="BX37" i="163" s="1"/>
  <c r="F33" i="143" s="1"/>
  <c r="AO122" i="159"/>
  <c r="AT148" i="163" s="1"/>
  <c r="BX148" i="163" s="1"/>
  <c r="F146" i="143" s="1"/>
  <c r="AO91" i="159"/>
  <c r="AT117" i="163" s="1"/>
  <c r="BX117" i="163" s="1"/>
  <c r="F115" i="143" s="1"/>
  <c r="AO82" i="159"/>
  <c r="BS82" i="159" s="1"/>
  <c r="AO60" i="159"/>
  <c r="AO46" i="159"/>
  <c r="BS46" i="159" s="1"/>
  <c r="AO123" i="159"/>
  <c r="BS123" i="159" s="1"/>
  <c r="AO110" i="159"/>
  <c r="AT136" i="163" s="1"/>
  <c r="BX136" i="163" s="1"/>
  <c r="F134" i="143" s="1"/>
  <c r="AO100" i="159"/>
  <c r="BS100" i="159" s="1"/>
  <c r="AO92" i="159"/>
  <c r="AT118" i="163" s="1"/>
  <c r="BX118" i="163" s="1"/>
  <c r="F116" i="143" s="1"/>
  <c r="AO83" i="159"/>
  <c r="AT109" i="163" s="1"/>
  <c r="BX109" i="163" s="1"/>
  <c r="F107" i="143" s="1"/>
  <c r="AO75" i="159"/>
  <c r="AO61" i="159"/>
  <c r="AO48" i="159"/>
  <c r="AT74" i="163" s="1"/>
  <c r="BX74" i="163" s="1"/>
  <c r="F70" i="143" s="1"/>
  <c r="AO39" i="159"/>
  <c r="AO29" i="159"/>
  <c r="BS29" i="159" s="1"/>
  <c r="AO19" i="159"/>
  <c r="AT45" i="163" s="1"/>
  <c r="BX45" i="163" s="1"/>
  <c r="F41" i="143" s="1"/>
  <c r="AO38" i="159"/>
  <c r="AT64" i="163" s="1"/>
  <c r="BX64" i="163" s="1"/>
  <c r="F60" i="143" s="1"/>
  <c r="AO27" i="159"/>
  <c r="AT53" i="163" s="1"/>
  <c r="BX53" i="163" s="1"/>
  <c r="F49" i="143" s="1"/>
  <c r="AO118" i="159"/>
  <c r="AT144" i="163" s="1"/>
  <c r="BX144" i="163" s="1"/>
  <c r="F142" i="143" s="1"/>
  <c r="AO113" i="159"/>
  <c r="AT139" i="163" s="1"/>
  <c r="BX139" i="163" s="1"/>
  <c r="F137" i="143" s="1"/>
  <c r="AO105" i="159"/>
  <c r="AT131" i="163" s="1"/>
  <c r="BX131" i="163" s="1"/>
  <c r="AO95" i="159"/>
  <c r="BS95" i="159" s="1"/>
  <c r="AO86" i="159"/>
  <c r="AT112" i="163" s="1"/>
  <c r="BX112" i="163" s="1"/>
  <c r="F110" i="143" s="1"/>
  <c r="AO78" i="159"/>
  <c r="AT104" i="163" s="1"/>
  <c r="BX104" i="163" s="1"/>
  <c r="F102" i="143" s="1"/>
  <c r="AO64" i="159"/>
  <c r="AT90" i="163" s="1"/>
  <c r="BX90" i="163" s="1"/>
  <c r="F86" i="143" s="1"/>
  <c r="AO52" i="159"/>
  <c r="BS52" i="159" s="1"/>
  <c r="AO42" i="159"/>
  <c r="BS42" i="159" s="1"/>
  <c r="AO32" i="159"/>
  <c r="AO22" i="159"/>
  <c r="AT48" i="163" s="1"/>
  <c r="BX48" i="163" s="1"/>
  <c r="F44" i="143" s="1"/>
  <c r="AO13" i="159"/>
  <c r="AT39" i="163" s="1"/>
  <c r="BX39" i="163" s="1"/>
  <c r="F35" i="143" s="1"/>
  <c r="AO26" i="159"/>
  <c r="BS26" i="159" s="1"/>
  <c r="AO17" i="159"/>
  <c r="AT43" i="163" s="1"/>
  <c r="BX43" i="163" s="1"/>
  <c r="F39" i="143" s="1"/>
  <c r="AO109" i="159"/>
  <c r="AT135" i="163" s="1"/>
  <c r="BX135" i="163" s="1"/>
  <c r="F133" i="143" s="1"/>
  <c r="AO99" i="159"/>
  <c r="BS99" i="159" s="1"/>
  <c r="AO121" i="159"/>
  <c r="AT147" i="163" s="1"/>
  <c r="BX147" i="163" s="1"/>
  <c r="AO116" i="159"/>
  <c r="AO108" i="159"/>
  <c r="AT134" i="163" s="1"/>
  <c r="BX134" i="163" s="1"/>
  <c r="F132" i="143" s="1"/>
  <c r="AO98" i="159"/>
  <c r="BS98" i="159" s="1"/>
  <c r="AO90" i="159"/>
  <c r="AT116" i="163" s="1"/>
  <c r="BX116" i="163" s="1"/>
  <c r="F114" i="143" s="1"/>
  <c r="AO81" i="159"/>
  <c r="AT107" i="163" s="1"/>
  <c r="BX107" i="163" s="1"/>
  <c r="F105" i="143" s="1"/>
  <c r="AO68" i="159"/>
  <c r="AT94" i="163" s="1"/>
  <c r="BX94" i="163" s="1"/>
  <c r="F90" i="143" s="1"/>
  <c r="AO55" i="159"/>
  <c r="AT81" i="163" s="1"/>
  <c r="BX81" i="163" s="1"/>
  <c r="F77" i="143" s="1"/>
  <c r="AO45" i="159"/>
  <c r="AT71" i="163" s="1"/>
  <c r="BX71" i="163" s="1"/>
  <c r="F67" i="143" s="1"/>
  <c r="AO37" i="159"/>
  <c r="AT63" i="163" s="1"/>
  <c r="BX63" i="163" s="1"/>
  <c r="F59" i="143" s="1"/>
  <c r="AO10" i="159"/>
  <c r="AO14" i="159"/>
  <c r="AT40" i="163" s="1"/>
  <c r="BX40" i="163" s="1"/>
  <c r="F36" i="143" s="1"/>
  <c r="AO111" i="159"/>
  <c r="BS111" i="159" s="1"/>
  <c r="AO101" i="159"/>
  <c r="AT127" i="163" s="1"/>
  <c r="BX127" i="163" s="1"/>
  <c r="F125" i="143" s="1"/>
  <c r="AO93" i="159"/>
  <c r="BS93" i="159" s="1"/>
  <c r="AO84" i="159"/>
  <c r="AT110" i="163" s="1"/>
  <c r="BX110" i="163" s="1"/>
  <c r="F108" i="143" s="1"/>
  <c r="AO76" i="159"/>
  <c r="AT102" i="163" s="1"/>
  <c r="BX102" i="163" s="1"/>
  <c r="F100" i="143" s="1"/>
  <c r="AO62" i="159"/>
  <c r="AO49" i="159"/>
  <c r="AT75" i="163" s="1"/>
  <c r="BX75" i="163" s="1"/>
  <c r="F71" i="143" s="1"/>
  <c r="F69" i="143" s="1"/>
  <c r="AO40" i="159"/>
  <c r="BS40" i="159" s="1"/>
  <c r="AO30" i="159"/>
  <c r="BS30" i="159" s="1"/>
  <c r="AO20" i="159"/>
  <c r="AT46" i="163" s="1"/>
  <c r="BX46" i="163" s="1"/>
  <c r="F42" i="143" s="1"/>
  <c r="AO119" i="159"/>
  <c r="BS119" i="159" s="1"/>
  <c r="AO114" i="159"/>
  <c r="BS114" i="159" s="1"/>
  <c r="AO106" i="159"/>
  <c r="AO96" i="159"/>
  <c r="AO87" i="159"/>
  <c r="AT113" i="163" s="1"/>
  <c r="BX113" i="163" s="1"/>
  <c r="F111" i="143" s="1"/>
  <c r="AO79" i="159"/>
  <c r="BS79" i="159" s="1"/>
  <c r="AO66" i="159"/>
  <c r="BS66" i="159" s="1"/>
  <c r="AO53" i="159"/>
  <c r="AT79" i="163" s="1"/>
  <c r="BX79" i="163" s="1"/>
  <c r="AO57" i="159"/>
  <c r="AT83" i="163" s="1"/>
  <c r="BX83" i="163" s="1"/>
  <c r="F79" i="143" s="1"/>
  <c r="AO33" i="159"/>
  <c r="BS33" i="159" s="1"/>
  <c r="AO23" i="159"/>
  <c r="AO69" i="159"/>
  <c r="BS69" i="159" s="1"/>
  <c r="AO18" i="159"/>
  <c r="AT44" i="163" s="1"/>
  <c r="BX44" i="163" s="1"/>
  <c r="F40" i="143" s="1"/>
  <c r="AP120" i="159"/>
  <c r="BT120" i="159" s="1"/>
  <c r="AP115" i="159"/>
  <c r="AU141" i="163" s="1"/>
  <c r="BY141" i="163" s="1"/>
  <c r="M139" i="143" s="1"/>
  <c r="AP107" i="159"/>
  <c r="BT107" i="159" s="1"/>
  <c r="AP97" i="159"/>
  <c r="AU123" i="163" s="1"/>
  <c r="BY123" i="163" s="1"/>
  <c r="M121" i="143" s="1"/>
  <c r="AP88" i="159"/>
  <c r="AU114" i="163" s="1"/>
  <c r="BY114" i="163" s="1"/>
  <c r="M112" i="143" s="1"/>
  <c r="AP80" i="159"/>
  <c r="AU106" i="163" s="1"/>
  <c r="BY106" i="163" s="1"/>
  <c r="M104" i="143" s="1"/>
  <c r="AP67" i="159"/>
  <c r="AU93" i="163" s="1"/>
  <c r="BY93" i="163" s="1"/>
  <c r="M89" i="143" s="1"/>
  <c r="AP54" i="159"/>
  <c r="AU80" i="163" s="1"/>
  <c r="BY80" i="163" s="1"/>
  <c r="M76" i="143" s="1"/>
  <c r="AP58" i="159"/>
  <c r="AU84" i="163" s="1"/>
  <c r="BY84" i="163" s="1"/>
  <c r="M80" i="143" s="1"/>
  <c r="AP36" i="159"/>
  <c r="AU62" i="163" s="1"/>
  <c r="BY62" i="163" s="1"/>
  <c r="M58" i="143" s="1"/>
  <c r="AP24" i="159"/>
  <c r="BT24" i="159" s="1"/>
  <c r="AP15" i="159"/>
  <c r="AU41" i="163" s="1"/>
  <c r="BY41" i="163" s="1"/>
  <c r="M37" i="143" s="1"/>
  <c r="AP11" i="159"/>
  <c r="AU37" i="163" s="1"/>
  <c r="BY37" i="163" s="1"/>
  <c r="M33" i="143" s="1"/>
  <c r="AP51" i="159"/>
  <c r="AP123" i="159"/>
  <c r="AU149" i="163" s="1"/>
  <c r="BY149" i="163" s="1"/>
  <c r="M147" i="143" s="1"/>
  <c r="AP110" i="159"/>
  <c r="AP100" i="159"/>
  <c r="BT100" i="159" s="1"/>
  <c r="AP92" i="159"/>
  <c r="BT92" i="159" s="1"/>
  <c r="AP83" i="159"/>
  <c r="AU109" i="163" s="1"/>
  <c r="BY109" i="163" s="1"/>
  <c r="M107" i="143" s="1"/>
  <c r="AP75" i="159"/>
  <c r="AU101" i="163" s="1"/>
  <c r="BY101" i="163" s="1"/>
  <c r="M99" i="143" s="1"/>
  <c r="AP61" i="159"/>
  <c r="AU87" i="163" s="1"/>
  <c r="BY87" i="163" s="1"/>
  <c r="M83" i="143" s="1"/>
  <c r="AP48" i="159"/>
  <c r="AU74" i="163" s="1"/>
  <c r="BY74" i="163" s="1"/>
  <c r="M70" i="143" s="1"/>
  <c r="AP39" i="159"/>
  <c r="AU65" i="163" s="1"/>
  <c r="BY65" i="163" s="1"/>
  <c r="M61" i="143" s="1"/>
  <c r="AP29" i="159"/>
  <c r="AU55" i="163" s="1"/>
  <c r="BY55" i="163" s="1"/>
  <c r="M51" i="143" s="1"/>
  <c r="AP19" i="159"/>
  <c r="AU45" i="163" s="1"/>
  <c r="BY45" i="163" s="1"/>
  <c r="M41" i="143" s="1"/>
  <c r="AP13" i="159"/>
  <c r="AU39" i="163" s="1"/>
  <c r="BY39" i="163" s="1"/>
  <c r="M35" i="143" s="1"/>
  <c r="AP112" i="159"/>
  <c r="AU138" i="163" s="1"/>
  <c r="BY138" i="163" s="1"/>
  <c r="M136" i="143" s="1"/>
  <c r="AP94" i="159"/>
  <c r="AU120" i="163" s="1"/>
  <c r="BY120" i="163" s="1"/>
  <c r="M118" i="143" s="1"/>
  <c r="AP85" i="159"/>
  <c r="AU111" i="163" s="1"/>
  <c r="BY111" i="163" s="1"/>
  <c r="M109" i="143" s="1"/>
  <c r="AP21" i="159"/>
  <c r="AP118" i="159"/>
  <c r="AU144" i="163" s="1"/>
  <c r="BY144" i="163" s="1"/>
  <c r="M142" i="143" s="1"/>
  <c r="AP113" i="159"/>
  <c r="AP105" i="159"/>
  <c r="AU131" i="163" s="1"/>
  <c r="BY131" i="163" s="1"/>
  <c r="AP95" i="159"/>
  <c r="AU121" i="163" s="1"/>
  <c r="BY121" i="163" s="1"/>
  <c r="M119" i="143" s="1"/>
  <c r="AP86" i="159"/>
  <c r="BT86" i="159" s="1"/>
  <c r="AP78" i="159"/>
  <c r="AU104" i="163" s="1"/>
  <c r="BY104" i="163" s="1"/>
  <c r="M102" i="143" s="1"/>
  <c r="AP64" i="159"/>
  <c r="AU90" i="163" s="1"/>
  <c r="BY90" i="163" s="1"/>
  <c r="M86" i="143" s="1"/>
  <c r="AP52" i="159"/>
  <c r="BT52" i="159" s="1"/>
  <c r="AP42" i="159"/>
  <c r="AU68" i="163" s="1"/>
  <c r="BY68" i="163" s="1"/>
  <c r="M64" i="143" s="1"/>
  <c r="AP32" i="159"/>
  <c r="AU58" i="163" s="1"/>
  <c r="BY58" i="163" s="1"/>
  <c r="M54" i="143" s="1"/>
  <c r="AP22" i="159"/>
  <c r="AU48" i="163" s="1"/>
  <c r="BY48" i="163" s="1"/>
  <c r="M44" i="143" s="1"/>
  <c r="AP63" i="159"/>
  <c r="BT63" i="159" s="1"/>
  <c r="AP121" i="159"/>
  <c r="BT121" i="159" s="1"/>
  <c r="AP116" i="159"/>
  <c r="BT116" i="159" s="1"/>
  <c r="AP108" i="159"/>
  <c r="AU134" i="163" s="1"/>
  <c r="BY134" i="163" s="1"/>
  <c r="M132" i="143" s="1"/>
  <c r="AP98" i="159"/>
  <c r="AP90" i="159"/>
  <c r="AU116" i="163" s="1"/>
  <c r="BY116" i="163" s="1"/>
  <c r="M114" i="143" s="1"/>
  <c r="AP81" i="159"/>
  <c r="BT81" i="159" s="1"/>
  <c r="AP68" i="159"/>
  <c r="BT68" i="159" s="1"/>
  <c r="AP55" i="159"/>
  <c r="AU81" i="163" s="1"/>
  <c r="BY81" i="163" s="1"/>
  <c r="M77" i="143" s="1"/>
  <c r="AP45" i="159"/>
  <c r="AU71" i="163" s="1"/>
  <c r="BY71" i="163" s="1"/>
  <c r="M67" i="143" s="1"/>
  <c r="AP37" i="159"/>
  <c r="BT37" i="159" s="1"/>
  <c r="AP26" i="159"/>
  <c r="AU52" i="163" s="1"/>
  <c r="BY52" i="163" s="1"/>
  <c r="M48" i="143" s="1"/>
  <c r="AP17" i="159"/>
  <c r="AU43" i="163" s="1"/>
  <c r="BY43" i="163" s="1"/>
  <c r="M39" i="143" s="1"/>
  <c r="AP20" i="159"/>
  <c r="BT20" i="159" s="1"/>
  <c r="AP14" i="159"/>
  <c r="AP18" i="159"/>
  <c r="BT18" i="159" s="1"/>
  <c r="AP102" i="159"/>
  <c r="AU128" i="163" s="1"/>
  <c r="BY128" i="163" s="1"/>
  <c r="M126" i="143" s="1"/>
  <c r="AP77" i="159"/>
  <c r="AU103" i="163" s="1"/>
  <c r="BY103" i="163" s="1"/>
  <c r="M101" i="143" s="1"/>
  <c r="AP111" i="159"/>
  <c r="BT111" i="159" s="1"/>
  <c r="AP101" i="159"/>
  <c r="BT101" i="159" s="1"/>
  <c r="AP93" i="159"/>
  <c r="AU119" i="163" s="1"/>
  <c r="BY119" i="163" s="1"/>
  <c r="M117" i="143" s="1"/>
  <c r="AP84" i="159"/>
  <c r="BT84" i="159" s="1"/>
  <c r="AP76" i="159"/>
  <c r="AP62" i="159"/>
  <c r="AU88" i="163" s="1"/>
  <c r="BY88" i="163" s="1"/>
  <c r="M84" i="143" s="1"/>
  <c r="AP49" i="159"/>
  <c r="BT49" i="159" s="1"/>
  <c r="AP40" i="159"/>
  <c r="BT40" i="159" s="1"/>
  <c r="AP30" i="159"/>
  <c r="BT30" i="159" s="1"/>
  <c r="AP41" i="159"/>
  <c r="AP119" i="159"/>
  <c r="AU145" i="163" s="1"/>
  <c r="BY145" i="163" s="1"/>
  <c r="M143" i="143" s="1"/>
  <c r="AP114" i="159"/>
  <c r="BT114" i="159" s="1"/>
  <c r="AP106" i="159"/>
  <c r="BT106" i="159" s="1"/>
  <c r="AP96" i="159"/>
  <c r="AU122" i="163" s="1"/>
  <c r="BY122" i="163" s="1"/>
  <c r="M120" i="143" s="1"/>
  <c r="AP87" i="159"/>
  <c r="BT87" i="159" s="1"/>
  <c r="AP79" i="159"/>
  <c r="AU105" i="163" s="1"/>
  <c r="BY105" i="163" s="1"/>
  <c r="M103" i="143" s="1"/>
  <c r="AP66" i="159"/>
  <c r="BT66" i="159" s="1"/>
  <c r="AP53" i="159"/>
  <c r="AU79" i="163" s="1"/>
  <c r="BY79" i="163" s="1"/>
  <c r="AP57" i="159"/>
  <c r="BT57" i="159" s="1"/>
  <c r="AP33" i="159"/>
  <c r="AU59" i="163" s="1"/>
  <c r="BY59" i="163" s="1"/>
  <c r="M55" i="143" s="1"/>
  <c r="AP23" i="159"/>
  <c r="AP10" i="159"/>
  <c r="AU36" i="163" s="1"/>
  <c r="BY36" i="163" s="1"/>
  <c r="M32" i="143" s="1"/>
  <c r="AP122" i="159"/>
  <c r="AU148" i="163" s="1"/>
  <c r="BY148" i="163" s="1"/>
  <c r="M146" i="143" s="1"/>
  <c r="AP109" i="159"/>
  <c r="AU135" i="163" s="1"/>
  <c r="BY135" i="163" s="1"/>
  <c r="M133" i="143" s="1"/>
  <c r="AP99" i="159"/>
  <c r="AU125" i="163" s="1"/>
  <c r="BY125" i="163" s="1"/>
  <c r="M123" i="143" s="1"/>
  <c r="AP91" i="159"/>
  <c r="AP82" i="159"/>
  <c r="BT82" i="159" s="1"/>
  <c r="AP69" i="159"/>
  <c r="AU95" i="163" s="1"/>
  <c r="BY95" i="163" s="1"/>
  <c r="M91" i="143" s="1"/>
  <c r="AP60" i="159"/>
  <c r="AU86" i="163" s="1"/>
  <c r="BY86" i="163" s="1"/>
  <c r="M82" i="143" s="1"/>
  <c r="AP46" i="159"/>
  <c r="BT46" i="159" s="1"/>
  <c r="AP38" i="159"/>
  <c r="AU64" i="163" s="1"/>
  <c r="BY64" i="163" s="1"/>
  <c r="M60" i="143" s="1"/>
  <c r="AP27" i="159"/>
  <c r="AU53" i="163" s="1"/>
  <c r="BY53" i="163" s="1"/>
  <c r="M49" i="143" s="1"/>
  <c r="AP31" i="159"/>
  <c r="BT31" i="159" s="1"/>
  <c r="AM9" i="190"/>
  <c r="AM13" i="190"/>
  <c r="AM24" i="190"/>
  <c r="AM17" i="190"/>
  <c r="AM18" i="190"/>
  <c r="AM8" i="190"/>
  <c r="AM21" i="190"/>
  <c r="AM20" i="190"/>
  <c r="AM11" i="190"/>
  <c r="AM16" i="190"/>
  <c r="AM14" i="190"/>
  <c r="AM15" i="190"/>
  <c r="AM25" i="190"/>
  <c r="AO18" i="190"/>
  <c r="AO14" i="190"/>
  <c r="AO15" i="190"/>
  <c r="AO17" i="190"/>
  <c r="AO21" i="190"/>
  <c r="AO24" i="190"/>
  <c r="AO20" i="190"/>
  <c r="AO13" i="190"/>
  <c r="AO16" i="190"/>
  <c r="AO11" i="190"/>
  <c r="AO25" i="190"/>
  <c r="AO8" i="190"/>
  <c r="AO9" i="190"/>
  <c r="AN13" i="190"/>
  <c r="AN17" i="190"/>
  <c r="AN25" i="190"/>
  <c r="AN15" i="190"/>
  <c r="AN16" i="190"/>
  <c r="AN18" i="190"/>
  <c r="AN20" i="190"/>
  <c r="AN14" i="190"/>
  <c r="AN9" i="190"/>
  <c r="AN8" i="190"/>
  <c r="AN11" i="190"/>
  <c r="AN21" i="190"/>
  <c r="AN24" i="190"/>
  <c r="AQ123" i="159"/>
  <c r="AV149" i="163" s="1"/>
  <c r="BZ149" i="163" s="1"/>
  <c r="T147" i="143" s="1"/>
  <c r="AQ110" i="159"/>
  <c r="AQ100" i="159"/>
  <c r="AV126" i="163" s="1"/>
  <c r="BZ126" i="163" s="1"/>
  <c r="T124" i="143" s="1"/>
  <c r="AQ92" i="159"/>
  <c r="BU92" i="159" s="1"/>
  <c r="AQ83" i="159"/>
  <c r="BU83" i="159" s="1"/>
  <c r="AQ75" i="159"/>
  <c r="BU75" i="159" s="1"/>
  <c r="AQ61" i="159"/>
  <c r="BU61" i="159" s="1"/>
  <c r="AQ48" i="159"/>
  <c r="AV74" i="163" s="1"/>
  <c r="BZ74" i="163" s="1"/>
  <c r="T70" i="143" s="1"/>
  <c r="AQ39" i="159"/>
  <c r="AV65" i="163" s="1"/>
  <c r="BZ65" i="163" s="1"/>
  <c r="T61" i="143" s="1"/>
  <c r="AQ29" i="159"/>
  <c r="AV55" i="163" s="1"/>
  <c r="BZ55" i="163" s="1"/>
  <c r="T51" i="143" s="1"/>
  <c r="AQ19" i="159"/>
  <c r="AQ118" i="159"/>
  <c r="AV144" i="163" s="1"/>
  <c r="BZ144" i="163" s="1"/>
  <c r="T142" i="143" s="1"/>
  <c r="AQ113" i="159"/>
  <c r="AV139" i="163" s="1"/>
  <c r="BZ139" i="163" s="1"/>
  <c r="T137" i="143" s="1"/>
  <c r="AQ105" i="159"/>
  <c r="AV131" i="163" s="1"/>
  <c r="BZ131" i="163" s="1"/>
  <c r="AQ95" i="159"/>
  <c r="BU95" i="159" s="1"/>
  <c r="AQ86" i="159"/>
  <c r="AQ78" i="159"/>
  <c r="AV104" i="163" s="1"/>
  <c r="BZ104" i="163" s="1"/>
  <c r="T102" i="143" s="1"/>
  <c r="AQ64" i="159"/>
  <c r="BU64" i="159" s="1"/>
  <c r="AQ52" i="159"/>
  <c r="AV78" i="163" s="1"/>
  <c r="BZ78" i="163" s="1"/>
  <c r="T74" i="143" s="1"/>
  <c r="AQ42" i="159"/>
  <c r="AV68" i="163" s="1"/>
  <c r="BZ68" i="163" s="1"/>
  <c r="T64" i="143" s="1"/>
  <c r="AQ32" i="159"/>
  <c r="AV58" i="163" s="1"/>
  <c r="BZ58" i="163" s="1"/>
  <c r="T54" i="143" s="1"/>
  <c r="AQ22" i="159"/>
  <c r="AV48" i="163" s="1"/>
  <c r="BZ48" i="163" s="1"/>
  <c r="T44" i="143" s="1"/>
  <c r="AQ13" i="159"/>
  <c r="BU13" i="159" s="1"/>
  <c r="AQ107" i="159"/>
  <c r="AV133" i="163" s="1"/>
  <c r="BZ133" i="163" s="1"/>
  <c r="T131" i="143" s="1"/>
  <c r="AQ97" i="159"/>
  <c r="BU97" i="159" s="1"/>
  <c r="AQ67" i="159"/>
  <c r="AQ121" i="159"/>
  <c r="BU121" i="159" s="1"/>
  <c r="AQ116" i="159"/>
  <c r="AV142" i="163" s="1"/>
  <c r="BZ142" i="163" s="1"/>
  <c r="T140" i="143" s="1"/>
  <c r="AQ108" i="159"/>
  <c r="AV134" i="163" s="1"/>
  <c r="BZ134" i="163" s="1"/>
  <c r="T132" i="143" s="1"/>
  <c r="AQ98" i="159"/>
  <c r="AV124" i="163" s="1"/>
  <c r="BZ124" i="163" s="1"/>
  <c r="T122" i="143" s="1"/>
  <c r="AQ90" i="159"/>
  <c r="AQ81" i="159"/>
  <c r="AV107" i="163" s="1"/>
  <c r="BZ107" i="163" s="1"/>
  <c r="T105" i="143" s="1"/>
  <c r="AQ68" i="159"/>
  <c r="AV94" i="163" s="1"/>
  <c r="BZ94" i="163" s="1"/>
  <c r="T90" i="143" s="1"/>
  <c r="AQ55" i="159"/>
  <c r="AQ45" i="159"/>
  <c r="AV71" i="163" s="1"/>
  <c r="BZ71" i="163" s="1"/>
  <c r="T67" i="143" s="1"/>
  <c r="AQ37" i="159"/>
  <c r="BU37" i="159" s="1"/>
  <c r="AQ26" i="159"/>
  <c r="AV52" i="163" s="1"/>
  <c r="BZ52" i="163" s="1"/>
  <c r="T48" i="143" s="1"/>
  <c r="AQ17" i="159"/>
  <c r="AV43" i="163" s="1"/>
  <c r="BZ43" i="163" s="1"/>
  <c r="T39" i="143" s="1"/>
  <c r="AQ111" i="159"/>
  <c r="AV137" i="163" s="1"/>
  <c r="BZ137" i="163" s="1"/>
  <c r="T135" i="143" s="1"/>
  <c r="AQ101" i="159"/>
  <c r="BU101" i="159" s="1"/>
  <c r="AQ93" i="159"/>
  <c r="BU93" i="159" s="1"/>
  <c r="AQ84" i="159"/>
  <c r="AV110" i="163" s="1"/>
  <c r="BZ110" i="163" s="1"/>
  <c r="T108" i="143" s="1"/>
  <c r="AQ76" i="159"/>
  <c r="BU76" i="159" s="1"/>
  <c r="AQ62" i="159"/>
  <c r="AV88" i="163" s="1"/>
  <c r="BZ88" i="163" s="1"/>
  <c r="T84" i="143" s="1"/>
  <c r="AQ49" i="159"/>
  <c r="BU49" i="159" s="1"/>
  <c r="AQ40" i="159"/>
  <c r="BU40" i="159" s="1"/>
  <c r="AQ30" i="159"/>
  <c r="BU30" i="159" s="1"/>
  <c r="AQ20" i="159"/>
  <c r="AV46" i="163" s="1"/>
  <c r="BZ46" i="163" s="1"/>
  <c r="T42" i="143" s="1"/>
  <c r="AQ14" i="159"/>
  <c r="AV40" i="163" s="1"/>
  <c r="BZ40" i="163" s="1"/>
  <c r="T36" i="143" s="1"/>
  <c r="AQ10" i="159"/>
  <c r="AQ120" i="159"/>
  <c r="AV146" i="163" s="1"/>
  <c r="BZ146" i="163" s="1"/>
  <c r="T144" i="143" s="1"/>
  <c r="AQ58" i="159"/>
  <c r="AV84" i="163" s="1"/>
  <c r="BZ84" i="163" s="1"/>
  <c r="T80" i="143" s="1"/>
  <c r="AQ36" i="159"/>
  <c r="AV62" i="163" s="1"/>
  <c r="BZ62" i="163" s="1"/>
  <c r="T58" i="143" s="1"/>
  <c r="AQ24" i="159"/>
  <c r="AV50" i="163" s="1"/>
  <c r="BZ50" i="163" s="1"/>
  <c r="T46" i="143" s="1"/>
  <c r="AQ119" i="159"/>
  <c r="BU119" i="159" s="1"/>
  <c r="AQ114" i="159"/>
  <c r="AV140" i="163" s="1"/>
  <c r="BZ140" i="163" s="1"/>
  <c r="T138" i="143" s="1"/>
  <c r="AQ106" i="159"/>
  <c r="BU106" i="159" s="1"/>
  <c r="AQ96" i="159"/>
  <c r="AQ87" i="159"/>
  <c r="AV113" i="163" s="1"/>
  <c r="BZ113" i="163" s="1"/>
  <c r="T111" i="143" s="1"/>
  <c r="AQ79" i="159"/>
  <c r="AV105" i="163" s="1"/>
  <c r="BZ105" i="163" s="1"/>
  <c r="T103" i="143" s="1"/>
  <c r="AQ66" i="159"/>
  <c r="AV92" i="163" s="1"/>
  <c r="BZ92" i="163" s="1"/>
  <c r="T88" i="143" s="1"/>
  <c r="AQ53" i="159"/>
  <c r="AV79" i="163" s="1"/>
  <c r="BZ79" i="163" s="1"/>
  <c r="AQ57" i="159"/>
  <c r="AQ33" i="159"/>
  <c r="AQ23" i="159"/>
  <c r="AV49" i="163" s="1"/>
  <c r="BZ49" i="163" s="1"/>
  <c r="T45" i="143" s="1"/>
  <c r="AQ115" i="159"/>
  <c r="AQ80" i="159"/>
  <c r="AV106" i="163" s="1"/>
  <c r="BZ106" i="163" s="1"/>
  <c r="T104" i="143" s="1"/>
  <c r="AQ122" i="159"/>
  <c r="BU122" i="159" s="1"/>
  <c r="AQ109" i="159"/>
  <c r="BU109" i="159" s="1"/>
  <c r="AQ99" i="159"/>
  <c r="AV125" i="163" s="1"/>
  <c r="BZ125" i="163" s="1"/>
  <c r="T123" i="143" s="1"/>
  <c r="AQ91" i="159"/>
  <c r="BU91" i="159" s="1"/>
  <c r="AQ82" i="159"/>
  <c r="AQ69" i="159"/>
  <c r="BU69" i="159" s="1"/>
  <c r="AQ60" i="159"/>
  <c r="AQ46" i="159"/>
  <c r="AV72" i="163" s="1"/>
  <c r="BZ72" i="163" s="1"/>
  <c r="T68" i="143" s="1"/>
  <c r="T66" i="143" s="1"/>
  <c r="AQ38" i="159"/>
  <c r="AV64" i="163" s="1"/>
  <c r="BZ64" i="163" s="1"/>
  <c r="T60" i="143" s="1"/>
  <c r="AQ27" i="159"/>
  <c r="AQ25" i="159" s="1"/>
  <c r="AQ18" i="159"/>
  <c r="AV44" i="163" s="1"/>
  <c r="BZ44" i="163" s="1"/>
  <c r="T40" i="143" s="1"/>
  <c r="AQ112" i="159"/>
  <c r="AV138" i="163" s="1"/>
  <c r="BZ138" i="163" s="1"/>
  <c r="T136" i="143" s="1"/>
  <c r="AQ102" i="159"/>
  <c r="AV128" i="163" s="1"/>
  <c r="BZ128" i="163" s="1"/>
  <c r="T126" i="143" s="1"/>
  <c r="AQ94" i="159"/>
  <c r="AV120" i="163" s="1"/>
  <c r="BZ120" i="163" s="1"/>
  <c r="T118" i="143" s="1"/>
  <c r="AQ85" i="159"/>
  <c r="AQ77" i="159"/>
  <c r="AV103" i="163" s="1"/>
  <c r="BZ103" i="163" s="1"/>
  <c r="T101" i="143" s="1"/>
  <c r="AQ63" i="159"/>
  <c r="AV89" i="163" s="1"/>
  <c r="BZ89" i="163" s="1"/>
  <c r="T85" i="143" s="1"/>
  <c r="AQ51" i="159"/>
  <c r="BU51" i="159" s="1"/>
  <c r="AQ41" i="159"/>
  <c r="AV67" i="163" s="1"/>
  <c r="BZ67" i="163" s="1"/>
  <c r="T63" i="143" s="1"/>
  <c r="AQ31" i="159"/>
  <c r="AV57" i="163" s="1"/>
  <c r="BZ57" i="163" s="1"/>
  <c r="T53" i="143" s="1"/>
  <c r="AQ21" i="159"/>
  <c r="BU21" i="159" s="1"/>
  <c r="AQ88" i="159"/>
  <c r="BU88" i="159" s="1"/>
  <c r="AQ54" i="159"/>
  <c r="BU54" i="159" s="1"/>
  <c r="AQ15" i="159"/>
  <c r="AV41" i="163" s="1"/>
  <c r="BZ41" i="163" s="1"/>
  <c r="T37" i="143" s="1"/>
  <c r="AQ11" i="159"/>
  <c r="AV37" i="163" s="1"/>
  <c r="BZ37" i="163" s="1"/>
  <c r="T33" i="143" s="1"/>
  <c r="AJ118" i="159"/>
  <c r="AJ111" i="159"/>
  <c r="AJ101" i="159"/>
  <c r="AJ93" i="159"/>
  <c r="AJ84" i="159"/>
  <c r="AJ76" i="159"/>
  <c r="AJ64" i="159"/>
  <c r="AJ55" i="159"/>
  <c r="AJ45" i="159"/>
  <c r="AJ30" i="159"/>
  <c r="AJ20" i="159"/>
  <c r="AJ14" i="159"/>
  <c r="AJ11" i="159"/>
  <c r="AJ40" i="159"/>
  <c r="AJ121" i="159"/>
  <c r="AJ114" i="159"/>
  <c r="AJ106" i="159"/>
  <c r="AJ96" i="159"/>
  <c r="AJ87" i="159"/>
  <c r="AJ79" i="159"/>
  <c r="AJ68" i="159"/>
  <c r="AJ60" i="159"/>
  <c r="AJ49" i="159"/>
  <c r="AJ38" i="159"/>
  <c r="AJ23" i="159"/>
  <c r="AJ18" i="159"/>
  <c r="AJ62" i="159"/>
  <c r="AJ109" i="159"/>
  <c r="AJ99" i="159"/>
  <c r="AJ91" i="159"/>
  <c r="AJ82" i="159"/>
  <c r="AJ53" i="159"/>
  <c r="AJ41" i="159"/>
  <c r="AJ27" i="159"/>
  <c r="AJ15" i="159"/>
  <c r="AJ81" i="159"/>
  <c r="AJ52" i="159"/>
  <c r="AJ119" i="159"/>
  <c r="AJ112" i="159"/>
  <c r="AJ102" i="159"/>
  <c r="AJ94" i="159"/>
  <c r="AJ85" i="159"/>
  <c r="AJ77" i="159"/>
  <c r="AJ66" i="159"/>
  <c r="AJ57" i="159"/>
  <c r="AJ46" i="159"/>
  <c r="AJ36" i="159"/>
  <c r="AJ21" i="159"/>
  <c r="AJ98" i="159"/>
  <c r="AJ90" i="159"/>
  <c r="AJ122" i="159"/>
  <c r="AJ115" i="159"/>
  <c r="AJ107" i="159"/>
  <c r="AJ97" i="159"/>
  <c r="AJ88" i="159"/>
  <c r="AJ80" i="159"/>
  <c r="AJ69" i="159"/>
  <c r="AJ61" i="159"/>
  <c r="AJ51" i="159"/>
  <c r="AJ39" i="159"/>
  <c r="AJ24" i="159"/>
  <c r="AJ33" i="159"/>
  <c r="AJ108" i="159"/>
  <c r="AJ110" i="159"/>
  <c r="AJ100" i="159"/>
  <c r="AJ92" i="159"/>
  <c r="AJ83" i="159"/>
  <c r="AJ75" i="159"/>
  <c r="AJ54" i="159"/>
  <c r="AJ42" i="159"/>
  <c r="AJ29" i="159"/>
  <c r="AJ19" i="159"/>
  <c r="AJ13" i="159"/>
  <c r="AJ120" i="159"/>
  <c r="AJ113" i="159"/>
  <c r="AJ105" i="159"/>
  <c r="AJ95" i="159"/>
  <c r="AJ86" i="159"/>
  <c r="AJ78" i="159"/>
  <c r="AJ67" i="159"/>
  <c r="AJ58" i="159"/>
  <c r="AJ48" i="159"/>
  <c r="AJ37" i="159"/>
  <c r="AJ26" i="159"/>
  <c r="AJ22" i="159"/>
  <c r="AJ17" i="159"/>
  <c r="AJ10" i="159"/>
  <c r="AJ123" i="159"/>
  <c r="AJ116" i="159"/>
  <c r="AJ63" i="159"/>
  <c r="AJ8" i="190"/>
  <c r="AJ11" i="190"/>
  <c r="AJ20" i="190"/>
  <c r="AJ24" i="190"/>
  <c r="AJ16" i="190"/>
  <c r="AJ15" i="190"/>
  <c r="AJ17" i="190"/>
  <c r="AJ9" i="190"/>
  <c r="AJ25" i="190"/>
  <c r="AJ13" i="190"/>
  <c r="AJ18" i="190"/>
  <c r="AJ21" i="190"/>
  <c r="AK121" i="159"/>
  <c r="AK114" i="159"/>
  <c r="AK106" i="159"/>
  <c r="AK96" i="159"/>
  <c r="AK87" i="159"/>
  <c r="AK79" i="159"/>
  <c r="AK11" i="159"/>
  <c r="AK68" i="159"/>
  <c r="AK60" i="159"/>
  <c r="AK49" i="159"/>
  <c r="AK38" i="159"/>
  <c r="AK23" i="159"/>
  <c r="AK18" i="159"/>
  <c r="AK84" i="159"/>
  <c r="AK76" i="159"/>
  <c r="AK14" i="159"/>
  <c r="AK109" i="159"/>
  <c r="AK99" i="159"/>
  <c r="AK91" i="159"/>
  <c r="AK82" i="159"/>
  <c r="AK26" i="159"/>
  <c r="AK53" i="159"/>
  <c r="AK41" i="159"/>
  <c r="AK27" i="159"/>
  <c r="AK119" i="159"/>
  <c r="AK112" i="159"/>
  <c r="AK102" i="159"/>
  <c r="AK94" i="159"/>
  <c r="AK85" i="159"/>
  <c r="AK77" i="159"/>
  <c r="AK66" i="159"/>
  <c r="AK57" i="159"/>
  <c r="AK46" i="159"/>
  <c r="AK36" i="159"/>
  <c r="AK21" i="159"/>
  <c r="AK10" i="159"/>
  <c r="AK101" i="159"/>
  <c r="AK122" i="159"/>
  <c r="AK115" i="159"/>
  <c r="AK107" i="159"/>
  <c r="AK97" i="159"/>
  <c r="AK88" i="159"/>
  <c r="AK80" i="159"/>
  <c r="AK69" i="159"/>
  <c r="AK61" i="159"/>
  <c r="AK51" i="159"/>
  <c r="AK39" i="159"/>
  <c r="AK24" i="159"/>
  <c r="AK15" i="159"/>
  <c r="AK33" i="159"/>
  <c r="AK19" i="159"/>
  <c r="AK13" i="159"/>
  <c r="AK118" i="159"/>
  <c r="AK45" i="159"/>
  <c r="AK30" i="159"/>
  <c r="AK20" i="159"/>
  <c r="AK110" i="159"/>
  <c r="AK100" i="159"/>
  <c r="AK92" i="159"/>
  <c r="AK83" i="159"/>
  <c r="AK75" i="159"/>
  <c r="AK54" i="159"/>
  <c r="AK42" i="159"/>
  <c r="AK29" i="159"/>
  <c r="AK120" i="159"/>
  <c r="AK113" i="159"/>
  <c r="AK105" i="159"/>
  <c r="AK95" i="159"/>
  <c r="AK86" i="159"/>
  <c r="AK78" i="159"/>
  <c r="AK67" i="159"/>
  <c r="AK58" i="159"/>
  <c r="AK48" i="159"/>
  <c r="AK37" i="159"/>
  <c r="AK22" i="159"/>
  <c r="AK17" i="159"/>
  <c r="AK111" i="159"/>
  <c r="AK55" i="159"/>
  <c r="AK123" i="159"/>
  <c r="AK116" i="159"/>
  <c r="AK108" i="159"/>
  <c r="AK98" i="159"/>
  <c r="AK90" i="159"/>
  <c r="AK81" i="159"/>
  <c r="AK62" i="159"/>
  <c r="AK52" i="159"/>
  <c r="AK40" i="159"/>
  <c r="AK93" i="159"/>
  <c r="AK64" i="159"/>
  <c r="AI9" i="190"/>
  <c r="AI21" i="190"/>
  <c r="AI13" i="190"/>
  <c r="AI25" i="190"/>
  <c r="AI17" i="190"/>
  <c r="AI16" i="190"/>
  <c r="AI20" i="190"/>
  <c r="AI8" i="190"/>
  <c r="AI24" i="190"/>
  <c r="AI11" i="190"/>
  <c r="AI14" i="190"/>
  <c r="AI18" i="190"/>
  <c r="AI15" i="190"/>
  <c r="AL109" i="159"/>
  <c r="AL99" i="159"/>
  <c r="AL91" i="159"/>
  <c r="AL82" i="159"/>
  <c r="AL53" i="159"/>
  <c r="AL41" i="159"/>
  <c r="AL27" i="159"/>
  <c r="AL21" i="159"/>
  <c r="AL114" i="159"/>
  <c r="AL96" i="159"/>
  <c r="AL60" i="159"/>
  <c r="AL49" i="159"/>
  <c r="AL119" i="159"/>
  <c r="AL112" i="159"/>
  <c r="AL102" i="159"/>
  <c r="AL94" i="159"/>
  <c r="AL85" i="159"/>
  <c r="AL77" i="159"/>
  <c r="AL66" i="159"/>
  <c r="AL57" i="159"/>
  <c r="AL46" i="159"/>
  <c r="AL36" i="159"/>
  <c r="AL122" i="159"/>
  <c r="AL115" i="159"/>
  <c r="AL107" i="159"/>
  <c r="AL97" i="159"/>
  <c r="AL88" i="159"/>
  <c r="AL80" i="159"/>
  <c r="AL69" i="159"/>
  <c r="AL61" i="159"/>
  <c r="AL51" i="159"/>
  <c r="AL39" i="159"/>
  <c r="AL24" i="159"/>
  <c r="AL15" i="159"/>
  <c r="AL11" i="159"/>
  <c r="AL33" i="159"/>
  <c r="AL121" i="159"/>
  <c r="AL87" i="159"/>
  <c r="AL68" i="159"/>
  <c r="AL110" i="159"/>
  <c r="AL100" i="159"/>
  <c r="AL92" i="159"/>
  <c r="AL83" i="159"/>
  <c r="AL75" i="159"/>
  <c r="AL63" i="159"/>
  <c r="AL54" i="159"/>
  <c r="AL42" i="159"/>
  <c r="AL29" i="159"/>
  <c r="AL19" i="159"/>
  <c r="AL13" i="159"/>
  <c r="AL10" i="159"/>
  <c r="AL120" i="159"/>
  <c r="AL113" i="159"/>
  <c r="AL105" i="159"/>
  <c r="AL95" i="159"/>
  <c r="AL86" i="159"/>
  <c r="AL78" i="159"/>
  <c r="AL67" i="159"/>
  <c r="AL58" i="159"/>
  <c r="AL48" i="159"/>
  <c r="AL37" i="159"/>
  <c r="AL22" i="159"/>
  <c r="AL17" i="159"/>
  <c r="AL123" i="159"/>
  <c r="AL116" i="159"/>
  <c r="AL108" i="159"/>
  <c r="AL98" i="159"/>
  <c r="AL90" i="159"/>
  <c r="AL81" i="159"/>
  <c r="AL62" i="159"/>
  <c r="AL52" i="159"/>
  <c r="AL40" i="159"/>
  <c r="AL26" i="159"/>
  <c r="BP26" i="159" s="1"/>
  <c r="AL18" i="159"/>
  <c r="AL111" i="159"/>
  <c r="AL101" i="159"/>
  <c r="AL93" i="159"/>
  <c r="AL84" i="159"/>
  <c r="AL76" i="159"/>
  <c r="AL64" i="159"/>
  <c r="AL55" i="159"/>
  <c r="AL45" i="159"/>
  <c r="AL30" i="159"/>
  <c r="AL20" i="159"/>
  <c r="AL14" i="159"/>
  <c r="AL106" i="159"/>
  <c r="AL79" i="159"/>
  <c r="AL38" i="159"/>
  <c r="AL23" i="159"/>
  <c r="AH14" i="190"/>
  <c r="AH21" i="190"/>
  <c r="AH15" i="190"/>
  <c r="AH20" i="190"/>
  <c r="AH11" i="190"/>
  <c r="AH24" i="190"/>
  <c r="AH9" i="190"/>
  <c r="AH17" i="190"/>
  <c r="AH18" i="190"/>
  <c r="AH13" i="190"/>
  <c r="AH16" i="190"/>
  <c r="AH8" i="190"/>
  <c r="AH25" i="190"/>
  <c r="AI123" i="159"/>
  <c r="AI116" i="159"/>
  <c r="AI108" i="159"/>
  <c r="AI98" i="159"/>
  <c r="AI90" i="159"/>
  <c r="AI81" i="159"/>
  <c r="AI62" i="159"/>
  <c r="AI52" i="159"/>
  <c r="AI40" i="159"/>
  <c r="AI11" i="159"/>
  <c r="AI105" i="159"/>
  <c r="AI26" i="159"/>
  <c r="AI118" i="159"/>
  <c r="AI111" i="159"/>
  <c r="AI101" i="159"/>
  <c r="AI93" i="159"/>
  <c r="AI84" i="159"/>
  <c r="AI76" i="159"/>
  <c r="AI64" i="159"/>
  <c r="AI55" i="159"/>
  <c r="AI45" i="159"/>
  <c r="AI30" i="159"/>
  <c r="AI20" i="159"/>
  <c r="AI14" i="159"/>
  <c r="AI120" i="159"/>
  <c r="AI22" i="159"/>
  <c r="AI121" i="159"/>
  <c r="AI114" i="159"/>
  <c r="AI106" i="159"/>
  <c r="AI96" i="159"/>
  <c r="AI87" i="159"/>
  <c r="AI79" i="159"/>
  <c r="AI68" i="159"/>
  <c r="AI60" i="159"/>
  <c r="AI49" i="159"/>
  <c r="AI38" i="159"/>
  <c r="AI23" i="159"/>
  <c r="AI18" i="159"/>
  <c r="AI113" i="159"/>
  <c r="AI95" i="159"/>
  <c r="AI17" i="159"/>
  <c r="AI109" i="159"/>
  <c r="AI99" i="159"/>
  <c r="AI91" i="159"/>
  <c r="AI82" i="159"/>
  <c r="AI53" i="159"/>
  <c r="AI41" i="159"/>
  <c r="AI27" i="159"/>
  <c r="AI67" i="159"/>
  <c r="AI119" i="159"/>
  <c r="AI112" i="159"/>
  <c r="AI102" i="159"/>
  <c r="AI94" i="159"/>
  <c r="AI85" i="159"/>
  <c r="AI77" i="159"/>
  <c r="AI66" i="159"/>
  <c r="AI57" i="159"/>
  <c r="AI46" i="159"/>
  <c r="AI36" i="159"/>
  <c r="AI21" i="159"/>
  <c r="AI33" i="159"/>
  <c r="AI78" i="159"/>
  <c r="AI58" i="159"/>
  <c r="AI37" i="159"/>
  <c r="AI122" i="159"/>
  <c r="AI115" i="159"/>
  <c r="AI107" i="159"/>
  <c r="AI97" i="159"/>
  <c r="AI88" i="159"/>
  <c r="AI80" i="159"/>
  <c r="AI63" i="159"/>
  <c r="AI69" i="159"/>
  <c r="AI61" i="159"/>
  <c r="AI51" i="159"/>
  <c r="AI39" i="159"/>
  <c r="AI24" i="159"/>
  <c r="AI15" i="159"/>
  <c r="AI110" i="159"/>
  <c r="AI100" i="159"/>
  <c r="AI92" i="159"/>
  <c r="AI83" i="159"/>
  <c r="AI75" i="159"/>
  <c r="AI54" i="159"/>
  <c r="AI42" i="159"/>
  <c r="AI29" i="159"/>
  <c r="AI19" i="159"/>
  <c r="AI13" i="159"/>
  <c r="AI86" i="159"/>
  <c r="AI48" i="159"/>
  <c r="AI10" i="159"/>
  <c r="AI104" i="143"/>
  <c r="AI68" i="143"/>
  <c r="AI122" i="143"/>
  <c r="AI111" i="143"/>
  <c r="AI136" i="143"/>
  <c r="AI116" i="143"/>
  <c r="AI130" i="143"/>
  <c r="AI115" i="143"/>
  <c r="AI109" i="143"/>
  <c r="AI99" i="143"/>
  <c r="AI79" i="143"/>
  <c r="AI121" i="143"/>
  <c r="AI120" i="143"/>
  <c r="AI140" i="143"/>
  <c r="AI77" i="143"/>
  <c r="AI61" i="143"/>
  <c r="AI138" i="143"/>
  <c r="AI133" i="143"/>
  <c r="AI108" i="143"/>
  <c r="AI80" i="143"/>
  <c r="AI90" i="143"/>
  <c r="AI110" i="143"/>
  <c r="AI71" i="143"/>
  <c r="AI35" i="143"/>
  <c r="AI55" i="143"/>
  <c r="AI64" i="143"/>
  <c r="AI85" i="143"/>
  <c r="AI70" i="143"/>
  <c r="AI58" i="143"/>
  <c r="AI100" i="143"/>
  <c r="AI37" i="143"/>
  <c r="AI118" i="143"/>
  <c r="AI42" i="143"/>
  <c r="AI144" i="143"/>
  <c r="AI142" i="143"/>
  <c r="AI45" i="143"/>
  <c r="AI52" i="143"/>
  <c r="AI53" i="143"/>
  <c r="AI40" i="143"/>
  <c r="AI124" i="143"/>
  <c r="AI54" i="143"/>
  <c r="AI106" i="143"/>
  <c r="AI86" i="143"/>
  <c r="AI82" i="143"/>
  <c r="AI117" i="143"/>
  <c r="AI114" i="143"/>
  <c r="AI147" i="143"/>
  <c r="AI131" i="143"/>
  <c r="AI101" i="143"/>
  <c r="AI62" i="143"/>
  <c r="AI76" i="143"/>
  <c r="AI59" i="143"/>
  <c r="AI125" i="143"/>
  <c r="AI43" i="143"/>
  <c r="AI60" i="143"/>
  <c r="AI51" i="143"/>
  <c r="AI89" i="143"/>
  <c r="AI74" i="143"/>
  <c r="AI32" i="143"/>
  <c r="AI126" i="143"/>
  <c r="AI73" i="143"/>
  <c r="AI102" i="143"/>
  <c r="AI48" i="143"/>
  <c r="AI33" i="143"/>
  <c r="AI132" i="143"/>
  <c r="AI112" i="143"/>
  <c r="AI146" i="143"/>
  <c r="AI139" i="143"/>
  <c r="AI105" i="143"/>
  <c r="AI46" i="143"/>
  <c r="AI36" i="143"/>
  <c r="AI137" i="143"/>
  <c r="AI63" i="143"/>
  <c r="AI135" i="143"/>
  <c r="AI91" i="143"/>
  <c r="AI123" i="143"/>
  <c r="AI119" i="143"/>
  <c r="AI44" i="143"/>
  <c r="AI134" i="143"/>
  <c r="AI84" i="143"/>
  <c r="AI83" i="143"/>
  <c r="AI41" i="143"/>
  <c r="AI67" i="143"/>
  <c r="AI107" i="143"/>
  <c r="AI103" i="143"/>
  <c r="AI88" i="143"/>
  <c r="AI49" i="143"/>
  <c r="AD60" i="163"/>
  <c r="AD70" i="159"/>
  <c r="W60" i="163"/>
  <c r="AL99" i="163"/>
  <c r="U60" i="163"/>
  <c r="V60" i="163"/>
  <c r="V70" i="159"/>
  <c r="V125" i="159" s="1"/>
  <c r="AI20" i="143"/>
  <c r="AI19" i="143"/>
  <c r="CJ21" i="163"/>
  <c r="AL69" i="163"/>
  <c r="CN30" i="163"/>
  <c r="AK129" i="163"/>
  <c r="BF9" i="163"/>
  <c r="CJ9" i="163" s="1"/>
  <c r="AJ34" i="163"/>
  <c r="AT105" i="159"/>
  <c r="BM40" i="163"/>
  <c r="CQ40" i="163" s="1"/>
  <c r="CL14" i="159"/>
  <c r="BM55" i="163"/>
  <c r="CQ55" i="163" s="1"/>
  <c r="CL29" i="159"/>
  <c r="BH28" i="159"/>
  <c r="BM62" i="163"/>
  <c r="CQ62" i="163" s="1"/>
  <c r="CL36" i="159"/>
  <c r="BM88" i="163"/>
  <c r="CQ88" i="163" s="1"/>
  <c r="CL62" i="159"/>
  <c r="BM63" i="163"/>
  <c r="CQ63" i="163" s="1"/>
  <c r="CL37" i="159"/>
  <c r="BM90" i="163"/>
  <c r="CQ90" i="163" s="1"/>
  <c r="CL64" i="159"/>
  <c r="BC91" i="163"/>
  <c r="CG91" i="163" s="1"/>
  <c r="CB65" i="159"/>
  <c r="BE82" i="163"/>
  <c r="CI82" i="163" s="1"/>
  <c r="CD56" i="159"/>
  <c r="CH30" i="163"/>
  <c r="BI21" i="163"/>
  <c r="CM21" i="163" s="1"/>
  <c r="E28" i="163"/>
  <c r="AI11" i="163"/>
  <c r="AK31" i="159"/>
  <c r="AK32" i="159"/>
  <c r="BD35" i="163"/>
  <c r="CH35" i="163" s="1"/>
  <c r="AY8" i="159"/>
  <c r="CC9" i="159"/>
  <c r="Z70" i="159"/>
  <c r="Z96" i="163" s="1"/>
  <c r="AD28" i="163"/>
  <c r="BP58" i="163"/>
  <c r="CT58" i="163" s="1"/>
  <c r="CO32" i="159"/>
  <c r="BP66" i="163"/>
  <c r="CT66" i="163" s="1"/>
  <c r="CO40" i="159"/>
  <c r="BP74" i="163"/>
  <c r="CT74" i="163" s="1"/>
  <c r="CO48" i="159"/>
  <c r="BP84" i="163"/>
  <c r="CT84" i="163" s="1"/>
  <c r="CO58" i="159"/>
  <c r="BO36" i="163"/>
  <c r="CS36" i="163" s="1"/>
  <c r="CN10" i="159"/>
  <c r="BJ9" i="159"/>
  <c r="BO49" i="163"/>
  <c r="CS49" i="163" s="1"/>
  <c r="CN23" i="159"/>
  <c r="BO41" i="163"/>
  <c r="CS41" i="163" s="1"/>
  <c r="CN15" i="159"/>
  <c r="BO62" i="163"/>
  <c r="CS62" i="163" s="1"/>
  <c r="CN36" i="159"/>
  <c r="BO67" i="163"/>
  <c r="CS67" i="163" s="1"/>
  <c r="CN41" i="159"/>
  <c r="CN94" i="159"/>
  <c r="BE70" i="163"/>
  <c r="CI70" i="163" s="1"/>
  <c r="AZ43" i="159"/>
  <c r="CD44" i="159"/>
  <c r="BD51" i="163"/>
  <c r="CH51" i="163" s="1"/>
  <c r="CC25" i="159"/>
  <c r="AE96" i="163"/>
  <c r="BN36" i="163"/>
  <c r="CR36" i="163" s="1"/>
  <c r="CM10" i="159"/>
  <c r="BI9" i="159"/>
  <c r="BN39" i="163"/>
  <c r="CR39" i="163" s="1"/>
  <c r="CM13" i="159"/>
  <c r="BN50" i="163"/>
  <c r="CR50" i="163" s="1"/>
  <c r="CM24" i="159"/>
  <c r="BN56" i="163"/>
  <c r="CR56" i="163" s="1"/>
  <c r="CM30" i="159"/>
  <c r="BN94" i="163"/>
  <c r="CR94" i="163" s="1"/>
  <c r="CM68" i="159"/>
  <c r="CM30" i="163"/>
  <c r="BA131" i="163"/>
  <c r="CE131" i="163" s="1"/>
  <c r="BZ105" i="159"/>
  <c r="CJ16" i="163"/>
  <c r="V16" i="143" s="1"/>
  <c r="AL16" i="163"/>
  <c r="AE150" i="163"/>
  <c r="AE125" i="159"/>
  <c r="BF91" i="163"/>
  <c r="CJ91" i="163" s="1"/>
  <c r="CE65" i="159"/>
  <c r="BM43" i="163"/>
  <c r="CQ43" i="163" s="1"/>
  <c r="CL17" i="159"/>
  <c r="BH16" i="159"/>
  <c r="BM64" i="163"/>
  <c r="CQ64" i="163" s="1"/>
  <c r="CL38" i="159"/>
  <c r="BM52" i="163"/>
  <c r="CQ52" i="163" s="1"/>
  <c r="CL26" i="159"/>
  <c r="BH25" i="159"/>
  <c r="BM65" i="163"/>
  <c r="CQ65" i="163" s="1"/>
  <c r="CL39" i="159"/>
  <c r="BM92" i="163"/>
  <c r="CQ92" i="163" s="1"/>
  <c r="CL66" i="159"/>
  <c r="BH65" i="159"/>
  <c r="BF82" i="163"/>
  <c r="CJ82" i="163" s="1"/>
  <c r="CE56" i="159"/>
  <c r="BD42" i="163"/>
  <c r="CH42" i="163" s="1"/>
  <c r="CC16" i="159"/>
  <c r="BJ51" i="163"/>
  <c r="CN51" i="163" s="1"/>
  <c r="CI25" i="159"/>
  <c r="AL31" i="159"/>
  <c r="AL32" i="159"/>
  <c r="E70" i="159"/>
  <c r="AA70" i="159"/>
  <c r="AA96" i="163" s="1"/>
  <c r="BJ115" i="163"/>
  <c r="CN115" i="163" s="1"/>
  <c r="CI89" i="159"/>
  <c r="BC70" i="163"/>
  <c r="CG70" i="163" s="1"/>
  <c r="AX43" i="159"/>
  <c r="CB44" i="159"/>
  <c r="F70" i="159"/>
  <c r="BH100" i="163"/>
  <c r="CL100" i="163" s="1"/>
  <c r="BC73" i="159"/>
  <c r="CG74" i="159"/>
  <c r="K28" i="163"/>
  <c r="T28" i="163"/>
  <c r="BP41" i="163"/>
  <c r="CT41" i="163" s="1"/>
  <c r="CO15" i="159"/>
  <c r="BP47" i="163"/>
  <c r="CT47" i="163" s="1"/>
  <c r="CO21" i="159"/>
  <c r="BP78" i="163"/>
  <c r="CT78" i="163" s="1"/>
  <c r="CO52" i="159"/>
  <c r="BP68" i="163"/>
  <c r="CT68" i="163" s="1"/>
  <c r="CO42" i="159"/>
  <c r="BP72" i="163"/>
  <c r="CT72" i="163" s="1"/>
  <c r="CO46" i="159"/>
  <c r="BP83" i="163"/>
  <c r="CT83" i="163" s="1"/>
  <c r="CO57" i="159"/>
  <c r="BP87" i="163"/>
  <c r="CT87" i="163" s="1"/>
  <c r="CO61" i="159"/>
  <c r="BO47" i="163"/>
  <c r="CS47" i="163" s="1"/>
  <c r="CN21" i="159"/>
  <c r="BO50" i="163"/>
  <c r="CS50" i="163" s="1"/>
  <c r="CN24" i="159"/>
  <c r="BO71" i="163"/>
  <c r="CS71" i="163" s="1"/>
  <c r="CN45" i="159"/>
  <c r="BJ44" i="159"/>
  <c r="BO64" i="163"/>
  <c r="CS64" i="163" s="1"/>
  <c r="CN38" i="159"/>
  <c r="BO83" i="163"/>
  <c r="CS83" i="163" s="1"/>
  <c r="CN57" i="159"/>
  <c r="BO84" i="163"/>
  <c r="CS84" i="163" s="1"/>
  <c r="CN58" i="159"/>
  <c r="U28" i="163"/>
  <c r="BN58" i="163"/>
  <c r="CR58" i="163" s="1"/>
  <c r="CM32" i="159"/>
  <c r="BN71" i="163"/>
  <c r="CR71" i="163" s="1"/>
  <c r="CM45" i="159"/>
  <c r="BI44" i="159"/>
  <c r="BN46" i="163"/>
  <c r="CR46" i="163" s="1"/>
  <c r="CM20" i="159"/>
  <c r="BN57" i="163"/>
  <c r="CR57" i="163" s="1"/>
  <c r="CM31" i="159"/>
  <c r="BN63" i="163"/>
  <c r="CR63" i="163" s="1"/>
  <c r="CM37" i="159"/>
  <c r="BN90" i="163"/>
  <c r="CR90" i="163" s="1"/>
  <c r="CM64" i="159"/>
  <c r="BE100" i="163"/>
  <c r="CI100" i="163" s="1"/>
  <c r="AZ73" i="159"/>
  <c r="CD74" i="159"/>
  <c r="BD21" i="163"/>
  <c r="CH21" i="163" s="1"/>
  <c r="L150" i="163"/>
  <c r="L151" i="163" s="1"/>
  <c r="L125" i="159"/>
  <c r="AT138" i="163"/>
  <c r="BX138" i="163" s="1"/>
  <c r="F136" i="143" s="1"/>
  <c r="BM44" i="163"/>
  <c r="CQ44" i="163" s="1"/>
  <c r="CL18" i="159"/>
  <c r="BM66" i="163"/>
  <c r="CQ66" i="163" s="1"/>
  <c r="CL40" i="159"/>
  <c r="BM74" i="163"/>
  <c r="CQ74" i="163" s="1"/>
  <c r="CL48" i="159"/>
  <c r="BM67" i="163"/>
  <c r="CQ67" i="163" s="1"/>
  <c r="CL41" i="159"/>
  <c r="BM77" i="163"/>
  <c r="CQ77" i="163" s="1"/>
  <c r="CL51" i="159"/>
  <c r="BC35" i="163"/>
  <c r="CG35" i="163" s="1"/>
  <c r="AX8" i="159"/>
  <c r="CB9" i="159"/>
  <c r="AE28" i="163"/>
  <c r="H96" i="163"/>
  <c r="V28" i="163"/>
  <c r="DD100" i="163"/>
  <c r="CY73" i="159"/>
  <c r="U70" i="159"/>
  <c r="BR96" i="159"/>
  <c r="BE35" i="163"/>
  <c r="CI35" i="163" s="1"/>
  <c r="AZ8" i="159"/>
  <c r="CD9" i="159"/>
  <c r="DB100" i="163"/>
  <c r="CW73" i="159"/>
  <c r="BJ100" i="163"/>
  <c r="CN100" i="163" s="1"/>
  <c r="BE73" i="159"/>
  <c r="CI74" i="159"/>
  <c r="BE54" i="163"/>
  <c r="CI54" i="163" s="1"/>
  <c r="CD28" i="159"/>
  <c r="BH9" i="163"/>
  <c r="CL9" i="163" s="1"/>
  <c r="BP63" i="163"/>
  <c r="CT63" i="163" s="1"/>
  <c r="CO37" i="159"/>
  <c r="BP46" i="163"/>
  <c r="CT46" i="163" s="1"/>
  <c r="CO20" i="159"/>
  <c r="BP71" i="163"/>
  <c r="CT71" i="163" s="1"/>
  <c r="BK44" i="159"/>
  <c r="CO45" i="159"/>
  <c r="BP77" i="163"/>
  <c r="CT77" i="163" s="1"/>
  <c r="CO51" i="159"/>
  <c r="BP79" i="163"/>
  <c r="CT79" i="163" s="1"/>
  <c r="CO53" i="159"/>
  <c r="BP86" i="163"/>
  <c r="CT86" i="163" s="1"/>
  <c r="CO60" i="159"/>
  <c r="BP89" i="163"/>
  <c r="CT89" i="163" s="1"/>
  <c r="CO63" i="159"/>
  <c r="BO58" i="163"/>
  <c r="CS58" i="163" s="1"/>
  <c r="CN32" i="159"/>
  <c r="BO75" i="163"/>
  <c r="CS75" i="163" s="1"/>
  <c r="CN49" i="159"/>
  <c r="BO66" i="163"/>
  <c r="CS66" i="163" s="1"/>
  <c r="CN40" i="159"/>
  <c r="BO52" i="163"/>
  <c r="CS52" i="163" s="1"/>
  <c r="CN26" i="159"/>
  <c r="BJ25" i="159"/>
  <c r="BO86" i="163"/>
  <c r="CS86" i="163" s="1"/>
  <c r="CN60" i="159"/>
  <c r="BO87" i="163"/>
  <c r="CS87" i="163" s="1"/>
  <c r="CN61" i="159"/>
  <c r="BD91" i="163"/>
  <c r="CH91" i="163" s="1"/>
  <c r="CC65" i="159"/>
  <c r="BN75" i="163"/>
  <c r="CR75" i="163" s="1"/>
  <c r="CM49" i="159"/>
  <c r="BN48" i="163"/>
  <c r="CR48" i="163" s="1"/>
  <c r="CM22" i="159"/>
  <c r="BN59" i="163"/>
  <c r="CR59" i="163" s="1"/>
  <c r="CM33" i="159"/>
  <c r="BN65" i="163"/>
  <c r="CR65" i="163" s="1"/>
  <c r="CM39" i="159"/>
  <c r="BN92" i="163"/>
  <c r="CR92" i="163" s="1"/>
  <c r="BI65" i="159"/>
  <c r="CM66" i="159"/>
  <c r="BN79" i="163"/>
  <c r="CR79" i="163" s="1"/>
  <c r="CM53" i="159"/>
  <c r="R28" i="163"/>
  <c r="BM36" i="163"/>
  <c r="CQ36" i="163" s="1"/>
  <c r="CL10" i="159"/>
  <c r="BH9" i="159"/>
  <c r="BM68" i="163"/>
  <c r="CQ68" i="163" s="1"/>
  <c r="CL42" i="159"/>
  <c r="BM83" i="163"/>
  <c r="CQ83" i="163" s="1"/>
  <c r="CL57" i="159"/>
  <c r="BM86" i="163"/>
  <c r="CQ86" i="163" s="1"/>
  <c r="CL60" i="159"/>
  <c r="BM79" i="163"/>
  <c r="CQ79" i="163" s="1"/>
  <c r="CL53" i="159"/>
  <c r="BM122" i="163"/>
  <c r="CQ122" i="163" s="1"/>
  <c r="Q28" i="163"/>
  <c r="J96" i="163"/>
  <c r="BD115" i="163"/>
  <c r="CH115" i="163" s="1"/>
  <c r="CC89" i="159"/>
  <c r="BJ91" i="163"/>
  <c r="CN91" i="163" s="1"/>
  <c r="CI65" i="159"/>
  <c r="G28" i="163"/>
  <c r="AK11" i="163"/>
  <c r="AJ69" i="163"/>
  <c r="AJ130" i="163"/>
  <c r="BI115" i="163"/>
  <c r="CM115" i="163" s="1"/>
  <c r="CH89" i="159"/>
  <c r="BJ42" i="163"/>
  <c r="CN42" i="163" s="1"/>
  <c r="CI16" i="159"/>
  <c r="DA35" i="163"/>
  <c r="CV8" i="159"/>
  <c r="DA34" i="163" s="1"/>
  <c r="BP67" i="163"/>
  <c r="CT67" i="163" s="1"/>
  <c r="CO41" i="159"/>
  <c r="BP40" i="163"/>
  <c r="CT40" i="163" s="1"/>
  <c r="CO14" i="159"/>
  <c r="BP75" i="163"/>
  <c r="CT75" i="163" s="1"/>
  <c r="CO49" i="159"/>
  <c r="BP81" i="163"/>
  <c r="CT81" i="163" s="1"/>
  <c r="CO55" i="159"/>
  <c r="BP88" i="163"/>
  <c r="CT88" i="163" s="1"/>
  <c r="CO62" i="159"/>
  <c r="BP80" i="163"/>
  <c r="CT80" i="163" s="1"/>
  <c r="CO54" i="159"/>
  <c r="BO46" i="163"/>
  <c r="CS46" i="163" s="1"/>
  <c r="CN20" i="159"/>
  <c r="BO81" i="163"/>
  <c r="CS81" i="163" s="1"/>
  <c r="CN55" i="159"/>
  <c r="BO68" i="163"/>
  <c r="CS68" i="163" s="1"/>
  <c r="CN42" i="159"/>
  <c r="BO74" i="163"/>
  <c r="CS74" i="163" s="1"/>
  <c r="CN48" i="159"/>
  <c r="BO88" i="163"/>
  <c r="CS88" i="163" s="1"/>
  <c r="CN62" i="159"/>
  <c r="BO78" i="163"/>
  <c r="CS78" i="163" s="1"/>
  <c r="CN52" i="159"/>
  <c r="BO89" i="163"/>
  <c r="CS89" i="163" s="1"/>
  <c r="CN63" i="159"/>
  <c r="BN40" i="163"/>
  <c r="CR40" i="163" s="1"/>
  <c r="CM14" i="159"/>
  <c r="BN62" i="163"/>
  <c r="CR62" i="163" s="1"/>
  <c r="CM36" i="159"/>
  <c r="BN52" i="163"/>
  <c r="CR52" i="163" s="1"/>
  <c r="CM26" i="159"/>
  <c r="BI25" i="159"/>
  <c r="BN67" i="163"/>
  <c r="CR67" i="163" s="1"/>
  <c r="CM41" i="159"/>
  <c r="BN84" i="163"/>
  <c r="CR84" i="163" s="1"/>
  <c r="CM58" i="159"/>
  <c r="BN81" i="163"/>
  <c r="CR81" i="163" s="1"/>
  <c r="CM55" i="159"/>
  <c r="BD54" i="163"/>
  <c r="CH54" i="163" s="1"/>
  <c r="CC28" i="159"/>
  <c r="BE9" i="163"/>
  <c r="CI9" i="163" s="1"/>
  <c r="F28" i="163"/>
  <c r="AJ11" i="163"/>
  <c r="G70" i="159"/>
  <c r="AF150" i="163"/>
  <c r="BJ35" i="163"/>
  <c r="CN35" i="163" s="1"/>
  <c r="BE8" i="159"/>
  <c r="CI9" i="159"/>
  <c r="Z28" i="163"/>
  <c r="BM37" i="163"/>
  <c r="CQ37" i="163" s="1"/>
  <c r="CL11" i="159"/>
  <c r="BM53" i="163"/>
  <c r="CQ53" i="163" s="1"/>
  <c r="CL27" i="159"/>
  <c r="BM72" i="163"/>
  <c r="CQ72" i="163" s="1"/>
  <c r="CL46" i="159"/>
  <c r="BM49" i="163"/>
  <c r="CQ49" i="163" s="1"/>
  <c r="CL23" i="159"/>
  <c r="BM84" i="163"/>
  <c r="CQ84" i="163" s="1"/>
  <c r="CL58" i="159"/>
  <c r="BM81" i="163"/>
  <c r="CQ81" i="163" s="1"/>
  <c r="CL55" i="159"/>
  <c r="AI69" i="163"/>
  <c r="H150" i="163"/>
  <c r="H151" i="163" s="1"/>
  <c r="H125" i="159"/>
  <c r="DD35" i="163"/>
  <c r="CY8" i="159"/>
  <c r="DD34" i="163" s="1"/>
  <c r="T96" i="163"/>
  <c r="DC100" i="163"/>
  <c r="CX73" i="159"/>
  <c r="CO30" i="163"/>
  <c r="DA70" i="163"/>
  <c r="CV43" i="159"/>
  <c r="DA69" i="163" s="1"/>
  <c r="DB70" i="163"/>
  <c r="CW43" i="159"/>
  <c r="DB69" i="163" s="1"/>
  <c r="BC115" i="163"/>
  <c r="CG115" i="163" s="1"/>
  <c r="CB89" i="159"/>
  <c r="BY99" i="159"/>
  <c r="BP43" i="163"/>
  <c r="CT43" i="163" s="1"/>
  <c r="BK16" i="159"/>
  <c r="CO17" i="159"/>
  <c r="BP37" i="163"/>
  <c r="CT37" i="163" s="1"/>
  <c r="CO11" i="159"/>
  <c r="BP53" i="163"/>
  <c r="CT53" i="163" s="1"/>
  <c r="CO27" i="159"/>
  <c r="BP50" i="163"/>
  <c r="CT50" i="163" s="1"/>
  <c r="CO24" i="159"/>
  <c r="BP93" i="163"/>
  <c r="CT93" i="163" s="1"/>
  <c r="CO67" i="159"/>
  <c r="BP94" i="163"/>
  <c r="CT94" i="163" s="1"/>
  <c r="CO68" i="159"/>
  <c r="BO95" i="163"/>
  <c r="CS95" i="163" s="1"/>
  <c r="CN69" i="159"/>
  <c r="BO77" i="163"/>
  <c r="CS77" i="163" s="1"/>
  <c r="CN51" i="159"/>
  <c r="BO72" i="163"/>
  <c r="CS72" i="163" s="1"/>
  <c r="CN46" i="159"/>
  <c r="BO80" i="163"/>
  <c r="CS80" i="163" s="1"/>
  <c r="CN54" i="159"/>
  <c r="K96" i="163"/>
  <c r="AI129" i="163"/>
  <c r="BN41" i="163"/>
  <c r="CR41" i="163" s="1"/>
  <c r="CM15" i="159"/>
  <c r="BN64" i="163"/>
  <c r="CR64" i="163" s="1"/>
  <c r="CM38" i="159"/>
  <c r="BN74" i="163"/>
  <c r="CR74" i="163" s="1"/>
  <c r="CM48" i="159"/>
  <c r="BN83" i="163"/>
  <c r="CR83" i="163" s="1"/>
  <c r="CM57" i="159"/>
  <c r="BN87" i="163"/>
  <c r="CR87" i="163" s="1"/>
  <c r="CM61" i="159"/>
  <c r="BN93" i="163"/>
  <c r="CR93" i="163" s="1"/>
  <c r="CM67" i="159"/>
  <c r="BJ54" i="163"/>
  <c r="CN54" i="163" s="1"/>
  <c r="CI28" i="159"/>
  <c r="AA28" i="163"/>
  <c r="DC61" i="163"/>
  <c r="BC54" i="163"/>
  <c r="CG54" i="163" s="1"/>
  <c r="CB28" i="159"/>
  <c r="BE42" i="163"/>
  <c r="CI42" i="163" s="1"/>
  <c r="CD16" i="159"/>
  <c r="BM39" i="163"/>
  <c r="CQ39" i="163" s="1"/>
  <c r="CL13" i="159"/>
  <c r="BM50" i="163"/>
  <c r="CQ50" i="163" s="1"/>
  <c r="CL24" i="159"/>
  <c r="BM45" i="163"/>
  <c r="CQ45" i="163" s="1"/>
  <c r="CL19" i="159"/>
  <c r="BM58" i="163"/>
  <c r="CQ58" i="163" s="1"/>
  <c r="CL32" i="159"/>
  <c r="BM78" i="163"/>
  <c r="CQ78" i="163" s="1"/>
  <c r="CL52" i="159"/>
  <c r="BM87" i="163"/>
  <c r="CQ87" i="163" s="1"/>
  <c r="CL61" i="159"/>
  <c r="BM93" i="163"/>
  <c r="CQ93" i="163" s="1"/>
  <c r="CL67" i="159"/>
  <c r="CL122" i="159"/>
  <c r="BD70" i="163"/>
  <c r="CH70" i="163" s="1"/>
  <c r="AY43" i="159"/>
  <c r="CC44" i="159"/>
  <c r="BE51" i="163"/>
  <c r="CI51" i="163" s="1"/>
  <c r="CD25" i="159"/>
  <c r="BH115" i="163"/>
  <c r="CL115" i="163" s="1"/>
  <c r="CG89" i="159"/>
  <c r="DB35" i="163"/>
  <c r="CW8" i="159"/>
  <c r="DB34" i="163" s="1"/>
  <c r="M70" i="159"/>
  <c r="DC35" i="163"/>
  <c r="CX8" i="159"/>
  <c r="DC34" i="163" s="1"/>
  <c r="AI150" i="163"/>
  <c r="Y151" i="163"/>
  <c r="AZ131" i="163"/>
  <c r="CD131" i="163" s="1"/>
  <c r="BY105" i="159"/>
  <c r="BP36" i="163"/>
  <c r="CT36" i="163" s="1"/>
  <c r="BK9" i="159"/>
  <c r="CO10" i="159"/>
  <c r="BP44" i="163"/>
  <c r="CT44" i="163" s="1"/>
  <c r="CO18" i="159"/>
  <c r="BP45" i="163"/>
  <c r="CT45" i="163" s="1"/>
  <c r="CO19" i="159"/>
  <c r="BP39" i="163"/>
  <c r="CT39" i="163" s="1"/>
  <c r="CO13" i="159"/>
  <c r="BP55" i="163"/>
  <c r="CT55" i="163" s="1"/>
  <c r="CO29" i="159"/>
  <c r="BK28" i="159"/>
  <c r="BP57" i="163"/>
  <c r="CT57" i="163" s="1"/>
  <c r="CO31" i="159"/>
  <c r="BP95" i="163"/>
  <c r="CT95" i="163" s="1"/>
  <c r="CO69" i="159"/>
  <c r="BP90" i="163"/>
  <c r="CT90" i="163" s="1"/>
  <c r="CO64" i="159"/>
  <c r="BO40" i="163"/>
  <c r="CS40" i="163" s="1"/>
  <c r="CN14" i="159"/>
  <c r="BO37" i="163"/>
  <c r="CS37" i="163" s="1"/>
  <c r="CN11" i="159"/>
  <c r="BO53" i="163"/>
  <c r="CS53" i="163" s="1"/>
  <c r="CN27" i="159"/>
  <c r="BO57" i="163"/>
  <c r="CS57" i="163" s="1"/>
  <c r="CN31" i="159"/>
  <c r="BO79" i="163"/>
  <c r="CS79" i="163" s="1"/>
  <c r="CN53" i="159"/>
  <c r="BO94" i="163"/>
  <c r="CS94" i="163" s="1"/>
  <c r="CN68" i="159"/>
  <c r="BN49" i="163"/>
  <c r="CR49" i="163" s="1"/>
  <c r="CM23" i="159"/>
  <c r="BN44" i="163"/>
  <c r="CR44" i="163" s="1"/>
  <c r="CM18" i="159"/>
  <c r="BN66" i="163"/>
  <c r="CR66" i="163" s="1"/>
  <c r="CM40" i="159"/>
  <c r="BN72" i="163"/>
  <c r="CR72" i="163" s="1"/>
  <c r="CM46" i="159"/>
  <c r="BN86" i="163"/>
  <c r="CR86" i="163" s="1"/>
  <c r="CM60" i="159"/>
  <c r="BN89" i="163"/>
  <c r="CR89" i="163" s="1"/>
  <c r="CM63" i="159"/>
  <c r="BN95" i="163"/>
  <c r="CR95" i="163" s="1"/>
  <c r="CM69" i="159"/>
  <c r="CI30" i="163"/>
  <c r="DA61" i="163"/>
  <c r="DB61" i="163"/>
  <c r="DD61" i="163"/>
  <c r="AB151" i="163"/>
  <c r="BI100" i="163"/>
  <c r="CM100" i="163" s="1"/>
  <c r="BD73" i="159"/>
  <c r="CH74" i="159"/>
  <c r="BE21" i="163"/>
  <c r="CI21" i="163" s="1"/>
  <c r="AL21" i="163"/>
  <c r="BM46" i="163"/>
  <c r="CQ46" i="163" s="1"/>
  <c r="CL20" i="159"/>
  <c r="BM57" i="163"/>
  <c r="CQ57" i="163" s="1"/>
  <c r="CL31" i="159"/>
  <c r="BM47" i="163"/>
  <c r="CQ47" i="163" s="1"/>
  <c r="CL21" i="159"/>
  <c r="BM71" i="163"/>
  <c r="CQ71" i="163" s="1"/>
  <c r="CL45" i="159"/>
  <c r="BH44" i="159"/>
  <c r="BM80" i="163"/>
  <c r="CQ80" i="163" s="1"/>
  <c r="CL54" i="159"/>
  <c r="BM89" i="163"/>
  <c r="CQ89" i="163" s="1"/>
  <c r="CL63" i="159"/>
  <c r="BM95" i="163"/>
  <c r="CQ95" i="163" s="1"/>
  <c r="CL69" i="159"/>
  <c r="BD9" i="163"/>
  <c r="CH9" i="163" s="1"/>
  <c r="BE115" i="163"/>
  <c r="CI115" i="163" s="1"/>
  <c r="CD89" i="159"/>
  <c r="AI32" i="159"/>
  <c r="AI31" i="159"/>
  <c r="DA100" i="163"/>
  <c r="CV73" i="159"/>
  <c r="P28" i="163"/>
  <c r="CJ30" i="163"/>
  <c r="BD82" i="163"/>
  <c r="CH82" i="163" s="1"/>
  <c r="CC56" i="159"/>
  <c r="P70" i="159"/>
  <c r="V150" i="163"/>
  <c r="CT22" i="163"/>
  <c r="BC82" i="163"/>
  <c r="CG82" i="163" s="1"/>
  <c r="CB56" i="159"/>
  <c r="BD100" i="163"/>
  <c r="CH100" i="163" s="1"/>
  <c r="CC74" i="159"/>
  <c r="AY73" i="159"/>
  <c r="BC9" i="163"/>
  <c r="CG9" i="163" s="1"/>
  <c r="BP56" i="163"/>
  <c r="CT56" i="163" s="1"/>
  <c r="CO30" i="159"/>
  <c r="BP65" i="163"/>
  <c r="CT65" i="163" s="1"/>
  <c r="CO39" i="159"/>
  <c r="BP48" i="163"/>
  <c r="CT48" i="163" s="1"/>
  <c r="CO22" i="159"/>
  <c r="BP62" i="163"/>
  <c r="CT62" i="163" s="1"/>
  <c r="CO36" i="159"/>
  <c r="BP59" i="163"/>
  <c r="CT59" i="163" s="1"/>
  <c r="CO33" i="159"/>
  <c r="BP92" i="163"/>
  <c r="CT92" i="163" s="1"/>
  <c r="CO66" i="159"/>
  <c r="BK65" i="159"/>
  <c r="BO44" i="163"/>
  <c r="CS44" i="163" s="1"/>
  <c r="CN18" i="159"/>
  <c r="BO43" i="163"/>
  <c r="CS43" i="163" s="1"/>
  <c r="BJ16" i="159"/>
  <c r="CN17" i="159"/>
  <c r="BO39" i="163"/>
  <c r="CS39" i="163" s="1"/>
  <c r="CN13" i="159"/>
  <c r="BO55" i="163"/>
  <c r="CS55" i="163" s="1"/>
  <c r="CN29" i="159"/>
  <c r="BJ28" i="159"/>
  <c r="BO59" i="163"/>
  <c r="CS59" i="163" s="1"/>
  <c r="CN33" i="159"/>
  <c r="BO63" i="163"/>
  <c r="CS63" i="163" s="1"/>
  <c r="CN37" i="159"/>
  <c r="BO90" i="163"/>
  <c r="CS90" i="163" s="1"/>
  <c r="CN64" i="159"/>
  <c r="BN53" i="163"/>
  <c r="CR53" i="163" s="1"/>
  <c r="CM27" i="159"/>
  <c r="BN68" i="163"/>
  <c r="CR68" i="163" s="1"/>
  <c r="CM42" i="159"/>
  <c r="BN45" i="163"/>
  <c r="CR45" i="163" s="1"/>
  <c r="CM19" i="159"/>
  <c r="BN88" i="163"/>
  <c r="CR88" i="163" s="1"/>
  <c r="CM62" i="159"/>
  <c r="BN78" i="163"/>
  <c r="CR78" i="163" s="1"/>
  <c r="CM52" i="159"/>
  <c r="CM109" i="159"/>
  <c r="BC51" i="163"/>
  <c r="CG51" i="163" s="1"/>
  <c r="CB25" i="159"/>
  <c r="AG96" i="163"/>
  <c r="AK69" i="163"/>
  <c r="Q70" i="159"/>
  <c r="DC70" i="163"/>
  <c r="CX43" i="159"/>
  <c r="DC69" i="163" s="1"/>
  <c r="BM41" i="163"/>
  <c r="CQ41" i="163" s="1"/>
  <c r="CL15" i="159"/>
  <c r="BM48" i="163"/>
  <c r="CQ48" i="163" s="1"/>
  <c r="CL22" i="159"/>
  <c r="BM59" i="163"/>
  <c r="CQ59" i="163" s="1"/>
  <c r="CL33" i="159"/>
  <c r="BM56" i="163"/>
  <c r="CQ56" i="163" s="1"/>
  <c r="CL30" i="159"/>
  <c r="BM75" i="163"/>
  <c r="CQ75" i="163" s="1"/>
  <c r="CL49" i="159"/>
  <c r="BM94" i="163"/>
  <c r="CQ94" i="163" s="1"/>
  <c r="CL68" i="159"/>
  <c r="BJ70" i="163"/>
  <c r="CN70" i="163" s="1"/>
  <c r="BE43" i="159"/>
  <c r="CI44" i="159"/>
  <c r="BC100" i="163"/>
  <c r="CG100" i="163" s="1"/>
  <c r="AX73" i="159"/>
  <c r="CB74" i="159"/>
  <c r="BE91" i="163"/>
  <c r="CI91" i="163" s="1"/>
  <c r="CD65" i="159"/>
  <c r="BJ9" i="163"/>
  <c r="CN9" i="163" s="1"/>
  <c r="AJ32" i="159"/>
  <c r="AJ31" i="159"/>
  <c r="K124" i="159"/>
  <c r="BJ21" i="163"/>
  <c r="CN21" i="163" s="1"/>
  <c r="AX131" i="163"/>
  <c r="CB131" i="163" s="1"/>
  <c r="BW105" i="159"/>
  <c r="BP49" i="163"/>
  <c r="CT49" i="163" s="1"/>
  <c r="CO23" i="159"/>
  <c r="BP64" i="163"/>
  <c r="CT64" i="163" s="1"/>
  <c r="CO38" i="159"/>
  <c r="BP52" i="163"/>
  <c r="CT52" i="163" s="1"/>
  <c r="CO26" i="159"/>
  <c r="BK25" i="159"/>
  <c r="BO56" i="163"/>
  <c r="CS56" i="163" s="1"/>
  <c r="CN30" i="159"/>
  <c r="BO45" i="163"/>
  <c r="CS45" i="163" s="1"/>
  <c r="CN19" i="159"/>
  <c r="BO48" i="163"/>
  <c r="CS48" i="163" s="1"/>
  <c r="CN22" i="159"/>
  <c r="BO93" i="163"/>
  <c r="CS93" i="163" s="1"/>
  <c r="CN67" i="159"/>
  <c r="BO65" i="163"/>
  <c r="CS65" i="163" s="1"/>
  <c r="CN39" i="159"/>
  <c r="BO92" i="163"/>
  <c r="CS92" i="163" s="1"/>
  <c r="CN66" i="159"/>
  <c r="BJ65" i="159"/>
  <c r="AK99" i="163"/>
  <c r="BN43" i="163"/>
  <c r="CR43" i="163" s="1"/>
  <c r="BI16" i="159"/>
  <c r="CM17" i="159"/>
  <c r="BN37" i="163"/>
  <c r="CR37" i="163" s="1"/>
  <c r="CM11" i="159"/>
  <c r="BN55" i="163"/>
  <c r="CR55" i="163" s="1"/>
  <c r="BI28" i="159"/>
  <c r="CM29" i="159"/>
  <c r="BN77" i="163"/>
  <c r="CR77" i="163" s="1"/>
  <c r="CM51" i="159"/>
  <c r="BN47" i="163"/>
  <c r="CR47" i="163" s="1"/>
  <c r="CM21" i="159"/>
  <c r="BN80" i="163"/>
  <c r="CR80" i="163" s="1"/>
  <c r="CM54" i="159"/>
  <c r="BN139" i="163"/>
  <c r="CR139" i="163" s="1"/>
  <c r="BH21" i="163"/>
  <c r="CL21" i="163" s="1"/>
  <c r="BC21" i="163"/>
  <c r="CG21" i="163" s="1"/>
  <c r="BI9" i="163"/>
  <c r="CM9" i="163" s="1"/>
  <c r="CJ13" i="163"/>
  <c r="V13" i="143" s="1"/>
  <c r="AL13" i="163"/>
  <c r="AF70" i="159"/>
  <c r="BC42" i="163"/>
  <c r="CG42" i="163" s="1"/>
  <c r="CB16" i="159"/>
  <c r="AL150" i="163" l="1"/>
  <c r="N145" i="143"/>
  <c r="BO125" i="163"/>
  <c r="CS125" i="163" s="1"/>
  <c r="CN75" i="159"/>
  <c r="U78" i="143"/>
  <c r="CM122" i="159"/>
  <c r="BN122" i="163"/>
  <c r="CR122" i="163" s="1"/>
  <c r="BM12" i="163"/>
  <c r="CQ12" i="163" s="1"/>
  <c r="CM77" i="159"/>
  <c r="AZ103" i="163"/>
  <c r="CD103" i="163" s="1"/>
  <c r="N101" i="143" s="1"/>
  <c r="CN112" i="159"/>
  <c r="BM8" i="163"/>
  <c r="CQ8" i="163" s="1"/>
  <c r="CO85" i="159"/>
  <c r="CO76" i="159"/>
  <c r="CL77" i="159"/>
  <c r="BP144" i="163"/>
  <c r="CT144" i="163" s="1"/>
  <c r="CL109" i="159"/>
  <c r="CL56" i="159"/>
  <c r="BN136" i="163"/>
  <c r="CR136" i="163" s="1"/>
  <c r="BP131" i="163"/>
  <c r="CT131" i="163" s="1"/>
  <c r="BP15" i="163"/>
  <c r="BM139" i="163"/>
  <c r="CQ139" i="163" s="1"/>
  <c r="CN95" i="159"/>
  <c r="BP19" i="163"/>
  <c r="CT19" i="163" s="1"/>
  <c r="CO81" i="159"/>
  <c r="U69" i="143"/>
  <c r="P22" i="143"/>
  <c r="P25" i="143" s="1"/>
  <c r="BS67" i="159"/>
  <c r="BP82" i="163"/>
  <c r="CT82" i="163" s="1"/>
  <c r="BW24" i="159"/>
  <c r="BS91" i="159"/>
  <c r="BT75" i="159"/>
  <c r="F78" i="143"/>
  <c r="N72" i="143"/>
  <c r="N47" i="143"/>
  <c r="W56" i="143"/>
  <c r="M31" i="143"/>
  <c r="U145" i="143"/>
  <c r="AI21" i="143"/>
  <c r="AT59" i="159"/>
  <c r="AY85" i="163" s="1"/>
  <c r="CC85" i="163" s="1"/>
  <c r="H22" i="143"/>
  <c r="H25" i="143" s="1"/>
  <c r="AI145" i="143"/>
  <c r="AI75" i="143"/>
  <c r="W97" i="143"/>
  <c r="BF124" i="159"/>
  <c r="BK99" i="163"/>
  <c r="CO99" i="163" s="1"/>
  <c r="CJ73" i="159"/>
  <c r="M145" i="143"/>
  <c r="AZ86" i="163"/>
  <c r="CD86" i="163" s="1"/>
  <c r="N82" i="143" s="1"/>
  <c r="AU59" i="159"/>
  <c r="V97" i="143"/>
  <c r="BA124" i="159"/>
  <c r="BF99" i="163"/>
  <c r="CJ99" i="163" s="1"/>
  <c r="CE73" i="159"/>
  <c r="O22" i="143"/>
  <c r="O25" i="143" s="1"/>
  <c r="BF34" i="163"/>
  <c r="AI72" i="143"/>
  <c r="M75" i="143"/>
  <c r="BA34" i="159"/>
  <c r="BF69" i="163"/>
  <c r="CJ69" i="163" s="1"/>
  <c r="V65" i="143" s="1"/>
  <c r="V56" i="143" s="1"/>
  <c r="CE43" i="159"/>
  <c r="AX86" i="163"/>
  <c r="CB86" i="163" s="1"/>
  <c r="AS59" i="159"/>
  <c r="BA86" i="163"/>
  <c r="CE86" i="163" s="1"/>
  <c r="U82" i="143" s="1"/>
  <c r="AV59" i="159"/>
  <c r="BK129" i="163"/>
  <c r="CJ103" i="159"/>
  <c r="BF70" i="159"/>
  <c r="BK34" i="163"/>
  <c r="CJ8" i="159"/>
  <c r="U47" i="143"/>
  <c r="P97" i="143"/>
  <c r="BK60" i="163"/>
  <c r="CO60" i="163" s="1"/>
  <c r="CJ34" i="159"/>
  <c r="O30" i="143"/>
  <c r="AI31" i="143"/>
  <c r="H30" i="143"/>
  <c r="N31" i="143"/>
  <c r="P30" i="143"/>
  <c r="N75" i="143"/>
  <c r="M47" i="143"/>
  <c r="F75" i="143"/>
  <c r="I97" i="143"/>
  <c r="O97" i="143"/>
  <c r="H97" i="143"/>
  <c r="AI81" i="143"/>
  <c r="AI66" i="143"/>
  <c r="AI50" i="143"/>
  <c r="AI78" i="143"/>
  <c r="AI98" i="143"/>
  <c r="AI47" i="143"/>
  <c r="AI69" i="143"/>
  <c r="AI129" i="143"/>
  <c r="AI87" i="143"/>
  <c r="AI113" i="143"/>
  <c r="AI57" i="143"/>
  <c r="AI34" i="143"/>
  <c r="BA49" i="163"/>
  <c r="CE49" i="163" s="1"/>
  <c r="U45" i="143" s="1"/>
  <c r="AV16" i="159"/>
  <c r="AT59" i="163"/>
  <c r="BX59" i="163" s="1"/>
  <c r="F55" i="143" s="1"/>
  <c r="BP137" i="163"/>
  <c r="CT137" i="163" s="1"/>
  <c r="CL95" i="159"/>
  <c r="CO86" i="159"/>
  <c r="BN109" i="163"/>
  <c r="CR109" i="163" s="1"/>
  <c r="BY51" i="159"/>
  <c r="AU56" i="163"/>
  <c r="BY56" i="163" s="1"/>
  <c r="M52" i="143" s="1"/>
  <c r="BS84" i="159"/>
  <c r="BW112" i="159"/>
  <c r="BW76" i="159"/>
  <c r="BR82" i="159"/>
  <c r="BS83" i="159"/>
  <c r="BR116" i="159"/>
  <c r="BW31" i="159"/>
  <c r="AX106" i="163"/>
  <c r="CB106" i="163" s="1"/>
  <c r="BT94" i="159"/>
  <c r="BZ42" i="159"/>
  <c r="AT140" i="163"/>
  <c r="BX140" i="163" s="1"/>
  <c r="F138" i="143" s="1"/>
  <c r="BT78" i="159"/>
  <c r="BZ112" i="159"/>
  <c r="BW32" i="159"/>
  <c r="AS36" i="163"/>
  <c r="BW36" i="163" s="1"/>
  <c r="BA81" i="163"/>
  <c r="CE81" i="163" s="1"/>
  <c r="U77" i="143" s="1"/>
  <c r="U75" i="143" s="1"/>
  <c r="BA45" i="163"/>
  <c r="CE45" i="163" s="1"/>
  <c r="U41" i="143" s="1"/>
  <c r="AZ68" i="163"/>
  <c r="CD68" i="163" s="1"/>
  <c r="N64" i="143" s="1"/>
  <c r="CO120" i="159"/>
  <c r="CM95" i="159"/>
  <c r="BA146" i="163"/>
  <c r="CE146" i="163" s="1"/>
  <c r="U144" i="143" s="1"/>
  <c r="BM125" i="163"/>
  <c r="CQ125" i="163" s="1"/>
  <c r="BO127" i="163"/>
  <c r="CS127" i="163" s="1"/>
  <c r="BN112" i="163"/>
  <c r="CR112" i="163" s="1"/>
  <c r="AZ140" i="163"/>
  <c r="CD140" i="163" s="1"/>
  <c r="N138" i="143" s="1"/>
  <c r="CL86" i="159"/>
  <c r="BZ76" i="159"/>
  <c r="CN109" i="159"/>
  <c r="BP104" i="163"/>
  <c r="CT104" i="163" s="1"/>
  <c r="BO24" i="163"/>
  <c r="CS24" i="163" s="1"/>
  <c r="CM75" i="159"/>
  <c r="CL112" i="159"/>
  <c r="BZ78" i="159"/>
  <c r="BO148" i="163"/>
  <c r="CS148" i="163" s="1"/>
  <c r="BW86" i="159"/>
  <c r="AT119" i="163"/>
  <c r="BX119" i="163" s="1"/>
  <c r="F117" i="143" s="1"/>
  <c r="CO115" i="159"/>
  <c r="AZ144" i="163"/>
  <c r="CD144" i="163" s="1"/>
  <c r="N142" i="143" s="1"/>
  <c r="AU146" i="163"/>
  <c r="BY146" i="163" s="1"/>
  <c r="M144" i="143" s="1"/>
  <c r="BW118" i="159"/>
  <c r="AT57" i="163"/>
  <c r="BX57" i="163" s="1"/>
  <c r="F53" i="143" s="1"/>
  <c r="BW79" i="159"/>
  <c r="AS112" i="163"/>
  <c r="BW112" i="163" s="1"/>
  <c r="BT15" i="159"/>
  <c r="AS59" i="163"/>
  <c r="BW59" i="163" s="1"/>
  <c r="AT78" i="163"/>
  <c r="BX78" i="163" s="1"/>
  <c r="F74" i="143" s="1"/>
  <c r="F72" i="143" s="1"/>
  <c r="BR97" i="159"/>
  <c r="AU92" i="163"/>
  <c r="BY92" i="163" s="1"/>
  <c r="M88" i="143" s="1"/>
  <c r="AS88" i="163"/>
  <c r="BW88" i="163" s="1"/>
  <c r="BR41" i="159"/>
  <c r="AX49" i="163"/>
  <c r="CB49" i="163" s="1"/>
  <c r="BS55" i="159"/>
  <c r="BR37" i="159"/>
  <c r="AT125" i="163"/>
  <c r="BX125" i="163" s="1"/>
  <c r="F123" i="143" s="1"/>
  <c r="AU63" i="163"/>
  <c r="BY63" i="163" s="1"/>
  <c r="M59" i="143" s="1"/>
  <c r="BT97" i="159"/>
  <c r="BZ80" i="159"/>
  <c r="AX46" i="163"/>
  <c r="CB46" i="163" s="1"/>
  <c r="AZ104" i="163"/>
  <c r="CD104" i="163" s="1"/>
  <c r="N102" i="143" s="1"/>
  <c r="BS27" i="159"/>
  <c r="BR15" i="159"/>
  <c r="AU142" i="163"/>
  <c r="BY142" i="163" s="1"/>
  <c r="M140" i="143" s="1"/>
  <c r="BY64" i="159"/>
  <c r="AZ137" i="163"/>
  <c r="CD137" i="163" s="1"/>
  <c r="N135" i="143" s="1"/>
  <c r="BY87" i="159"/>
  <c r="BP16" i="163"/>
  <c r="CT16" i="163" s="1"/>
  <c r="AS119" i="163"/>
  <c r="BW119" i="163" s="1"/>
  <c r="BP142" i="163"/>
  <c r="CT142" i="163" s="1"/>
  <c r="CM78" i="159"/>
  <c r="BZ75" i="159"/>
  <c r="BS63" i="159"/>
  <c r="AT52" i="163"/>
  <c r="BX52" i="163" s="1"/>
  <c r="F48" i="143" s="1"/>
  <c r="F47" i="143" s="1"/>
  <c r="CO94" i="159"/>
  <c r="CL87" i="159"/>
  <c r="AT137" i="163"/>
  <c r="BX137" i="163" s="1"/>
  <c r="F135" i="143" s="1"/>
  <c r="AX88" i="163"/>
  <c r="CB88" i="163" s="1"/>
  <c r="AV75" i="163"/>
  <c r="BZ75" i="163" s="1"/>
  <c r="T71" i="143" s="1"/>
  <c r="T69" i="143" s="1"/>
  <c r="CL83" i="159"/>
  <c r="CM100" i="159"/>
  <c r="BZ24" i="159"/>
  <c r="BT22" i="159"/>
  <c r="BT109" i="159"/>
  <c r="CL91" i="159"/>
  <c r="BS110" i="159"/>
  <c r="BW37" i="159"/>
  <c r="CL80" i="159"/>
  <c r="CL100" i="159"/>
  <c r="AX55" i="163"/>
  <c r="CB55" i="163" s="1"/>
  <c r="AT92" i="163"/>
  <c r="BX92" i="163" s="1"/>
  <c r="F88" i="143" s="1"/>
  <c r="BP114" i="163"/>
  <c r="CT114" i="163" s="1"/>
  <c r="AU137" i="163"/>
  <c r="BY137" i="163" s="1"/>
  <c r="M135" i="143" s="1"/>
  <c r="BW108" i="159"/>
  <c r="AV63" i="163"/>
  <c r="BZ63" i="163" s="1"/>
  <c r="T59" i="143" s="1"/>
  <c r="BS86" i="159"/>
  <c r="BR115" i="159"/>
  <c r="BT55" i="159"/>
  <c r="BU113" i="159"/>
  <c r="BT58" i="159"/>
  <c r="CL116" i="159"/>
  <c r="BR19" i="159"/>
  <c r="AS94" i="163"/>
  <c r="BW94" i="163" s="1"/>
  <c r="AT41" i="163"/>
  <c r="BX41" i="163" s="1"/>
  <c r="F37" i="143" s="1"/>
  <c r="F34" i="143" s="1"/>
  <c r="CO99" i="159"/>
  <c r="BR77" i="159"/>
  <c r="BR32" i="159"/>
  <c r="BM105" i="163"/>
  <c r="CQ105" i="163" s="1"/>
  <c r="BP147" i="163"/>
  <c r="CT147" i="163" s="1"/>
  <c r="BO10" i="163"/>
  <c r="CS10" i="163" s="1"/>
  <c r="BW42" i="159"/>
  <c r="BR84" i="159"/>
  <c r="CM79" i="159"/>
  <c r="BS20" i="159"/>
  <c r="BO12" i="163"/>
  <c r="CS12" i="163" s="1"/>
  <c r="CL78" i="159"/>
  <c r="AU75" i="163"/>
  <c r="BY75" i="163" s="1"/>
  <c r="M71" i="143" s="1"/>
  <c r="M69" i="143" s="1"/>
  <c r="BO124" i="163"/>
  <c r="CS124" i="163" s="1"/>
  <c r="AU94" i="163"/>
  <c r="BY94" i="163" s="1"/>
  <c r="M90" i="143" s="1"/>
  <c r="CO112" i="159"/>
  <c r="BA71" i="163"/>
  <c r="CE71" i="163" s="1"/>
  <c r="U67" i="143" s="1"/>
  <c r="CM84" i="159"/>
  <c r="BY52" i="159"/>
  <c r="BS97" i="159"/>
  <c r="BP126" i="163"/>
  <c r="CT126" i="163" s="1"/>
  <c r="BT19" i="159"/>
  <c r="BM13" i="163"/>
  <c r="CQ13" i="163" s="1"/>
  <c r="BZ122" i="159"/>
  <c r="BY96" i="159"/>
  <c r="AX101" i="163"/>
  <c r="CB101" i="163" s="1"/>
  <c r="BR113" i="159"/>
  <c r="BM20" i="163"/>
  <c r="CQ20" i="163" s="1"/>
  <c r="AT55" i="163"/>
  <c r="BX55" i="163" s="1"/>
  <c r="F51" i="143" s="1"/>
  <c r="BZ83" i="159"/>
  <c r="CO108" i="159"/>
  <c r="AZ95" i="163"/>
  <c r="CD95" i="163" s="1"/>
  <c r="N91" i="143" s="1"/>
  <c r="BW46" i="159"/>
  <c r="AS146" i="163"/>
  <c r="BW146" i="163" s="1"/>
  <c r="BM146" i="163"/>
  <c r="CQ146" i="163" s="1"/>
  <c r="CM116" i="159"/>
  <c r="BP101" i="163"/>
  <c r="CT101" i="163" s="1"/>
  <c r="AZ94" i="163"/>
  <c r="CD94" i="163" s="1"/>
  <c r="N90" i="143" s="1"/>
  <c r="CL94" i="159"/>
  <c r="BA108" i="163"/>
  <c r="CE108" i="163" s="1"/>
  <c r="U106" i="143" s="1"/>
  <c r="BR92" i="159"/>
  <c r="CL92" i="159"/>
  <c r="BZ63" i="159"/>
  <c r="BY90" i="159"/>
  <c r="AX124" i="163"/>
  <c r="CB124" i="163" s="1"/>
  <c r="BR13" i="159"/>
  <c r="BZ116" i="159"/>
  <c r="BP133" i="163"/>
  <c r="CT133" i="163" s="1"/>
  <c r="BY108" i="159"/>
  <c r="AS84" i="163"/>
  <c r="BW84" i="163" s="1"/>
  <c r="AU126" i="163"/>
  <c r="BY126" i="163" s="1"/>
  <c r="M124" i="143" s="1"/>
  <c r="BY49" i="159"/>
  <c r="AZ114" i="163"/>
  <c r="CD114" i="163" s="1"/>
  <c r="N112" i="143" s="1"/>
  <c r="BS17" i="159"/>
  <c r="BW52" i="159"/>
  <c r="BT10" i="159"/>
  <c r="BW36" i="159"/>
  <c r="BP117" i="163"/>
  <c r="CT117" i="163" s="1"/>
  <c r="BR27" i="159"/>
  <c r="BY48" i="159"/>
  <c r="BM10" i="163"/>
  <c r="CQ10" i="163" s="1"/>
  <c r="BO8" i="163"/>
  <c r="CS8" i="163" s="1"/>
  <c r="AT56" i="163"/>
  <c r="BX56" i="163" s="1"/>
  <c r="F52" i="143" s="1"/>
  <c r="CL75" i="159"/>
  <c r="CM87" i="159"/>
  <c r="BN10" i="163"/>
  <c r="CR10" i="163" s="1"/>
  <c r="CO102" i="159"/>
  <c r="AT126" i="163"/>
  <c r="BX126" i="163" s="1"/>
  <c r="F124" i="143" s="1"/>
  <c r="CO87" i="159"/>
  <c r="BW54" i="159"/>
  <c r="BT96" i="159"/>
  <c r="CN106" i="159"/>
  <c r="BS90" i="159"/>
  <c r="BY24" i="159"/>
  <c r="BW61" i="159"/>
  <c r="BN17" i="163"/>
  <c r="CR17" i="163" s="1"/>
  <c r="BZ30" i="159"/>
  <c r="CM112" i="159"/>
  <c r="CO83" i="159"/>
  <c r="BY46" i="159"/>
  <c r="BW91" i="159"/>
  <c r="BS19" i="159"/>
  <c r="BR109" i="159"/>
  <c r="BT105" i="159"/>
  <c r="BA62" i="163"/>
  <c r="CE62" i="163" s="1"/>
  <c r="U58" i="143" s="1"/>
  <c r="AX133" i="163"/>
  <c r="CB133" i="163" s="1"/>
  <c r="BM114" i="163"/>
  <c r="CQ114" i="163" s="1"/>
  <c r="AU44" i="163"/>
  <c r="BY44" i="163" s="1"/>
  <c r="M40" i="143" s="1"/>
  <c r="CM94" i="159"/>
  <c r="BP13" i="163"/>
  <c r="CT13" i="163" s="1"/>
  <c r="CT30" i="163" s="1"/>
  <c r="BW53" i="159"/>
  <c r="AO25" i="159"/>
  <c r="AT51" i="163" s="1"/>
  <c r="BX51" i="163" s="1"/>
  <c r="AZ123" i="163"/>
  <c r="CD123" i="163" s="1"/>
  <c r="N121" i="143" s="1"/>
  <c r="BW51" i="159"/>
  <c r="BT115" i="159"/>
  <c r="BS81" i="159"/>
  <c r="BN133" i="163"/>
  <c r="CR133" i="163" s="1"/>
  <c r="BO116" i="163"/>
  <c r="CS116" i="163" s="1"/>
  <c r="AS125" i="163"/>
  <c r="BW125" i="163" s="1"/>
  <c r="CN96" i="159"/>
  <c r="CO95" i="159"/>
  <c r="BY113" i="159"/>
  <c r="CM99" i="159"/>
  <c r="CM91" i="159"/>
  <c r="BY62" i="159"/>
  <c r="BU53" i="159"/>
  <c r="CM88" i="159"/>
  <c r="BT62" i="159"/>
  <c r="CL90" i="159"/>
  <c r="BA47" i="163"/>
  <c r="CE47" i="163" s="1"/>
  <c r="U43" i="143" s="1"/>
  <c r="CN110" i="159"/>
  <c r="CN77" i="159"/>
  <c r="CL84" i="159"/>
  <c r="AV109" i="163"/>
  <c r="BZ109" i="163" s="1"/>
  <c r="T107" i="143" s="1"/>
  <c r="BT54" i="159"/>
  <c r="AX109" i="163"/>
  <c r="CB109" i="163" s="1"/>
  <c r="BT95" i="159"/>
  <c r="AU113" i="163"/>
  <c r="BY113" i="163" s="1"/>
  <c r="M111" i="143" s="1"/>
  <c r="BR57" i="159"/>
  <c r="BT60" i="159"/>
  <c r="CO96" i="159"/>
  <c r="BU58" i="159"/>
  <c r="AV118" i="163"/>
  <c r="BZ118" i="163" s="1"/>
  <c r="T116" i="143" s="1"/>
  <c r="BU62" i="159"/>
  <c r="BM23" i="163"/>
  <c r="CQ23" i="163" s="1"/>
  <c r="CN88" i="159"/>
  <c r="BY109" i="159"/>
  <c r="BP20" i="163"/>
  <c r="CT20" i="163" s="1"/>
  <c r="AX84" i="163"/>
  <c r="CB84" i="163" s="1"/>
  <c r="BR76" i="159"/>
  <c r="AV145" i="163"/>
  <c r="BZ145" i="163" s="1"/>
  <c r="T143" i="143" s="1"/>
  <c r="AX137" i="163"/>
  <c r="CB137" i="163" s="1"/>
  <c r="BR60" i="159"/>
  <c r="BS51" i="159"/>
  <c r="BT36" i="159"/>
  <c r="AZ121" i="163"/>
  <c r="CD121" i="163" s="1"/>
  <c r="N119" i="143" s="1"/>
  <c r="AX116" i="163"/>
  <c r="CB116" i="163" s="1"/>
  <c r="BZ52" i="159"/>
  <c r="AZ49" i="163"/>
  <c r="CD49" i="163" s="1"/>
  <c r="N45" i="143" s="1"/>
  <c r="BR63" i="159"/>
  <c r="AX122" i="163"/>
  <c r="CB122" i="163" s="1"/>
  <c r="CN115" i="159"/>
  <c r="AX123" i="163"/>
  <c r="CB123" i="163" s="1"/>
  <c r="BA141" i="163"/>
  <c r="CE141" i="163" s="1"/>
  <c r="U139" i="143" s="1"/>
  <c r="BN16" i="163"/>
  <c r="CR16" i="163" s="1"/>
  <c r="BW82" i="159"/>
  <c r="BZ97" i="159"/>
  <c r="AS62" i="163"/>
  <c r="BW62" i="163" s="1"/>
  <c r="BY123" i="159"/>
  <c r="BR22" i="159"/>
  <c r="BA37" i="163"/>
  <c r="CE37" i="163" s="1"/>
  <c r="U33" i="143" s="1"/>
  <c r="AS44" i="159"/>
  <c r="AX70" i="163" s="1"/>
  <c r="CB70" i="163" s="1"/>
  <c r="BN111" i="163"/>
  <c r="CR111" i="163" s="1"/>
  <c r="CN82" i="159"/>
  <c r="BY26" i="159"/>
  <c r="BS101" i="159"/>
  <c r="AZ138" i="163"/>
  <c r="CD138" i="163" s="1"/>
  <c r="N136" i="143" s="1"/>
  <c r="BO14" i="163"/>
  <c r="CS14" i="163" s="1"/>
  <c r="BW19" i="159"/>
  <c r="BW69" i="159"/>
  <c r="AU133" i="163"/>
  <c r="BY133" i="163" s="1"/>
  <c r="M131" i="143" s="1"/>
  <c r="BY79" i="159"/>
  <c r="AX71" i="163"/>
  <c r="CB71" i="163" s="1"/>
  <c r="CM80" i="159"/>
  <c r="CM92" i="159"/>
  <c r="BS53" i="159"/>
  <c r="BY31" i="159"/>
  <c r="CL76" i="159"/>
  <c r="CM108" i="159"/>
  <c r="BZ27" i="159"/>
  <c r="BT102" i="159"/>
  <c r="BO133" i="163"/>
  <c r="CS133" i="163" s="1"/>
  <c r="CO84" i="159"/>
  <c r="BP17" i="163"/>
  <c r="CT17" i="163" s="1"/>
  <c r="AU112" i="163"/>
  <c r="BY112" i="163" s="1"/>
  <c r="M110" i="143" s="1"/>
  <c r="CO79" i="159"/>
  <c r="AU118" i="163"/>
  <c r="BY118" i="163" s="1"/>
  <c r="M116" i="143" s="1"/>
  <c r="BW26" i="159"/>
  <c r="CL108" i="159"/>
  <c r="BM147" i="163"/>
  <c r="CQ147" i="163" s="1"/>
  <c r="AS105" i="163"/>
  <c r="BW105" i="163" s="1"/>
  <c r="BT13" i="159"/>
  <c r="BZ96" i="159"/>
  <c r="AU72" i="163"/>
  <c r="BY72" i="163" s="1"/>
  <c r="M68" i="143" s="1"/>
  <c r="M66" i="143" s="1"/>
  <c r="BW27" i="159"/>
  <c r="BR55" i="159"/>
  <c r="AU89" i="163"/>
  <c r="BY89" i="163" s="1"/>
  <c r="M85" i="143" s="1"/>
  <c r="M81" i="143" s="1"/>
  <c r="BY94" i="159"/>
  <c r="BY21" i="159"/>
  <c r="BR105" i="159"/>
  <c r="BY41" i="159"/>
  <c r="BZ118" i="159"/>
  <c r="BR83" i="159"/>
  <c r="BS11" i="159"/>
  <c r="BT122" i="159"/>
  <c r="BM24" i="163"/>
  <c r="CQ24" i="163" s="1"/>
  <c r="BS78" i="159"/>
  <c r="BP8" i="163"/>
  <c r="CT8" i="163" s="1"/>
  <c r="BS88" i="159"/>
  <c r="BY14" i="159"/>
  <c r="AX65" i="163"/>
  <c r="CB65" i="163" s="1"/>
  <c r="BR18" i="159"/>
  <c r="BZ98" i="159"/>
  <c r="CN86" i="159"/>
  <c r="BW40" i="159"/>
  <c r="BW88" i="159"/>
  <c r="BY39" i="159"/>
  <c r="AS147" i="163"/>
  <c r="BW147" i="163" s="1"/>
  <c r="BP10" i="163"/>
  <c r="CT10" i="163" s="1"/>
  <c r="CO80" i="159"/>
  <c r="CO92" i="159"/>
  <c r="BW81" i="159"/>
  <c r="BR75" i="159"/>
  <c r="BM15" i="163"/>
  <c r="CO113" i="159"/>
  <c r="BU112" i="159"/>
  <c r="BZ41" i="159"/>
  <c r="BP23" i="163"/>
  <c r="CT23" i="163" s="1"/>
  <c r="BO16" i="163"/>
  <c r="CS16" i="163" s="1"/>
  <c r="BS92" i="159"/>
  <c r="CN120" i="159"/>
  <c r="CM121" i="159"/>
  <c r="BW10" i="159"/>
  <c r="BT83" i="159"/>
  <c r="AX44" i="163"/>
  <c r="CB44" i="163" s="1"/>
  <c r="AU66" i="163"/>
  <c r="BY66" i="163" s="1"/>
  <c r="M62" i="143" s="1"/>
  <c r="CM76" i="159"/>
  <c r="AT145" i="163"/>
  <c r="BX145" i="163" s="1"/>
  <c r="F143" i="143" s="1"/>
  <c r="AV117" i="163"/>
  <c r="BZ117" i="163" s="1"/>
  <c r="T115" i="143" s="1"/>
  <c r="CL85" i="159"/>
  <c r="AP44" i="159"/>
  <c r="AU70" i="163" s="1"/>
  <c r="BY70" i="163" s="1"/>
  <c r="BU31" i="159"/>
  <c r="BW49" i="159"/>
  <c r="AV121" i="163"/>
  <c r="BZ121" i="163" s="1"/>
  <c r="T119" i="143" s="1"/>
  <c r="BS64" i="159"/>
  <c r="CM118" i="159"/>
  <c r="BS109" i="159"/>
  <c r="BR107" i="159"/>
  <c r="BW87" i="159"/>
  <c r="BZ99" i="159"/>
  <c r="AZ112" i="163"/>
  <c r="CD112" i="163" s="1"/>
  <c r="N110" i="143" s="1"/>
  <c r="AV87" i="163"/>
  <c r="BZ87" i="163" s="1"/>
  <c r="T83" i="143" s="1"/>
  <c r="AS50" i="163"/>
  <c r="BW50" i="163" s="1"/>
  <c r="BO126" i="163"/>
  <c r="CS126" i="163" s="1"/>
  <c r="BY115" i="159"/>
  <c r="BM144" i="163"/>
  <c r="CQ144" i="163" s="1"/>
  <c r="BY80" i="159"/>
  <c r="BN131" i="163"/>
  <c r="CR131" i="163" s="1"/>
  <c r="AZ102" i="163"/>
  <c r="CD102" i="163" s="1"/>
  <c r="N100" i="143" s="1"/>
  <c r="CN116" i="159"/>
  <c r="BR102" i="159"/>
  <c r="CO98" i="159"/>
  <c r="CL123" i="159"/>
  <c r="BO147" i="163"/>
  <c r="CS147" i="163" s="1"/>
  <c r="BY92" i="159"/>
  <c r="BT11" i="159"/>
  <c r="CL110" i="159"/>
  <c r="BO118" i="163"/>
  <c r="CS118" i="163" s="1"/>
  <c r="BP149" i="163"/>
  <c r="CT149" i="163" s="1"/>
  <c r="BW95" i="159"/>
  <c r="BY11" i="159"/>
  <c r="BY120" i="159"/>
  <c r="BA121" i="163"/>
  <c r="CE121" i="163" s="1"/>
  <c r="U119" i="143" s="1"/>
  <c r="BA64" i="163"/>
  <c r="CE64" i="163" s="1"/>
  <c r="U60" i="143" s="1"/>
  <c r="AS113" i="163"/>
  <c r="BW113" i="163" s="1"/>
  <c r="AU44" i="159"/>
  <c r="AZ70" i="163" s="1"/>
  <c r="CD70" i="163" s="1"/>
  <c r="BW11" i="159"/>
  <c r="BH74" i="159"/>
  <c r="BM100" i="163" s="1"/>
  <c r="CQ100" i="163" s="1"/>
  <c r="AT128" i="163"/>
  <c r="BX128" i="163" s="1"/>
  <c r="F126" i="143" s="1"/>
  <c r="CO77" i="159"/>
  <c r="AS95" i="163"/>
  <c r="BW95" i="163" s="1"/>
  <c r="BN141" i="163"/>
  <c r="CR141" i="163" s="1"/>
  <c r="CO101" i="159"/>
  <c r="CO93" i="159"/>
  <c r="BZ49" i="159"/>
  <c r="CO97" i="159"/>
  <c r="BA133" i="163"/>
  <c r="CE133" i="163" s="1"/>
  <c r="U131" i="143" s="1"/>
  <c r="U129" i="143" s="1"/>
  <c r="BY54" i="159"/>
  <c r="CO122" i="159"/>
  <c r="AZ126" i="163"/>
  <c r="CD126" i="163" s="1"/>
  <c r="N124" i="143" s="1"/>
  <c r="BZ67" i="159"/>
  <c r="CN87" i="159"/>
  <c r="BY66" i="159"/>
  <c r="BM140" i="163"/>
  <c r="CQ140" i="163" s="1"/>
  <c r="BZ23" i="159"/>
  <c r="CM98" i="159"/>
  <c r="CM101" i="159"/>
  <c r="CM81" i="159"/>
  <c r="CO110" i="159"/>
  <c r="BW60" i="159"/>
  <c r="AS124" i="163"/>
  <c r="BW124" i="163" s="1"/>
  <c r="BM141" i="163"/>
  <c r="CQ141" i="163" s="1"/>
  <c r="CM123" i="159"/>
  <c r="BY10" i="159"/>
  <c r="BZ93" i="159"/>
  <c r="BO117" i="163"/>
  <c r="CS117" i="163" s="1"/>
  <c r="BA126" i="163"/>
  <c r="CE126" i="163" s="1"/>
  <c r="U124" i="143" s="1"/>
  <c r="CM106" i="159"/>
  <c r="BN116" i="163"/>
  <c r="CR116" i="163" s="1"/>
  <c r="BY20" i="159"/>
  <c r="AX39" i="163"/>
  <c r="CB39" i="163" s="1"/>
  <c r="AT108" i="163"/>
  <c r="BX108" i="163" s="1"/>
  <c r="F106" i="143" s="1"/>
  <c r="CO109" i="159"/>
  <c r="BA105" i="163"/>
  <c r="CE105" i="163" s="1"/>
  <c r="U103" i="143" s="1"/>
  <c r="BR88" i="159"/>
  <c r="BM132" i="163"/>
  <c r="CQ132" i="163" s="1"/>
  <c r="BO13" i="163"/>
  <c r="CS13" i="163" s="1"/>
  <c r="AX93" i="163"/>
  <c r="CB93" i="163" s="1"/>
  <c r="BN108" i="163"/>
  <c r="CR108" i="163" s="1"/>
  <c r="AX145" i="163"/>
  <c r="CB145" i="163" s="1"/>
  <c r="AZ71" i="163"/>
  <c r="CD71" i="163" s="1"/>
  <c r="N67" i="143" s="1"/>
  <c r="N66" i="143" s="1"/>
  <c r="BP14" i="163"/>
  <c r="CT14" i="163" s="1"/>
  <c r="AU65" i="159"/>
  <c r="AZ91" i="163" s="1"/>
  <c r="CD91" i="163" s="1"/>
  <c r="CN80" i="159"/>
  <c r="BT48" i="159"/>
  <c r="BY13" i="159"/>
  <c r="CL97" i="159"/>
  <c r="BY121" i="159"/>
  <c r="BY67" i="159"/>
  <c r="AU9" i="159"/>
  <c r="AZ35" i="163" s="1"/>
  <c r="CD35" i="163" s="1"/>
  <c r="BW102" i="159"/>
  <c r="CN113" i="159"/>
  <c r="BY91" i="159"/>
  <c r="CL101" i="159"/>
  <c r="BR21" i="159"/>
  <c r="BS76" i="159"/>
  <c r="BZ13" i="159"/>
  <c r="CL81" i="159"/>
  <c r="BT108" i="159"/>
  <c r="CM97" i="159"/>
  <c r="BZ64" i="159"/>
  <c r="AX104" i="163"/>
  <c r="CB104" i="163" s="1"/>
  <c r="CO114" i="159"/>
  <c r="BW122" i="159"/>
  <c r="BS121" i="159"/>
  <c r="BW101" i="159"/>
  <c r="CN79" i="159"/>
  <c r="BT26" i="159"/>
  <c r="BZ85" i="159"/>
  <c r="BR108" i="159"/>
  <c r="BY117" i="159"/>
  <c r="BY84" i="159"/>
  <c r="BW21" i="159"/>
  <c r="BW100" i="159"/>
  <c r="BY19" i="159"/>
  <c r="AP25" i="159"/>
  <c r="AU51" i="163" s="1"/>
  <c r="BY51" i="163" s="1"/>
  <c r="BM17" i="163"/>
  <c r="CQ17" i="163" s="1"/>
  <c r="BW123" i="159"/>
  <c r="BW15" i="159"/>
  <c r="CM114" i="159"/>
  <c r="BW93" i="159"/>
  <c r="BT93" i="159"/>
  <c r="CN84" i="159"/>
  <c r="BY63" i="159"/>
  <c r="BY37" i="159"/>
  <c r="CL82" i="159"/>
  <c r="BY82" i="159"/>
  <c r="CL105" i="159"/>
  <c r="BZ40" i="159"/>
  <c r="BT88" i="159"/>
  <c r="BK104" i="159"/>
  <c r="BP130" i="163" s="1"/>
  <c r="CT130" i="163" s="1"/>
  <c r="BI89" i="159"/>
  <c r="BH89" i="159"/>
  <c r="BM115" i="163" s="1"/>
  <c r="CQ115" i="163" s="1"/>
  <c r="BK74" i="159"/>
  <c r="BP100" i="163" s="1"/>
  <c r="CT100" i="163" s="1"/>
  <c r="CO90" i="159"/>
  <c r="CL107" i="159"/>
  <c r="BY53" i="159"/>
  <c r="CO106" i="159"/>
  <c r="CL102" i="159"/>
  <c r="CL111" i="159"/>
  <c r="BZ57" i="159"/>
  <c r="CO82" i="159"/>
  <c r="BY18" i="159"/>
  <c r="BY55" i="159"/>
  <c r="CL93" i="159"/>
  <c r="BK89" i="159"/>
  <c r="BP115" i="163" s="1"/>
  <c r="CT115" i="163" s="1"/>
  <c r="BZ77" i="159"/>
  <c r="BY116" i="159"/>
  <c r="BN119" i="163"/>
  <c r="CR119" i="163" s="1"/>
  <c r="BZ92" i="159"/>
  <c r="CM120" i="159"/>
  <c r="BP108" i="163"/>
  <c r="CT108" i="163" s="1"/>
  <c r="CM111" i="159"/>
  <c r="BM119" i="163"/>
  <c r="CQ119" i="163" s="1"/>
  <c r="BA147" i="163"/>
  <c r="CE147" i="163" s="1"/>
  <c r="CL98" i="159"/>
  <c r="CM102" i="159"/>
  <c r="BZ91" i="159"/>
  <c r="CN85" i="159"/>
  <c r="BY107" i="159"/>
  <c r="BJ74" i="159"/>
  <c r="BO100" i="163" s="1"/>
  <c r="CS100" i="163" s="1"/>
  <c r="BA55" i="163"/>
  <c r="CE55" i="163" s="1"/>
  <c r="U51" i="143" s="1"/>
  <c r="BO131" i="163"/>
  <c r="CS131" i="163" s="1"/>
  <c r="AV147" i="163"/>
  <c r="BZ147" i="163" s="1"/>
  <c r="BO102" i="163"/>
  <c r="CS102" i="163" s="1"/>
  <c r="BY98" i="159"/>
  <c r="BA40" i="163"/>
  <c r="CE40" i="163" s="1"/>
  <c r="U36" i="143" s="1"/>
  <c r="BO144" i="163"/>
  <c r="CS144" i="163" s="1"/>
  <c r="BY83" i="159"/>
  <c r="AZ87" i="163"/>
  <c r="CD87" i="163" s="1"/>
  <c r="N83" i="143" s="1"/>
  <c r="BA110" i="163"/>
  <c r="CE110" i="163" s="1"/>
  <c r="U108" i="143" s="1"/>
  <c r="BA112" i="163"/>
  <c r="CE112" i="163" s="1"/>
  <c r="U110" i="143" s="1"/>
  <c r="CN108" i="159"/>
  <c r="BZ54" i="159"/>
  <c r="BU100" i="159"/>
  <c r="BZ39" i="159"/>
  <c r="BY119" i="159"/>
  <c r="BZ66" i="159"/>
  <c r="AV127" i="163"/>
  <c r="BZ127" i="163" s="1"/>
  <c r="T125" i="143" s="1"/>
  <c r="BM16" i="163"/>
  <c r="CQ16" i="163" s="1"/>
  <c r="BU20" i="159"/>
  <c r="BR30" i="159"/>
  <c r="AK23" i="190"/>
  <c r="AK26" i="190" s="1"/>
  <c r="CH12" i="190"/>
  <c r="BD19" i="190"/>
  <c r="CF12" i="190"/>
  <c r="BB19" i="190"/>
  <c r="CU19" i="190"/>
  <c r="DA11" i="163"/>
  <c r="CU29" i="190"/>
  <c r="AW19" i="190"/>
  <c r="CA12" i="190"/>
  <c r="CA29" i="190" s="1"/>
  <c r="CX19" i="190"/>
  <c r="DD11" i="163"/>
  <c r="AP23" i="190"/>
  <c r="AP26" i="190" s="1"/>
  <c r="BC19" i="190"/>
  <c r="CG12" i="190"/>
  <c r="AZ19" i="190"/>
  <c r="CD12" i="190"/>
  <c r="CD29" i="190" s="1"/>
  <c r="CB12" i="190"/>
  <c r="CB29" i="190" s="1"/>
  <c r="AX19" i="190"/>
  <c r="AY19" i="190"/>
  <c r="CC12" i="190"/>
  <c r="CC29" i="190" s="1"/>
  <c r="BN12" i="163"/>
  <c r="CR12" i="163" s="1"/>
  <c r="BN20" i="163"/>
  <c r="CR20" i="163" s="1"/>
  <c r="BN14" i="163"/>
  <c r="CR14" i="163" s="1"/>
  <c r="BO23" i="163"/>
  <c r="CS23" i="163" s="1"/>
  <c r="BP7" i="163"/>
  <c r="CT7" i="163" s="1"/>
  <c r="BO15" i="163"/>
  <c r="BN24" i="163"/>
  <c r="CR24" i="163" s="1"/>
  <c r="BN13" i="163"/>
  <c r="CR13" i="163" s="1"/>
  <c r="BN8" i="163"/>
  <c r="CR8" i="163" s="1"/>
  <c r="BO20" i="163"/>
  <c r="CS20" i="163" s="1"/>
  <c r="BN15" i="163"/>
  <c r="BM14" i="163"/>
  <c r="CQ14" i="163" s="1"/>
  <c r="BP24" i="163"/>
  <c r="CT24" i="163" s="1"/>
  <c r="BP12" i="163"/>
  <c r="CT12" i="163" s="1"/>
  <c r="BO17" i="163"/>
  <c r="CS17" i="163" s="1"/>
  <c r="BU17" i="159"/>
  <c r="BA43" i="163"/>
  <c r="CE43" i="163" s="1"/>
  <c r="U39" i="143" s="1"/>
  <c r="AV101" i="163"/>
  <c r="BZ101" i="163" s="1"/>
  <c r="T99" i="143" s="1"/>
  <c r="BU18" i="159"/>
  <c r="AZ48" i="163"/>
  <c r="CD48" i="163" s="1"/>
  <c r="N44" i="143" s="1"/>
  <c r="BA140" i="163"/>
  <c r="CE140" i="163" s="1"/>
  <c r="U138" i="143" s="1"/>
  <c r="BR122" i="159"/>
  <c r="BU98" i="159"/>
  <c r="BZ32" i="159"/>
  <c r="BY29" i="159"/>
  <c r="BY93" i="159"/>
  <c r="BY57" i="159"/>
  <c r="AV66" i="163"/>
  <c r="BZ66" i="163" s="1"/>
  <c r="T62" i="143" s="1"/>
  <c r="BZ102" i="159"/>
  <c r="BU15" i="159"/>
  <c r="BT27" i="159"/>
  <c r="BR23" i="159"/>
  <c r="AN56" i="159"/>
  <c r="AS82" i="163" s="1"/>
  <c r="BW82" i="163" s="1"/>
  <c r="AA29" i="143"/>
  <c r="AG6" i="143"/>
  <c r="BU22" i="159"/>
  <c r="BU105" i="159"/>
  <c r="BU41" i="159"/>
  <c r="BU99" i="159"/>
  <c r="BA95" i="163"/>
  <c r="CE95" i="163" s="1"/>
  <c r="U91" i="143" s="1"/>
  <c r="BS85" i="159"/>
  <c r="AX140" i="163"/>
  <c r="CB140" i="163" s="1"/>
  <c r="BY30" i="159"/>
  <c r="BT118" i="159"/>
  <c r="AV56" i="159"/>
  <c r="BA82" i="163" s="1"/>
  <c r="CE82" i="163" s="1"/>
  <c r="BR39" i="159"/>
  <c r="BZ58" i="159"/>
  <c r="BZ81" i="159"/>
  <c r="BY122" i="159"/>
  <c r="BT123" i="159"/>
  <c r="AX146" i="163"/>
  <c r="CB146" i="163" s="1"/>
  <c r="BT67" i="159"/>
  <c r="BZ123" i="159"/>
  <c r="AU147" i="163"/>
  <c r="BY147" i="163" s="1"/>
  <c r="BS80" i="159"/>
  <c r="AU50" i="163"/>
  <c r="BY50" i="163" s="1"/>
  <c r="M46" i="143" s="1"/>
  <c r="BS38" i="159"/>
  <c r="BS68" i="159"/>
  <c r="BU118" i="159"/>
  <c r="BU42" i="159"/>
  <c r="BU116" i="159"/>
  <c r="AV148" i="163"/>
  <c r="BZ148" i="163" s="1"/>
  <c r="T146" i="143" s="1"/>
  <c r="T145" i="143" s="1"/>
  <c r="BT33" i="159"/>
  <c r="BS57" i="159"/>
  <c r="BS122" i="159"/>
  <c r="AS25" i="159"/>
  <c r="AX51" i="163" s="1"/>
  <c r="CB51" i="163" s="1"/>
  <c r="BT79" i="159"/>
  <c r="BT17" i="159"/>
  <c r="BW33" i="159"/>
  <c r="BR95" i="159"/>
  <c r="BR14" i="159"/>
  <c r="AQ56" i="159"/>
  <c r="AV82" i="163" s="1"/>
  <c r="BZ82" i="163" s="1"/>
  <c r="AU56" i="159"/>
  <c r="AZ82" i="163" s="1"/>
  <c r="CD82" i="163" s="1"/>
  <c r="BI74" i="159"/>
  <c r="CM74" i="159" s="1"/>
  <c r="BU108" i="159"/>
  <c r="BU107" i="159"/>
  <c r="AV47" i="163"/>
  <c r="BZ47" i="163" s="1"/>
  <c r="T43" i="143" s="1"/>
  <c r="BT45" i="159"/>
  <c r="BU32" i="159"/>
  <c r="BU26" i="159"/>
  <c r="BT112" i="159"/>
  <c r="BR114" i="159"/>
  <c r="AV77" i="163"/>
  <c r="BZ77" i="163" s="1"/>
  <c r="T73" i="143" s="1"/>
  <c r="T72" i="143" s="1"/>
  <c r="BR45" i="159"/>
  <c r="BU36" i="159"/>
  <c r="BR91" i="159"/>
  <c r="BU27" i="159"/>
  <c r="BT77" i="159"/>
  <c r="AV135" i="163"/>
  <c r="BZ135" i="163" s="1"/>
  <c r="T133" i="143" s="1"/>
  <c r="BS41" i="159"/>
  <c r="BT38" i="159"/>
  <c r="BW41" i="159"/>
  <c r="BR51" i="159"/>
  <c r="BU66" i="159"/>
  <c r="AV53" i="163"/>
  <c r="BZ53" i="163" s="1"/>
  <c r="T49" i="143" s="1"/>
  <c r="T47" i="143" s="1"/>
  <c r="AO9" i="159"/>
  <c r="AT35" i="163" s="1"/>
  <c r="BX35" i="163" s="1"/>
  <c r="BT32" i="159"/>
  <c r="AU132" i="163"/>
  <c r="BY132" i="163" s="1"/>
  <c r="M130" i="143" s="1"/>
  <c r="AV9" i="159"/>
  <c r="BA35" i="163" s="1"/>
  <c r="CE35" i="163" s="1"/>
  <c r="AT121" i="163"/>
  <c r="BX121" i="163" s="1"/>
  <c r="F119" i="143" s="1"/>
  <c r="BT69" i="159"/>
  <c r="BT29" i="159"/>
  <c r="AS107" i="163"/>
  <c r="BW107" i="163" s="1"/>
  <c r="AS126" i="163"/>
  <c r="BW126" i="163" s="1"/>
  <c r="AT105" i="163"/>
  <c r="BX105" i="163" s="1"/>
  <c r="F103" i="143" s="1"/>
  <c r="BS14" i="159"/>
  <c r="AT149" i="163"/>
  <c r="BX149" i="163" s="1"/>
  <c r="F147" i="143" s="1"/>
  <c r="F145" i="143" s="1"/>
  <c r="AS145" i="163"/>
  <c r="BW145" i="163" s="1"/>
  <c r="AX81" i="163"/>
  <c r="CB81" i="163" s="1"/>
  <c r="BR29" i="159"/>
  <c r="AN44" i="159"/>
  <c r="BR44" i="159" s="1"/>
  <c r="AV65" i="159"/>
  <c r="BA91" i="163" s="1"/>
  <c r="CE91" i="163" s="1"/>
  <c r="AS144" i="163"/>
  <c r="BW144" i="163" s="1"/>
  <c r="BZ16" i="159"/>
  <c r="AX136" i="163"/>
  <c r="CB136" i="163" s="1"/>
  <c r="BU14" i="159"/>
  <c r="AN9" i="159"/>
  <c r="AS35" i="163" s="1"/>
  <c r="BW35" i="163" s="1"/>
  <c r="AT95" i="163"/>
  <c r="BX95" i="163" s="1"/>
  <c r="F91" i="143" s="1"/>
  <c r="BS87" i="159"/>
  <c r="BA113" i="163"/>
  <c r="CE113" i="163" s="1"/>
  <c r="U111" i="143" s="1"/>
  <c r="AV25" i="159"/>
  <c r="BZ25" i="159" s="1"/>
  <c r="CN102" i="159"/>
  <c r="AU46" i="163"/>
  <c r="BY46" i="163" s="1"/>
  <c r="M42" i="143" s="1"/>
  <c r="AZ136" i="163"/>
  <c r="CD136" i="163" s="1"/>
  <c r="N134" i="143" s="1"/>
  <c r="AU25" i="159"/>
  <c r="AZ51" i="163" s="1"/>
  <c r="CD51" i="163" s="1"/>
  <c r="AV132" i="163"/>
  <c r="BZ132" i="163" s="1"/>
  <c r="T130" i="143" s="1"/>
  <c r="T129" i="143" s="1"/>
  <c r="BA139" i="163"/>
  <c r="CE139" i="163" s="1"/>
  <c r="U137" i="143" s="1"/>
  <c r="BR67" i="159"/>
  <c r="BT42" i="159"/>
  <c r="AV95" i="163"/>
  <c r="BZ95" i="163" s="1"/>
  <c r="T91" i="143" s="1"/>
  <c r="AS56" i="159"/>
  <c r="BW56" i="159" s="1"/>
  <c r="BR46" i="159"/>
  <c r="AV123" i="163"/>
  <c r="BZ123" i="163" s="1"/>
  <c r="T121" i="143" s="1"/>
  <c r="CN83" i="159"/>
  <c r="BS49" i="159"/>
  <c r="BW66" i="159"/>
  <c r="AS37" i="163"/>
  <c r="BW37" i="163" s="1"/>
  <c r="BA94" i="163"/>
  <c r="CE94" i="163" s="1"/>
  <c r="U90" i="143" s="1"/>
  <c r="AU110" i="163"/>
  <c r="BY110" i="163" s="1"/>
  <c r="M108" i="143" s="1"/>
  <c r="BZ18" i="159"/>
  <c r="CN111" i="159"/>
  <c r="AO65" i="159"/>
  <c r="AT91" i="163" s="1"/>
  <c r="BX91" i="163" s="1"/>
  <c r="BS10" i="159"/>
  <c r="BZ90" i="159"/>
  <c r="BY27" i="159"/>
  <c r="BW57" i="159"/>
  <c r="AS72" i="163"/>
  <c r="BW72" i="163" s="1"/>
  <c r="BZ88" i="159"/>
  <c r="AU16" i="159"/>
  <c r="AZ42" i="163" s="1"/>
  <c r="CD42" i="163" s="1"/>
  <c r="AX147" i="163"/>
  <c r="CB147" i="163" s="1"/>
  <c r="BR110" i="159"/>
  <c r="AX110" i="163"/>
  <c r="CB110" i="163" s="1"/>
  <c r="AT72" i="163"/>
  <c r="BX72" i="163" s="1"/>
  <c r="F68" i="143" s="1"/>
  <c r="F66" i="143" s="1"/>
  <c r="BR53" i="159"/>
  <c r="BT90" i="159"/>
  <c r="AS120" i="163"/>
  <c r="BW120" i="163" s="1"/>
  <c r="AU140" i="163"/>
  <c r="BY140" i="163" s="1"/>
  <c r="M138" i="143" s="1"/>
  <c r="AS137" i="163"/>
  <c r="BW137" i="163" s="1"/>
  <c r="BS48" i="159"/>
  <c r="AU104" i="159"/>
  <c r="AZ130" i="163" s="1"/>
  <c r="CD130" i="163" s="1"/>
  <c r="BU123" i="159"/>
  <c r="BT39" i="159"/>
  <c r="BS22" i="159"/>
  <c r="AZ64" i="163"/>
  <c r="CD64" i="163" s="1"/>
  <c r="N60" i="143" s="1"/>
  <c r="BA145" i="163"/>
  <c r="CE145" i="163" s="1"/>
  <c r="U143" i="143" s="1"/>
  <c r="BA41" i="163"/>
  <c r="CE41" i="163" s="1"/>
  <c r="U37" i="143" s="1"/>
  <c r="BY32" i="159"/>
  <c r="AT36" i="163"/>
  <c r="BX36" i="163" s="1"/>
  <c r="F32" i="143" s="1"/>
  <c r="F31" i="143" s="1"/>
  <c r="AV114" i="163"/>
  <c r="BZ114" i="163" s="1"/>
  <c r="T112" i="143" s="1"/>
  <c r="AU74" i="159"/>
  <c r="AZ100" i="163" s="1"/>
  <c r="CD100" i="163" s="1"/>
  <c r="BW117" i="159"/>
  <c r="BS105" i="159"/>
  <c r="AT62" i="163"/>
  <c r="BX62" i="163" s="1"/>
  <c r="F58" i="143" s="1"/>
  <c r="AT141" i="163"/>
  <c r="BX141" i="163" s="1"/>
  <c r="F139" i="143" s="1"/>
  <c r="AZ127" i="163"/>
  <c r="CD127" i="163" s="1"/>
  <c r="N125" i="143" s="1"/>
  <c r="AU108" i="163"/>
  <c r="BY108" i="163" s="1"/>
  <c r="M106" i="143" s="1"/>
  <c r="BZ26" i="159"/>
  <c r="BW94" i="159"/>
  <c r="BY85" i="159"/>
  <c r="BZ53" i="159"/>
  <c r="CN78" i="159"/>
  <c r="BY75" i="159"/>
  <c r="BY17" i="159"/>
  <c r="BR90" i="159"/>
  <c r="BU78" i="159"/>
  <c r="BW48" i="159"/>
  <c r="AP89" i="159"/>
  <c r="AU115" i="163" s="1"/>
  <c r="BY115" i="163" s="1"/>
  <c r="BR52" i="159"/>
  <c r="BS108" i="159"/>
  <c r="AP65" i="159"/>
  <c r="AU91" i="163" s="1"/>
  <c r="BY91" i="163" s="1"/>
  <c r="AT42" i="163"/>
  <c r="BX42" i="163" s="1"/>
  <c r="AP74" i="159"/>
  <c r="AV119" i="163"/>
  <c r="BZ119" i="163" s="1"/>
  <c r="T117" i="143" s="1"/>
  <c r="AQ28" i="159"/>
  <c r="AV54" i="163" s="1"/>
  <c r="BZ54" i="163" s="1"/>
  <c r="AO59" i="159"/>
  <c r="AT85" i="163" s="1"/>
  <c r="BX85" i="163" s="1"/>
  <c r="AO56" i="159"/>
  <c r="BS56" i="159" s="1"/>
  <c r="AV112" i="163"/>
  <c r="BZ112" i="163" s="1"/>
  <c r="T110" i="143" s="1"/>
  <c r="BU86" i="159"/>
  <c r="BS21" i="159"/>
  <c r="AT47" i="163"/>
  <c r="BX47" i="163" s="1"/>
  <c r="F43" i="143" s="1"/>
  <c r="AS104" i="163"/>
  <c r="BW104" i="163" s="1"/>
  <c r="BR78" i="159"/>
  <c r="AN74" i="159"/>
  <c r="AN73" i="159" s="1"/>
  <c r="AX48" i="163"/>
  <c r="CB48" i="163" s="1"/>
  <c r="BW22" i="159"/>
  <c r="BA72" i="163"/>
  <c r="CE72" i="163" s="1"/>
  <c r="U68" i="143" s="1"/>
  <c r="BZ46" i="159"/>
  <c r="BO149" i="163"/>
  <c r="CS149" i="163" s="1"/>
  <c r="CN123" i="159"/>
  <c r="AS16" i="159"/>
  <c r="AX42" i="163" s="1"/>
  <c r="CB42" i="163" s="1"/>
  <c r="AS75" i="163"/>
  <c r="BW75" i="163" s="1"/>
  <c r="BT80" i="159"/>
  <c r="AS111" i="163"/>
  <c r="BW111" i="163" s="1"/>
  <c r="BA87" i="163"/>
  <c r="CE87" i="163" s="1"/>
  <c r="U83" i="143" s="1"/>
  <c r="AU107" i="163"/>
  <c r="BY107" i="163" s="1"/>
  <c r="M105" i="143" s="1"/>
  <c r="AT124" i="163"/>
  <c r="BX124" i="163" s="1"/>
  <c r="F122" i="143" s="1"/>
  <c r="BS18" i="159"/>
  <c r="AZ128" i="163"/>
  <c r="CD128" i="163" s="1"/>
  <c r="N126" i="143" s="1"/>
  <c r="AT68" i="163"/>
  <c r="BX68" i="163" s="1"/>
  <c r="F64" i="143" s="1"/>
  <c r="AX64" i="163"/>
  <c r="CB64" i="163" s="1"/>
  <c r="AP9" i="159"/>
  <c r="AU35" i="163" s="1"/>
  <c r="BY35" i="163" s="1"/>
  <c r="AV56" i="163"/>
  <c r="BZ56" i="163" s="1"/>
  <c r="T52" i="143" s="1"/>
  <c r="BS37" i="159"/>
  <c r="AU42" i="163"/>
  <c r="BY42" i="163" s="1"/>
  <c r="AU57" i="163"/>
  <c r="BY57" i="163" s="1"/>
  <c r="M53" i="143" s="1"/>
  <c r="AO44" i="159"/>
  <c r="AT70" i="163" s="1"/>
  <c r="BX70" i="163" s="1"/>
  <c r="AZ107" i="163"/>
  <c r="CD107" i="163" s="1"/>
  <c r="N105" i="143" s="1"/>
  <c r="AV83" i="163"/>
  <c r="BZ83" i="163" s="1"/>
  <c r="T79" i="143" s="1"/>
  <c r="T78" i="143" s="1"/>
  <c r="BS118" i="159"/>
  <c r="AV86" i="163"/>
  <c r="BZ86" i="163" s="1"/>
  <c r="T82" i="143" s="1"/>
  <c r="BU60" i="159"/>
  <c r="AV122" i="163"/>
  <c r="BZ122" i="163" s="1"/>
  <c r="T120" i="143" s="1"/>
  <c r="BU96" i="159"/>
  <c r="BU67" i="159"/>
  <c r="AQ65" i="159"/>
  <c r="AV91" i="163" s="1"/>
  <c r="BZ91" i="163" s="1"/>
  <c r="AV93" i="163"/>
  <c r="BZ93" i="163" s="1"/>
  <c r="T89" i="143" s="1"/>
  <c r="AU40" i="163"/>
  <c r="BY40" i="163" s="1"/>
  <c r="M36" i="143" s="1"/>
  <c r="BT14" i="159"/>
  <c r="AP28" i="159"/>
  <c r="BT28" i="159" s="1"/>
  <c r="AT65" i="163"/>
  <c r="BX65" i="163" s="1"/>
  <c r="F61" i="143" s="1"/>
  <c r="BS39" i="159"/>
  <c r="AT50" i="163"/>
  <c r="BX50" i="163" s="1"/>
  <c r="F46" i="143" s="1"/>
  <c r="BS24" i="159"/>
  <c r="AT103" i="163"/>
  <c r="BX103" i="163" s="1"/>
  <c r="F101" i="143" s="1"/>
  <c r="BS77" i="159"/>
  <c r="AS127" i="163"/>
  <c r="BW127" i="163" s="1"/>
  <c r="BR101" i="159"/>
  <c r="AS64" i="163"/>
  <c r="BW64" i="163" s="1"/>
  <c r="BR38" i="159"/>
  <c r="AV111" i="163"/>
  <c r="BZ111" i="163" s="1"/>
  <c r="T109" i="143" s="1"/>
  <c r="BU85" i="159"/>
  <c r="BU115" i="159"/>
  <c r="AV141" i="163"/>
  <c r="BZ141" i="163" s="1"/>
  <c r="T139" i="143" s="1"/>
  <c r="BU10" i="159"/>
  <c r="AV36" i="163"/>
  <c r="BZ36" i="163" s="1"/>
  <c r="T32" i="143" s="1"/>
  <c r="T31" i="143" s="1"/>
  <c r="AQ9" i="159"/>
  <c r="AV81" i="163"/>
  <c r="BZ81" i="163" s="1"/>
  <c r="T77" i="143" s="1"/>
  <c r="BU55" i="159"/>
  <c r="AV136" i="163"/>
  <c r="BZ136" i="163" s="1"/>
  <c r="T134" i="143" s="1"/>
  <c r="BU110" i="159"/>
  <c r="AU49" i="163"/>
  <c r="BY49" i="163" s="1"/>
  <c r="M45" i="143" s="1"/>
  <c r="BT23" i="159"/>
  <c r="AU102" i="163"/>
  <c r="BY102" i="163" s="1"/>
  <c r="M100" i="143" s="1"/>
  <c r="BT76" i="159"/>
  <c r="AU139" i="163"/>
  <c r="BY139" i="163" s="1"/>
  <c r="M137" i="143" s="1"/>
  <c r="BT113" i="159"/>
  <c r="AU136" i="163"/>
  <c r="BY136" i="163" s="1"/>
  <c r="M134" i="143" s="1"/>
  <c r="BT110" i="159"/>
  <c r="AX111" i="163"/>
  <c r="CB111" i="163" s="1"/>
  <c r="BW85" i="159"/>
  <c r="AS89" i="159"/>
  <c r="AX115" i="163" s="1"/>
  <c r="CB115" i="163" s="1"/>
  <c r="BW99" i="159"/>
  <c r="AV44" i="159"/>
  <c r="BZ44" i="159" s="1"/>
  <c r="AZ84" i="163"/>
  <c r="CD84" i="163" s="1"/>
  <c r="N80" i="143" s="1"/>
  <c r="N78" i="143" s="1"/>
  <c r="BT99" i="159"/>
  <c r="BS107" i="159"/>
  <c r="AV80" i="163"/>
  <c r="BZ80" i="163" s="1"/>
  <c r="T76" i="143" s="1"/>
  <c r="BS94" i="159"/>
  <c r="BA46" i="163"/>
  <c r="CE46" i="163" s="1"/>
  <c r="U42" i="143" s="1"/>
  <c r="AZ59" i="163"/>
  <c r="CD59" i="163" s="1"/>
  <c r="N55" i="143" s="1"/>
  <c r="N50" i="143" s="1"/>
  <c r="AU28" i="159"/>
  <c r="AZ54" i="163" s="1"/>
  <c r="CD54" i="163" s="1"/>
  <c r="BW14" i="159"/>
  <c r="BT119" i="159"/>
  <c r="AV90" i="163"/>
  <c r="BZ90" i="163" s="1"/>
  <c r="T86" i="143" s="1"/>
  <c r="AZ41" i="163"/>
  <c r="CD41" i="163" s="1"/>
  <c r="N37" i="143" s="1"/>
  <c r="BT53" i="159"/>
  <c r="BS58" i="159"/>
  <c r="BT91" i="159"/>
  <c r="AU117" i="163"/>
  <c r="BY117" i="163" s="1"/>
  <c r="M115" i="143" s="1"/>
  <c r="BT98" i="159"/>
  <c r="AU124" i="163"/>
  <c r="BY124" i="163" s="1"/>
  <c r="M122" i="143" s="1"/>
  <c r="AU47" i="163"/>
  <c r="BY47" i="163" s="1"/>
  <c r="M43" i="143" s="1"/>
  <c r="BT21" i="159"/>
  <c r="AU77" i="163"/>
  <c r="BY77" i="163" s="1"/>
  <c r="M73" i="143" s="1"/>
  <c r="BT51" i="159"/>
  <c r="AT122" i="163"/>
  <c r="BX122" i="163" s="1"/>
  <c r="F120" i="143" s="1"/>
  <c r="BS96" i="159"/>
  <c r="BS62" i="159"/>
  <c r="AT88" i="163"/>
  <c r="BX88" i="163" s="1"/>
  <c r="F84" i="143" s="1"/>
  <c r="AT142" i="163"/>
  <c r="BX142" i="163" s="1"/>
  <c r="F140" i="143" s="1"/>
  <c r="BS116" i="159"/>
  <c r="AT58" i="163"/>
  <c r="BX58" i="163" s="1"/>
  <c r="F54" i="143" s="1"/>
  <c r="BS32" i="159"/>
  <c r="AO28" i="159"/>
  <c r="BS61" i="159"/>
  <c r="AT87" i="163"/>
  <c r="BX87" i="163" s="1"/>
  <c r="F83" i="143" s="1"/>
  <c r="AT86" i="163"/>
  <c r="BX86" i="163" s="1"/>
  <c r="F82" i="143" s="1"/>
  <c r="BS60" i="159"/>
  <c r="AT146" i="163"/>
  <c r="BX146" i="163" s="1"/>
  <c r="F144" i="143" s="1"/>
  <c r="BS120" i="159"/>
  <c r="AS43" i="163"/>
  <c r="BW43" i="163" s="1"/>
  <c r="BR17" i="159"/>
  <c r="AS149" i="163"/>
  <c r="BW149" i="163" s="1"/>
  <c r="BR123" i="159"/>
  <c r="BR80" i="159"/>
  <c r="AS106" i="163"/>
  <c r="BW106" i="163" s="1"/>
  <c r="BU84" i="159"/>
  <c r="AU61" i="163"/>
  <c r="BY61" i="163" s="1"/>
  <c r="M57" i="143" s="1"/>
  <c r="BT41" i="159"/>
  <c r="BS23" i="159"/>
  <c r="AT49" i="163"/>
  <c r="BX49" i="163" s="1"/>
  <c r="F45" i="143" s="1"/>
  <c r="AN25" i="159"/>
  <c r="AS51" i="163" s="1"/>
  <c r="BW51" i="163" s="1"/>
  <c r="AS52" i="163"/>
  <c r="BW52" i="163" s="1"/>
  <c r="BR26" i="159"/>
  <c r="AX139" i="163"/>
  <c r="CB139" i="163" s="1"/>
  <c r="BW113" i="159"/>
  <c r="AX103" i="163"/>
  <c r="CB103" i="163" s="1"/>
  <c r="BW77" i="159"/>
  <c r="BA134" i="163"/>
  <c r="CE134" i="163" s="1"/>
  <c r="U132" i="143" s="1"/>
  <c r="BZ108" i="159"/>
  <c r="AZ132" i="163"/>
  <c r="CD132" i="163" s="1"/>
  <c r="N130" i="143" s="1"/>
  <c r="N129" i="143" s="1"/>
  <c r="BY106" i="159"/>
  <c r="BO140" i="163"/>
  <c r="CS140" i="163" s="1"/>
  <c r="CN114" i="159"/>
  <c r="BO107" i="163"/>
  <c r="CS107" i="163" s="1"/>
  <c r="CN81" i="159"/>
  <c r="BU82" i="159"/>
  <c r="AV108" i="163"/>
  <c r="BZ108" i="163" s="1"/>
  <c r="T106" i="143" s="1"/>
  <c r="AT132" i="163"/>
  <c r="BX132" i="163" s="1"/>
  <c r="F130" i="143" s="1"/>
  <c r="F129" i="143" s="1"/>
  <c r="BS106" i="159"/>
  <c r="BR61" i="159"/>
  <c r="AS87" i="163"/>
  <c r="BW87" i="163" s="1"/>
  <c r="BA135" i="163"/>
  <c r="CE135" i="163" s="1"/>
  <c r="U133" i="143" s="1"/>
  <c r="BZ109" i="159"/>
  <c r="BA88" i="163"/>
  <c r="CE88" i="163" s="1"/>
  <c r="U84" i="143" s="1"/>
  <c r="BZ62" i="159"/>
  <c r="AV74" i="159"/>
  <c r="BA100" i="163" s="1"/>
  <c r="CE100" i="163" s="1"/>
  <c r="BW109" i="159"/>
  <c r="BW64" i="159"/>
  <c r="AS9" i="159"/>
  <c r="AX35" i="163" s="1"/>
  <c r="CB35" i="163" s="1"/>
  <c r="BR48" i="159"/>
  <c r="AP56" i="159"/>
  <c r="AU82" i="163" s="1"/>
  <c r="BY82" i="163" s="1"/>
  <c r="BR106" i="159"/>
  <c r="AU78" i="163"/>
  <c r="BY78" i="163" s="1"/>
  <c r="M74" i="143" s="1"/>
  <c r="BU33" i="159"/>
  <c r="AS90" i="163"/>
  <c r="BW90" i="163" s="1"/>
  <c r="BU111" i="159"/>
  <c r="BZ31" i="159"/>
  <c r="BW116" i="159"/>
  <c r="AX89" i="163"/>
  <c r="CB89" i="163" s="1"/>
  <c r="BR31" i="159"/>
  <c r="BS113" i="159"/>
  <c r="BS13" i="159"/>
  <c r="BR54" i="159"/>
  <c r="BR20" i="159"/>
  <c r="AT66" i="163"/>
  <c r="BX66" i="163" s="1"/>
  <c r="F62" i="143" s="1"/>
  <c r="AN28" i="159"/>
  <c r="AS54" i="163" s="1"/>
  <c r="BW54" i="163" s="1"/>
  <c r="AT61" i="163"/>
  <c r="BX61" i="163" s="1"/>
  <c r="BY40" i="159"/>
  <c r="BW115" i="159"/>
  <c r="AV39" i="163"/>
  <c r="BZ39" i="163" s="1"/>
  <c r="T35" i="143" s="1"/>
  <c r="BU90" i="159"/>
  <c r="AV116" i="163"/>
  <c r="BZ116" i="163" s="1"/>
  <c r="T114" i="143" s="1"/>
  <c r="BS75" i="159"/>
  <c r="AO74" i="159"/>
  <c r="AT100" i="163" s="1"/>
  <c r="BX100" i="163" s="1"/>
  <c r="AT101" i="163"/>
  <c r="BX101" i="163" s="1"/>
  <c r="F99" i="143" s="1"/>
  <c r="AX132" i="163"/>
  <c r="CB132" i="163" s="1"/>
  <c r="BW106" i="159"/>
  <c r="BA63" i="163"/>
  <c r="CE63" i="163" s="1"/>
  <c r="U59" i="143" s="1"/>
  <c r="BZ37" i="159"/>
  <c r="BA36" i="163"/>
  <c r="CE36" i="163" s="1"/>
  <c r="U32" i="143" s="1"/>
  <c r="BZ10" i="159"/>
  <c r="BO123" i="163"/>
  <c r="CS123" i="163" s="1"/>
  <c r="CN97" i="159"/>
  <c r="AS104" i="159"/>
  <c r="AX130" i="163" s="1"/>
  <c r="CB130" i="163" s="1"/>
  <c r="AS66" i="163"/>
  <c r="BW66" i="163" s="1"/>
  <c r="AU83" i="163"/>
  <c r="BY83" i="163" s="1"/>
  <c r="M79" i="143" s="1"/>
  <c r="M78" i="143" s="1"/>
  <c r="BU81" i="159"/>
  <c r="BY36" i="159"/>
  <c r="AX94" i="163"/>
  <c r="CB94" i="163" s="1"/>
  <c r="AV59" i="163"/>
  <c r="BZ59" i="163" s="1"/>
  <c r="T55" i="143" s="1"/>
  <c r="BA77" i="163"/>
  <c r="CE77" i="163" s="1"/>
  <c r="U73" i="143" s="1"/>
  <c r="U72" i="143" s="1"/>
  <c r="BT64" i="159"/>
  <c r="AU89" i="159"/>
  <c r="AU73" i="159" s="1"/>
  <c r="BR112" i="159"/>
  <c r="BU102" i="159"/>
  <c r="BU48" i="159"/>
  <c r="AS68" i="163"/>
  <c r="BW68" i="163" s="1"/>
  <c r="BT85" i="159"/>
  <c r="BU114" i="159"/>
  <c r="BU29" i="159"/>
  <c r="AP59" i="159"/>
  <c r="BT59" i="159" s="1"/>
  <c r="BT61" i="159"/>
  <c r="BR66" i="159"/>
  <c r="AO89" i="159"/>
  <c r="AT115" i="163" s="1"/>
  <c r="BX115" i="163" s="1"/>
  <c r="AU67" i="163"/>
  <c r="BY67" i="163" s="1"/>
  <c r="M63" i="143" s="1"/>
  <c r="BY60" i="159"/>
  <c r="BR16" i="159"/>
  <c r="AU127" i="163"/>
  <c r="BY127" i="163" s="1"/>
  <c r="M125" i="143" s="1"/>
  <c r="BS45" i="159"/>
  <c r="BU57" i="159"/>
  <c r="BS54" i="159"/>
  <c r="BU68" i="159"/>
  <c r="BU39" i="159"/>
  <c r="BU24" i="159"/>
  <c r="BU23" i="159"/>
  <c r="AS28" i="159"/>
  <c r="AL60" i="163"/>
  <c r="O96" i="163"/>
  <c r="O151" i="163" s="1"/>
  <c r="O125" i="159"/>
  <c r="AL16" i="159"/>
  <c r="AQ74" i="159"/>
  <c r="AV100" i="163" s="1"/>
  <c r="BZ100" i="163" s="1"/>
  <c r="AV42" i="163"/>
  <c r="BZ42" i="163" s="1"/>
  <c r="AV28" i="159"/>
  <c r="BA54" i="163" s="1"/>
  <c r="CE54" i="163" s="1"/>
  <c r="AV89" i="159"/>
  <c r="BZ89" i="159" s="1"/>
  <c r="R125" i="159"/>
  <c r="R96" i="163"/>
  <c r="R151" i="163" s="1"/>
  <c r="BZ48" i="159"/>
  <c r="BZ94" i="159"/>
  <c r="BZ33" i="159"/>
  <c r="BZ111" i="159"/>
  <c r="BZ101" i="159"/>
  <c r="BA120" i="163"/>
  <c r="CE120" i="163" s="1"/>
  <c r="U118" i="143" s="1"/>
  <c r="BA59" i="163"/>
  <c r="CE59" i="163" s="1"/>
  <c r="U55" i="143" s="1"/>
  <c r="BZ110" i="159"/>
  <c r="BZ60" i="159"/>
  <c r="BZ22" i="159"/>
  <c r="BZ106" i="159"/>
  <c r="AV102" i="163"/>
  <c r="BZ102" i="163" s="1"/>
  <c r="T100" i="143" s="1"/>
  <c r="BU87" i="159"/>
  <c r="BU11" i="159"/>
  <c r="BU63" i="159"/>
  <c r="BU35" i="159"/>
  <c r="BU79" i="159"/>
  <c r="AQ59" i="159"/>
  <c r="AV85" i="163" s="1"/>
  <c r="BZ85" i="163" s="1"/>
  <c r="BU120" i="159"/>
  <c r="BU77" i="159"/>
  <c r="BU45" i="159"/>
  <c r="BU38" i="159"/>
  <c r="BU80" i="159"/>
  <c r="AQ89" i="159"/>
  <c r="AV115" i="163" s="1"/>
  <c r="BZ115" i="163" s="1"/>
  <c r="AQ44" i="159"/>
  <c r="AV70" i="163" s="1"/>
  <c r="BZ70" i="163" s="1"/>
  <c r="BU19" i="159"/>
  <c r="BU52" i="159"/>
  <c r="AV45" i="163"/>
  <c r="BZ45" i="163" s="1"/>
  <c r="T41" i="143" s="1"/>
  <c r="BU46" i="159"/>
  <c r="BI66" i="163"/>
  <c r="CM66" i="163" s="1"/>
  <c r="I62" i="143" s="1"/>
  <c r="CH40" i="159"/>
  <c r="BI68" i="163"/>
  <c r="CM68" i="163" s="1"/>
  <c r="I64" i="143" s="1"/>
  <c r="CH42" i="159"/>
  <c r="CH24" i="159"/>
  <c r="BI50" i="163"/>
  <c r="CM50" i="163" s="1"/>
  <c r="I46" i="143" s="1"/>
  <c r="BI55" i="163"/>
  <c r="CM55" i="163" s="1"/>
  <c r="I51" i="143" s="1"/>
  <c r="BD28" i="159"/>
  <c r="CH29" i="159"/>
  <c r="BI74" i="163"/>
  <c r="CM74" i="163" s="1"/>
  <c r="I70" i="143" s="1"/>
  <c r="CH48" i="159"/>
  <c r="BI78" i="163"/>
  <c r="CM78" i="163" s="1"/>
  <c r="I74" i="143" s="1"/>
  <c r="CH52" i="159"/>
  <c r="BH44" i="163"/>
  <c r="CL44" i="163" s="1"/>
  <c r="CG18" i="159"/>
  <c r="BH66" i="163"/>
  <c r="CL66" i="163" s="1"/>
  <c r="CG40" i="159"/>
  <c r="BH62" i="163"/>
  <c r="CL62" i="163" s="1"/>
  <c r="CG36" i="159"/>
  <c r="CG46" i="159"/>
  <c r="BH72" i="163"/>
  <c r="CL72" i="163" s="1"/>
  <c r="BH49" i="163"/>
  <c r="CL49" i="163" s="1"/>
  <c r="CG23" i="159"/>
  <c r="BH37" i="163"/>
  <c r="CL37" i="163" s="1"/>
  <c r="CG11" i="159"/>
  <c r="BI83" i="163"/>
  <c r="CM83" i="163" s="1"/>
  <c r="I79" i="143" s="1"/>
  <c r="BD56" i="159"/>
  <c r="CH57" i="159"/>
  <c r="BI57" i="163"/>
  <c r="CM57" i="163" s="1"/>
  <c r="I53" i="143" s="1"/>
  <c r="CH31" i="159"/>
  <c r="BI79" i="163"/>
  <c r="CM79" i="163" s="1"/>
  <c r="CH53" i="159"/>
  <c r="CH63" i="159"/>
  <c r="BI89" i="163"/>
  <c r="CM89" i="163" s="1"/>
  <c r="I85" i="143" s="1"/>
  <c r="BI81" i="163"/>
  <c r="CM81" i="163" s="1"/>
  <c r="I77" i="143" s="1"/>
  <c r="CH55" i="159"/>
  <c r="CH68" i="159"/>
  <c r="BI94" i="163"/>
  <c r="CM94" i="163" s="1"/>
  <c r="I90" i="143" s="1"/>
  <c r="BH39" i="163"/>
  <c r="CL39" i="163" s="1"/>
  <c r="CG13" i="159"/>
  <c r="BH86" i="163"/>
  <c r="CL86" i="163" s="1"/>
  <c r="CG60" i="159"/>
  <c r="BH50" i="163"/>
  <c r="CL50" i="163" s="1"/>
  <c r="CG24" i="159"/>
  <c r="BH81" i="163"/>
  <c r="CL81" i="163" s="1"/>
  <c r="CG55" i="159"/>
  <c r="BH64" i="163"/>
  <c r="CL64" i="163" s="1"/>
  <c r="CG38" i="159"/>
  <c r="BH45" i="163"/>
  <c r="CL45" i="163" s="1"/>
  <c r="CG19" i="159"/>
  <c r="BH10" i="190"/>
  <c r="BN9" i="163" s="1"/>
  <c r="CR9" i="163" s="1"/>
  <c r="CL8" i="190"/>
  <c r="BI80" i="163"/>
  <c r="CM80" i="163" s="1"/>
  <c r="I76" i="143" s="1"/>
  <c r="CH54" i="159"/>
  <c r="BI87" i="163"/>
  <c r="CM87" i="163" s="1"/>
  <c r="I83" i="143" s="1"/>
  <c r="CH61" i="159"/>
  <c r="CH69" i="159"/>
  <c r="BI95" i="163"/>
  <c r="CM95" i="163" s="1"/>
  <c r="I91" i="143" s="1"/>
  <c r="BI62" i="163"/>
  <c r="CM62" i="163" s="1"/>
  <c r="I58" i="143" s="1"/>
  <c r="CH36" i="159"/>
  <c r="BI41" i="163"/>
  <c r="CM41" i="163" s="1"/>
  <c r="I37" i="143" s="1"/>
  <c r="CH15" i="159"/>
  <c r="CH14" i="159"/>
  <c r="BI40" i="163"/>
  <c r="CM40" i="163" s="1"/>
  <c r="I36" i="143" s="1"/>
  <c r="BH67" i="163"/>
  <c r="CL67" i="163" s="1"/>
  <c r="CG41" i="159"/>
  <c r="BH80" i="163"/>
  <c r="CL80" i="163" s="1"/>
  <c r="CG54" i="159"/>
  <c r="BH59" i="163"/>
  <c r="CL59" i="163" s="1"/>
  <c r="CG33" i="159"/>
  <c r="BH88" i="163"/>
  <c r="CL88" i="163" s="1"/>
  <c r="CG62" i="159"/>
  <c r="BH83" i="163"/>
  <c r="CL83" i="163" s="1"/>
  <c r="BC56" i="159"/>
  <c r="CG57" i="159"/>
  <c r="BH63" i="163"/>
  <c r="CL63" i="163" s="1"/>
  <c r="CG37" i="159"/>
  <c r="CL20" i="190"/>
  <c r="BH22" i="190"/>
  <c r="CL22" i="190" s="1"/>
  <c r="BI43" i="163"/>
  <c r="CM43" i="163" s="1"/>
  <c r="I39" i="143" s="1"/>
  <c r="CH17" i="159"/>
  <c r="BD16" i="159"/>
  <c r="BI86" i="163"/>
  <c r="CM86" i="163" s="1"/>
  <c r="I82" i="143" s="1"/>
  <c r="CH60" i="159"/>
  <c r="BI92" i="163"/>
  <c r="CM92" i="163" s="1"/>
  <c r="I88" i="143" s="1"/>
  <c r="BD65" i="159"/>
  <c r="CH66" i="159"/>
  <c r="BI84" i="163"/>
  <c r="CM84" i="163" s="1"/>
  <c r="I80" i="143" s="1"/>
  <c r="CH58" i="159"/>
  <c r="BI65" i="163"/>
  <c r="CM65" i="163" s="1"/>
  <c r="I61" i="143" s="1"/>
  <c r="CH39" i="159"/>
  <c r="BH58" i="163"/>
  <c r="CL58" i="163" s="1"/>
  <c r="CG32" i="159"/>
  <c r="BH87" i="163"/>
  <c r="CL87" i="163" s="1"/>
  <c r="CG61" i="159"/>
  <c r="BH79" i="163"/>
  <c r="CL79" i="163" s="1"/>
  <c r="CG53" i="159"/>
  <c r="BH89" i="163"/>
  <c r="CL89" i="163" s="1"/>
  <c r="CG63" i="159"/>
  <c r="BH90" i="163"/>
  <c r="CL90" i="163" s="1"/>
  <c r="CG64" i="159"/>
  <c r="BC44" i="159"/>
  <c r="CG45" i="159"/>
  <c r="BH71" i="163"/>
  <c r="CL71" i="163" s="1"/>
  <c r="BJ89" i="159"/>
  <c r="BN23" i="163"/>
  <c r="CR23" i="163" s="1"/>
  <c r="BI36" i="163"/>
  <c r="CM36" i="163" s="1"/>
  <c r="I32" i="143" s="1"/>
  <c r="CH10" i="159"/>
  <c r="BD9" i="159"/>
  <c r="BI72" i="163"/>
  <c r="CM72" i="163" s="1"/>
  <c r="I68" i="143" s="1"/>
  <c r="CH46" i="159"/>
  <c r="BI90" i="163"/>
  <c r="CM90" i="163" s="1"/>
  <c r="I86" i="143" s="1"/>
  <c r="CH64" i="159"/>
  <c r="CH13" i="159"/>
  <c r="BI39" i="163"/>
  <c r="CM39" i="163" s="1"/>
  <c r="I35" i="143" s="1"/>
  <c r="BI59" i="163"/>
  <c r="CM59" i="163" s="1"/>
  <c r="I55" i="143" s="1"/>
  <c r="CH33" i="159"/>
  <c r="BI49" i="163"/>
  <c r="CM49" i="163" s="1"/>
  <c r="I45" i="143" s="1"/>
  <c r="CH23" i="159"/>
  <c r="CG29" i="159"/>
  <c r="BH55" i="163"/>
  <c r="CL55" i="163" s="1"/>
  <c r="BC28" i="159"/>
  <c r="BH78" i="163"/>
  <c r="CL78" i="163" s="1"/>
  <c r="CG52" i="159"/>
  <c r="BH56" i="163"/>
  <c r="CL56" i="163" s="1"/>
  <c r="CG30" i="159"/>
  <c r="BH47" i="163"/>
  <c r="CL47" i="163" s="1"/>
  <c r="CG21" i="159"/>
  <c r="BH94" i="163"/>
  <c r="CL94" i="163" s="1"/>
  <c r="CG68" i="159"/>
  <c r="BH53" i="163"/>
  <c r="CL53" i="163" s="1"/>
  <c r="CG27" i="159"/>
  <c r="BI67" i="163"/>
  <c r="CM67" i="163" s="1"/>
  <c r="I63" i="143" s="1"/>
  <c r="CH41" i="159"/>
  <c r="BI77" i="163"/>
  <c r="CM77" i="163" s="1"/>
  <c r="I73" i="143" s="1"/>
  <c r="CH51" i="159"/>
  <c r="BI44" i="163"/>
  <c r="CM44" i="163" s="1"/>
  <c r="I40" i="143" s="1"/>
  <c r="CH18" i="159"/>
  <c r="BI47" i="163"/>
  <c r="CM47" i="163" s="1"/>
  <c r="I43" i="143" s="1"/>
  <c r="CH21" i="159"/>
  <c r="BI88" i="163"/>
  <c r="CM88" i="163" s="1"/>
  <c r="I84" i="143" s="1"/>
  <c r="CH62" i="159"/>
  <c r="BI58" i="163"/>
  <c r="CM58" i="163" s="1"/>
  <c r="I54" i="143" s="1"/>
  <c r="CH32" i="159"/>
  <c r="BH57" i="163"/>
  <c r="CL57" i="163" s="1"/>
  <c r="CG31" i="159"/>
  <c r="CG14" i="159"/>
  <c r="BH40" i="163"/>
  <c r="CL40" i="163" s="1"/>
  <c r="BH75" i="163"/>
  <c r="CL75" i="163" s="1"/>
  <c r="CG49" i="159"/>
  <c r="BH93" i="163"/>
  <c r="CL93" i="163" s="1"/>
  <c r="CG67" i="159"/>
  <c r="BH84" i="163"/>
  <c r="CL84" i="163" s="1"/>
  <c r="CG58" i="159"/>
  <c r="BH74" i="163"/>
  <c r="CL74" i="163" s="1"/>
  <c r="CG48" i="159"/>
  <c r="CM20" i="190"/>
  <c r="BI22" i="190"/>
  <c r="CM22" i="190" s="1"/>
  <c r="BG22" i="190"/>
  <c r="CK22" i="190" s="1"/>
  <c r="CK20" i="190"/>
  <c r="CN93" i="159"/>
  <c r="BI71" i="163"/>
  <c r="CM71" i="163" s="1"/>
  <c r="I67" i="143" s="1"/>
  <c r="BD44" i="159"/>
  <c r="CH45" i="159"/>
  <c r="BI93" i="163"/>
  <c r="CM93" i="163" s="1"/>
  <c r="I89" i="143" s="1"/>
  <c r="CH67" i="159"/>
  <c r="BI37" i="163"/>
  <c r="CM37" i="163" s="1"/>
  <c r="I33" i="143" s="1"/>
  <c r="CH11" i="159"/>
  <c r="BI63" i="163"/>
  <c r="CM63" i="163" s="1"/>
  <c r="I59" i="143" s="1"/>
  <c r="CH37" i="159"/>
  <c r="BI52" i="163"/>
  <c r="CM52" i="163" s="1"/>
  <c r="I48" i="143" s="1"/>
  <c r="BD25" i="159"/>
  <c r="CH26" i="159"/>
  <c r="BI46" i="163"/>
  <c r="CM46" i="163" s="1"/>
  <c r="I42" i="143" s="1"/>
  <c r="CH20" i="159"/>
  <c r="CG69" i="159"/>
  <c r="BH95" i="163"/>
  <c r="CL95" i="163" s="1"/>
  <c r="BH48" i="163"/>
  <c r="CL48" i="163" s="1"/>
  <c r="CG22" i="159"/>
  <c r="BH68" i="163"/>
  <c r="CL68" i="163" s="1"/>
  <c r="CG42" i="159"/>
  <c r="BH65" i="163"/>
  <c r="CL65" i="163" s="1"/>
  <c r="CG39" i="159"/>
  <c r="BH46" i="163"/>
  <c r="CL46" i="163" s="1"/>
  <c r="CG20" i="159"/>
  <c r="CG66" i="159"/>
  <c r="BH92" i="163"/>
  <c r="CL92" i="163" s="1"/>
  <c r="BC65" i="159"/>
  <c r="CK8" i="190"/>
  <c r="BG10" i="190"/>
  <c r="BM9" i="163" s="1"/>
  <c r="CQ9" i="163" s="1"/>
  <c r="BN7" i="163"/>
  <c r="CR7" i="163" s="1"/>
  <c r="BI48" i="163"/>
  <c r="CM48" i="163" s="1"/>
  <c r="I44" i="143" s="1"/>
  <c r="CH22" i="159"/>
  <c r="BI45" i="163"/>
  <c r="CM45" i="163" s="1"/>
  <c r="I41" i="143" s="1"/>
  <c r="CH19" i="159"/>
  <c r="BI53" i="163"/>
  <c r="CM53" i="163" s="1"/>
  <c r="I49" i="143" s="1"/>
  <c r="CH27" i="159"/>
  <c r="BI75" i="163"/>
  <c r="CM75" i="163" s="1"/>
  <c r="I71" i="143" s="1"/>
  <c r="CH49" i="159"/>
  <c r="BI56" i="163"/>
  <c r="CM56" i="163" s="1"/>
  <c r="I52" i="143" s="1"/>
  <c r="CH30" i="159"/>
  <c r="CH38" i="159"/>
  <c r="BI64" i="163"/>
  <c r="CM64" i="163" s="1"/>
  <c r="I60" i="143" s="1"/>
  <c r="BH36" i="163"/>
  <c r="CL36" i="163" s="1"/>
  <c r="BC9" i="159"/>
  <c r="CG10" i="159"/>
  <c r="BH77" i="163"/>
  <c r="CL77" i="163" s="1"/>
  <c r="CG51" i="159"/>
  <c r="BH52" i="163"/>
  <c r="CL52" i="163" s="1"/>
  <c r="BC25" i="159"/>
  <c r="CG26" i="159"/>
  <c r="BH43" i="163"/>
  <c r="CL43" i="163" s="1"/>
  <c r="BC16" i="159"/>
  <c r="CG17" i="159"/>
  <c r="CG15" i="159"/>
  <c r="BH41" i="163"/>
  <c r="CL41" i="163" s="1"/>
  <c r="BI10" i="190"/>
  <c r="BO9" i="163" s="1"/>
  <c r="CS9" i="163" s="1"/>
  <c r="CM8" i="190"/>
  <c r="BP145" i="163"/>
  <c r="CT145" i="163" s="1"/>
  <c r="CO119" i="159"/>
  <c r="AY15" i="163"/>
  <c r="BW16" i="190"/>
  <c r="BW18" i="190"/>
  <c r="AY17" i="163"/>
  <c r="CC17" i="163" s="1"/>
  <c r="G17" i="143" s="1"/>
  <c r="BZ47" i="159"/>
  <c r="BA73" i="163"/>
  <c r="CE73" i="163" s="1"/>
  <c r="AX19" i="163"/>
  <c r="CB19" i="163" s="1"/>
  <c r="AR22" i="190"/>
  <c r="BV20" i="190"/>
  <c r="BY18" i="190"/>
  <c r="BA17" i="163"/>
  <c r="CE17" i="163" s="1"/>
  <c r="U17" i="143" s="1"/>
  <c r="BY17" i="190"/>
  <c r="BA16" i="163"/>
  <c r="CE16" i="163" s="1"/>
  <c r="U16" i="143" s="1"/>
  <c r="BX24" i="190"/>
  <c r="AZ23" i="163"/>
  <c r="CD23" i="163" s="1"/>
  <c r="N23" i="143" s="1"/>
  <c r="AS74" i="159"/>
  <c r="AS65" i="159"/>
  <c r="BW65" i="159" s="1"/>
  <c r="AX61" i="163"/>
  <c r="CB61" i="163" s="1"/>
  <c r="BW35" i="159"/>
  <c r="AY19" i="163"/>
  <c r="CC19" i="163" s="1"/>
  <c r="G19" i="143" s="1"/>
  <c r="BW20" i="190"/>
  <c r="AS22" i="190"/>
  <c r="BW13" i="190"/>
  <c r="AY12" i="163"/>
  <c r="CC12" i="163" s="1"/>
  <c r="G12" i="143" s="1"/>
  <c r="AZ73" i="163"/>
  <c r="CD73" i="163" s="1"/>
  <c r="BY47" i="159"/>
  <c r="AZ61" i="163"/>
  <c r="CD61" i="163" s="1"/>
  <c r="N57" i="143" s="1"/>
  <c r="BY35" i="159"/>
  <c r="BV24" i="190"/>
  <c r="AX23" i="163"/>
  <c r="CB23" i="163" s="1"/>
  <c r="BY21" i="190"/>
  <c r="BA20" i="163"/>
  <c r="CE20" i="163" s="1"/>
  <c r="U20" i="143" s="1"/>
  <c r="BY25" i="190"/>
  <c r="BA24" i="163"/>
  <c r="CE24" i="163" s="1"/>
  <c r="U24" i="143" s="1"/>
  <c r="BX21" i="190"/>
  <c r="AZ20" i="163"/>
  <c r="CD20" i="163" s="1"/>
  <c r="N20" i="143" s="1"/>
  <c r="BW30" i="159"/>
  <c r="BW92" i="159"/>
  <c r="AY10" i="163"/>
  <c r="CC10" i="163" s="1"/>
  <c r="G10" i="143" s="1"/>
  <c r="BW11" i="190"/>
  <c r="BV25" i="190"/>
  <c r="AX24" i="163"/>
  <c r="CB24" i="163" s="1"/>
  <c r="BV18" i="190"/>
  <c r="AX17" i="163"/>
  <c r="CB17" i="163" s="1"/>
  <c r="BA7" i="163"/>
  <c r="CE7" i="163" s="1"/>
  <c r="U7" i="143" s="1"/>
  <c r="BY8" i="190"/>
  <c r="AU10" i="190"/>
  <c r="BY15" i="190"/>
  <c r="BA14" i="163"/>
  <c r="CE14" i="163" s="1"/>
  <c r="U14" i="143" s="1"/>
  <c r="AZ13" i="163"/>
  <c r="CD13" i="163" s="1"/>
  <c r="N13" i="143" s="1"/>
  <c r="AT15" i="190"/>
  <c r="BX14" i="190"/>
  <c r="AX56" i="163"/>
  <c r="CB56" i="163" s="1"/>
  <c r="BW24" i="190"/>
  <c r="AY23" i="163"/>
  <c r="CC23" i="163" s="1"/>
  <c r="G23" i="143" s="1"/>
  <c r="BV16" i="190"/>
  <c r="AX15" i="163"/>
  <c r="AX8" i="163"/>
  <c r="CB8" i="163" s="1"/>
  <c r="BV9" i="190"/>
  <c r="BY16" i="190"/>
  <c r="BA15" i="163"/>
  <c r="BA10" i="163"/>
  <c r="CE10" i="163" s="1"/>
  <c r="U10" i="143" s="1"/>
  <c r="BY11" i="190"/>
  <c r="BX25" i="190"/>
  <c r="AZ24" i="163"/>
  <c r="CD24" i="163" s="1"/>
  <c r="N24" i="143" s="1"/>
  <c r="AX73" i="163"/>
  <c r="CB73" i="163" s="1"/>
  <c r="BW47" i="159"/>
  <c r="BW21" i="190"/>
  <c r="AY20" i="163"/>
  <c r="CC20" i="163" s="1"/>
  <c r="G20" i="143" s="1"/>
  <c r="AY61" i="163"/>
  <c r="CC61" i="163" s="1"/>
  <c r="G57" i="143" s="1"/>
  <c r="BX35" i="159"/>
  <c r="BY12" i="159"/>
  <c r="AZ38" i="163"/>
  <c r="CD38" i="163" s="1"/>
  <c r="N34" i="143" s="1"/>
  <c r="BV14" i="190"/>
  <c r="AX13" i="163"/>
  <c r="CB13" i="163" s="1"/>
  <c r="AX10" i="163"/>
  <c r="CB10" i="163" s="1"/>
  <c r="BV11" i="190"/>
  <c r="BA12" i="163"/>
  <c r="CE12" i="163" s="1"/>
  <c r="U12" i="143" s="1"/>
  <c r="BY13" i="190"/>
  <c r="AZ15" i="163"/>
  <c r="BX16" i="190"/>
  <c r="AZ10" i="163"/>
  <c r="CD10" i="163" s="1"/>
  <c r="N10" i="143" s="1"/>
  <c r="BX11" i="190"/>
  <c r="BW15" i="190"/>
  <c r="AY14" i="163"/>
  <c r="CC14" i="163" s="1"/>
  <c r="G14" i="143" s="1"/>
  <c r="BW25" i="190"/>
  <c r="AY24" i="163"/>
  <c r="CC24" i="163" s="1"/>
  <c r="G24" i="143" s="1"/>
  <c r="BZ12" i="159"/>
  <c r="BA38" i="163"/>
  <c r="CE38" i="163" s="1"/>
  <c r="U34" i="143" s="1"/>
  <c r="BV15" i="190"/>
  <c r="AX14" i="163"/>
  <c r="CB14" i="163" s="1"/>
  <c r="BV21" i="190"/>
  <c r="AX20" i="163"/>
  <c r="CB20" i="163" s="1"/>
  <c r="BA19" i="163"/>
  <c r="CE19" i="163" s="1"/>
  <c r="U19" i="143" s="1"/>
  <c r="BY20" i="190"/>
  <c r="AU22" i="190"/>
  <c r="AZ12" i="163"/>
  <c r="CD12" i="163" s="1"/>
  <c r="N12" i="143" s="1"/>
  <c r="BX13" i="190"/>
  <c r="BX18" i="190"/>
  <c r="AZ17" i="163"/>
  <c r="CD17" i="163" s="1"/>
  <c r="N17" i="143" s="1"/>
  <c r="BW17" i="159"/>
  <c r="BW12" i="159"/>
  <c r="AX38" i="163"/>
  <c r="CB38" i="163" s="1"/>
  <c r="BW14" i="190"/>
  <c r="AY13" i="163"/>
  <c r="CC13" i="163" s="1"/>
  <c r="G13" i="143" s="1"/>
  <c r="AY16" i="163"/>
  <c r="CC16" i="163" s="1"/>
  <c r="G16" i="143" s="1"/>
  <c r="BW17" i="190"/>
  <c r="AY38" i="163"/>
  <c r="CC38" i="163" s="1"/>
  <c r="G34" i="143" s="1"/>
  <c r="BX12" i="159"/>
  <c r="AY73" i="163"/>
  <c r="CC73" i="163" s="1"/>
  <c r="BX47" i="159"/>
  <c r="AX7" i="163"/>
  <c r="CB7" i="163" s="1"/>
  <c r="AR10" i="190"/>
  <c r="BV8" i="190"/>
  <c r="AX16" i="163"/>
  <c r="CB16" i="163" s="1"/>
  <c r="BV17" i="190"/>
  <c r="BY9" i="190"/>
  <c r="BA8" i="163"/>
  <c r="CE8" i="163" s="1"/>
  <c r="U8" i="143" s="1"/>
  <c r="AZ8" i="163"/>
  <c r="CD8" i="163" s="1"/>
  <c r="N8" i="143" s="1"/>
  <c r="BX9" i="190"/>
  <c r="AZ19" i="163"/>
  <c r="CD19" i="163" s="1"/>
  <c r="N19" i="143" s="1"/>
  <c r="BX20" i="190"/>
  <c r="AT22" i="190"/>
  <c r="BW9" i="190"/>
  <c r="AY8" i="163"/>
  <c r="CC8" i="163" s="1"/>
  <c r="G8" i="143" s="1"/>
  <c r="AY7" i="163"/>
  <c r="CC7" i="163" s="1"/>
  <c r="G7" i="143" s="1"/>
  <c r="AS10" i="190"/>
  <c r="BW8" i="190"/>
  <c r="BZ35" i="159"/>
  <c r="BA61" i="163"/>
  <c r="CE61" i="163" s="1"/>
  <c r="U57" i="143" s="1"/>
  <c r="BV13" i="190"/>
  <c r="AX12" i="163"/>
  <c r="CB12" i="163" s="1"/>
  <c r="BY14" i="190"/>
  <c r="BA13" i="163"/>
  <c r="CE13" i="163" s="1"/>
  <c r="U13" i="143" s="1"/>
  <c r="BY24" i="190"/>
  <c r="BA23" i="163"/>
  <c r="CE23" i="163" s="1"/>
  <c r="U23" i="143" s="1"/>
  <c r="BX17" i="190"/>
  <c r="AZ16" i="163"/>
  <c r="CD16" i="163" s="1"/>
  <c r="N16" i="143" s="1"/>
  <c r="AZ7" i="163"/>
  <c r="CD7" i="163" s="1"/>
  <c r="N7" i="143" s="1"/>
  <c r="AT10" i="190"/>
  <c r="BX8" i="190"/>
  <c r="BT15" i="190"/>
  <c r="AV14" i="163"/>
  <c r="BZ14" i="163" s="1"/>
  <c r="T14" i="143" s="1"/>
  <c r="AV20" i="163"/>
  <c r="BZ20" i="163" s="1"/>
  <c r="T20" i="143" s="1"/>
  <c r="BT21" i="190"/>
  <c r="BR24" i="190"/>
  <c r="AT23" i="163"/>
  <c r="BX23" i="163" s="1"/>
  <c r="F23" i="143" s="1"/>
  <c r="BR16" i="190"/>
  <c r="AT15" i="163"/>
  <c r="AU7" i="163"/>
  <c r="BY7" i="163" s="1"/>
  <c r="M7" i="143" s="1"/>
  <c r="BS8" i="190"/>
  <c r="AO10" i="190"/>
  <c r="AU16" i="163"/>
  <c r="BY16" i="163" s="1"/>
  <c r="M16" i="143" s="1"/>
  <c r="BS17" i="190"/>
  <c r="AS10" i="163"/>
  <c r="BW10" i="163" s="1"/>
  <c r="BQ11" i="190"/>
  <c r="BQ9" i="190"/>
  <c r="AS8" i="163"/>
  <c r="BW8" i="163" s="1"/>
  <c r="BT17" i="190"/>
  <c r="AV16" i="163"/>
  <c r="BZ16" i="163" s="1"/>
  <c r="T16" i="143" s="1"/>
  <c r="BT24" i="190"/>
  <c r="AV23" i="163"/>
  <c r="BZ23" i="163" s="1"/>
  <c r="T23" i="143" s="1"/>
  <c r="BR21" i="190"/>
  <c r="AT20" i="163"/>
  <c r="BX20" i="163" s="1"/>
  <c r="F20" i="143" s="1"/>
  <c r="BR15" i="190"/>
  <c r="AT14" i="163"/>
  <c r="BX14" i="163" s="1"/>
  <c r="F14" i="143" s="1"/>
  <c r="AU24" i="163"/>
  <c r="BY24" i="163" s="1"/>
  <c r="M24" i="143" s="1"/>
  <c r="BS25" i="190"/>
  <c r="AU14" i="163"/>
  <c r="BY14" i="163" s="1"/>
  <c r="M14" i="143" s="1"/>
  <c r="BS15" i="190"/>
  <c r="AS19" i="163"/>
  <c r="BW19" i="163" s="1"/>
  <c r="AM22" i="190"/>
  <c r="BQ20" i="190"/>
  <c r="BU94" i="159"/>
  <c r="AV7" i="163"/>
  <c r="BZ7" i="163" s="1"/>
  <c r="T7" i="143" s="1"/>
  <c r="BT8" i="190"/>
  <c r="AV10" i="163"/>
  <c r="BZ10" i="163" s="1"/>
  <c r="T10" i="143" s="1"/>
  <c r="BT11" i="190"/>
  <c r="BR11" i="190"/>
  <c r="AT10" i="163"/>
  <c r="BX10" i="163" s="1"/>
  <c r="F10" i="143" s="1"/>
  <c r="AT24" i="163"/>
  <c r="BX24" i="163" s="1"/>
  <c r="F24" i="143" s="1"/>
  <c r="BR25" i="190"/>
  <c r="BS11" i="190"/>
  <c r="AU10" i="163"/>
  <c r="BY10" i="163" s="1"/>
  <c r="M10" i="143" s="1"/>
  <c r="BS14" i="190"/>
  <c r="AU13" i="163"/>
  <c r="BY13" i="163" s="1"/>
  <c r="M13" i="143" s="1"/>
  <c r="BQ21" i="190"/>
  <c r="AS20" i="163"/>
  <c r="BW20" i="163" s="1"/>
  <c r="AV13" i="163"/>
  <c r="BZ13" i="163" s="1"/>
  <c r="T13" i="143" s="1"/>
  <c r="BT14" i="190"/>
  <c r="BT16" i="190"/>
  <c r="AV15" i="163"/>
  <c r="AT7" i="163"/>
  <c r="BX7" i="163" s="1"/>
  <c r="F7" i="143" s="1"/>
  <c r="BR8" i="190"/>
  <c r="AN10" i="190"/>
  <c r="BR17" i="190"/>
  <c r="AT16" i="163"/>
  <c r="BX16" i="163" s="1"/>
  <c r="F16" i="143" s="1"/>
  <c r="BS16" i="190"/>
  <c r="AU15" i="163"/>
  <c r="AU17" i="163"/>
  <c r="BY17" i="163" s="1"/>
  <c r="M17" i="143" s="1"/>
  <c r="BS18" i="190"/>
  <c r="AS7" i="163"/>
  <c r="BW7" i="163" s="1"/>
  <c r="AM10" i="190"/>
  <c r="BQ8" i="190"/>
  <c r="BT13" i="190"/>
  <c r="AV12" i="163"/>
  <c r="BZ12" i="163" s="1"/>
  <c r="T12" i="143" s="1"/>
  <c r="AT8" i="163"/>
  <c r="BX8" i="163" s="1"/>
  <c r="F8" i="143" s="1"/>
  <c r="BR9" i="190"/>
  <c r="AT12" i="163"/>
  <c r="BX12" i="163" s="1"/>
  <c r="F12" i="143" s="1"/>
  <c r="BR13" i="190"/>
  <c r="AU12" i="163"/>
  <c r="BY12" i="163" s="1"/>
  <c r="M12" i="143" s="1"/>
  <c r="BS13" i="190"/>
  <c r="BQ25" i="190"/>
  <c r="AS24" i="163"/>
  <c r="BW24" i="163" s="1"/>
  <c r="AS17" i="163"/>
  <c r="BW17" i="163" s="1"/>
  <c r="BQ18" i="190"/>
  <c r="BT9" i="190"/>
  <c r="AV8" i="163"/>
  <c r="BZ8" i="163" s="1"/>
  <c r="T8" i="143" s="1"/>
  <c r="BR14" i="190"/>
  <c r="AT13" i="163"/>
  <c r="BX13" i="163" s="1"/>
  <c r="F13" i="143" s="1"/>
  <c r="AU19" i="163"/>
  <c r="BY19" i="163" s="1"/>
  <c r="M19" i="143" s="1"/>
  <c r="AO22" i="190"/>
  <c r="BS20" i="190"/>
  <c r="BQ15" i="190"/>
  <c r="AS14" i="163"/>
  <c r="BW14" i="163" s="1"/>
  <c r="BQ17" i="190"/>
  <c r="AS16" i="163"/>
  <c r="BW16" i="163" s="1"/>
  <c r="BT18" i="190"/>
  <c r="AV17" i="163"/>
  <c r="BZ17" i="163" s="1"/>
  <c r="T17" i="143" s="1"/>
  <c r="AT19" i="163"/>
  <c r="BX19" i="163" s="1"/>
  <c r="F19" i="143" s="1"/>
  <c r="AN22" i="190"/>
  <c r="BR20" i="190"/>
  <c r="BS24" i="190"/>
  <c r="AU23" i="163"/>
  <c r="BY23" i="163" s="1"/>
  <c r="M23" i="143" s="1"/>
  <c r="BQ14" i="190"/>
  <c r="AS13" i="163"/>
  <c r="BW13" i="163" s="1"/>
  <c r="AS23" i="163"/>
  <c r="BW23" i="163" s="1"/>
  <c r="BQ24" i="190"/>
  <c r="BT25" i="190"/>
  <c r="AV24" i="163"/>
  <c r="BZ24" i="163" s="1"/>
  <c r="T24" i="143" s="1"/>
  <c r="BT20" i="190"/>
  <c r="AV19" i="163"/>
  <c r="BZ19" i="163" s="1"/>
  <c r="T19" i="143" s="1"/>
  <c r="BR18" i="190"/>
  <c r="AT17" i="163"/>
  <c r="BX17" i="163" s="1"/>
  <c r="F17" i="143" s="1"/>
  <c r="BS9" i="190"/>
  <c r="AU8" i="163"/>
  <c r="BY8" i="163" s="1"/>
  <c r="M8" i="143" s="1"/>
  <c r="BS21" i="190"/>
  <c r="AU20" i="163"/>
  <c r="BY20" i="163" s="1"/>
  <c r="M20" i="143" s="1"/>
  <c r="BQ16" i="190"/>
  <c r="AS15" i="163"/>
  <c r="BQ13" i="190"/>
  <c r="AS12" i="163"/>
  <c r="BW12" i="163" s="1"/>
  <c r="AN24" i="163"/>
  <c r="BR24" i="163" s="1"/>
  <c r="BL25" i="190"/>
  <c r="AN10" i="163"/>
  <c r="BR10" i="163" s="1"/>
  <c r="BL11" i="190"/>
  <c r="BM18" i="190"/>
  <c r="AO17" i="163"/>
  <c r="BS17" i="163" s="1"/>
  <c r="E17" i="143" s="1"/>
  <c r="BM25" i="190"/>
  <c r="AO24" i="163"/>
  <c r="BS24" i="163" s="1"/>
  <c r="E24" i="143" s="1"/>
  <c r="BN25" i="190"/>
  <c r="AP24" i="163"/>
  <c r="BT24" i="163" s="1"/>
  <c r="L24" i="143" s="1"/>
  <c r="AP7" i="163"/>
  <c r="BT7" i="163" s="1"/>
  <c r="L7" i="143" s="1"/>
  <c r="AJ10" i="190"/>
  <c r="BN8" i="190"/>
  <c r="AQ14" i="163"/>
  <c r="BU14" i="163" s="1"/>
  <c r="S14" i="143" s="1"/>
  <c r="BO15" i="190"/>
  <c r="AN7" i="163"/>
  <c r="BR7" i="163" s="1"/>
  <c r="BL8" i="190"/>
  <c r="AH10" i="190"/>
  <c r="AN19" i="163"/>
  <c r="BR19" i="163" s="1"/>
  <c r="BL20" i="190"/>
  <c r="AH22" i="190"/>
  <c r="BM14" i="190"/>
  <c r="AO13" i="163"/>
  <c r="BM13" i="190"/>
  <c r="AO12" i="163"/>
  <c r="BS12" i="163" s="1"/>
  <c r="E12" i="143" s="1"/>
  <c r="BN9" i="190"/>
  <c r="AP8" i="163"/>
  <c r="BT8" i="163" s="1"/>
  <c r="L8" i="143" s="1"/>
  <c r="AQ7" i="163"/>
  <c r="BU7" i="163" s="1"/>
  <c r="S7" i="143" s="1"/>
  <c r="AN15" i="163"/>
  <c r="BL16" i="190"/>
  <c r="AN14" i="163"/>
  <c r="BR14" i="163" s="1"/>
  <c r="BL15" i="190"/>
  <c r="AO10" i="163"/>
  <c r="BS10" i="163" s="1"/>
  <c r="E10" i="143" s="1"/>
  <c r="AC10" i="143" s="1"/>
  <c r="BM11" i="190"/>
  <c r="BM21" i="190"/>
  <c r="AO20" i="163"/>
  <c r="BS20" i="163" s="1"/>
  <c r="E20" i="143" s="1"/>
  <c r="BN17" i="190"/>
  <c r="AP16" i="163"/>
  <c r="BT16" i="163" s="1"/>
  <c r="L16" i="143" s="1"/>
  <c r="BO16" i="190"/>
  <c r="AQ15" i="163"/>
  <c r="AN12" i="163"/>
  <c r="BR12" i="163" s="1"/>
  <c r="BL13" i="190"/>
  <c r="AN20" i="163"/>
  <c r="BR20" i="163" s="1"/>
  <c r="BL21" i="190"/>
  <c r="BM24" i="190"/>
  <c r="AO23" i="163"/>
  <c r="BS23" i="163" s="1"/>
  <c r="E23" i="143" s="1"/>
  <c r="AO8" i="163"/>
  <c r="BS8" i="163" s="1"/>
  <c r="E8" i="143" s="1"/>
  <c r="BM9" i="190"/>
  <c r="AP14" i="163"/>
  <c r="BT14" i="163" s="1"/>
  <c r="L14" i="143" s="1"/>
  <c r="BN15" i="190"/>
  <c r="AQ10" i="163"/>
  <c r="BU10" i="163" s="1"/>
  <c r="S10" i="143" s="1"/>
  <c r="BO11" i="190"/>
  <c r="AQ13" i="163"/>
  <c r="BO14" i="190"/>
  <c r="AN17" i="163"/>
  <c r="BR17" i="163" s="1"/>
  <c r="BL18" i="190"/>
  <c r="AN13" i="163"/>
  <c r="BR13" i="163" s="1"/>
  <c r="BL14" i="190"/>
  <c r="AO7" i="163"/>
  <c r="BS7" i="163" s="1"/>
  <c r="E7" i="143" s="1"/>
  <c r="BM8" i="190"/>
  <c r="AI10" i="190"/>
  <c r="BN16" i="190"/>
  <c r="AP15" i="163"/>
  <c r="BO13" i="190"/>
  <c r="AQ12" i="163"/>
  <c r="BU12" i="163" s="1"/>
  <c r="S12" i="143" s="1"/>
  <c r="BO21" i="190"/>
  <c r="AQ20" i="163"/>
  <c r="BU20" i="163" s="1"/>
  <c r="S20" i="143" s="1"/>
  <c r="AN16" i="163"/>
  <c r="BR16" i="163" s="1"/>
  <c r="BL17" i="190"/>
  <c r="AO19" i="163"/>
  <c r="BS19" i="163" s="1"/>
  <c r="E19" i="143" s="1"/>
  <c r="AI22" i="190"/>
  <c r="BM20" i="190"/>
  <c r="BN21" i="190"/>
  <c r="AP20" i="163"/>
  <c r="BT20" i="163" s="1"/>
  <c r="L20" i="143" s="1"/>
  <c r="BN24" i="190"/>
  <c r="AP23" i="163"/>
  <c r="BT23" i="163" s="1"/>
  <c r="L23" i="143" s="1"/>
  <c r="AQ8" i="163"/>
  <c r="BU8" i="163" s="1"/>
  <c r="S8" i="143" s="1"/>
  <c r="BO9" i="190"/>
  <c r="BO25" i="190"/>
  <c r="AQ24" i="163"/>
  <c r="BU24" i="163" s="1"/>
  <c r="S24" i="143" s="1"/>
  <c r="AN8" i="163"/>
  <c r="BR8" i="163" s="1"/>
  <c r="BL9" i="190"/>
  <c r="BM16" i="190"/>
  <c r="AO15" i="163"/>
  <c r="BN18" i="190"/>
  <c r="AP17" i="163"/>
  <c r="BT17" i="163" s="1"/>
  <c r="L17" i="143" s="1"/>
  <c r="AP19" i="163"/>
  <c r="BT19" i="163" s="1"/>
  <c r="L19" i="143" s="1"/>
  <c r="BN20" i="190"/>
  <c r="AJ22" i="190"/>
  <c r="BO17" i="190"/>
  <c r="AQ16" i="163"/>
  <c r="BU16" i="163" s="1"/>
  <c r="S16" i="143" s="1"/>
  <c r="BO24" i="190"/>
  <c r="AQ23" i="163"/>
  <c r="BU23" i="163" s="1"/>
  <c r="S23" i="143" s="1"/>
  <c r="AN23" i="163"/>
  <c r="BR23" i="163" s="1"/>
  <c r="BL24" i="190"/>
  <c r="BM15" i="190"/>
  <c r="AO14" i="163"/>
  <c r="BS14" i="163" s="1"/>
  <c r="E14" i="143" s="1"/>
  <c r="AO16" i="163"/>
  <c r="BS16" i="163" s="1"/>
  <c r="E16" i="143" s="1"/>
  <c r="BM17" i="190"/>
  <c r="AP12" i="163"/>
  <c r="BT12" i="163" s="1"/>
  <c r="L12" i="143" s="1"/>
  <c r="BN13" i="190"/>
  <c r="BN11" i="190"/>
  <c r="AP10" i="163"/>
  <c r="BT10" i="163" s="1"/>
  <c r="L10" i="143" s="1"/>
  <c r="AQ19" i="163"/>
  <c r="BU19" i="163" s="1"/>
  <c r="S19" i="143" s="1"/>
  <c r="BO20" i="190"/>
  <c r="AQ17" i="163"/>
  <c r="BU17" i="163" s="1"/>
  <c r="S17" i="143" s="1"/>
  <c r="BO18" i="190"/>
  <c r="AJ108" i="143"/>
  <c r="AJ121" i="143"/>
  <c r="AG104" i="143"/>
  <c r="V96" i="163"/>
  <c r="AD96" i="163"/>
  <c r="AD151" i="163" s="1"/>
  <c r="AD125" i="159"/>
  <c r="AJ19" i="143"/>
  <c r="BF11" i="163"/>
  <c r="CJ11" i="163" s="1"/>
  <c r="BX123" i="163"/>
  <c r="F121" i="143" s="1"/>
  <c r="AL12" i="163"/>
  <c r="CJ12" i="163"/>
  <c r="V12" i="143" s="1"/>
  <c r="CJ17" i="163"/>
  <c r="V17" i="143" s="1"/>
  <c r="AL17" i="163"/>
  <c r="AL10" i="163"/>
  <c r="AL31" i="163" s="1"/>
  <c r="CJ10" i="163"/>
  <c r="V10" i="143" s="1"/>
  <c r="V11" i="143" s="1"/>
  <c r="AY84" i="163"/>
  <c r="CC84" i="163" s="1"/>
  <c r="G80" i="143" s="1"/>
  <c r="BX58" i="159"/>
  <c r="AY71" i="163"/>
  <c r="CC71" i="163" s="1"/>
  <c r="G67" i="143" s="1"/>
  <c r="BX45" i="159"/>
  <c r="AT44" i="159"/>
  <c r="AY127" i="163"/>
  <c r="CC127" i="163" s="1"/>
  <c r="G125" i="143" s="1"/>
  <c r="BX101" i="159"/>
  <c r="AY86" i="163"/>
  <c r="CC86" i="163" s="1"/>
  <c r="G82" i="143" s="1"/>
  <c r="BX60" i="159"/>
  <c r="AT16" i="159"/>
  <c r="AY43" i="163"/>
  <c r="CC43" i="163" s="1"/>
  <c r="G39" i="143" s="1"/>
  <c r="BX17" i="159"/>
  <c r="AY119" i="163"/>
  <c r="CC119" i="163" s="1"/>
  <c r="G117" i="143" s="1"/>
  <c r="BX93" i="159"/>
  <c r="AY66" i="163"/>
  <c r="CC66" i="163" s="1"/>
  <c r="G62" i="143" s="1"/>
  <c r="BX40" i="159"/>
  <c r="AY140" i="163"/>
  <c r="CC140" i="163" s="1"/>
  <c r="G138" i="143" s="1"/>
  <c r="BX114" i="159"/>
  <c r="AY94" i="163"/>
  <c r="CC94" i="163" s="1"/>
  <c r="G90" i="143" s="1"/>
  <c r="BX68" i="159"/>
  <c r="AY56" i="163"/>
  <c r="CC56" i="163" s="1"/>
  <c r="G52" i="143" s="1"/>
  <c r="BX30" i="159"/>
  <c r="AY118" i="163"/>
  <c r="CC118" i="163" s="1"/>
  <c r="G116" i="143" s="1"/>
  <c r="BX92" i="159"/>
  <c r="AY103" i="163"/>
  <c r="CC103" i="163" s="1"/>
  <c r="G101" i="143" s="1"/>
  <c r="BX77" i="159"/>
  <c r="BX112" i="159"/>
  <c r="AY138" i="163"/>
  <c r="CC138" i="163" s="1"/>
  <c r="G136" i="143" s="1"/>
  <c r="AY112" i="163"/>
  <c r="CC112" i="163" s="1"/>
  <c r="G110" i="143" s="1"/>
  <c r="BX86" i="159"/>
  <c r="AY48" i="163"/>
  <c r="CC48" i="163" s="1"/>
  <c r="G44" i="143" s="1"/>
  <c r="BX22" i="159"/>
  <c r="AY136" i="163"/>
  <c r="CC136" i="163" s="1"/>
  <c r="G134" i="143" s="1"/>
  <c r="BX110" i="159"/>
  <c r="AY109" i="163"/>
  <c r="CC109" i="163" s="1"/>
  <c r="G107" i="143" s="1"/>
  <c r="BX83" i="159"/>
  <c r="AY121" i="163"/>
  <c r="CC121" i="163" s="1"/>
  <c r="G119" i="143" s="1"/>
  <c r="BX95" i="159"/>
  <c r="AY63" i="163"/>
  <c r="CC63" i="163" s="1"/>
  <c r="G59" i="143" s="1"/>
  <c r="BX37" i="159"/>
  <c r="AY44" i="163"/>
  <c r="CC44" i="163" s="1"/>
  <c r="G40" i="143" s="1"/>
  <c r="BX18" i="159"/>
  <c r="AY106" i="163"/>
  <c r="CC106" i="163" s="1"/>
  <c r="G104" i="143" s="1"/>
  <c r="BX80" i="159"/>
  <c r="BX23" i="159"/>
  <c r="AY49" i="163"/>
  <c r="CC49" i="163" s="1"/>
  <c r="G45" i="143" s="1"/>
  <c r="BX97" i="159"/>
  <c r="AY123" i="163"/>
  <c r="CC123" i="163" s="1"/>
  <c r="G121" i="143" s="1"/>
  <c r="AY57" i="163"/>
  <c r="CC57" i="163" s="1"/>
  <c r="G53" i="143" s="1"/>
  <c r="BX31" i="159"/>
  <c r="AY148" i="163"/>
  <c r="CC148" i="163" s="1"/>
  <c r="G146" i="143" s="1"/>
  <c r="BX122" i="159"/>
  <c r="AY139" i="163"/>
  <c r="CC139" i="163" s="1"/>
  <c r="G137" i="143" s="1"/>
  <c r="BX113" i="159"/>
  <c r="AY52" i="163"/>
  <c r="CC52" i="163" s="1"/>
  <c r="G48" i="143" s="1"/>
  <c r="AT25" i="159"/>
  <c r="BX26" i="159"/>
  <c r="AY89" i="163"/>
  <c r="CC89" i="163" s="1"/>
  <c r="G85" i="143" s="1"/>
  <c r="BX63" i="159"/>
  <c r="AY53" i="163"/>
  <c r="CC53" i="163" s="1"/>
  <c r="G49" i="143" s="1"/>
  <c r="BX27" i="159"/>
  <c r="AY135" i="163"/>
  <c r="CC135" i="163" s="1"/>
  <c r="G133" i="143" s="1"/>
  <c r="BX109" i="159"/>
  <c r="AY105" i="163"/>
  <c r="CC105" i="163" s="1"/>
  <c r="G103" i="143" s="1"/>
  <c r="BX79" i="159"/>
  <c r="BX24" i="159"/>
  <c r="AY50" i="163"/>
  <c r="CC50" i="163" s="1"/>
  <c r="G46" i="143" s="1"/>
  <c r="BX100" i="159"/>
  <c r="AY126" i="163"/>
  <c r="CC126" i="163" s="1"/>
  <c r="G124" i="143" s="1"/>
  <c r="AY93" i="163"/>
  <c r="CC93" i="163" s="1"/>
  <c r="G89" i="143" s="1"/>
  <c r="BX67" i="159"/>
  <c r="AY132" i="163"/>
  <c r="CC132" i="163" s="1"/>
  <c r="G130" i="143" s="1"/>
  <c r="BX106" i="159"/>
  <c r="AY81" i="163"/>
  <c r="CC81" i="163" s="1"/>
  <c r="G77" i="143" s="1"/>
  <c r="BX55" i="159"/>
  <c r="AY41" i="163"/>
  <c r="CC41" i="163" s="1"/>
  <c r="G37" i="143" s="1"/>
  <c r="BX15" i="159"/>
  <c r="AY125" i="163"/>
  <c r="CC125" i="163" s="1"/>
  <c r="G123" i="143" s="1"/>
  <c r="BX99" i="159"/>
  <c r="AY83" i="163"/>
  <c r="CC83" i="163" s="1"/>
  <c r="G79" i="143" s="1"/>
  <c r="AT56" i="159"/>
  <c r="BX57" i="159"/>
  <c r="AY40" i="163"/>
  <c r="CC40" i="163" s="1"/>
  <c r="G36" i="143" s="1"/>
  <c r="BX14" i="159"/>
  <c r="AY117" i="163"/>
  <c r="CC117" i="163" s="1"/>
  <c r="G115" i="143" s="1"/>
  <c r="BX91" i="159"/>
  <c r="AY64" i="163"/>
  <c r="CC64" i="163" s="1"/>
  <c r="G60" i="143" s="1"/>
  <c r="BX38" i="159"/>
  <c r="AY143" i="163"/>
  <c r="CC143" i="163" s="1"/>
  <c r="G141" i="143" s="1"/>
  <c r="BX117" i="159"/>
  <c r="AY80" i="163"/>
  <c r="CC80" i="163" s="1"/>
  <c r="G76" i="143" s="1"/>
  <c r="BX54" i="159"/>
  <c r="AY39" i="163"/>
  <c r="CC39" i="163" s="1"/>
  <c r="G35" i="143" s="1"/>
  <c r="BX13" i="159"/>
  <c r="AY141" i="163"/>
  <c r="CC141" i="163" s="1"/>
  <c r="G139" i="143" s="1"/>
  <c r="BX115" i="159"/>
  <c r="AY77" i="163"/>
  <c r="CC77" i="163" s="1"/>
  <c r="G73" i="143" s="1"/>
  <c r="BX51" i="159"/>
  <c r="AY146" i="163"/>
  <c r="CC146" i="163" s="1"/>
  <c r="G144" i="143" s="1"/>
  <c r="BX120" i="159"/>
  <c r="AY92" i="163"/>
  <c r="CC92" i="163" s="1"/>
  <c r="G88" i="143" s="1"/>
  <c r="AT65" i="159"/>
  <c r="BX66" i="159"/>
  <c r="AY110" i="163"/>
  <c r="CC110" i="163" s="1"/>
  <c r="G108" i="143" s="1"/>
  <c r="BX84" i="159"/>
  <c r="AY134" i="163"/>
  <c r="CC134" i="163" s="1"/>
  <c r="G132" i="143" s="1"/>
  <c r="BX108" i="159"/>
  <c r="AY107" i="163"/>
  <c r="CC107" i="163" s="1"/>
  <c r="G105" i="143" s="1"/>
  <c r="BX81" i="159"/>
  <c r="AY58" i="163"/>
  <c r="CC58" i="163" s="1"/>
  <c r="G54" i="143" s="1"/>
  <c r="BX32" i="159"/>
  <c r="AY147" i="163"/>
  <c r="CC147" i="163" s="1"/>
  <c r="BX121" i="159"/>
  <c r="BX46" i="159"/>
  <c r="AY72" i="163"/>
  <c r="CC72" i="163" s="1"/>
  <c r="G68" i="143" s="1"/>
  <c r="G66" i="143" s="1"/>
  <c r="AY116" i="163"/>
  <c r="CC116" i="163" s="1"/>
  <c r="G114" i="143" s="1"/>
  <c r="BX90" i="159"/>
  <c r="AT89" i="159"/>
  <c r="AY79" i="163"/>
  <c r="CC79" i="163" s="1"/>
  <c r="BX53" i="159"/>
  <c r="AY145" i="163"/>
  <c r="CC145" i="163" s="1"/>
  <c r="G143" i="143" s="1"/>
  <c r="BX119" i="159"/>
  <c r="AY67" i="163"/>
  <c r="CC67" i="163" s="1"/>
  <c r="G63" i="143" s="1"/>
  <c r="BX41" i="159"/>
  <c r="BX85" i="159"/>
  <c r="AY111" i="163"/>
  <c r="CC111" i="163" s="1"/>
  <c r="G109" i="143" s="1"/>
  <c r="AY59" i="163"/>
  <c r="CC59" i="163" s="1"/>
  <c r="G55" i="143" s="1"/>
  <c r="BX33" i="159"/>
  <c r="BX61" i="159"/>
  <c r="AY87" i="163"/>
  <c r="CC87" i="163" s="1"/>
  <c r="G83" i="143" s="1"/>
  <c r="AY75" i="163"/>
  <c r="CC75" i="163" s="1"/>
  <c r="G71" i="143" s="1"/>
  <c r="BX49" i="159"/>
  <c r="AY133" i="163"/>
  <c r="CC133" i="163" s="1"/>
  <c r="G131" i="143" s="1"/>
  <c r="BX107" i="159"/>
  <c r="AY88" i="163"/>
  <c r="CC88" i="163" s="1"/>
  <c r="G84" i="143" s="1"/>
  <c r="BX62" i="159"/>
  <c r="AY47" i="163"/>
  <c r="CC47" i="163" s="1"/>
  <c r="G43" i="143" s="1"/>
  <c r="BX21" i="159"/>
  <c r="AY122" i="163"/>
  <c r="CC122" i="163" s="1"/>
  <c r="G120" i="143" s="1"/>
  <c r="BX96" i="159"/>
  <c r="AY68" i="163"/>
  <c r="CC68" i="163" s="1"/>
  <c r="G64" i="143" s="1"/>
  <c r="BX42" i="159"/>
  <c r="AY142" i="163"/>
  <c r="CC142" i="163" s="1"/>
  <c r="G140" i="143" s="1"/>
  <c r="BX116" i="159"/>
  <c r="BX64" i="159"/>
  <c r="AY90" i="163"/>
  <c r="CC90" i="163" s="1"/>
  <c r="G86" i="143" s="1"/>
  <c r="BX10" i="159"/>
  <c r="AT9" i="159"/>
  <c r="AY36" i="163"/>
  <c r="CC36" i="163" s="1"/>
  <c r="G32" i="143" s="1"/>
  <c r="AY128" i="163"/>
  <c r="CC128" i="163" s="1"/>
  <c r="G126" i="143" s="1"/>
  <c r="BX102" i="159"/>
  <c r="AY95" i="163"/>
  <c r="CC95" i="163" s="1"/>
  <c r="G91" i="143" s="1"/>
  <c r="BX69" i="159"/>
  <c r="AY114" i="163"/>
  <c r="CC114" i="163" s="1"/>
  <c r="G112" i="143" s="1"/>
  <c r="BX88" i="159"/>
  <c r="AY62" i="163"/>
  <c r="CC62" i="163" s="1"/>
  <c r="G58" i="143" s="1"/>
  <c r="BX36" i="159"/>
  <c r="AY144" i="163"/>
  <c r="CC144" i="163" s="1"/>
  <c r="G142" i="143" s="1"/>
  <c r="BX118" i="159"/>
  <c r="AY78" i="163"/>
  <c r="CC78" i="163" s="1"/>
  <c r="G74" i="143" s="1"/>
  <c r="BX52" i="159"/>
  <c r="AY37" i="163"/>
  <c r="CC37" i="163" s="1"/>
  <c r="G33" i="143" s="1"/>
  <c r="BX11" i="159"/>
  <c r="BX105" i="159"/>
  <c r="AT104" i="159"/>
  <c r="AY131" i="163"/>
  <c r="CC131" i="163" s="1"/>
  <c r="BX39" i="159"/>
  <c r="AY65" i="163"/>
  <c r="CC65" i="163" s="1"/>
  <c r="G61" i="143" s="1"/>
  <c r="AY104" i="163"/>
  <c r="CC104" i="163" s="1"/>
  <c r="G102" i="143" s="1"/>
  <c r="BX78" i="159"/>
  <c r="AY120" i="163"/>
  <c r="CC120" i="163" s="1"/>
  <c r="G118" i="143" s="1"/>
  <c r="BX94" i="159"/>
  <c r="AY102" i="163"/>
  <c r="CC102" i="163" s="1"/>
  <c r="G100" i="143" s="1"/>
  <c r="BX76" i="159"/>
  <c r="AY46" i="163"/>
  <c r="CC46" i="163" s="1"/>
  <c r="G42" i="143" s="1"/>
  <c r="BX20" i="159"/>
  <c r="AY124" i="163"/>
  <c r="CC124" i="163" s="1"/>
  <c r="G122" i="143" s="1"/>
  <c r="BX98" i="159"/>
  <c r="AY74" i="163"/>
  <c r="CC74" i="163" s="1"/>
  <c r="G70" i="143" s="1"/>
  <c r="BX48" i="159"/>
  <c r="AY101" i="163"/>
  <c r="CC101" i="163" s="1"/>
  <c r="G99" i="143" s="1"/>
  <c r="AT74" i="159"/>
  <c r="BX75" i="159"/>
  <c r="AT28" i="159"/>
  <c r="BX29" i="159"/>
  <c r="AY55" i="163"/>
  <c r="CC55" i="163" s="1"/>
  <c r="G51" i="143" s="1"/>
  <c r="AY137" i="163"/>
  <c r="CC137" i="163" s="1"/>
  <c r="G135" i="143" s="1"/>
  <c r="BX111" i="159"/>
  <c r="AY113" i="163"/>
  <c r="CC113" i="163" s="1"/>
  <c r="G111" i="143" s="1"/>
  <c r="BX87" i="159"/>
  <c r="AY45" i="163"/>
  <c r="CC45" i="163" s="1"/>
  <c r="G41" i="143" s="1"/>
  <c r="BX19" i="159"/>
  <c r="AY108" i="163"/>
  <c r="CC108" i="163" s="1"/>
  <c r="G106" i="143" s="1"/>
  <c r="BX82" i="159"/>
  <c r="AY149" i="163"/>
  <c r="CC149" i="163" s="1"/>
  <c r="G147" i="143" s="1"/>
  <c r="BX123" i="159"/>
  <c r="BO91" i="163"/>
  <c r="CS91" i="163" s="1"/>
  <c r="CN65" i="159"/>
  <c r="AO37" i="163"/>
  <c r="BS37" i="163" s="1"/>
  <c r="E33" i="143" s="1"/>
  <c r="BN11" i="159"/>
  <c r="AO46" i="163"/>
  <c r="BS46" i="163" s="1"/>
  <c r="E42" i="143" s="1"/>
  <c r="BN20" i="159"/>
  <c r="AO59" i="163"/>
  <c r="BS59" i="163" s="1"/>
  <c r="E55" i="143" s="1"/>
  <c r="BN33" i="159"/>
  <c r="AO65" i="163"/>
  <c r="BS65" i="163" s="1"/>
  <c r="E61" i="143" s="1"/>
  <c r="BN39" i="159"/>
  <c r="AO90" i="163"/>
  <c r="BS90" i="163" s="1"/>
  <c r="E86" i="143" s="1"/>
  <c r="BN64" i="159"/>
  <c r="AO104" i="163"/>
  <c r="BS104" i="163" s="1"/>
  <c r="E102" i="143" s="1"/>
  <c r="J102" i="143" s="1"/>
  <c r="BN78" i="159"/>
  <c r="AO106" i="163"/>
  <c r="BS106" i="163" s="1"/>
  <c r="E104" i="143" s="1"/>
  <c r="J104" i="143" s="1"/>
  <c r="BN80" i="159"/>
  <c r="AO110" i="163"/>
  <c r="BS110" i="163" s="1"/>
  <c r="E108" i="143" s="1"/>
  <c r="BN84" i="159"/>
  <c r="AO118" i="163"/>
  <c r="BS118" i="163" s="1"/>
  <c r="E116" i="143" s="1"/>
  <c r="J116" i="143" s="1"/>
  <c r="BN92" i="159"/>
  <c r="AO125" i="163"/>
  <c r="BS125" i="163" s="1"/>
  <c r="E123" i="143" s="1"/>
  <c r="BN99" i="159"/>
  <c r="AO140" i="163"/>
  <c r="BS140" i="163" s="1"/>
  <c r="E138" i="143" s="1"/>
  <c r="BN114" i="159"/>
  <c r="AO145" i="163"/>
  <c r="BS145" i="163" s="1"/>
  <c r="E143" i="143" s="1"/>
  <c r="BN119" i="159"/>
  <c r="BO42" i="163"/>
  <c r="CS42" i="163" s="1"/>
  <c r="CN16" i="159"/>
  <c r="BP91" i="163"/>
  <c r="CT91" i="163" s="1"/>
  <c r="CO65" i="159"/>
  <c r="AN43" i="163"/>
  <c r="BR43" i="163" s="1"/>
  <c r="BM17" i="159"/>
  <c r="AI16" i="159"/>
  <c r="AN62" i="163"/>
  <c r="BR62" i="163" s="1"/>
  <c r="BM36" i="159"/>
  <c r="AI35" i="159"/>
  <c r="AN47" i="163"/>
  <c r="BR47" i="163" s="1"/>
  <c r="BM21" i="159"/>
  <c r="AN52" i="163"/>
  <c r="BR52" i="163" s="1"/>
  <c r="AI25" i="159"/>
  <c r="BM26" i="159"/>
  <c r="AN77" i="163"/>
  <c r="BR77" i="163" s="1"/>
  <c r="BM51" i="159"/>
  <c r="AI50" i="159"/>
  <c r="AN92" i="163"/>
  <c r="BR92" i="163" s="1"/>
  <c r="E88" i="143" s="1"/>
  <c r="BM66" i="159"/>
  <c r="AI65" i="159"/>
  <c r="AN89" i="163"/>
  <c r="BR89" i="163" s="1"/>
  <c r="BM63" i="159"/>
  <c r="AN93" i="163"/>
  <c r="BR93" i="163" s="1"/>
  <c r="E89" i="143" s="1"/>
  <c r="BM67" i="159"/>
  <c r="AN105" i="163"/>
  <c r="BR105" i="163" s="1"/>
  <c r="BM79" i="159"/>
  <c r="AN126" i="163"/>
  <c r="BR126" i="163" s="1"/>
  <c r="BM100" i="159"/>
  <c r="AN119" i="163"/>
  <c r="BR119" i="163" s="1"/>
  <c r="BM93" i="159"/>
  <c r="AN131" i="163"/>
  <c r="BR131" i="163" s="1"/>
  <c r="BM105" i="159"/>
  <c r="BP54" i="163"/>
  <c r="CT54" i="163" s="1"/>
  <c r="CO28" i="159"/>
  <c r="BD69" i="163"/>
  <c r="CH69" i="163" s="1"/>
  <c r="H65" i="143" s="1"/>
  <c r="H56" i="143" s="1"/>
  <c r="AY34" i="159"/>
  <c r="AY70" i="159" s="1"/>
  <c r="CC43" i="159"/>
  <c r="BJ99" i="163"/>
  <c r="CN99" i="163" s="1"/>
  <c r="CI73" i="159"/>
  <c r="AJ60" i="163"/>
  <c r="AQ46" i="163"/>
  <c r="BU46" i="163" s="1"/>
  <c r="S42" i="143" s="1"/>
  <c r="BP20" i="159"/>
  <c r="AQ75" i="163"/>
  <c r="BU75" i="163" s="1"/>
  <c r="S71" i="143" s="1"/>
  <c r="BP49" i="159"/>
  <c r="AQ64" i="163"/>
  <c r="BU64" i="163" s="1"/>
  <c r="S60" i="143" s="1"/>
  <c r="BP38" i="159"/>
  <c r="AQ77" i="163"/>
  <c r="BU77" i="163" s="1"/>
  <c r="S73" i="143" s="1"/>
  <c r="BP51" i="159"/>
  <c r="AQ86" i="163"/>
  <c r="BU86" i="163" s="1"/>
  <c r="S82" i="143" s="1"/>
  <c r="BP60" i="159"/>
  <c r="AQ87" i="163"/>
  <c r="BU87" i="163" s="1"/>
  <c r="S83" i="143" s="1"/>
  <c r="BP61" i="159"/>
  <c r="CT61" i="159" s="1"/>
  <c r="DD61" i="159" s="1"/>
  <c r="AQ117" i="163"/>
  <c r="BU117" i="163" s="1"/>
  <c r="S115" i="143" s="1"/>
  <c r="BP91" i="159"/>
  <c r="AQ149" i="163"/>
  <c r="BU149" i="163" s="1"/>
  <c r="S147" i="143" s="1"/>
  <c r="X147" i="143" s="1"/>
  <c r="BP123" i="159"/>
  <c r="AQ135" i="163"/>
  <c r="BU135" i="163" s="1"/>
  <c r="S133" i="143" s="1"/>
  <c r="BP109" i="159"/>
  <c r="AQ144" i="163"/>
  <c r="BU144" i="163" s="1"/>
  <c r="S142" i="143" s="1"/>
  <c r="X142" i="143" s="1"/>
  <c r="BP118" i="159"/>
  <c r="BM42" i="163"/>
  <c r="CQ42" i="163" s="1"/>
  <c r="CL16" i="159"/>
  <c r="BN35" i="163"/>
  <c r="CR35" i="163" s="1"/>
  <c r="BI8" i="159"/>
  <c r="CM9" i="159"/>
  <c r="AP58" i="163"/>
  <c r="BT58" i="163" s="1"/>
  <c r="L54" i="143" s="1"/>
  <c r="BO32" i="159"/>
  <c r="AP44" i="163"/>
  <c r="BT44" i="163" s="1"/>
  <c r="L40" i="143" s="1"/>
  <c r="BO18" i="159"/>
  <c r="AP68" i="163"/>
  <c r="BT68" i="163" s="1"/>
  <c r="L64" i="143" s="1"/>
  <c r="BO42" i="159"/>
  <c r="AP45" i="163"/>
  <c r="BT45" i="163" s="1"/>
  <c r="L41" i="143" s="1"/>
  <c r="BO19" i="159"/>
  <c r="AP86" i="163"/>
  <c r="BT86" i="163" s="1"/>
  <c r="L82" i="143" s="1"/>
  <c r="BO60" i="159"/>
  <c r="AP120" i="163"/>
  <c r="BT120" i="163" s="1"/>
  <c r="L118" i="143" s="1"/>
  <c r="BO94" i="159"/>
  <c r="AP87" i="163"/>
  <c r="BT87" i="163" s="1"/>
  <c r="L83" i="143" s="1"/>
  <c r="BO61" i="159"/>
  <c r="AP95" i="163"/>
  <c r="BT95" i="163" s="1"/>
  <c r="L91" i="143" s="1"/>
  <c r="BO69" i="159"/>
  <c r="AP119" i="163"/>
  <c r="BT119" i="163" s="1"/>
  <c r="L117" i="143" s="1"/>
  <c r="BO93" i="159"/>
  <c r="AP139" i="163"/>
  <c r="BT139" i="163" s="1"/>
  <c r="L137" i="143" s="1"/>
  <c r="BO113" i="159"/>
  <c r="AP147" i="163"/>
  <c r="BT147" i="163" s="1"/>
  <c r="BO121" i="159"/>
  <c r="AP142" i="163"/>
  <c r="BT142" i="163" s="1"/>
  <c r="L140" i="143" s="1"/>
  <c r="BO116" i="159"/>
  <c r="AO41" i="163"/>
  <c r="BS41" i="163" s="1"/>
  <c r="E37" i="143" s="1"/>
  <c r="BN15" i="159"/>
  <c r="AF96" i="163"/>
  <c r="K150" i="163"/>
  <c r="K151" i="163" s="1"/>
  <c r="K125" i="159"/>
  <c r="BP51" i="163"/>
  <c r="CT51" i="163" s="1"/>
  <c r="CO25" i="159"/>
  <c r="AO39" i="163"/>
  <c r="BS39" i="163" s="1"/>
  <c r="E35" i="143" s="1"/>
  <c r="AJ12" i="159"/>
  <c r="BN13" i="159"/>
  <c r="AO48" i="163"/>
  <c r="BS48" i="163" s="1"/>
  <c r="E44" i="143" s="1"/>
  <c r="BN22" i="159"/>
  <c r="AO86" i="163"/>
  <c r="BS86" i="163" s="1"/>
  <c r="E82" i="143" s="1"/>
  <c r="BN60" i="159"/>
  <c r="AO67" i="163"/>
  <c r="BS67" i="163" s="1"/>
  <c r="E63" i="143" s="1"/>
  <c r="BN41" i="159"/>
  <c r="AO92" i="163"/>
  <c r="BS92" i="163" s="1"/>
  <c r="BN66" i="159"/>
  <c r="AJ65" i="159"/>
  <c r="AO111" i="163"/>
  <c r="BS111" i="163" s="1"/>
  <c r="E109" i="143" s="1"/>
  <c r="BN85" i="159"/>
  <c r="AO108" i="163"/>
  <c r="BS108" i="163" s="1"/>
  <c r="E106" i="143" s="1"/>
  <c r="BN82" i="159"/>
  <c r="AO112" i="163"/>
  <c r="BS112" i="163" s="1"/>
  <c r="E110" i="143" s="1"/>
  <c r="BN86" i="159"/>
  <c r="AO120" i="163"/>
  <c r="BS120" i="163" s="1"/>
  <c r="E118" i="143" s="1"/>
  <c r="BN94" i="159"/>
  <c r="AO127" i="163"/>
  <c r="BS127" i="163" s="1"/>
  <c r="E125" i="143" s="1"/>
  <c r="BN101" i="159"/>
  <c r="AO149" i="163"/>
  <c r="BS149" i="163" s="1"/>
  <c r="E147" i="143" s="1"/>
  <c r="BN123" i="159"/>
  <c r="BJ69" i="163"/>
  <c r="CN69" i="163" s="1"/>
  <c r="P65" i="143" s="1"/>
  <c r="P56" i="143" s="1"/>
  <c r="BE34" i="159"/>
  <c r="CI43" i="159"/>
  <c r="Q96" i="163"/>
  <c r="Q125" i="159"/>
  <c r="DA99" i="163"/>
  <c r="AN45" i="163"/>
  <c r="BR45" i="163" s="1"/>
  <c r="BM19" i="159"/>
  <c r="AN66" i="163"/>
  <c r="BR66" i="163" s="1"/>
  <c r="BM40" i="159"/>
  <c r="AN55" i="163"/>
  <c r="BR55" i="163" s="1"/>
  <c r="BM29" i="159"/>
  <c r="AI28" i="159"/>
  <c r="AN74" i="163"/>
  <c r="BR74" i="163" s="1"/>
  <c r="AI47" i="159"/>
  <c r="BM48" i="159"/>
  <c r="AN78" i="163"/>
  <c r="BR78" i="163" s="1"/>
  <c r="BM52" i="159"/>
  <c r="AN102" i="163"/>
  <c r="BR102" i="163" s="1"/>
  <c r="BM76" i="159"/>
  <c r="AN101" i="163"/>
  <c r="BR101" i="163" s="1"/>
  <c r="AI74" i="159"/>
  <c r="BM75" i="159"/>
  <c r="AN95" i="163"/>
  <c r="BR95" i="163" s="1"/>
  <c r="E91" i="143" s="1"/>
  <c r="BM69" i="159"/>
  <c r="AN122" i="163"/>
  <c r="BR122" i="163" s="1"/>
  <c r="BM96" i="159"/>
  <c r="CQ96" i="159" s="1"/>
  <c r="DA96" i="159" s="1"/>
  <c r="AN123" i="163"/>
  <c r="BR123" i="163" s="1"/>
  <c r="BM97" i="159"/>
  <c r="AN121" i="163"/>
  <c r="BR121" i="163" s="1"/>
  <c r="BM95" i="159"/>
  <c r="AN139" i="163"/>
  <c r="BR139" i="163" s="1"/>
  <c r="BM113" i="159"/>
  <c r="AF125" i="159"/>
  <c r="BE11" i="163"/>
  <c r="CI11" i="163" s="1"/>
  <c r="AI60" i="163"/>
  <c r="AQ45" i="163"/>
  <c r="BU45" i="163" s="1"/>
  <c r="S41" i="143" s="1"/>
  <c r="BP19" i="159"/>
  <c r="AQ93" i="163"/>
  <c r="BU93" i="163" s="1"/>
  <c r="S89" i="143" s="1"/>
  <c r="BP67" i="159"/>
  <c r="AQ66" i="163"/>
  <c r="BU66" i="163" s="1"/>
  <c r="S62" i="143" s="1"/>
  <c r="BP40" i="159"/>
  <c r="AQ81" i="163"/>
  <c r="BU81" i="163" s="1"/>
  <c r="S77" i="143" s="1"/>
  <c r="BP55" i="159"/>
  <c r="AQ88" i="163"/>
  <c r="BU88" i="163" s="1"/>
  <c r="S84" i="143" s="1"/>
  <c r="BP62" i="159"/>
  <c r="AQ80" i="163"/>
  <c r="BU80" i="163" s="1"/>
  <c r="S76" i="143" s="1"/>
  <c r="BP54" i="159"/>
  <c r="AQ119" i="163"/>
  <c r="BU119" i="163" s="1"/>
  <c r="S117" i="143" s="1"/>
  <c r="BP93" i="159"/>
  <c r="AQ131" i="163"/>
  <c r="BU131" i="163" s="1"/>
  <c r="BP105" i="159"/>
  <c r="AQ137" i="163"/>
  <c r="BU137" i="163" s="1"/>
  <c r="S135" i="143" s="1"/>
  <c r="X135" i="143" s="1"/>
  <c r="BP111" i="159"/>
  <c r="BM51" i="163"/>
  <c r="CQ51" i="163" s="1"/>
  <c r="CL25" i="159"/>
  <c r="BE69" i="163"/>
  <c r="CI69" i="163" s="1"/>
  <c r="O65" i="143" s="1"/>
  <c r="O56" i="143" s="1"/>
  <c r="O92" i="143" s="1"/>
  <c r="AZ34" i="159"/>
  <c r="AZ70" i="159" s="1"/>
  <c r="CD43" i="159"/>
  <c r="BO35" i="163"/>
  <c r="CS35" i="163" s="1"/>
  <c r="BJ8" i="159"/>
  <c r="CN9" i="159"/>
  <c r="AP71" i="163"/>
  <c r="BT71" i="163" s="1"/>
  <c r="L67" i="143" s="1"/>
  <c r="BO45" i="159"/>
  <c r="AK44" i="159"/>
  <c r="AP53" i="163"/>
  <c r="BT53" i="163" s="1"/>
  <c r="L49" i="143" s="1"/>
  <c r="BO27" i="159"/>
  <c r="AP50" i="163"/>
  <c r="BT50" i="163" s="1"/>
  <c r="L46" i="143" s="1"/>
  <c r="BO24" i="159"/>
  <c r="AP47" i="163"/>
  <c r="BT47" i="163" s="1"/>
  <c r="L43" i="143" s="1"/>
  <c r="BO21" i="159"/>
  <c r="AP88" i="163"/>
  <c r="BT88" i="163" s="1"/>
  <c r="L84" i="143" s="1"/>
  <c r="BO62" i="159"/>
  <c r="AP78" i="163"/>
  <c r="BT78" i="163" s="1"/>
  <c r="L74" i="143" s="1"/>
  <c r="BO52" i="159"/>
  <c r="AP103" i="163"/>
  <c r="BT103" i="163" s="1"/>
  <c r="L101" i="143" s="1"/>
  <c r="BO77" i="159"/>
  <c r="AP121" i="163"/>
  <c r="BT121" i="163" s="1"/>
  <c r="L119" i="143" s="1"/>
  <c r="BO95" i="159"/>
  <c r="AP125" i="163"/>
  <c r="BT125" i="163" s="1"/>
  <c r="L123" i="143" s="1"/>
  <c r="BO99" i="159"/>
  <c r="AP128" i="163"/>
  <c r="BT128" i="163" s="1"/>
  <c r="L126" i="143" s="1"/>
  <c r="BO102" i="159"/>
  <c r="AP146" i="163"/>
  <c r="BT146" i="163" s="1"/>
  <c r="L144" i="143" s="1"/>
  <c r="BO120" i="159"/>
  <c r="AO40" i="163"/>
  <c r="BS40" i="163" s="1"/>
  <c r="E36" i="143" s="1"/>
  <c r="BN14" i="159"/>
  <c r="AO62" i="163"/>
  <c r="BS62" i="163" s="1"/>
  <c r="E58" i="143" s="1"/>
  <c r="BN36" i="159"/>
  <c r="AJ35" i="159"/>
  <c r="AO52" i="163"/>
  <c r="BS52" i="163" s="1"/>
  <c r="E48" i="143" s="1"/>
  <c r="BN26" i="159"/>
  <c r="AJ25" i="159"/>
  <c r="AO49" i="163"/>
  <c r="BS49" i="163" s="1"/>
  <c r="E45" i="143" s="1"/>
  <c r="BN23" i="159"/>
  <c r="AO102" i="163"/>
  <c r="BS102" i="163" s="1"/>
  <c r="E100" i="143" s="1"/>
  <c r="BN76" i="159"/>
  <c r="AO84" i="163"/>
  <c r="BS84" i="163" s="1"/>
  <c r="E80" i="143" s="1"/>
  <c r="BN58" i="159"/>
  <c r="AO77" i="163"/>
  <c r="BS77" i="163" s="1"/>
  <c r="E73" i="143" s="1"/>
  <c r="BN51" i="159"/>
  <c r="AJ50" i="159"/>
  <c r="AO117" i="163"/>
  <c r="BS117" i="163" s="1"/>
  <c r="E115" i="143" s="1"/>
  <c r="BN91" i="159"/>
  <c r="AO126" i="163"/>
  <c r="BS126" i="163" s="1"/>
  <c r="E124" i="143" s="1"/>
  <c r="BN100" i="159"/>
  <c r="AO133" i="163"/>
  <c r="BS133" i="163" s="1"/>
  <c r="E131" i="143" s="1"/>
  <c r="BN107" i="159"/>
  <c r="AO134" i="163"/>
  <c r="BS134" i="163" s="1"/>
  <c r="E132" i="143" s="1"/>
  <c r="BN108" i="159"/>
  <c r="AG151" i="163"/>
  <c r="BO54" i="163"/>
  <c r="CS54" i="163" s="1"/>
  <c r="CN28" i="159"/>
  <c r="AN46" i="163"/>
  <c r="BR46" i="163" s="1"/>
  <c r="BM20" i="159"/>
  <c r="AN72" i="163"/>
  <c r="BR72" i="163" s="1"/>
  <c r="BM46" i="159"/>
  <c r="AN80" i="163"/>
  <c r="BR80" i="163" s="1"/>
  <c r="BM54" i="159"/>
  <c r="AN109" i="163"/>
  <c r="BR109" i="163" s="1"/>
  <c r="BM83" i="159"/>
  <c r="AN113" i="163"/>
  <c r="BR113" i="163" s="1"/>
  <c r="BM87" i="159"/>
  <c r="AN103" i="163"/>
  <c r="BR103" i="163" s="1"/>
  <c r="BM77" i="159"/>
  <c r="AN128" i="163"/>
  <c r="BR128" i="163" s="1"/>
  <c r="BM102" i="159"/>
  <c r="AN127" i="163"/>
  <c r="BR127" i="163" s="1"/>
  <c r="BM101" i="159"/>
  <c r="AN144" i="163"/>
  <c r="BR144" i="163" s="1"/>
  <c r="BM118" i="159"/>
  <c r="AN146" i="163"/>
  <c r="BR146" i="163" s="1"/>
  <c r="BM120" i="159"/>
  <c r="BP35" i="163"/>
  <c r="CT35" i="163" s="1"/>
  <c r="BK8" i="159"/>
  <c r="CO9" i="159"/>
  <c r="T151" i="163"/>
  <c r="G96" i="163"/>
  <c r="G125" i="159"/>
  <c r="AK32" i="163"/>
  <c r="AK28" i="163"/>
  <c r="BP70" i="163"/>
  <c r="CT70" i="163" s="1"/>
  <c r="CO44" i="159"/>
  <c r="BK43" i="159"/>
  <c r="BO70" i="163"/>
  <c r="CS70" i="163" s="1"/>
  <c r="BJ43" i="159"/>
  <c r="CN44" i="159"/>
  <c r="BC69" i="163"/>
  <c r="CG69" i="163" s="1"/>
  <c r="AX34" i="159"/>
  <c r="AX70" i="159" s="1"/>
  <c r="CB43" i="159"/>
  <c r="AA125" i="159"/>
  <c r="AA150" i="163" s="1"/>
  <c r="AQ56" i="163"/>
  <c r="BU56" i="163" s="1"/>
  <c r="S52" i="143" s="1"/>
  <c r="BP30" i="159"/>
  <c r="AQ37" i="163"/>
  <c r="BU37" i="163" s="1"/>
  <c r="S33" i="143" s="1"/>
  <c r="BP11" i="159"/>
  <c r="AQ103" i="163"/>
  <c r="BU103" i="163" s="1"/>
  <c r="S101" i="143" s="1"/>
  <c r="X101" i="143" s="1"/>
  <c r="BP77" i="159"/>
  <c r="AQ68" i="163"/>
  <c r="BU68" i="163" s="1"/>
  <c r="S64" i="143" s="1"/>
  <c r="X64" i="143" s="1"/>
  <c r="BP42" i="159"/>
  <c r="AQ95" i="163"/>
  <c r="BU95" i="163" s="1"/>
  <c r="S91" i="143" s="1"/>
  <c r="BP69" i="159"/>
  <c r="AQ105" i="163"/>
  <c r="BU105" i="163" s="1"/>
  <c r="S103" i="143" s="1"/>
  <c r="BP79" i="159"/>
  <c r="AQ94" i="163"/>
  <c r="BU94" i="163" s="1"/>
  <c r="S90" i="143" s="1"/>
  <c r="X90" i="143" s="1"/>
  <c r="BP68" i="159"/>
  <c r="AQ101" i="163"/>
  <c r="BU101" i="163" s="1"/>
  <c r="S99" i="143" s="1"/>
  <c r="AL74" i="159"/>
  <c r="BP75" i="159"/>
  <c r="AQ121" i="163"/>
  <c r="BU121" i="163" s="1"/>
  <c r="S119" i="143" s="1"/>
  <c r="BP95" i="159"/>
  <c r="AQ145" i="163"/>
  <c r="BU145" i="163" s="1"/>
  <c r="S143" i="143" s="1"/>
  <c r="BP119" i="159"/>
  <c r="AQ141" i="163"/>
  <c r="BU141" i="163" s="1"/>
  <c r="S139" i="143" s="1"/>
  <c r="BP115" i="159"/>
  <c r="AQ140" i="163"/>
  <c r="BU140" i="163" s="1"/>
  <c r="S138" i="143" s="1"/>
  <c r="BP114" i="159"/>
  <c r="BD34" i="163"/>
  <c r="CH34" i="163" s="1"/>
  <c r="CC8" i="159"/>
  <c r="AP55" i="163"/>
  <c r="BT55" i="163" s="1"/>
  <c r="L51" i="143" s="1"/>
  <c r="AK28" i="159"/>
  <c r="BO29" i="159"/>
  <c r="AP57" i="163"/>
  <c r="BT57" i="163" s="1"/>
  <c r="L53" i="143" s="1"/>
  <c r="BO31" i="159"/>
  <c r="AP56" i="163"/>
  <c r="BT56" i="163" s="1"/>
  <c r="L52" i="143" s="1"/>
  <c r="BO30" i="159"/>
  <c r="AP105" i="163"/>
  <c r="BT105" i="163" s="1"/>
  <c r="L103" i="143" s="1"/>
  <c r="BO79" i="159"/>
  <c r="AP80" i="163"/>
  <c r="BT80" i="163" s="1"/>
  <c r="L76" i="143" s="1"/>
  <c r="BO54" i="159"/>
  <c r="AP101" i="163"/>
  <c r="BT101" i="163" s="1"/>
  <c r="L99" i="143" s="1"/>
  <c r="AK74" i="159"/>
  <c r="BO75" i="159"/>
  <c r="AP110" i="163"/>
  <c r="BT110" i="163" s="1"/>
  <c r="L108" i="143" s="1"/>
  <c r="BO84" i="159"/>
  <c r="AP113" i="163"/>
  <c r="BT113" i="163" s="1"/>
  <c r="L111" i="143" s="1"/>
  <c r="BO87" i="159"/>
  <c r="AP127" i="163"/>
  <c r="BT127" i="163" s="1"/>
  <c r="L125" i="143" s="1"/>
  <c r="BO101" i="159"/>
  <c r="CS101" i="159" s="1"/>
  <c r="DC101" i="159" s="1"/>
  <c r="AP134" i="163"/>
  <c r="BT134" i="163" s="1"/>
  <c r="L132" i="143" s="1"/>
  <c r="BO108" i="159"/>
  <c r="AP148" i="163"/>
  <c r="BT148" i="163" s="1"/>
  <c r="L146" i="143" s="1"/>
  <c r="BO122" i="159"/>
  <c r="BM54" i="163"/>
  <c r="CQ54" i="163" s="1"/>
  <c r="CL28" i="159"/>
  <c r="AO74" i="163"/>
  <c r="BS74" i="163" s="1"/>
  <c r="E70" i="143" s="1"/>
  <c r="AJ47" i="159"/>
  <c r="BN48" i="159"/>
  <c r="AO58" i="163"/>
  <c r="BS58" i="163" s="1"/>
  <c r="E54" i="143" s="1"/>
  <c r="BN32" i="159"/>
  <c r="AO107" i="163"/>
  <c r="BS107" i="163" s="1"/>
  <c r="E105" i="143" s="1"/>
  <c r="BN81" i="159"/>
  <c r="AO87" i="163"/>
  <c r="BS87" i="163" s="1"/>
  <c r="E83" i="143" s="1"/>
  <c r="BN61" i="159"/>
  <c r="AO79" i="163"/>
  <c r="BS79" i="163" s="1"/>
  <c r="BN53" i="159"/>
  <c r="AO119" i="163"/>
  <c r="BS119" i="163" s="1"/>
  <c r="E117" i="143" s="1"/>
  <c r="BN93" i="159"/>
  <c r="AO139" i="163"/>
  <c r="BS139" i="163" s="1"/>
  <c r="E137" i="143" s="1"/>
  <c r="BN113" i="159"/>
  <c r="AO135" i="163"/>
  <c r="BS135" i="163" s="1"/>
  <c r="E133" i="143" s="1"/>
  <c r="BN109" i="159"/>
  <c r="AO136" i="163"/>
  <c r="BS136" i="163" s="1"/>
  <c r="E134" i="143" s="1"/>
  <c r="BN110" i="159"/>
  <c r="BC99" i="163"/>
  <c r="CG99" i="163" s="1"/>
  <c r="CB73" i="159"/>
  <c r="AN53" i="163"/>
  <c r="BR53" i="163" s="1"/>
  <c r="BM27" i="159"/>
  <c r="AN41" i="163"/>
  <c r="BR41" i="163" s="1"/>
  <c r="BM15" i="159"/>
  <c r="AN64" i="163"/>
  <c r="BR64" i="163" s="1"/>
  <c r="BM38" i="159"/>
  <c r="AN107" i="163"/>
  <c r="BR107" i="163" s="1"/>
  <c r="BM81" i="159"/>
  <c r="AN90" i="163"/>
  <c r="BR90" i="163" s="1"/>
  <c r="BM64" i="159"/>
  <c r="AN94" i="163"/>
  <c r="BR94" i="163" s="1"/>
  <c r="E90" i="143" s="1"/>
  <c r="BM68" i="159"/>
  <c r="CQ68" i="159" s="1"/>
  <c r="DA68" i="159" s="1"/>
  <c r="AN114" i="163"/>
  <c r="BR114" i="163" s="1"/>
  <c r="BM88" i="159"/>
  <c r="AN110" i="163"/>
  <c r="BR110" i="163" s="1"/>
  <c r="BM84" i="159"/>
  <c r="AN134" i="163"/>
  <c r="BR134" i="163" s="1"/>
  <c r="BM108" i="159"/>
  <c r="AN133" i="163"/>
  <c r="BR133" i="163" s="1"/>
  <c r="BM107" i="159"/>
  <c r="AN132" i="163"/>
  <c r="BR132" i="163" s="1"/>
  <c r="E130" i="143" s="1"/>
  <c r="BM106" i="159"/>
  <c r="AN148" i="163"/>
  <c r="BR148" i="163" s="1"/>
  <c r="BM122" i="159"/>
  <c r="AI18" i="163"/>
  <c r="BD11" i="163"/>
  <c r="CH11" i="163" s="1"/>
  <c r="BM70" i="163"/>
  <c r="CQ70" i="163" s="1"/>
  <c r="BH43" i="159"/>
  <c r="CL44" i="159"/>
  <c r="W28" i="163"/>
  <c r="AL11" i="163"/>
  <c r="BP42" i="163"/>
  <c r="CT42" i="163" s="1"/>
  <c r="CO16" i="159"/>
  <c r="BH11" i="163"/>
  <c r="CL11" i="163" s="1"/>
  <c r="CL28" i="163" s="1"/>
  <c r="BE34" i="163"/>
  <c r="CI34" i="163" s="1"/>
  <c r="CD8" i="159"/>
  <c r="AQ40" i="163"/>
  <c r="BU40" i="163" s="1"/>
  <c r="S36" i="143" s="1"/>
  <c r="BP14" i="159"/>
  <c r="AQ39" i="163"/>
  <c r="BU39" i="163" s="1"/>
  <c r="S35" i="143" s="1"/>
  <c r="X35" i="143" s="1"/>
  <c r="BP13" i="159"/>
  <c r="AL12" i="159"/>
  <c r="AQ110" i="163"/>
  <c r="BU110" i="163" s="1"/>
  <c r="S108" i="143" s="1"/>
  <c r="BP84" i="159"/>
  <c r="AQ57" i="163"/>
  <c r="BU57" i="163" s="1"/>
  <c r="S53" i="143" s="1"/>
  <c r="X53" i="143" s="1"/>
  <c r="BP31" i="159"/>
  <c r="AQ63" i="163"/>
  <c r="BU63" i="163" s="1"/>
  <c r="S59" i="143" s="1"/>
  <c r="BP37" i="159"/>
  <c r="AQ90" i="163"/>
  <c r="BU90" i="163" s="1"/>
  <c r="S86" i="143" s="1"/>
  <c r="BP64" i="159"/>
  <c r="AQ116" i="163"/>
  <c r="BU116" i="163" s="1"/>
  <c r="S114" i="143" s="1"/>
  <c r="BP90" i="159"/>
  <c r="AL89" i="159"/>
  <c r="AQ106" i="163"/>
  <c r="BU106" i="163" s="1"/>
  <c r="S104" i="143" s="1"/>
  <c r="X104" i="143" s="1"/>
  <c r="BP80" i="159"/>
  <c r="AQ128" i="163"/>
  <c r="BU128" i="163" s="1"/>
  <c r="S126" i="143" s="1"/>
  <c r="X126" i="143" s="1"/>
  <c r="BP102" i="159"/>
  <c r="AQ123" i="163"/>
  <c r="BU123" i="163" s="1"/>
  <c r="S121" i="143" s="1"/>
  <c r="BP97" i="159"/>
  <c r="AQ147" i="163"/>
  <c r="BU147" i="163" s="1"/>
  <c r="BP121" i="159"/>
  <c r="AQ142" i="163"/>
  <c r="BU142" i="163" s="1"/>
  <c r="S140" i="143" s="1"/>
  <c r="X140" i="143" s="1"/>
  <c r="BP116" i="159"/>
  <c r="AP75" i="163"/>
  <c r="BT75" i="163" s="1"/>
  <c r="L71" i="143" s="1"/>
  <c r="BO49" i="159"/>
  <c r="AP46" i="163"/>
  <c r="BT46" i="163" s="1"/>
  <c r="L42" i="143" s="1"/>
  <c r="BO20" i="159"/>
  <c r="AP59" i="163"/>
  <c r="BT59" i="163" s="1"/>
  <c r="L55" i="143" s="1"/>
  <c r="BO33" i="159"/>
  <c r="AP63" i="163"/>
  <c r="BT63" i="163" s="1"/>
  <c r="L59" i="143" s="1"/>
  <c r="BO37" i="159"/>
  <c r="AP90" i="163"/>
  <c r="BT90" i="163" s="1"/>
  <c r="L86" i="143" s="1"/>
  <c r="BO64" i="159"/>
  <c r="AP94" i="163"/>
  <c r="BT94" i="163" s="1"/>
  <c r="L90" i="143" s="1"/>
  <c r="BO68" i="159"/>
  <c r="CS68" i="159" s="1"/>
  <c r="DC68" i="159" s="1"/>
  <c r="AP118" i="163"/>
  <c r="BT118" i="163" s="1"/>
  <c r="L116" i="143" s="1"/>
  <c r="BO92" i="159"/>
  <c r="AP112" i="163"/>
  <c r="BT112" i="163" s="1"/>
  <c r="L110" i="143" s="1"/>
  <c r="BO86" i="159"/>
  <c r="CS86" i="159" s="1"/>
  <c r="DC86" i="159" s="1"/>
  <c r="AP122" i="163"/>
  <c r="BT122" i="163" s="1"/>
  <c r="L120" i="143" s="1"/>
  <c r="BO96" i="159"/>
  <c r="AP133" i="163"/>
  <c r="BT133" i="163" s="1"/>
  <c r="L131" i="143" s="1"/>
  <c r="BO107" i="159"/>
  <c r="AP136" i="163"/>
  <c r="BT136" i="163" s="1"/>
  <c r="L134" i="143" s="1"/>
  <c r="BO110" i="159"/>
  <c r="AJ18" i="163"/>
  <c r="AO83" i="163"/>
  <c r="BS83" i="163" s="1"/>
  <c r="E79" i="143" s="1"/>
  <c r="BN57" i="159"/>
  <c r="AJ56" i="159"/>
  <c r="AO66" i="163"/>
  <c r="BS66" i="163" s="1"/>
  <c r="E62" i="143" s="1"/>
  <c r="BN40" i="159"/>
  <c r="AO72" i="163"/>
  <c r="BS72" i="163" s="1"/>
  <c r="E68" i="143" s="1"/>
  <c r="BN46" i="159"/>
  <c r="AO105" i="163"/>
  <c r="BS105" i="163" s="1"/>
  <c r="E103" i="143" s="1"/>
  <c r="BN79" i="159"/>
  <c r="AO109" i="163"/>
  <c r="BS109" i="163" s="1"/>
  <c r="E107" i="143" s="1"/>
  <c r="BN83" i="159"/>
  <c r="AO81" i="163"/>
  <c r="BS81" i="163" s="1"/>
  <c r="E77" i="143" s="1"/>
  <c r="BN55" i="159"/>
  <c r="AO121" i="163"/>
  <c r="BS121" i="163" s="1"/>
  <c r="E119" i="143" s="1"/>
  <c r="BN95" i="159"/>
  <c r="AO123" i="163"/>
  <c r="BS123" i="163" s="1"/>
  <c r="E121" i="143" s="1"/>
  <c r="BN97" i="159"/>
  <c r="AO137" i="163"/>
  <c r="BS137" i="163" s="1"/>
  <c r="E135" i="143" s="1"/>
  <c r="BN111" i="159"/>
  <c r="AO138" i="163"/>
  <c r="BS138" i="163" s="1"/>
  <c r="E136" i="143" s="1"/>
  <c r="BN112" i="159"/>
  <c r="BC11" i="163"/>
  <c r="CG11" i="163" s="1"/>
  <c r="P96" i="163"/>
  <c r="P125" i="159"/>
  <c r="AN68" i="163"/>
  <c r="BR68" i="163" s="1"/>
  <c r="BM42" i="159"/>
  <c r="AN56" i="163"/>
  <c r="BR56" i="163" s="1"/>
  <c r="BM30" i="159"/>
  <c r="AN49" i="163"/>
  <c r="BR49" i="163" s="1"/>
  <c r="BM23" i="159"/>
  <c r="AN104" i="163"/>
  <c r="BR104" i="163" s="1"/>
  <c r="BM78" i="159"/>
  <c r="AN106" i="163"/>
  <c r="BR106" i="163" s="1"/>
  <c r="BM80" i="159"/>
  <c r="AN112" i="163"/>
  <c r="BR112" i="163" s="1"/>
  <c r="BM86" i="159"/>
  <c r="AN137" i="163"/>
  <c r="BR137" i="163" s="1"/>
  <c r="BM111" i="159"/>
  <c r="CQ111" i="159" s="1"/>
  <c r="DA111" i="159" s="1"/>
  <c r="AN124" i="163"/>
  <c r="BR124" i="163" s="1"/>
  <c r="BM98" i="159"/>
  <c r="CQ98" i="159" s="1"/>
  <c r="DA98" i="159" s="1"/>
  <c r="AN140" i="163"/>
  <c r="BR140" i="163" s="1"/>
  <c r="BM114" i="159"/>
  <c r="AN141" i="163"/>
  <c r="BR141" i="163" s="1"/>
  <c r="BM115" i="159"/>
  <c r="AK60" i="163"/>
  <c r="J151" i="163"/>
  <c r="DB99" i="163"/>
  <c r="DD99" i="163"/>
  <c r="AQ43" i="163"/>
  <c r="BU43" i="163" s="1"/>
  <c r="S39" i="143" s="1"/>
  <c r="BP17" i="159"/>
  <c r="AQ53" i="163"/>
  <c r="BU53" i="163" s="1"/>
  <c r="S49" i="143" s="1"/>
  <c r="BP27" i="159"/>
  <c r="AQ59" i="163"/>
  <c r="BU59" i="163" s="1"/>
  <c r="S55" i="143" s="1"/>
  <c r="BP33" i="159"/>
  <c r="AQ65" i="163"/>
  <c r="BU65" i="163" s="1"/>
  <c r="S61" i="143" s="1"/>
  <c r="X61" i="143" s="1"/>
  <c r="BP39" i="159"/>
  <c r="AQ92" i="163"/>
  <c r="BU92" i="163" s="1"/>
  <c r="S88" i="143" s="1"/>
  <c r="AL65" i="159"/>
  <c r="BP66" i="159"/>
  <c r="AQ104" i="163"/>
  <c r="BU104" i="163" s="1"/>
  <c r="S102" i="143" s="1"/>
  <c r="X102" i="143" s="1"/>
  <c r="BP78" i="159"/>
  <c r="AQ108" i="163"/>
  <c r="BU108" i="163" s="1"/>
  <c r="S106" i="143" s="1"/>
  <c r="BP82" i="159"/>
  <c r="AQ122" i="163"/>
  <c r="BU122" i="163" s="1"/>
  <c r="S120" i="143" s="1"/>
  <c r="BP96" i="159"/>
  <c r="AQ139" i="163"/>
  <c r="BU139" i="163" s="1"/>
  <c r="S137" i="143" s="1"/>
  <c r="BP113" i="159"/>
  <c r="AQ132" i="163"/>
  <c r="BU132" i="163" s="1"/>
  <c r="S130" i="143" s="1"/>
  <c r="BP106" i="159"/>
  <c r="AQ146" i="163"/>
  <c r="BU146" i="163" s="1"/>
  <c r="S144" i="143" s="1"/>
  <c r="BP120" i="159"/>
  <c r="BM91" i="163"/>
  <c r="CQ91" i="163" s="1"/>
  <c r="CL65" i="159"/>
  <c r="AP40" i="163"/>
  <c r="BT40" i="163" s="1"/>
  <c r="L36" i="143" s="1"/>
  <c r="BO14" i="159"/>
  <c r="AP37" i="163"/>
  <c r="BT37" i="163" s="1"/>
  <c r="L33" i="143" s="1"/>
  <c r="BO11" i="159"/>
  <c r="AP48" i="163"/>
  <c r="BT48" i="163" s="1"/>
  <c r="L44" i="143" s="1"/>
  <c r="BO22" i="159"/>
  <c r="AP52" i="163"/>
  <c r="BT52" i="163" s="1"/>
  <c r="L48" i="143" s="1"/>
  <c r="AK25" i="159"/>
  <c r="BO26" i="159"/>
  <c r="AP65" i="163"/>
  <c r="BT65" i="163" s="1"/>
  <c r="L61" i="143" s="1"/>
  <c r="BO39" i="159"/>
  <c r="AP92" i="163"/>
  <c r="BT92" i="163" s="1"/>
  <c r="L88" i="143" s="1"/>
  <c r="AK65" i="159"/>
  <c r="BO66" i="159"/>
  <c r="AP116" i="163"/>
  <c r="BT116" i="163" s="1"/>
  <c r="L114" i="143" s="1"/>
  <c r="BO90" i="159"/>
  <c r="AK89" i="159"/>
  <c r="AP106" i="163"/>
  <c r="BT106" i="163" s="1"/>
  <c r="L104" i="143" s="1"/>
  <c r="BO80" i="159"/>
  <c r="AP114" i="163"/>
  <c r="BT114" i="163" s="1"/>
  <c r="L112" i="143" s="1"/>
  <c r="BO88" i="159"/>
  <c r="AP126" i="163"/>
  <c r="BT126" i="163" s="1"/>
  <c r="L124" i="143" s="1"/>
  <c r="BO100" i="159"/>
  <c r="CS100" i="159" s="1"/>
  <c r="DC100" i="159" s="1"/>
  <c r="AP135" i="163"/>
  <c r="BT135" i="163" s="1"/>
  <c r="L133" i="143" s="1"/>
  <c r="BO109" i="159"/>
  <c r="AP149" i="163"/>
  <c r="BT149" i="163" s="1"/>
  <c r="L147" i="143" s="1"/>
  <c r="BO123" i="159"/>
  <c r="AO64" i="163"/>
  <c r="BS64" i="163" s="1"/>
  <c r="E60" i="143" s="1"/>
  <c r="BN38" i="159"/>
  <c r="AO45" i="163"/>
  <c r="BS45" i="163" s="1"/>
  <c r="E41" i="143" s="1"/>
  <c r="BN19" i="159"/>
  <c r="BN42" i="163"/>
  <c r="CR42" i="163" s="1"/>
  <c r="CM16" i="159"/>
  <c r="AS143" i="163"/>
  <c r="BW143" i="163" s="1"/>
  <c r="BR117" i="159"/>
  <c r="AO53" i="163"/>
  <c r="BS53" i="163" s="1"/>
  <c r="E49" i="143" s="1"/>
  <c r="BN27" i="159"/>
  <c r="AO44" i="163"/>
  <c r="BS44" i="163" s="1"/>
  <c r="E40" i="143" s="1"/>
  <c r="BN18" i="159"/>
  <c r="AO68" i="163"/>
  <c r="BS68" i="163" s="1"/>
  <c r="E64" i="143" s="1"/>
  <c r="BN42" i="159"/>
  <c r="AO47" i="163"/>
  <c r="BS47" i="163" s="1"/>
  <c r="E43" i="143" s="1"/>
  <c r="BN21" i="159"/>
  <c r="AO71" i="163"/>
  <c r="BS71" i="163" s="1"/>
  <c r="E67" i="143" s="1"/>
  <c r="BN45" i="159"/>
  <c r="AJ44" i="159"/>
  <c r="AO78" i="163"/>
  <c r="BS78" i="163" s="1"/>
  <c r="E74" i="143" s="1"/>
  <c r="BN52" i="159"/>
  <c r="AO101" i="163"/>
  <c r="BS101" i="163" s="1"/>
  <c r="E99" i="143" s="1"/>
  <c r="AJ74" i="159"/>
  <c r="BN75" i="159"/>
  <c r="AO93" i="163"/>
  <c r="BS93" i="163" s="1"/>
  <c r="BN67" i="159"/>
  <c r="AO122" i="163"/>
  <c r="BS122" i="163" s="1"/>
  <c r="E120" i="143" s="1"/>
  <c r="BN96" i="159"/>
  <c r="AO132" i="163"/>
  <c r="BS132" i="163" s="1"/>
  <c r="BN106" i="159"/>
  <c r="AO141" i="163"/>
  <c r="BS141" i="163" s="1"/>
  <c r="E139" i="143" s="1"/>
  <c r="BN115" i="159"/>
  <c r="AO142" i="163"/>
  <c r="BS142" i="163" s="1"/>
  <c r="E140" i="143" s="1"/>
  <c r="BN116" i="159"/>
  <c r="AN44" i="163"/>
  <c r="BR44" i="163" s="1"/>
  <c r="BM18" i="159"/>
  <c r="AN50" i="163"/>
  <c r="BR50" i="163" s="1"/>
  <c r="BM24" i="159"/>
  <c r="CQ24" i="159" s="1"/>
  <c r="DA24" i="159" s="1"/>
  <c r="AN63" i="163"/>
  <c r="BR63" i="163" s="1"/>
  <c r="BM37" i="159"/>
  <c r="AN58" i="163"/>
  <c r="BR58" i="163" s="1"/>
  <c r="BM32" i="159"/>
  <c r="AN111" i="163"/>
  <c r="BR111" i="163" s="1"/>
  <c r="BM85" i="159"/>
  <c r="AN108" i="163"/>
  <c r="BR108" i="163" s="1"/>
  <c r="BM82" i="159"/>
  <c r="AN83" i="163"/>
  <c r="BR83" i="163" s="1"/>
  <c r="BM57" i="159"/>
  <c r="AI56" i="159"/>
  <c r="AN116" i="163"/>
  <c r="BR116" i="163" s="1"/>
  <c r="AI89" i="159"/>
  <c r="BM90" i="159"/>
  <c r="AN125" i="163"/>
  <c r="BR125" i="163" s="1"/>
  <c r="BM99" i="159"/>
  <c r="AN142" i="163"/>
  <c r="BR142" i="163" s="1"/>
  <c r="BM116" i="159"/>
  <c r="AN147" i="163"/>
  <c r="BR147" i="163" s="1"/>
  <c r="BM121" i="159"/>
  <c r="BI99" i="163"/>
  <c r="CM99" i="163" s="1"/>
  <c r="CH73" i="159"/>
  <c r="BM35" i="163"/>
  <c r="CQ35" i="163" s="1"/>
  <c r="BH8" i="159"/>
  <c r="CL9" i="159"/>
  <c r="BN91" i="163"/>
  <c r="CR91" i="163" s="1"/>
  <c r="CM65" i="159"/>
  <c r="BC34" i="163"/>
  <c r="CG34" i="163" s="1"/>
  <c r="CB8" i="159"/>
  <c r="BN70" i="163"/>
  <c r="CR70" i="163" s="1"/>
  <c r="CM44" i="159"/>
  <c r="BI43" i="159"/>
  <c r="AQ44" i="163"/>
  <c r="BU44" i="163" s="1"/>
  <c r="S40" i="143" s="1"/>
  <c r="X40" i="143" s="1"/>
  <c r="BP18" i="159"/>
  <c r="AQ49" i="163"/>
  <c r="BU49" i="163" s="1"/>
  <c r="S45" i="143" s="1"/>
  <c r="BP23" i="159"/>
  <c r="AQ41" i="163"/>
  <c r="BU41" i="163" s="1"/>
  <c r="S37" i="143" s="1"/>
  <c r="BP15" i="159"/>
  <c r="AQ55" i="163"/>
  <c r="BU55" i="163" s="1"/>
  <c r="S51" i="143" s="1"/>
  <c r="AL28" i="159"/>
  <c r="BP29" i="159"/>
  <c r="AQ52" i="163"/>
  <c r="BU52" i="163" s="1"/>
  <c r="S48" i="143" s="1"/>
  <c r="AL25" i="159"/>
  <c r="AQ67" i="163"/>
  <c r="BU67" i="163" s="1"/>
  <c r="S63" i="143" s="1"/>
  <c r="X63" i="143" s="1"/>
  <c r="BP41" i="159"/>
  <c r="AQ102" i="163"/>
  <c r="BU102" i="163" s="1"/>
  <c r="S100" i="143" s="1"/>
  <c r="BP76" i="159"/>
  <c r="AQ111" i="163"/>
  <c r="BU111" i="163" s="1"/>
  <c r="S109" i="143" s="1"/>
  <c r="X109" i="143" s="1"/>
  <c r="BP85" i="159"/>
  <c r="AQ112" i="163"/>
  <c r="BU112" i="163" s="1"/>
  <c r="S110" i="143" s="1"/>
  <c r="BP86" i="159"/>
  <c r="AQ118" i="163"/>
  <c r="BU118" i="163" s="1"/>
  <c r="S116" i="143" s="1"/>
  <c r="X116" i="143" s="1"/>
  <c r="BP92" i="159"/>
  <c r="AQ125" i="163"/>
  <c r="BU125" i="163" s="1"/>
  <c r="S123" i="143" s="1"/>
  <c r="X123" i="143" s="1"/>
  <c r="BP99" i="159"/>
  <c r="AQ134" i="163"/>
  <c r="BU134" i="163" s="1"/>
  <c r="S132" i="143" s="1"/>
  <c r="BP108" i="159"/>
  <c r="AQ148" i="163"/>
  <c r="BU148" i="163" s="1"/>
  <c r="S146" i="143" s="1"/>
  <c r="BP122" i="159"/>
  <c r="AK150" i="163"/>
  <c r="AE151" i="163"/>
  <c r="Z125" i="159"/>
  <c r="Z150" i="163" s="1"/>
  <c r="AK18" i="163"/>
  <c r="AP49" i="163"/>
  <c r="BT49" i="163" s="1"/>
  <c r="L45" i="143" s="1"/>
  <c r="BO23" i="159"/>
  <c r="AP39" i="163"/>
  <c r="BT39" i="163" s="1"/>
  <c r="L35" i="143" s="1"/>
  <c r="BO13" i="159"/>
  <c r="AK12" i="159"/>
  <c r="AP62" i="163"/>
  <c r="BT62" i="163" s="1"/>
  <c r="L58" i="143" s="1"/>
  <c r="AK35" i="159"/>
  <c r="BO36" i="159"/>
  <c r="AP74" i="163"/>
  <c r="BT74" i="163" s="1"/>
  <c r="L70" i="143" s="1"/>
  <c r="AK47" i="159"/>
  <c r="BO48" i="159"/>
  <c r="AP67" i="163"/>
  <c r="BT67" i="163" s="1"/>
  <c r="L63" i="143" s="1"/>
  <c r="BO41" i="159"/>
  <c r="AP102" i="163"/>
  <c r="BT102" i="163" s="1"/>
  <c r="L100" i="143" s="1"/>
  <c r="BO76" i="159"/>
  <c r="AP104" i="163"/>
  <c r="BT104" i="163" s="1"/>
  <c r="L102" i="143" s="1"/>
  <c r="BO78" i="159"/>
  <c r="AP108" i="163"/>
  <c r="BT108" i="163" s="1"/>
  <c r="L106" i="143" s="1"/>
  <c r="BO82" i="159"/>
  <c r="AP124" i="163"/>
  <c r="BT124" i="163" s="1"/>
  <c r="L122" i="143" s="1"/>
  <c r="BO98" i="159"/>
  <c r="AP132" i="163"/>
  <c r="BT132" i="163" s="1"/>
  <c r="L130" i="143" s="1"/>
  <c r="BO106" i="159"/>
  <c r="AP137" i="163"/>
  <c r="BT137" i="163" s="1"/>
  <c r="L135" i="143" s="1"/>
  <c r="BO111" i="159"/>
  <c r="CS111" i="159" s="1"/>
  <c r="DC111" i="159" s="1"/>
  <c r="AI32" i="163"/>
  <c r="AI28" i="163"/>
  <c r="BI11" i="163"/>
  <c r="CM11" i="163" s="1"/>
  <c r="CM28" i="163" s="1"/>
  <c r="AJ129" i="163"/>
  <c r="AO36" i="163"/>
  <c r="BS36" i="163" s="1"/>
  <c r="E32" i="143" s="1"/>
  <c r="AJ9" i="159"/>
  <c r="BN10" i="159"/>
  <c r="AO56" i="163"/>
  <c r="BS56" i="163" s="1"/>
  <c r="E52" i="143" s="1"/>
  <c r="BN30" i="159"/>
  <c r="AO75" i="163"/>
  <c r="BS75" i="163" s="1"/>
  <c r="E71" i="143" s="1"/>
  <c r="BN49" i="159"/>
  <c r="AO80" i="163"/>
  <c r="BS80" i="163" s="1"/>
  <c r="E76" i="143" s="1"/>
  <c r="BN54" i="159"/>
  <c r="AO113" i="163"/>
  <c r="BS113" i="163" s="1"/>
  <c r="E111" i="143" s="1"/>
  <c r="J111" i="143" s="1"/>
  <c r="BN87" i="159"/>
  <c r="AO95" i="163"/>
  <c r="BS95" i="163" s="1"/>
  <c r="BN69" i="159"/>
  <c r="AO128" i="163"/>
  <c r="BS128" i="163" s="1"/>
  <c r="E126" i="143" s="1"/>
  <c r="BN102" i="159"/>
  <c r="AO124" i="163"/>
  <c r="BS124" i="163" s="1"/>
  <c r="E122" i="143" s="1"/>
  <c r="BN98" i="159"/>
  <c r="AO144" i="163"/>
  <c r="BS144" i="163" s="1"/>
  <c r="E142" i="143" s="1"/>
  <c r="BN118" i="159"/>
  <c r="AO146" i="163"/>
  <c r="BS146" i="163" s="1"/>
  <c r="E144" i="143" s="1"/>
  <c r="BN120" i="159"/>
  <c r="BJ11" i="163"/>
  <c r="CN11" i="163" s="1"/>
  <c r="CN28" i="163" s="1"/>
  <c r="BD99" i="163"/>
  <c r="CH99" i="163" s="1"/>
  <c r="CC73" i="159"/>
  <c r="AN37" i="163"/>
  <c r="BR37" i="163" s="1"/>
  <c r="BM11" i="159"/>
  <c r="AN48" i="163"/>
  <c r="BR48" i="163" s="1"/>
  <c r="BM22" i="159"/>
  <c r="AN57" i="163"/>
  <c r="BR57" i="163" s="1"/>
  <c r="BM31" i="159"/>
  <c r="AN65" i="163"/>
  <c r="BR65" i="163" s="1"/>
  <c r="BM39" i="159"/>
  <c r="AN71" i="163"/>
  <c r="BR71" i="163" s="1"/>
  <c r="AI44" i="159"/>
  <c r="BM45" i="159"/>
  <c r="AN84" i="163"/>
  <c r="BR84" i="163" s="1"/>
  <c r="BM58" i="159"/>
  <c r="CQ58" i="159" s="1"/>
  <c r="DA58" i="159" s="1"/>
  <c r="AN79" i="163"/>
  <c r="BR79" i="163" s="1"/>
  <c r="BM53" i="159"/>
  <c r="AN86" i="163"/>
  <c r="BR86" i="163" s="1"/>
  <c r="BM60" i="159"/>
  <c r="AI59" i="159"/>
  <c r="AN118" i="163"/>
  <c r="BR118" i="163" s="1"/>
  <c r="BM92" i="159"/>
  <c r="AN135" i="163"/>
  <c r="BR135" i="163" s="1"/>
  <c r="BM109" i="159"/>
  <c r="AN136" i="163"/>
  <c r="BR136" i="163" s="1"/>
  <c r="BM110" i="159"/>
  <c r="AN149" i="163"/>
  <c r="BR149" i="163" s="1"/>
  <c r="BM123" i="159"/>
  <c r="BP143" i="163"/>
  <c r="CT143" i="163" s="1"/>
  <c r="CO117" i="159"/>
  <c r="DC99" i="163"/>
  <c r="AN104" i="159"/>
  <c r="BO51" i="163"/>
  <c r="CS51" i="163" s="1"/>
  <c r="CN25" i="159"/>
  <c r="U96" i="163"/>
  <c r="U125" i="159"/>
  <c r="F96" i="163"/>
  <c r="F125" i="159"/>
  <c r="AQ50" i="163"/>
  <c r="BU50" i="163" s="1"/>
  <c r="S46" i="143" s="1"/>
  <c r="X46" i="143" s="1"/>
  <c r="BP24" i="159"/>
  <c r="AQ58" i="163"/>
  <c r="BU58" i="163" s="1"/>
  <c r="S54" i="143" s="1"/>
  <c r="X54" i="143" s="1"/>
  <c r="BP32" i="159"/>
  <c r="AQ47" i="163"/>
  <c r="BU47" i="163" s="1"/>
  <c r="S43" i="143" s="1"/>
  <c r="BP21" i="159"/>
  <c r="AQ48" i="163"/>
  <c r="BU48" i="163" s="1"/>
  <c r="S44" i="143" s="1"/>
  <c r="X44" i="143" s="1"/>
  <c r="BP22" i="159"/>
  <c r="AQ74" i="163"/>
  <c r="BU74" i="163" s="1"/>
  <c r="S70" i="143" s="1"/>
  <c r="X70" i="143" s="1"/>
  <c r="AL47" i="159"/>
  <c r="BP48" i="159"/>
  <c r="AQ79" i="163"/>
  <c r="BU79" i="163" s="1"/>
  <c r="BP53" i="159"/>
  <c r="AQ107" i="163"/>
  <c r="BU107" i="163" s="1"/>
  <c r="S105" i="143" s="1"/>
  <c r="X105" i="143" s="1"/>
  <c r="BP81" i="159"/>
  <c r="AQ113" i="163"/>
  <c r="BU113" i="163" s="1"/>
  <c r="S111" i="143" s="1"/>
  <c r="BP87" i="159"/>
  <c r="AQ114" i="163"/>
  <c r="BU114" i="163" s="1"/>
  <c r="S112" i="143" s="1"/>
  <c r="BP88" i="159"/>
  <c r="AQ120" i="163"/>
  <c r="BU120" i="163" s="1"/>
  <c r="S118" i="143" s="1"/>
  <c r="BP94" i="159"/>
  <c r="AQ127" i="163"/>
  <c r="BU127" i="163" s="1"/>
  <c r="S125" i="143" s="1"/>
  <c r="BP101" i="159"/>
  <c r="AQ136" i="163"/>
  <c r="BU136" i="163" s="1"/>
  <c r="S134" i="143" s="1"/>
  <c r="X134" i="143" s="1"/>
  <c r="BP110" i="159"/>
  <c r="AP43" i="163"/>
  <c r="BT43" i="163" s="1"/>
  <c r="L39" i="143" s="1"/>
  <c r="BO17" i="159"/>
  <c r="AK16" i="159"/>
  <c r="AP64" i="163"/>
  <c r="BT64" i="163" s="1"/>
  <c r="L60" i="143" s="1"/>
  <c r="BO38" i="159"/>
  <c r="AP72" i="163"/>
  <c r="BT72" i="163" s="1"/>
  <c r="L68" i="143" s="1"/>
  <c r="L66" i="143" s="1"/>
  <c r="BO46" i="159"/>
  <c r="AP79" i="163"/>
  <c r="BT79" i="163" s="1"/>
  <c r="BO53" i="159"/>
  <c r="AP107" i="163"/>
  <c r="BT107" i="163" s="1"/>
  <c r="L105" i="143" s="1"/>
  <c r="BO81" i="159"/>
  <c r="AP111" i="163"/>
  <c r="BT111" i="163" s="1"/>
  <c r="L109" i="143" s="1"/>
  <c r="BO85" i="159"/>
  <c r="AP81" i="163"/>
  <c r="BT81" i="163" s="1"/>
  <c r="L77" i="143" s="1"/>
  <c r="BO55" i="159"/>
  <c r="AP131" i="163"/>
  <c r="BT131" i="163" s="1"/>
  <c r="BO105" i="159"/>
  <c r="AP145" i="163"/>
  <c r="BT145" i="163" s="1"/>
  <c r="L143" i="143" s="1"/>
  <c r="BO119" i="159"/>
  <c r="AP141" i="163"/>
  <c r="BT141" i="163" s="1"/>
  <c r="L139" i="143" s="1"/>
  <c r="BO115" i="159"/>
  <c r="AP138" i="163"/>
  <c r="BT138" i="163" s="1"/>
  <c r="L136" i="143" s="1"/>
  <c r="BO112" i="159"/>
  <c r="AO43" i="163"/>
  <c r="BS43" i="163" s="1"/>
  <c r="E39" i="143" s="1"/>
  <c r="BN17" i="159"/>
  <c r="AJ16" i="159"/>
  <c r="BN54" i="163"/>
  <c r="CR54" i="163" s="1"/>
  <c r="CM28" i="159"/>
  <c r="AO50" i="163"/>
  <c r="BS50" i="163" s="1"/>
  <c r="E46" i="143" s="1"/>
  <c r="BN24" i="159"/>
  <c r="AO55" i="163"/>
  <c r="BS55" i="163" s="1"/>
  <c r="E51" i="143" s="1"/>
  <c r="BN29" i="159"/>
  <c r="AJ28" i="159"/>
  <c r="AO57" i="163"/>
  <c r="BS57" i="163" s="1"/>
  <c r="E53" i="143" s="1"/>
  <c r="BN31" i="159"/>
  <c r="AO63" i="163"/>
  <c r="BS63" i="163" s="1"/>
  <c r="E59" i="143" s="1"/>
  <c r="BN37" i="159"/>
  <c r="AO88" i="163"/>
  <c r="BS88" i="163" s="1"/>
  <c r="E84" i="143" s="1"/>
  <c r="BN62" i="159"/>
  <c r="AO94" i="163"/>
  <c r="BS94" i="163" s="1"/>
  <c r="BN68" i="159"/>
  <c r="AO114" i="163"/>
  <c r="BS114" i="163" s="1"/>
  <c r="E112" i="143" s="1"/>
  <c r="J112" i="143" s="1"/>
  <c r="BN88" i="159"/>
  <c r="AO103" i="163"/>
  <c r="BS103" i="163" s="1"/>
  <c r="E101" i="143" s="1"/>
  <c r="BN77" i="159"/>
  <c r="AO116" i="163"/>
  <c r="BS116" i="163" s="1"/>
  <c r="E114" i="143" s="1"/>
  <c r="AJ89" i="159"/>
  <c r="BN90" i="159"/>
  <c r="AO131" i="163"/>
  <c r="BS131" i="163" s="1"/>
  <c r="BN105" i="159"/>
  <c r="AO147" i="163"/>
  <c r="BS147" i="163" s="1"/>
  <c r="BN121" i="159"/>
  <c r="AO148" i="163"/>
  <c r="BS148" i="163" s="1"/>
  <c r="E146" i="143" s="1"/>
  <c r="BN122" i="159"/>
  <c r="AN40" i="163"/>
  <c r="BR40" i="163" s="1"/>
  <c r="BM14" i="159"/>
  <c r="AI12" i="159"/>
  <c r="BM13" i="159"/>
  <c r="AN36" i="163"/>
  <c r="BR36" i="163" s="1"/>
  <c r="AI9" i="159"/>
  <c r="BM10" i="159"/>
  <c r="AN59" i="163"/>
  <c r="BR59" i="163" s="1"/>
  <c r="BM33" i="159"/>
  <c r="AN67" i="163"/>
  <c r="BR67" i="163" s="1"/>
  <c r="BM41" i="159"/>
  <c r="AN75" i="163"/>
  <c r="BR75" i="163" s="1"/>
  <c r="BM49" i="159"/>
  <c r="AN87" i="163"/>
  <c r="BR87" i="163" s="1"/>
  <c r="BM61" i="159"/>
  <c r="AN81" i="163"/>
  <c r="BR81" i="163" s="1"/>
  <c r="BM55" i="159"/>
  <c r="AN88" i="163"/>
  <c r="BR88" i="163" s="1"/>
  <c r="BM62" i="159"/>
  <c r="CQ62" i="159" s="1"/>
  <c r="DA62" i="159" s="1"/>
  <c r="AN120" i="163"/>
  <c r="BR120" i="163" s="1"/>
  <c r="BM94" i="159"/>
  <c r="AN117" i="163"/>
  <c r="BR117" i="163" s="1"/>
  <c r="BM91" i="159"/>
  <c r="AN138" i="163"/>
  <c r="BR138" i="163" s="1"/>
  <c r="BM112" i="159"/>
  <c r="M96" i="163"/>
  <c r="M125" i="159"/>
  <c r="BJ34" i="163"/>
  <c r="CN34" i="163" s="1"/>
  <c r="CI8" i="159"/>
  <c r="AJ32" i="163"/>
  <c r="AJ28" i="163"/>
  <c r="BN51" i="163"/>
  <c r="CR51" i="163" s="1"/>
  <c r="CM25" i="159"/>
  <c r="BE99" i="163"/>
  <c r="CI99" i="163" s="1"/>
  <c r="CD73" i="159"/>
  <c r="BH99" i="163"/>
  <c r="CL99" i="163" s="1"/>
  <c r="CG73" i="159"/>
  <c r="E96" i="163"/>
  <c r="E125" i="159"/>
  <c r="AQ36" i="163"/>
  <c r="BU36" i="163" s="1"/>
  <c r="S32" i="143" s="1"/>
  <c r="BP10" i="159"/>
  <c r="AL9" i="159"/>
  <c r="AQ71" i="163"/>
  <c r="BU71" i="163" s="1"/>
  <c r="S67" i="143" s="1"/>
  <c r="BP45" i="159"/>
  <c r="AL44" i="159"/>
  <c r="AQ62" i="163"/>
  <c r="BU62" i="163" s="1"/>
  <c r="S58" i="143" s="1"/>
  <c r="AL35" i="159"/>
  <c r="BP36" i="159"/>
  <c r="AQ72" i="163"/>
  <c r="BU72" i="163" s="1"/>
  <c r="S68" i="143" s="1"/>
  <c r="BP46" i="159"/>
  <c r="AQ83" i="163"/>
  <c r="BU83" i="163" s="1"/>
  <c r="S79" i="143" s="1"/>
  <c r="AL56" i="159"/>
  <c r="BP57" i="159"/>
  <c r="AQ109" i="163"/>
  <c r="BU109" i="163" s="1"/>
  <c r="S107" i="143" s="1"/>
  <c r="BP83" i="159"/>
  <c r="AQ84" i="163"/>
  <c r="BU84" i="163" s="1"/>
  <c r="S80" i="143" s="1"/>
  <c r="X80" i="143" s="1"/>
  <c r="BP58" i="159"/>
  <c r="AQ124" i="163"/>
  <c r="BU124" i="163" s="1"/>
  <c r="S122" i="143" s="1"/>
  <c r="X122" i="143" s="1"/>
  <c r="BP98" i="159"/>
  <c r="AQ126" i="163"/>
  <c r="BU126" i="163" s="1"/>
  <c r="S124" i="143" s="1"/>
  <c r="BP100" i="159"/>
  <c r="AQ133" i="163"/>
  <c r="BU133" i="163" s="1"/>
  <c r="S131" i="143" s="1"/>
  <c r="BP107" i="159"/>
  <c r="AQ138" i="163"/>
  <c r="BU138" i="163" s="1"/>
  <c r="S136" i="143" s="1"/>
  <c r="X136" i="143" s="1"/>
  <c r="BP112" i="159"/>
  <c r="V151" i="163"/>
  <c r="AP36" i="163"/>
  <c r="BT36" i="163" s="1"/>
  <c r="L32" i="143" s="1"/>
  <c r="L31" i="143" s="1"/>
  <c r="AK9" i="159"/>
  <c r="BO10" i="159"/>
  <c r="AP41" i="163"/>
  <c r="BT41" i="163" s="1"/>
  <c r="L37" i="143" s="1"/>
  <c r="BO15" i="159"/>
  <c r="AP66" i="163"/>
  <c r="BT66" i="163" s="1"/>
  <c r="L62" i="143" s="1"/>
  <c r="BO40" i="159"/>
  <c r="AP77" i="163"/>
  <c r="BT77" i="163" s="1"/>
  <c r="L73" i="143" s="1"/>
  <c r="AK50" i="159"/>
  <c r="BO51" i="159"/>
  <c r="AP83" i="163"/>
  <c r="BT83" i="163" s="1"/>
  <c r="L79" i="143" s="1"/>
  <c r="BO57" i="159"/>
  <c r="AK56" i="159"/>
  <c r="AP109" i="163"/>
  <c r="BT109" i="163" s="1"/>
  <c r="L107" i="143" s="1"/>
  <c r="BO83" i="159"/>
  <c r="AP84" i="163"/>
  <c r="BT84" i="163" s="1"/>
  <c r="L80" i="143" s="1"/>
  <c r="BO58" i="159"/>
  <c r="AP93" i="163"/>
  <c r="BT93" i="163" s="1"/>
  <c r="L89" i="143" s="1"/>
  <c r="BO67" i="159"/>
  <c r="AP117" i="163"/>
  <c r="BT117" i="163" s="1"/>
  <c r="L115" i="143" s="1"/>
  <c r="BO91" i="159"/>
  <c r="AP123" i="163"/>
  <c r="BT123" i="163" s="1"/>
  <c r="L121" i="143" s="1"/>
  <c r="BO97" i="159"/>
  <c r="AP144" i="163"/>
  <c r="BT144" i="163" s="1"/>
  <c r="L142" i="143" s="1"/>
  <c r="BO118" i="159"/>
  <c r="AP140" i="163"/>
  <c r="BT140" i="163" s="1"/>
  <c r="L138" i="143" s="1"/>
  <c r="BO114" i="159"/>
  <c r="CS114" i="159" s="1"/>
  <c r="DC114" i="159" s="1"/>
  <c r="AV51" i="163"/>
  <c r="BZ51" i="163" s="1"/>
  <c r="BU25" i="159"/>
  <c r="BA70" i="159" l="1"/>
  <c r="BF96" i="163" s="1"/>
  <c r="X144" i="143"/>
  <c r="X125" i="143"/>
  <c r="X120" i="143"/>
  <c r="X124" i="143"/>
  <c r="X67" i="143"/>
  <c r="X108" i="143"/>
  <c r="X60" i="143"/>
  <c r="AL104" i="159"/>
  <c r="X112" i="143"/>
  <c r="X37" i="143"/>
  <c r="X33" i="143"/>
  <c r="P92" i="143"/>
  <c r="BX59" i="159"/>
  <c r="X59" i="143"/>
  <c r="X43" i="143"/>
  <c r="X139" i="143"/>
  <c r="X110" i="143"/>
  <c r="X111" i="143"/>
  <c r="X91" i="143"/>
  <c r="X73" i="143"/>
  <c r="I69" i="143"/>
  <c r="X121" i="143"/>
  <c r="T87" i="143"/>
  <c r="N38" i="143"/>
  <c r="N30" i="143" s="1"/>
  <c r="Q8" i="143"/>
  <c r="X138" i="143"/>
  <c r="J14" i="143"/>
  <c r="J139" i="143"/>
  <c r="X52" i="143"/>
  <c r="T38" i="143"/>
  <c r="X55" i="143"/>
  <c r="U31" i="143"/>
  <c r="J136" i="143"/>
  <c r="X103" i="143"/>
  <c r="Q23" i="143"/>
  <c r="X49" i="143"/>
  <c r="X42" i="143"/>
  <c r="X137" i="143"/>
  <c r="M72" i="143"/>
  <c r="X106" i="143"/>
  <c r="U113" i="143"/>
  <c r="X100" i="143"/>
  <c r="E31" i="143"/>
  <c r="M98" i="143"/>
  <c r="U66" i="143"/>
  <c r="CT29" i="163"/>
  <c r="N21" i="143"/>
  <c r="J126" i="143"/>
  <c r="J123" i="143"/>
  <c r="J117" i="143"/>
  <c r="F21" i="143"/>
  <c r="U87" i="143"/>
  <c r="M129" i="143"/>
  <c r="X86" i="143"/>
  <c r="X119" i="143"/>
  <c r="X117" i="143"/>
  <c r="X62" i="143"/>
  <c r="X133" i="143"/>
  <c r="X132" i="143"/>
  <c r="J16" i="143"/>
  <c r="J142" i="143"/>
  <c r="L47" i="143"/>
  <c r="X36" i="143"/>
  <c r="J134" i="143"/>
  <c r="J24" i="143"/>
  <c r="X131" i="143"/>
  <c r="X107" i="143"/>
  <c r="X58" i="143"/>
  <c r="J101" i="143"/>
  <c r="X84" i="143"/>
  <c r="J125" i="143"/>
  <c r="J109" i="143"/>
  <c r="X115" i="143"/>
  <c r="X118" i="143"/>
  <c r="J122" i="143"/>
  <c r="J119" i="143"/>
  <c r="J133" i="143"/>
  <c r="J138" i="143"/>
  <c r="X45" i="143"/>
  <c r="J140" i="143"/>
  <c r="X77" i="143"/>
  <c r="X83" i="143"/>
  <c r="H92" i="143"/>
  <c r="J17" i="143"/>
  <c r="E69" i="143"/>
  <c r="J105" i="143"/>
  <c r="G78" i="143"/>
  <c r="X12" i="143"/>
  <c r="J131" i="143"/>
  <c r="J137" i="143"/>
  <c r="J124" i="143"/>
  <c r="J110" i="143"/>
  <c r="J115" i="143"/>
  <c r="E57" i="143"/>
  <c r="G75" i="143"/>
  <c r="G129" i="143"/>
  <c r="G128" i="143" s="1"/>
  <c r="V18" i="143"/>
  <c r="V22" i="143" s="1"/>
  <c r="V25" i="143" s="1"/>
  <c r="G31" i="143"/>
  <c r="J132" i="143"/>
  <c r="J118" i="143"/>
  <c r="J23" i="143"/>
  <c r="Q16" i="143"/>
  <c r="X14" i="143"/>
  <c r="L38" i="143"/>
  <c r="E38" i="143"/>
  <c r="Q12" i="143"/>
  <c r="I72" i="143"/>
  <c r="F50" i="143"/>
  <c r="J144" i="143"/>
  <c r="J135" i="143"/>
  <c r="J107" i="143"/>
  <c r="F81" i="143"/>
  <c r="L129" i="143"/>
  <c r="J120" i="143"/>
  <c r="X41" i="143"/>
  <c r="J121" i="143"/>
  <c r="J103" i="143"/>
  <c r="F38" i="143"/>
  <c r="N81" i="143"/>
  <c r="S9" i="143"/>
  <c r="S11" i="143" s="1"/>
  <c r="X7" i="143"/>
  <c r="N98" i="143"/>
  <c r="J100" i="143"/>
  <c r="X16" i="143"/>
  <c r="X20" i="143"/>
  <c r="AC7" i="143"/>
  <c r="E9" i="143"/>
  <c r="E11" i="143" s="1"/>
  <c r="J7" i="143"/>
  <c r="X10" i="143"/>
  <c r="L9" i="143"/>
  <c r="L11" i="143" s="1"/>
  <c r="Q7" i="143"/>
  <c r="T9" i="143"/>
  <c r="T11" i="143" s="1"/>
  <c r="T18" i="143" s="1"/>
  <c r="Q24" i="143"/>
  <c r="I31" i="143"/>
  <c r="X89" i="143"/>
  <c r="J147" i="143"/>
  <c r="X17" i="143"/>
  <c r="Q20" i="143"/>
  <c r="M9" i="143"/>
  <c r="M11" i="143" s="1"/>
  <c r="M18" i="143" s="1"/>
  <c r="G9" i="143"/>
  <c r="G11" i="143" s="1"/>
  <c r="G18" i="143" s="1"/>
  <c r="U21" i="143"/>
  <c r="AV8" i="159"/>
  <c r="BA34" i="163" s="1"/>
  <c r="CE34" i="163" s="1"/>
  <c r="BW59" i="159"/>
  <c r="AX85" i="163"/>
  <c r="CB85" i="163" s="1"/>
  <c r="J108" i="143"/>
  <c r="J12" i="143"/>
  <c r="M21" i="143"/>
  <c r="U9" i="143"/>
  <c r="U11" i="143" s="1"/>
  <c r="U18" i="143" s="1"/>
  <c r="M87" i="143"/>
  <c r="M50" i="143"/>
  <c r="BF125" i="159"/>
  <c r="BK150" i="163"/>
  <c r="CO150" i="163" s="1"/>
  <c r="CJ124" i="159"/>
  <c r="A9" i="159"/>
  <c r="S21" i="143"/>
  <c r="X19" i="143"/>
  <c r="X24" i="143"/>
  <c r="J10" i="143"/>
  <c r="J20" i="143"/>
  <c r="G21" i="143"/>
  <c r="BK96" i="163"/>
  <c r="CJ70" i="159"/>
  <c r="BF60" i="163"/>
  <c r="CJ60" i="163" s="1"/>
  <c r="CE34" i="159"/>
  <c r="BF150" i="163"/>
  <c r="BA125" i="159"/>
  <c r="Q10" i="143"/>
  <c r="Q19" i="143"/>
  <c r="L21" i="143"/>
  <c r="AC8" i="143"/>
  <c r="AI8" i="143" s="1"/>
  <c r="J8" i="143"/>
  <c r="N9" i="143"/>
  <c r="N11" i="143" s="1"/>
  <c r="N18" i="143" s="1"/>
  <c r="U98" i="143"/>
  <c r="N113" i="143"/>
  <c r="M38" i="143"/>
  <c r="Q17" i="143"/>
  <c r="E21" i="143"/>
  <c r="J19" i="143"/>
  <c r="T21" i="143"/>
  <c r="X8" i="143"/>
  <c r="T50" i="143"/>
  <c r="U81" i="143"/>
  <c r="BZ59" i="159"/>
  <c r="BA85" i="163"/>
  <c r="CE85" i="163" s="1"/>
  <c r="BY59" i="159"/>
  <c r="AZ85" i="163"/>
  <c r="CD85" i="163" s="1"/>
  <c r="E87" i="143"/>
  <c r="X23" i="143"/>
  <c r="AD7" i="143"/>
  <c r="F9" i="143"/>
  <c r="F11" i="143" s="1"/>
  <c r="F18" i="143" s="1"/>
  <c r="N87" i="143"/>
  <c r="F113" i="143"/>
  <c r="AI65" i="143"/>
  <c r="AI56" i="143" s="1"/>
  <c r="F65" i="143"/>
  <c r="G113" i="143"/>
  <c r="L78" i="143"/>
  <c r="E75" i="143"/>
  <c r="E66" i="143"/>
  <c r="L75" i="143"/>
  <c r="E72" i="143"/>
  <c r="G69" i="143"/>
  <c r="G145" i="143"/>
  <c r="G98" i="143"/>
  <c r="G97" i="143" s="1"/>
  <c r="I47" i="143"/>
  <c r="I81" i="143"/>
  <c r="N128" i="143"/>
  <c r="N127" i="143" s="1"/>
  <c r="L87" i="143"/>
  <c r="S113" i="143"/>
  <c r="X114" i="143"/>
  <c r="L50" i="143"/>
  <c r="E47" i="143"/>
  <c r="S69" i="143"/>
  <c r="X71" i="143"/>
  <c r="X69" i="143" s="1"/>
  <c r="G50" i="143"/>
  <c r="G38" i="143"/>
  <c r="I78" i="143"/>
  <c r="T98" i="143"/>
  <c r="F87" i="143"/>
  <c r="X146" i="143"/>
  <c r="X145" i="143" s="1"/>
  <c r="S145" i="143"/>
  <c r="X48" i="143"/>
  <c r="S47" i="143"/>
  <c r="X130" i="143"/>
  <c r="S129" i="143"/>
  <c r="L72" i="143"/>
  <c r="U38" i="143"/>
  <c r="L145" i="143"/>
  <c r="E34" i="143"/>
  <c r="X82" i="143"/>
  <c r="G72" i="143"/>
  <c r="I38" i="143"/>
  <c r="F98" i="143"/>
  <c r="M113" i="143"/>
  <c r="X79" i="143"/>
  <c r="X78" i="143" s="1"/>
  <c r="S78" i="143"/>
  <c r="X68" i="143"/>
  <c r="S66" i="143"/>
  <c r="E50" i="143"/>
  <c r="E98" i="143"/>
  <c r="J99" i="143"/>
  <c r="L69" i="143"/>
  <c r="G47" i="143"/>
  <c r="G81" i="143"/>
  <c r="I50" i="143"/>
  <c r="U50" i="143"/>
  <c r="AI97" i="143"/>
  <c r="S31" i="143"/>
  <c r="X32" i="143"/>
  <c r="J114" i="143"/>
  <c r="E113" i="143"/>
  <c r="X51" i="143"/>
  <c r="S50" i="143"/>
  <c r="X88" i="143"/>
  <c r="S87" i="143"/>
  <c r="S38" i="143"/>
  <c r="E78" i="143"/>
  <c r="S75" i="143"/>
  <c r="X76" i="143"/>
  <c r="J106" i="143"/>
  <c r="I66" i="143"/>
  <c r="T81" i="143"/>
  <c r="E145" i="143"/>
  <c r="J146" i="143"/>
  <c r="L113" i="143"/>
  <c r="E129" i="143"/>
  <c r="J130" i="143"/>
  <c r="L98" i="143"/>
  <c r="S98" i="143"/>
  <c r="X99" i="143"/>
  <c r="G87" i="143"/>
  <c r="I87" i="143"/>
  <c r="I75" i="143"/>
  <c r="T113" i="143"/>
  <c r="T75" i="143"/>
  <c r="F57" i="143"/>
  <c r="AG29" i="143"/>
  <c r="A29" i="143" s="1"/>
  <c r="AG96" i="143"/>
  <c r="A96" i="143" s="1"/>
  <c r="CS78" i="159"/>
  <c r="DC78" i="159" s="1"/>
  <c r="CS87" i="159"/>
  <c r="DC87" i="159" s="1"/>
  <c r="CS97" i="159"/>
  <c r="DC97" i="159" s="1"/>
  <c r="CQ118" i="159"/>
  <c r="DA118" i="159" s="1"/>
  <c r="CQ86" i="159"/>
  <c r="DA86" i="159" s="1"/>
  <c r="CQ79" i="159"/>
  <c r="DA79" i="159" s="1"/>
  <c r="CS15" i="159"/>
  <c r="DC15" i="159" s="1"/>
  <c r="CS22" i="159"/>
  <c r="DC22" i="159" s="1"/>
  <c r="CS52" i="159"/>
  <c r="DC52" i="159" s="1"/>
  <c r="CQ32" i="159"/>
  <c r="DA32" i="159" s="1"/>
  <c r="CQ37" i="159"/>
  <c r="DA37" i="159" s="1"/>
  <c r="CT75" i="159"/>
  <c r="DD75" i="159" s="1"/>
  <c r="CQ84" i="159"/>
  <c r="DA84" i="159" s="1"/>
  <c r="CQ42" i="159"/>
  <c r="DA42" i="159" s="1"/>
  <c r="CQ10" i="159"/>
  <c r="DA10" i="159" s="1"/>
  <c r="CS75" i="159"/>
  <c r="DC75" i="159" s="1"/>
  <c r="CQ97" i="159"/>
  <c r="DA97" i="159" s="1"/>
  <c r="CS46" i="159"/>
  <c r="DC46" i="159" s="1"/>
  <c r="CS24" i="159"/>
  <c r="DC24" i="159" s="1"/>
  <c r="CQ76" i="159"/>
  <c r="DA76" i="159" s="1"/>
  <c r="CQ55" i="159"/>
  <c r="DA55" i="159" s="1"/>
  <c r="CQ18" i="159"/>
  <c r="DA18" i="159" s="1"/>
  <c r="CQ82" i="159"/>
  <c r="DA82" i="159" s="1"/>
  <c r="CS96" i="159"/>
  <c r="DC96" i="159" s="1"/>
  <c r="CQ36" i="159"/>
  <c r="DA36" i="159" s="1"/>
  <c r="CS109" i="159"/>
  <c r="DC109" i="159" s="1"/>
  <c r="BS25" i="159"/>
  <c r="CS49" i="159"/>
  <c r="DC49" i="159" s="1"/>
  <c r="CQ13" i="159"/>
  <c r="DA13" i="159" s="1"/>
  <c r="CS95" i="159"/>
  <c r="DC95" i="159" s="1"/>
  <c r="CT83" i="159"/>
  <c r="DD83" i="159" s="1"/>
  <c r="CQ85" i="159"/>
  <c r="DA85" i="159" s="1"/>
  <c r="CQ113" i="159"/>
  <c r="DA113" i="159" s="1"/>
  <c r="CN74" i="159"/>
  <c r="CQ39" i="159"/>
  <c r="DA39" i="159" s="1"/>
  <c r="CT15" i="159"/>
  <c r="DD15" i="159" s="1"/>
  <c r="CQ87" i="159"/>
  <c r="DA87" i="159" s="1"/>
  <c r="CS92" i="159"/>
  <c r="DC92" i="159" s="1"/>
  <c r="BT44" i="159"/>
  <c r="BS65" i="159"/>
  <c r="CQ19" i="159"/>
  <c r="DA19" i="159" s="1"/>
  <c r="CQ93" i="159"/>
  <c r="DA93" i="159" s="1"/>
  <c r="AP43" i="159"/>
  <c r="AU69" i="163" s="1"/>
  <c r="BY69" i="163" s="1"/>
  <c r="M65" i="143" s="1"/>
  <c r="CT31" i="159"/>
  <c r="DD31" i="159" s="1"/>
  <c r="CS88" i="159"/>
  <c r="DC88" i="159" s="1"/>
  <c r="Q67" i="143"/>
  <c r="CQ100" i="159"/>
  <c r="DA100" i="159" s="1"/>
  <c r="AJ20" i="143"/>
  <c r="AJ21" i="143" s="1"/>
  <c r="Q119" i="143"/>
  <c r="CS102" i="159"/>
  <c r="DC102" i="159" s="1"/>
  <c r="CQ63" i="159"/>
  <c r="DA63" i="159" s="1"/>
  <c r="CS36" i="159"/>
  <c r="DC36" i="159" s="1"/>
  <c r="BN21" i="163"/>
  <c r="CR21" i="163" s="1"/>
  <c r="CQ105" i="159"/>
  <c r="DA105" i="159" s="1"/>
  <c r="CQ69" i="159"/>
  <c r="DA69" i="159" s="1"/>
  <c r="Q100" i="143"/>
  <c r="Q83" i="143"/>
  <c r="BW44" i="159"/>
  <c r="CO89" i="159"/>
  <c r="AS43" i="159"/>
  <c r="BW43" i="159" s="1"/>
  <c r="BY9" i="159"/>
  <c r="CQ83" i="159"/>
  <c r="DA83" i="159" s="1"/>
  <c r="Q68" i="143"/>
  <c r="CQ49" i="159"/>
  <c r="DA49" i="159" s="1"/>
  <c r="CQ88" i="159"/>
  <c r="DA88" i="159" s="1"/>
  <c r="CS108" i="159"/>
  <c r="DC108" i="159" s="1"/>
  <c r="CT112" i="159"/>
  <c r="DD112" i="159" s="1"/>
  <c r="CQ27" i="159"/>
  <c r="DA27" i="159" s="1"/>
  <c r="BU28" i="159"/>
  <c r="CT97" i="159"/>
  <c r="DD97" i="159" s="1"/>
  <c r="CT64" i="159"/>
  <c r="DD64" i="159" s="1"/>
  <c r="Q110" i="143"/>
  <c r="CO74" i="159"/>
  <c r="CQ15" i="159"/>
  <c r="DA15" i="159" s="1"/>
  <c r="CT100" i="159"/>
  <c r="DD100" i="159" s="1"/>
  <c r="CS11" i="159"/>
  <c r="DC11" i="159" s="1"/>
  <c r="BK73" i="159"/>
  <c r="BP99" i="163" s="1"/>
  <c r="CT99" i="163" s="1"/>
  <c r="CL74" i="159"/>
  <c r="CQ81" i="159"/>
  <c r="DA81" i="159" s="1"/>
  <c r="CS94" i="159"/>
  <c r="DC94" i="159" s="1"/>
  <c r="Q136" i="143"/>
  <c r="CQ108" i="159"/>
  <c r="DA108" i="159" s="1"/>
  <c r="CQ75" i="159"/>
  <c r="DA75" i="159" s="1"/>
  <c r="CS20" i="159"/>
  <c r="DC20" i="159" s="1"/>
  <c r="CV39" i="163"/>
  <c r="DF39" i="163" s="1"/>
  <c r="CS115" i="159"/>
  <c r="DC115" i="159" s="1"/>
  <c r="CS82" i="159"/>
  <c r="DC82" i="159" s="1"/>
  <c r="CQ40" i="159"/>
  <c r="DA40" i="159" s="1"/>
  <c r="CQ21" i="159"/>
  <c r="DA21" i="159" s="1"/>
  <c r="CT36" i="159"/>
  <c r="DD36" i="159" s="1"/>
  <c r="CS84" i="159"/>
  <c r="DC84" i="159" s="1"/>
  <c r="CS10" i="159"/>
  <c r="DC10" i="159" s="1"/>
  <c r="CQ107" i="159"/>
  <c r="DA107" i="159" s="1"/>
  <c r="BZ56" i="159"/>
  <c r="CR30" i="163"/>
  <c r="CS107" i="159"/>
  <c r="DC107" i="159" s="1"/>
  <c r="Q142" i="143"/>
  <c r="CQ33" i="159"/>
  <c r="DA33" i="159" s="1"/>
  <c r="CS54" i="159"/>
  <c r="DC54" i="159" s="1"/>
  <c r="AO43" i="159"/>
  <c r="AO34" i="159" s="1"/>
  <c r="AT60" i="163" s="1"/>
  <c r="BX60" i="163" s="1"/>
  <c r="BY44" i="159"/>
  <c r="CQ78" i="159"/>
  <c r="DA78" i="159" s="1"/>
  <c r="BN100" i="163"/>
  <c r="CR100" i="163" s="1"/>
  <c r="BS44" i="159"/>
  <c r="AU43" i="159"/>
  <c r="AU34" i="159" s="1"/>
  <c r="BH73" i="159"/>
  <c r="BM99" i="163" s="1"/>
  <c r="CQ99" i="163" s="1"/>
  <c r="CS93" i="159"/>
  <c r="DC93" i="159" s="1"/>
  <c r="CS48" i="159"/>
  <c r="DC48" i="159" s="1"/>
  <c r="CT55" i="159"/>
  <c r="DD55" i="159" s="1"/>
  <c r="BY74" i="159"/>
  <c r="CQ114" i="159"/>
  <c r="DA114" i="159" s="1"/>
  <c r="CL89" i="159"/>
  <c r="BW25" i="159"/>
  <c r="CQ102" i="159"/>
  <c r="DA102" i="159" s="1"/>
  <c r="CS37" i="159"/>
  <c r="DC37" i="159" s="1"/>
  <c r="BW16" i="159"/>
  <c r="CQ94" i="159"/>
  <c r="DA94" i="159" s="1"/>
  <c r="CQ11" i="159"/>
  <c r="DA11" i="159" s="1"/>
  <c r="CT20" i="159"/>
  <c r="DD20" i="159" s="1"/>
  <c r="BI73" i="159"/>
  <c r="CM73" i="159" s="1"/>
  <c r="CQ60" i="159"/>
  <c r="DA60" i="159" s="1"/>
  <c r="CM89" i="159"/>
  <c r="BT25" i="159"/>
  <c r="BN115" i="163"/>
  <c r="CR115" i="163" s="1"/>
  <c r="CS19" i="159"/>
  <c r="DC19" i="159" s="1"/>
  <c r="CO104" i="159"/>
  <c r="BY65" i="159"/>
  <c r="BK103" i="159"/>
  <c r="CS26" i="159"/>
  <c r="DC26" i="159" s="1"/>
  <c r="CT92" i="159"/>
  <c r="DD92" i="159" s="1"/>
  <c r="BJ73" i="159"/>
  <c r="CN73" i="159" s="1"/>
  <c r="CS30" i="163"/>
  <c r="BM21" i="163"/>
  <c r="CQ21" i="163" s="1"/>
  <c r="CE30" i="163"/>
  <c r="CQ101" i="159"/>
  <c r="DA101" i="159" s="1"/>
  <c r="BR28" i="159"/>
  <c r="CQ116" i="159"/>
  <c r="DA116" i="159" s="1"/>
  <c r="BO21" i="163"/>
  <c r="CS21" i="163" s="1"/>
  <c r="CT115" i="159"/>
  <c r="DD115" i="159" s="1"/>
  <c r="AT82" i="163"/>
  <c r="BX82" i="163" s="1"/>
  <c r="CS106" i="159"/>
  <c r="DC106" i="159" s="1"/>
  <c r="AU54" i="163"/>
  <c r="BY54" i="163" s="1"/>
  <c r="BS16" i="159"/>
  <c r="AN43" i="159"/>
  <c r="AS69" i="163" s="1"/>
  <c r="BW69" i="163" s="1"/>
  <c r="CS41" i="159"/>
  <c r="DC41" i="159" s="1"/>
  <c r="AS70" i="163"/>
  <c r="BW70" i="163" s="1"/>
  <c r="BW89" i="159"/>
  <c r="CT58" i="159"/>
  <c r="DD58" i="159" s="1"/>
  <c r="CT99" i="159"/>
  <c r="DD99" i="159" s="1"/>
  <c r="CQ14" i="159"/>
  <c r="DA14" i="159" s="1"/>
  <c r="CS33" i="159"/>
  <c r="DC33" i="159" s="1"/>
  <c r="CQ48" i="159"/>
  <c r="DA48" i="159" s="1"/>
  <c r="CS51" i="159"/>
  <c r="DC51" i="159" s="1"/>
  <c r="CT96" i="159"/>
  <c r="DD96" i="159" s="1"/>
  <c r="BR56" i="159"/>
  <c r="AV43" i="159"/>
  <c r="BA69" i="163" s="1"/>
  <c r="CE69" i="163" s="1"/>
  <c r="U65" i="143" s="1"/>
  <c r="BA70" i="163"/>
  <c r="CE70" i="163" s="1"/>
  <c r="AS73" i="159"/>
  <c r="AX99" i="163" s="1"/>
  <c r="CB99" i="163" s="1"/>
  <c r="AX91" i="163"/>
  <c r="CB91" i="163" s="1"/>
  <c r="Q53" i="143"/>
  <c r="CS57" i="159"/>
  <c r="DC57" i="159" s="1"/>
  <c r="BA115" i="163"/>
  <c r="CE115" i="163" s="1"/>
  <c r="AX82" i="163"/>
  <c r="CB82" i="163" s="1"/>
  <c r="CR30" i="159"/>
  <c r="DB30" i="159" s="1"/>
  <c r="AG20" i="143"/>
  <c r="Q130" i="143"/>
  <c r="CV8" i="190"/>
  <c r="CV11" i="190"/>
  <c r="DB10" i="163" s="1"/>
  <c r="CP13" i="190"/>
  <c r="CZ13" i="190" s="1"/>
  <c r="CS24" i="190"/>
  <c r="DC24" i="190" s="1"/>
  <c r="AW23" i="190"/>
  <c r="CA19" i="190"/>
  <c r="CD19" i="190"/>
  <c r="AZ23" i="190"/>
  <c r="CG19" i="190"/>
  <c r="BC23" i="190"/>
  <c r="CU23" i="190"/>
  <c r="DA18" i="163"/>
  <c r="CF19" i="190"/>
  <c r="BB23" i="190"/>
  <c r="AX23" i="190"/>
  <c r="CB19" i="190"/>
  <c r="CX23" i="190"/>
  <c r="DD18" i="163"/>
  <c r="CH19" i="190"/>
  <c r="BD23" i="190"/>
  <c r="AY23" i="190"/>
  <c r="CC19" i="190"/>
  <c r="BT16" i="159"/>
  <c r="Q106" i="143"/>
  <c r="CQ17" i="190"/>
  <c r="DA17" i="190" s="1"/>
  <c r="CQ23" i="159"/>
  <c r="DA23" i="159" s="1"/>
  <c r="BU16" i="159"/>
  <c r="BU44" i="159"/>
  <c r="CR13" i="190"/>
  <c r="DB13" i="190" s="1"/>
  <c r="AS42" i="163"/>
  <c r="BW42" i="163" s="1"/>
  <c r="AQ43" i="159"/>
  <c r="AV69" i="163" s="1"/>
  <c r="BZ69" i="163" s="1"/>
  <c r="T65" i="143" s="1"/>
  <c r="CR16" i="190"/>
  <c r="DB16" i="190" s="1"/>
  <c r="CP16" i="190"/>
  <c r="CZ16" i="190" s="1"/>
  <c r="CP18" i="190"/>
  <c r="CZ18" i="190" s="1"/>
  <c r="CQ20" i="190"/>
  <c r="DA20" i="190" s="1"/>
  <c r="CP15" i="190"/>
  <c r="CZ15" i="190" s="1"/>
  <c r="CS21" i="190"/>
  <c r="DC21" i="190" s="1"/>
  <c r="CS13" i="190"/>
  <c r="DC13" i="190" s="1"/>
  <c r="CS25" i="190"/>
  <c r="DC25" i="190" s="1"/>
  <c r="CR9" i="190"/>
  <c r="DB9" i="190" s="1"/>
  <c r="CR25" i="190"/>
  <c r="DB25" i="190" s="1"/>
  <c r="CP25" i="190"/>
  <c r="CZ25" i="190" s="1"/>
  <c r="CR20" i="190"/>
  <c r="DB20" i="190" s="1"/>
  <c r="CR11" i="190"/>
  <c r="CR17" i="190"/>
  <c r="DB17" i="190" s="1"/>
  <c r="BT89" i="159"/>
  <c r="CT33" i="159"/>
  <c r="DD33" i="159" s="1"/>
  <c r="BZ30" i="163"/>
  <c r="CP14" i="190"/>
  <c r="CZ14" i="190" s="1"/>
  <c r="BZ74" i="159"/>
  <c r="CS15" i="190"/>
  <c r="DC15" i="190" s="1"/>
  <c r="CQ24" i="190"/>
  <c r="DA24" i="190" s="1"/>
  <c r="CP20" i="190"/>
  <c r="CZ20" i="190" s="1"/>
  <c r="CQ25" i="190"/>
  <c r="DA25" i="190" s="1"/>
  <c r="CS8" i="190"/>
  <c r="DC8" i="190" s="1"/>
  <c r="BX30" i="163"/>
  <c r="BA51" i="163"/>
  <c r="CE51" i="163" s="1"/>
  <c r="Q137" i="143"/>
  <c r="CP24" i="190"/>
  <c r="CZ24" i="190" s="1"/>
  <c r="BZ28" i="159"/>
  <c r="CT82" i="159"/>
  <c r="DD82" i="159" s="1"/>
  <c r="BY28" i="159"/>
  <c r="CS16" i="190"/>
  <c r="DC16" i="190" s="1"/>
  <c r="CS40" i="159"/>
  <c r="DC40" i="159" s="1"/>
  <c r="BU59" i="159"/>
  <c r="CP21" i="190"/>
  <c r="CZ21" i="190" s="1"/>
  <c r="CQ38" i="159"/>
  <c r="DA38" i="159" s="1"/>
  <c r="CS42" i="159"/>
  <c r="DC42" i="159" s="1"/>
  <c r="CS14" i="190"/>
  <c r="DC14" i="190" s="1"/>
  <c r="Q115" i="143"/>
  <c r="CQ9" i="190"/>
  <c r="DA9" i="190" s="1"/>
  <c r="CS17" i="190"/>
  <c r="DC17" i="190" s="1"/>
  <c r="CQ14" i="190"/>
  <c r="DA14" i="190" s="1"/>
  <c r="Q43" i="143"/>
  <c r="CT102" i="159"/>
  <c r="DD102" i="159" s="1"/>
  <c r="CQ41" i="159"/>
  <c r="DA41" i="159" s="1"/>
  <c r="CT22" i="159"/>
  <c r="DD22" i="159" s="1"/>
  <c r="CS110" i="159"/>
  <c r="DC110" i="159" s="1"/>
  <c r="CQ109" i="159"/>
  <c r="DA109" i="159" s="1"/>
  <c r="CQ45" i="159"/>
  <c r="DA45" i="159" s="1"/>
  <c r="CT18" i="159"/>
  <c r="DD18" i="159" s="1"/>
  <c r="CT14" i="159"/>
  <c r="DD14" i="159" s="1"/>
  <c r="CQ54" i="159"/>
  <c r="DA54" i="159" s="1"/>
  <c r="CQ26" i="159"/>
  <c r="DA26" i="159" s="1"/>
  <c r="CS67" i="159"/>
  <c r="DC67" i="159" s="1"/>
  <c r="CQ46" i="159"/>
  <c r="DA46" i="159" s="1"/>
  <c r="CT88" i="159"/>
  <c r="DD88" i="159" s="1"/>
  <c r="CS80" i="159"/>
  <c r="DC80" i="159" s="1"/>
  <c r="CQ92" i="159"/>
  <c r="DA92" i="159" s="1"/>
  <c r="CT41" i="159"/>
  <c r="DD41" i="159" s="1"/>
  <c r="AP73" i="159"/>
  <c r="AU99" i="163" s="1"/>
  <c r="BY99" i="163" s="1"/>
  <c r="AV73" i="159"/>
  <c r="BA99" i="163" s="1"/>
  <c r="CE99" i="163" s="1"/>
  <c r="Q74" i="143"/>
  <c r="BR25" i="159"/>
  <c r="CS60" i="159"/>
  <c r="DC60" i="159" s="1"/>
  <c r="BZ65" i="159"/>
  <c r="CT81" i="159"/>
  <c r="DD81" i="159" s="1"/>
  <c r="AX100" i="163"/>
  <c r="CB100" i="163" s="1"/>
  <c r="BS9" i="159"/>
  <c r="BU56" i="159"/>
  <c r="Q46" i="143"/>
  <c r="CQ115" i="159"/>
  <c r="DA115" i="159" s="1"/>
  <c r="CS85" i="159"/>
  <c r="DC85" i="159" s="1"/>
  <c r="CQ22" i="159"/>
  <c r="DA22" i="159" s="1"/>
  <c r="CT26" i="159"/>
  <c r="DD26" i="159" s="1"/>
  <c r="CQ16" i="190"/>
  <c r="DA16" i="190" s="1"/>
  <c r="CS9" i="190"/>
  <c r="DC9" i="190" s="1"/>
  <c r="CT90" i="159"/>
  <c r="DD90" i="159" s="1"/>
  <c r="CT108" i="159"/>
  <c r="DD108" i="159" s="1"/>
  <c r="CQ80" i="159"/>
  <c r="DA80" i="159" s="1"/>
  <c r="CT10" i="159"/>
  <c r="DD10" i="159" s="1"/>
  <c r="CN89" i="159"/>
  <c r="CQ30" i="159"/>
  <c r="DA30" i="159" s="1"/>
  <c r="BW104" i="159"/>
  <c r="BO115" i="163"/>
  <c r="CS115" i="163" s="1"/>
  <c r="CT114" i="159"/>
  <c r="DD114" i="159" s="1"/>
  <c r="AS103" i="159"/>
  <c r="BW103" i="159" s="1"/>
  <c r="BY56" i="159"/>
  <c r="CS17" i="159"/>
  <c r="DC17" i="159" s="1"/>
  <c r="Q122" i="143"/>
  <c r="CS30" i="159"/>
  <c r="DC30" i="159" s="1"/>
  <c r="BY89" i="159"/>
  <c r="CS32" i="159"/>
  <c r="DC32" i="159" s="1"/>
  <c r="Q125" i="143"/>
  <c r="AQ8" i="159"/>
  <c r="AV34" i="163" s="1"/>
  <c r="BZ34" i="163" s="1"/>
  <c r="CS38" i="159"/>
  <c r="DC38" i="159" s="1"/>
  <c r="AU100" i="163"/>
  <c r="BY100" i="163" s="1"/>
  <c r="AU85" i="163"/>
  <c r="BY85" i="163" s="1"/>
  <c r="AV35" i="163"/>
  <c r="BZ35" i="163" s="1"/>
  <c r="CS79" i="159"/>
  <c r="DC79" i="159" s="1"/>
  <c r="BA42" i="163"/>
  <c r="CE42" i="163" s="1"/>
  <c r="Q114" i="143"/>
  <c r="CQ20" i="159"/>
  <c r="DA20" i="159" s="1"/>
  <c r="CT78" i="159"/>
  <c r="DD78" i="159" s="1"/>
  <c r="CT84" i="159"/>
  <c r="DD84" i="159" s="1"/>
  <c r="AZ115" i="163"/>
  <c r="CD115" i="163" s="1"/>
  <c r="Q55" i="143"/>
  <c r="CQ61" i="159"/>
  <c r="DA61" i="159" s="1"/>
  <c r="CQ99" i="159"/>
  <c r="DA99" i="159" s="1"/>
  <c r="CQ57" i="159"/>
  <c r="DA57" i="159" s="1"/>
  <c r="CS21" i="159"/>
  <c r="DC21" i="159" s="1"/>
  <c r="CT45" i="159"/>
  <c r="DD45" i="159" s="1"/>
  <c r="BT74" i="159"/>
  <c r="BZ9" i="159"/>
  <c r="Q147" i="143"/>
  <c r="BU9" i="159"/>
  <c r="CQ64" i="159"/>
  <c r="DA64" i="159" s="1"/>
  <c r="CT37" i="159"/>
  <c r="DD37" i="159" s="1"/>
  <c r="Q144" i="143"/>
  <c r="AO8" i="159"/>
  <c r="AT34" i="163" s="1"/>
  <c r="BX34" i="163" s="1"/>
  <c r="Q32" i="143"/>
  <c r="AS100" i="163"/>
  <c r="BW100" i="163" s="1"/>
  <c r="BS89" i="159"/>
  <c r="BT56" i="159"/>
  <c r="BU89" i="159"/>
  <c r="Q135" i="143"/>
  <c r="CT48" i="159"/>
  <c r="DD48" i="159" s="1"/>
  <c r="AV61" i="163"/>
  <c r="BZ61" i="163" s="1"/>
  <c r="T57" i="143" s="1"/>
  <c r="CQ91" i="159"/>
  <c r="DA91" i="159" s="1"/>
  <c r="CT68" i="159"/>
  <c r="DD68" i="159" s="1"/>
  <c r="Q126" i="143"/>
  <c r="CS29" i="159"/>
  <c r="DC29" i="159" s="1"/>
  <c r="BU74" i="159"/>
  <c r="Q80" i="143"/>
  <c r="CQ77" i="159"/>
  <c r="DA77" i="159" s="1"/>
  <c r="Q101" i="143"/>
  <c r="AQ73" i="159"/>
  <c r="BU73" i="159" s="1"/>
  <c r="CQ51" i="159"/>
  <c r="DA51" i="159" s="1"/>
  <c r="Q146" i="143"/>
  <c r="CS81" i="159"/>
  <c r="DC81" i="159" s="1"/>
  <c r="BW9" i="159"/>
  <c r="AU8" i="159"/>
  <c r="AZ34" i="163" s="1"/>
  <c r="CD34" i="163" s="1"/>
  <c r="Q76" i="143"/>
  <c r="BS59" i="159"/>
  <c r="Q134" i="143"/>
  <c r="CS90" i="159"/>
  <c r="DC90" i="159" s="1"/>
  <c r="Q59" i="143"/>
  <c r="BU65" i="159"/>
  <c r="CS45" i="159"/>
  <c r="DC45" i="159" s="1"/>
  <c r="Q79" i="143"/>
  <c r="Q78" i="143" s="1"/>
  <c r="CS105" i="159"/>
  <c r="DC105" i="159" s="1"/>
  <c r="CS98" i="159"/>
  <c r="DC98" i="159" s="1"/>
  <c r="BT35" i="159"/>
  <c r="BY25" i="159"/>
  <c r="Q63" i="143"/>
  <c r="CQ95" i="159"/>
  <c r="DA95" i="159" s="1"/>
  <c r="BY16" i="159"/>
  <c r="Q60" i="143"/>
  <c r="BR74" i="159"/>
  <c r="BR9" i="159"/>
  <c r="Q42" i="143"/>
  <c r="CS27" i="159"/>
  <c r="DC27" i="159" s="1"/>
  <c r="CS113" i="159"/>
  <c r="DC113" i="159" s="1"/>
  <c r="Q73" i="143"/>
  <c r="AS8" i="159"/>
  <c r="AX34" i="163" s="1"/>
  <c r="CB34" i="163" s="1"/>
  <c r="AN8" i="159"/>
  <c r="BR8" i="159" s="1"/>
  <c r="CS112" i="159"/>
  <c r="DC112" i="159" s="1"/>
  <c r="CS83" i="159"/>
  <c r="DC83" i="159" s="1"/>
  <c r="CT66" i="159"/>
  <c r="DD66" i="159" s="1"/>
  <c r="CT77" i="159"/>
  <c r="DD77" i="159" s="1"/>
  <c r="CQ52" i="159"/>
  <c r="DA52" i="159" s="1"/>
  <c r="CQ29" i="159"/>
  <c r="DA29" i="159" s="1"/>
  <c r="BW28" i="159"/>
  <c r="CT80" i="159"/>
  <c r="DD80" i="159" s="1"/>
  <c r="CS116" i="159"/>
  <c r="DC116" i="159" s="1"/>
  <c r="CS69" i="159"/>
  <c r="DC69" i="159" s="1"/>
  <c r="CQ17" i="159"/>
  <c r="DA17" i="159" s="1"/>
  <c r="Q121" i="143"/>
  <c r="Q37" i="143"/>
  <c r="CQ67" i="159"/>
  <c r="DA67" i="159" s="1"/>
  <c r="CT57" i="159"/>
  <c r="DD57" i="159" s="1"/>
  <c r="CS76" i="159"/>
  <c r="DC76" i="159" s="1"/>
  <c r="BS28" i="159"/>
  <c r="AX54" i="163"/>
  <c r="CB54" i="163" s="1"/>
  <c r="CQ106" i="159"/>
  <c r="DA106" i="159" s="1"/>
  <c r="Q132" i="143"/>
  <c r="CS31" i="159"/>
  <c r="DC31" i="159" s="1"/>
  <c r="BS74" i="159"/>
  <c r="Q41" i="143"/>
  <c r="CS58" i="159"/>
  <c r="DC58" i="159" s="1"/>
  <c r="CS55" i="159"/>
  <c r="DC55" i="159" s="1"/>
  <c r="BT65" i="159"/>
  <c r="BS35" i="159"/>
  <c r="AT54" i="163"/>
  <c r="BX54" i="163" s="1"/>
  <c r="CS39" i="159"/>
  <c r="DC39" i="159" s="1"/>
  <c r="Q33" i="143"/>
  <c r="CS64" i="159"/>
  <c r="DC64" i="159" s="1"/>
  <c r="AO73" i="159"/>
  <c r="BS73" i="159" s="1"/>
  <c r="CS61" i="159"/>
  <c r="DC61" i="159" s="1"/>
  <c r="CT38" i="159"/>
  <c r="DD38" i="159" s="1"/>
  <c r="CQ31" i="159"/>
  <c r="DA31" i="159" s="1"/>
  <c r="CS23" i="159"/>
  <c r="DC23" i="159" s="1"/>
  <c r="CS77" i="159"/>
  <c r="DC77" i="159" s="1"/>
  <c r="CS118" i="159"/>
  <c r="DC118" i="159" s="1"/>
  <c r="CQ112" i="159"/>
  <c r="DA112" i="159" s="1"/>
  <c r="Q77" i="143"/>
  <c r="CT32" i="159"/>
  <c r="DD32" i="159" s="1"/>
  <c r="BT9" i="159"/>
  <c r="Q61" i="143"/>
  <c r="CS99" i="159"/>
  <c r="DC99" i="159" s="1"/>
  <c r="CS62" i="159"/>
  <c r="DC62" i="159" s="1"/>
  <c r="AU103" i="159"/>
  <c r="AU124" i="159" s="1"/>
  <c r="CS13" i="159"/>
  <c r="DC13" i="159" s="1"/>
  <c r="AP8" i="159"/>
  <c r="BT8" i="159" s="1"/>
  <c r="CQ90" i="159"/>
  <c r="DA90" i="159" s="1"/>
  <c r="CS14" i="159"/>
  <c r="DC14" i="159" s="1"/>
  <c r="CT11" i="159"/>
  <c r="DD11" i="159" s="1"/>
  <c r="CT40" i="159"/>
  <c r="DD40" i="159" s="1"/>
  <c r="CS18" i="159"/>
  <c r="DC18" i="159" s="1"/>
  <c r="BY104" i="159"/>
  <c r="CS66" i="159"/>
  <c r="DC66" i="159" s="1"/>
  <c r="CS91" i="159"/>
  <c r="DC91" i="159" s="1"/>
  <c r="Q35" i="143"/>
  <c r="Q111" i="143"/>
  <c r="CQ66" i="159"/>
  <c r="DA66" i="159" s="1"/>
  <c r="CT91" i="159"/>
  <c r="DD91" i="159" s="1"/>
  <c r="CT39" i="159"/>
  <c r="DD39" i="159" s="1"/>
  <c r="CT118" i="159"/>
  <c r="DD118" i="159" s="1"/>
  <c r="BW74" i="159"/>
  <c r="CT24" i="159"/>
  <c r="DD24" i="159" s="1"/>
  <c r="CT13" i="159"/>
  <c r="DD13" i="159" s="1"/>
  <c r="CT111" i="159"/>
  <c r="DD111" i="159" s="1"/>
  <c r="CT54" i="159"/>
  <c r="DD54" i="159" s="1"/>
  <c r="CT109" i="159"/>
  <c r="DD109" i="159" s="1"/>
  <c r="CT19" i="159"/>
  <c r="DD19" i="159" s="1"/>
  <c r="Q54" i="143"/>
  <c r="CT51" i="159"/>
  <c r="DD51" i="159" s="1"/>
  <c r="CQ110" i="159"/>
  <c r="DA110" i="159" s="1"/>
  <c r="CS18" i="190"/>
  <c r="DC18" i="190" s="1"/>
  <c r="CR18" i="190"/>
  <c r="DB18" i="190" s="1"/>
  <c r="CQ18" i="190"/>
  <c r="DA18" i="190" s="1"/>
  <c r="CR24" i="190"/>
  <c r="DB24" i="190" s="1"/>
  <c r="CS20" i="190"/>
  <c r="DC20" i="190" s="1"/>
  <c r="CR21" i="190"/>
  <c r="DB21" i="190" s="1"/>
  <c r="CQ21" i="190"/>
  <c r="DA21" i="190" s="1"/>
  <c r="CS11" i="190"/>
  <c r="DC11" i="190" s="1"/>
  <c r="CP11" i="190"/>
  <c r="CZ11" i="190" s="1"/>
  <c r="CR8" i="190"/>
  <c r="CP8" i="190"/>
  <c r="CZ8" i="190" s="1"/>
  <c r="BY30" i="163"/>
  <c r="BI54" i="163"/>
  <c r="CM54" i="163" s="1"/>
  <c r="CH28" i="159"/>
  <c r="BG12" i="190"/>
  <c r="BM11" i="163" s="1"/>
  <c r="CQ11" i="163" s="1"/>
  <c r="CK10" i="190"/>
  <c r="BC43" i="159"/>
  <c r="CG44" i="159"/>
  <c r="BH70" i="163"/>
  <c r="CL70" i="163" s="1"/>
  <c r="CH65" i="159"/>
  <c r="BI91" i="163"/>
  <c r="CM91" i="163" s="1"/>
  <c r="BH42" i="163"/>
  <c r="CL42" i="163" s="1"/>
  <c r="CG16" i="159"/>
  <c r="BC8" i="159"/>
  <c r="CG9" i="159"/>
  <c r="BH35" i="163"/>
  <c r="CL35" i="163" s="1"/>
  <c r="BI35" i="163"/>
  <c r="CM35" i="163" s="1"/>
  <c r="BD8" i="159"/>
  <c r="CH9" i="159"/>
  <c r="BH91" i="163"/>
  <c r="CL91" i="163" s="1"/>
  <c r="CG65" i="159"/>
  <c r="BI51" i="163"/>
  <c r="CM51" i="163" s="1"/>
  <c r="CH25" i="159"/>
  <c r="BD43" i="159"/>
  <c r="CH44" i="159"/>
  <c r="BI70" i="163"/>
  <c r="CM70" i="163" s="1"/>
  <c r="BH12" i="190"/>
  <c r="BN11" i="163" s="1"/>
  <c r="CR11" i="163" s="1"/>
  <c r="CL10" i="190"/>
  <c r="BI82" i="163"/>
  <c r="CM82" i="163" s="1"/>
  <c r="CH56" i="159"/>
  <c r="CG25" i="159"/>
  <c r="BH51" i="163"/>
  <c r="CL51" i="163" s="1"/>
  <c r="BH54" i="163"/>
  <c r="CL54" i="163" s="1"/>
  <c r="CG28" i="159"/>
  <c r="BI42" i="163"/>
  <c r="CM42" i="163" s="1"/>
  <c r="CH16" i="159"/>
  <c r="BH82" i="163"/>
  <c r="CL82" i="163" s="1"/>
  <c r="CG56" i="159"/>
  <c r="CM10" i="190"/>
  <c r="BI12" i="190"/>
  <c r="BO11" i="163" s="1"/>
  <c r="CS11" i="163" s="1"/>
  <c r="BY22" i="190"/>
  <c r="BA21" i="163"/>
  <c r="CE21" i="163" s="1"/>
  <c r="BV22" i="190"/>
  <c r="AX21" i="163"/>
  <c r="CB21" i="163" s="1"/>
  <c r="AY9" i="163"/>
  <c r="CC9" i="163" s="1"/>
  <c r="AS12" i="190"/>
  <c r="BW10" i="190"/>
  <c r="BA9" i="163"/>
  <c r="CE9" i="163" s="1"/>
  <c r="BY10" i="190"/>
  <c r="AU12" i="190"/>
  <c r="BW22" i="190"/>
  <c r="AY21" i="163"/>
  <c r="CC21" i="163" s="1"/>
  <c r="AZ9" i="163"/>
  <c r="CD9" i="163" s="1"/>
  <c r="BX10" i="190"/>
  <c r="AT12" i="190"/>
  <c r="BX22" i="190"/>
  <c r="AZ21" i="163"/>
  <c r="CD21" i="163" s="1"/>
  <c r="BX15" i="190"/>
  <c r="CR15" i="190" s="1"/>
  <c r="DB15" i="190" s="1"/>
  <c r="AZ14" i="163"/>
  <c r="CD14" i="163" s="1"/>
  <c r="AX9" i="163"/>
  <c r="CB9" i="163" s="1"/>
  <c r="BV10" i="190"/>
  <c r="AR12" i="190"/>
  <c r="AS21" i="163"/>
  <c r="BW21" i="163" s="1"/>
  <c r="BQ22" i="190"/>
  <c r="CP9" i="190"/>
  <c r="CZ9" i="190" s="1"/>
  <c r="CQ11" i="190"/>
  <c r="CQ8" i="190"/>
  <c r="CQ13" i="190"/>
  <c r="DA13" i="190" s="1"/>
  <c r="BR22" i="190"/>
  <c r="AT21" i="163"/>
  <c r="BX21" i="163" s="1"/>
  <c r="AV9" i="163"/>
  <c r="BZ9" i="163" s="1"/>
  <c r="BT10" i="190"/>
  <c r="BS22" i="190"/>
  <c r="AU21" i="163"/>
  <c r="BY21" i="163" s="1"/>
  <c r="CQ15" i="190"/>
  <c r="DA15" i="190" s="1"/>
  <c r="CP17" i="190"/>
  <c r="CZ17" i="190" s="1"/>
  <c r="AU9" i="163"/>
  <c r="BY9" i="163" s="1"/>
  <c r="AO12" i="190"/>
  <c r="BS10" i="190"/>
  <c r="BT22" i="190"/>
  <c r="AV21" i="163"/>
  <c r="BZ21" i="163" s="1"/>
  <c r="AS9" i="163"/>
  <c r="BW9" i="163" s="1"/>
  <c r="BQ10" i="190"/>
  <c r="AM12" i="190"/>
  <c r="AT9" i="163"/>
  <c r="BX9" i="163" s="1"/>
  <c r="AN12" i="190"/>
  <c r="BR10" i="190"/>
  <c r="BO22" i="190"/>
  <c r="AQ21" i="163"/>
  <c r="BU21" i="163" s="1"/>
  <c r="BN22" i="190"/>
  <c r="AP21" i="163"/>
  <c r="BT21" i="163" s="1"/>
  <c r="AN21" i="163"/>
  <c r="BR21" i="163" s="1"/>
  <c r="BL22" i="190"/>
  <c r="BM22" i="190"/>
  <c r="AO21" i="163"/>
  <c r="BS21" i="163" s="1"/>
  <c r="AO9" i="163"/>
  <c r="BS9" i="163" s="1"/>
  <c r="AI12" i="190"/>
  <c r="BM10" i="190"/>
  <c r="AQ9" i="163"/>
  <c r="BU9" i="163" s="1"/>
  <c r="BO10" i="190"/>
  <c r="AN9" i="163"/>
  <c r="BR9" i="163" s="1"/>
  <c r="AH12" i="190"/>
  <c r="BL10" i="190"/>
  <c r="AP9" i="163"/>
  <c r="BT9" i="163" s="1"/>
  <c r="AJ12" i="190"/>
  <c r="BN10" i="190"/>
  <c r="CT85" i="159"/>
  <c r="DD85" i="159" s="1"/>
  <c r="Q104" i="143"/>
  <c r="Q89" i="143"/>
  <c r="CT107" i="159"/>
  <c r="DD107" i="159" s="1"/>
  <c r="Q39" i="143"/>
  <c r="CT21" i="159"/>
  <c r="DD21" i="159" s="1"/>
  <c r="Q102" i="143"/>
  <c r="CT29" i="159"/>
  <c r="DD29" i="159" s="1"/>
  <c r="Q103" i="143"/>
  <c r="Q49" i="143"/>
  <c r="CT105" i="159"/>
  <c r="DD105" i="159" s="1"/>
  <c r="Q118" i="143"/>
  <c r="Q40" i="143"/>
  <c r="Q70" i="143"/>
  <c r="Q90" i="143"/>
  <c r="Q51" i="143"/>
  <c r="CT76" i="159"/>
  <c r="DD76" i="159" s="1"/>
  <c r="Q133" i="143"/>
  <c r="Q36" i="143"/>
  <c r="Q120" i="143"/>
  <c r="Q86" i="143"/>
  <c r="CT30" i="159"/>
  <c r="DD30" i="159" s="1"/>
  <c r="CT60" i="159"/>
  <c r="DD60" i="159" s="1"/>
  <c r="Q58" i="143"/>
  <c r="Q48" i="143"/>
  <c r="Q71" i="143"/>
  <c r="Q52" i="143"/>
  <c r="CT42" i="159"/>
  <c r="DD42" i="159" s="1"/>
  <c r="Q123" i="143"/>
  <c r="Q84" i="143"/>
  <c r="CT93" i="159"/>
  <c r="DD93" i="159" s="1"/>
  <c r="Q117" i="143"/>
  <c r="Q82" i="143"/>
  <c r="Q62" i="143"/>
  <c r="Q44" i="143"/>
  <c r="CT106" i="159"/>
  <c r="DD106" i="159" s="1"/>
  <c r="Q99" i="143"/>
  <c r="Q140" i="143"/>
  <c r="Q91" i="143"/>
  <c r="Q107" i="143"/>
  <c r="CT98" i="159"/>
  <c r="DD98" i="159" s="1"/>
  <c r="Q139" i="143"/>
  <c r="Q109" i="143"/>
  <c r="CT110" i="159"/>
  <c r="DD110" i="159" s="1"/>
  <c r="CT87" i="159"/>
  <c r="DD87" i="159" s="1"/>
  <c r="CT86" i="159"/>
  <c r="DD86" i="159" s="1"/>
  <c r="CT23" i="159"/>
  <c r="DD23" i="159" s="1"/>
  <c r="Q112" i="143"/>
  <c r="Q88" i="143"/>
  <c r="CT79" i="159"/>
  <c r="DD79" i="159" s="1"/>
  <c r="Q64" i="143"/>
  <c r="J42" i="143"/>
  <c r="J71" i="143"/>
  <c r="J37" i="143"/>
  <c r="J53" i="143"/>
  <c r="J40" i="143"/>
  <c r="J80" i="143"/>
  <c r="J74" i="143"/>
  <c r="J86" i="143"/>
  <c r="J76" i="143"/>
  <c r="J36" i="143"/>
  <c r="J82" i="143"/>
  <c r="J43" i="143"/>
  <c r="J63" i="143"/>
  <c r="J89" i="143"/>
  <c r="J48" i="143"/>
  <c r="J59" i="143"/>
  <c r="J62" i="143"/>
  <c r="J73" i="143"/>
  <c r="J44" i="143"/>
  <c r="J51" i="143"/>
  <c r="J70" i="143"/>
  <c r="J79" i="143"/>
  <c r="J49" i="143"/>
  <c r="J52" i="143"/>
  <c r="J58" i="143"/>
  <c r="J55" i="143"/>
  <c r="J60" i="143"/>
  <c r="J64" i="143"/>
  <c r="J77" i="143"/>
  <c r="J90" i="143"/>
  <c r="J39" i="143"/>
  <c r="J67" i="143"/>
  <c r="J41" i="143"/>
  <c r="J33" i="143"/>
  <c r="J88" i="143"/>
  <c r="J35" i="143"/>
  <c r="CT69" i="159"/>
  <c r="DD69" i="159" s="1"/>
  <c r="CT67" i="159"/>
  <c r="DD67" i="159" s="1"/>
  <c r="CT49" i="159"/>
  <c r="DD49" i="159" s="1"/>
  <c r="CT46" i="159"/>
  <c r="DD46" i="159" s="1"/>
  <c r="CT27" i="159"/>
  <c r="DD27" i="159" s="1"/>
  <c r="CW7" i="163"/>
  <c r="CT113" i="159"/>
  <c r="DD113" i="159" s="1"/>
  <c r="CT101" i="159"/>
  <c r="DD101" i="159" s="1"/>
  <c r="CT116" i="159"/>
  <c r="DD116" i="159" s="1"/>
  <c r="CT62" i="159"/>
  <c r="DD62" i="159" s="1"/>
  <c r="CT95" i="159"/>
  <c r="DD95" i="159" s="1"/>
  <c r="CD30" i="163"/>
  <c r="CT94" i="159"/>
  <c r="DD94" i="159" s="1"/>
  <c r="CR116" i="159"/>
  <c r="DB116" i="159" s="1"/>
  <c r="CR82" i="159"/>
  <c r="DB82" i="159" s="1"/>
  <c r="CR105" i="159"/>
  <c r="DB105" i="159" s="1"/>
  <c r="CR75" i="159"/>
  <c r="DB75" i="159" s="1"/>
  <c r="CR79" i="159"/>
  <c r="DB79" i="159" s="1"/>
  <c r="CR96" i="159"/>
  <c r="DB96" i="159" s="1"/>
  <c r="CR49" i="159"/>
  <c r="DB49" i="159" s="1"/>
  <c r="CR81" i="159"/>
  <c r="DB81" i="159" s="1"/>
  <c r="CR110" i="159"/>
  <c r="DB110" i="159" s="1"/>
  <c r="CR38" i="159"/>
  <c r="DB38" i="159" s="1"/>
  <c r="CR22" i="159"/>
  <c r="DB22" i="159" s="1"/>
  <c r="CR58" i="159"/>
  <c r="DB58" i="159" s="1"/>
  <c r="CR77" i="159"/>
  <c r="DB77" i="159" s="1"/>
  <c r="CR95" i="159"/>
  <c r="DB95" i="159" s="1"/>
  <c r="CR24" i="159"/>
  <c r="DB24" i="159" s="1"/>
  <c r="CR15" i="159"/>
  <c r="DB15" i="159" s="1"/>
  <c r="CR21" i="159"/>
  <c r="DB21" i="159" s="1"/>
  <c r="CR97" i="159"/>
  <c r="DB97" i="159" s="1"/>
  <c r="CR45" i="159"/>
  <c r="DB45" i="159" s="1"/>
  <c r="CR68" i="159"/>
  <c r="DB68" i="159" s="1"/>
  <c r="CR90" i="159"/>
  <c r="DB90" i="159" s="1"/>
  <c r="CR29" i="159"/>
  <c r="DB29" i="159" s="1"/>
  <c r="CR42" i="159"/>
  <c r="DB42" i="159" s="1"/>
  <c r="CR37" i="159"/>
  <c r="DB37" i="159" s="1"/>
  <c r="CR17" i="159"/>
  <c r="DB17" i="159" s="1"/>
  <c r="CR32" i="159"/>
  <c r="DB32" i="159" s="1"/>
  <c r="CR100" i="159"/>
  <c r="DB100" i="159" s="1"/>
  <c r="CR98" i="159"/>
  <c r="DB98" i="159" s="1"/>
  <c r="CR54" i="159"/>
  <c r="DB54" i="159" s="1"/>
  <c r="CR106" i="159"/>
  <c r="DB106" i="159" s="1"/>
  <c r="CR94" i="159"/>
  <c r="DB94" i="159" s="1"/>
  <c r="CR20" i="159"/>
  <c r="DB20" i="159" s="1"/>
  <c r="CR19" i="159"/>
  <c r="DB19" i="159" s="1"/>
  <c r="CR112" i="159"/>
  <c r="DB112" i="159" s="1"/>
  <c r="CR55" i="159"/>
  <c r="DB55" i="159" s="1"/>
  <c r="CR91" i="159"/>
  <c r="DB91" i="159" s="1"/>
  <c r="CR69" i="159"/>
  <c r="DB69" i="159" s="1"/>
  <c r="CR23" i="159"/>
  <c r="DB23" i="159" s="1"/>
  <c r="CR41" i="159"/>
  <c r="DB41" i="159" s="1"/>
  <c r="CR52" i="159"/>
  <c r="DB52" i="159" s="1"/>
  <c r="CR118" i="159"/>
  <c r="DB118" i="159" s="1"/>
  <c r="CR87" i="159"/>
  <c r="DB87" i="159" s="1"/>
  <c r="CR10" i="159"/>
  <c r="DB10" i="159" s="1"/>
  <c r="CR14" i="159"/>
  <c r="DB14" i="159" s="1"/>
  <c r="CR39" i="159"/>
  <c r="DB39" i="159" s="1"/>
  <c r="BF18" i="163"/>
  <c r="CJ18" i="163" s="1"/>
  <c r="CR113" i="159"/>
  <c r="DB113" i="159" s="1"/>
  <c r="CR66" i="159"/>
  <c r="DB66" i="159" s="1"/>
  <c r="CR83" i="159"/>
  <c r="DB83" i="159" s="1"/>
  <c r="CR62" i="159"/>
  <c r="DB62" i="159" s="1"/>
  <c r="CR31" i="159"/>
  <c r="DB31" i="159" s="1"/>
  <c r="CR18" i="159"/>
  <c r="DB18" i="159" s="1"/>
  <c r="CR67" i="159"/>
  <c r="DB67" i="159" s="1"/>
  <c r="CR109" i="159"/>
  <c r="DB109" i="159" s="1"/>
  <c r="CR51" i="159"/>
  <c r="DB51" i="159" s="1"/>
  <c r="CR26" i="159"/>
  <c r="DB26" i="159" s="1"/>
  <c r="CR101" i="159"/>
  <c r="DB101" i="159" s="1"/>
  <c r="CR57" i="159"/>
  <c r="DB57" i="159" s="1"/>
  <c r="CR27" i="159"/>
  <c r="DB27" i="159" s="1"/>
  <c r="CR115" i="159"/>
  <c r="DB115" i="159" s="1"/>
  <c r="CR88" i="159"/>
  <c r="DB88" i="159" s="1"/>
  <c r="CR102" i="159"/>
  <c r="DB102" i="159" s="1"/>
  <c r="CR99" i="159"/>
  <c r="DB99" i="159" s="1"/>
  <c r="CR48" i="159"/>
  <c r="DB48" i="159" s="1"/>
  <c r="CR85" i="159"/>
  <c r="DB85" i="159" s="1"/>
  <c r="CR93" i="159"/>
  <c r="DB93" i="159" s="1"/>
  <c r="CR111" i="159"/>
  <c r="DB111" i="159" s="1"/>
  <c r="CR61" i="159"/>
  <c r="DB61" i="159" s="1"/>
  <c r="CR108" i="159"/>
  <c r="DB108" i="159" s="1"/>
  <c r="CR92" i="159"/>
  <c r="DB92" i="159" s="1"/>
  <c r="CR76" i="159"/>
  <c r="DB76" i="159" s="1"/>
  <c r="CR36" i="159"/>
  <c r="DB36" i="159" s="1"/>
  <c r="CR40" i="159"/>
  <c r="DB40" i="159" s="1"/>
  <c r="CR86" i="159"/>
  <c r="DB86" i="159" s="1"/>
  <c r="CR64" i="159"/>
  <c r="DB64" i="159" s="1"/>
  <c r="CR11" i="159"/>
  <c r="DB11" i="159" s="1"/>
  <c r="CR84" i="159"/>
  <c r="DB84" i="159" s="1"/>
  <c r="CR13" i="159"/>
  <c r="DB13" i="159" s="1"/>
  <c r="CR78" i="159"/>
  <c r="DB78" i="159" s="1"/>
  <c r="CR107" i="159"/>
  <c r="DB107" i="159" s="1"/>
  <c r="CR46" i="159"/>
  <c r="DB46" i="159" s="1"/>
  <c r="CR114" i="159"/>
  <c r="DB114" i="159" s="1"/>
  <c r="CR33" i="159"/>
  <c r="DB33" i="159" s="1"/>
  <c r="AY51" i="163"/>
  <c r="CC51" i="163" s="1"/>
  <c r="BX25" i="159"/>
  <c r="AT73" i="159"/>
  <c r="AY100" i="163"/>
  <c r="CC100" i="163" s="1"/>
  <c r="BX74" i="159"/>
  <c r="AY42" i="163"/>
  <c r="CC42" i="163" s="1"/>
  <c r="BX16" i="159"/>
  <c r="CR60" i="159"/>
  <c r="DB60" i="159" s="1"/>
  <c r="CC30" i="163"/>
  <c r="AY82" i="163"/>
  <c r="CC82" i="163" s="1"/>
  <c r="BX56" i="159"/>
  <c r="CR80" i="159"/>
  <c r="DB80" i="159" s="1"/>
  <c r="BX89" i="159"/>
  <c r="AY115" i="163"/>
  <c r="CC115" i="163" s="1"/>
  <c r="AY70" i="163"/>
  <c r="CC70" i="163" s="1"/>
  <c r="AT43" i="159"/>
  <c r="BX44" i="159"/>
  <c r="AY54" i="163"/>
  <c r="CC54" i="163" s="1"/>
  <c r="BX28" i="159"/>
  <c r="AY130" i="163"/>
  <c r="CC130" i="163" s="1"/>
  <c r="BX104" i="159"/>
  <c r="AT103" i="159"/>
  <c r="BX9" i="159"/>
  <c r="AY35" i="163"/>
  <c r="CC35" i="163" s="1"/>
  <c r="AT8" i="159"/>
  <c r="BX65" i="159"/>
  <c r="AY91" i="163"/>
  <c r="CC91" i="163" s="1"/>
  <c r="CV84" i="163"/>
  <c r="DF84" i="163" s="1"/>
  <c r="CW120" i="159"/>
  <c r="CR120" i="159"/>
  <c r="CV13" i="163"/>
  <c r="DF13" i="163" s="1"/>
  <c r="CW44" i="163"/>
  <c r="DG44" i="163" s="1"/>
  <c r="K40" i="143" s="1"/>
  <c r="AP115" i="163"/>
  <c r="BT115" i="163" s="1"/>
  <c r="BO89" i="159"/>
  <c r="AO76" i="163"/>
  <c r="BS76" i="163" s="1"/>
  <c r="BN50" i="159"/>
  <c r="CR50" i="159" s="1"/>
  <c r="DB50" i="159" s="1"/>
  <c r="CX123" i="163"/>
  <c r="DH123" i="163" s="1"/>
  <c r="R121" i="143" s="1"/>
  <c r="CX66" i="163"/>
  <c r="DH66" i="163" s="1"/>
  <c r="R62" i="143" s="1"/>
  <c r="AQ70" i="163"/>
  <c r="BU70" i="163" s="1"/>
  <c r="BP44" i="159"/>
  <c r="CV67" i="163"/>
  <c r="DF67" i="163" s="1"/>
  <c r="CV40" i="163"/>
  <c r="DF40" i="163" s="1"/>
  <c r="CW94" i="163"/>
  <c r="DG94" i="163" s="1"/>
  <c r="K90" i="143" s="1"/>
  <c r="CW95" i="163"/>
  <c r="DG95" i="163" s="1"/>
  <c r="K91" i="143" s="1"/>
  <c r="CX108" i="163"/>
  <c r="DH108" i="163" s="1"/>
  <c r="R106" i="143" s="1"/>
  <c r="CX135" i="163"/>
  <c r="DH135" i="163" s="1"/>
  <c r="R133" i="143" s="1"/>
  <c r="CY59" i="163"/>
  <c r="DI59" i="163" s="1"/>
  <c r="Y55" i="143" s="1"/>
  <c r="H29" i="163"/>
  <c r="CV68" i="163"/>
  <c r="DF68" i="163" s="1"/>
  <c r="BC18" i="163"/>
  <c r="CG18" i="163" s="1"/>
  <c r="CY128" i="163"/>
  <c r="DI128" i="163" s="1"/>
  <c r="Y126" i="143" s="1"/>
  <c r="CY39" i="163"/>
  <c r="DI39" i="163" s="1"/>
  <c r="Y35" i="143" s="1"/>
  <c r="CV132" i="163"/>
  <c r="DF132" i="163" s="1"/>
  <c r="CV94" i="163"/>
  <c r="DF94" i="163" s="1"/>
  <c r="CV53" i="163"/>
  <c r="DF53" i="163" s="1"/>
  <c r="CX113" i="163"/>
  <c r="DH113" i="163" s="1"/>
  <c r="R111" i="143" s="1"/>
  <c r="CX55" i="163"/>
  <c r="DH55" i="163" s="1"/>
  <c r="R51" i="143" s="1"/>
  <c r="CY105" i="163"/>
  <c r="DI105" i="163" s="1"/>
  <c r="Y103" i="143" s="1"/>
  <c r="CY37" i="163"/>
  <c r="DI37" i="163" s="1"/>
  <c r="Y33" i="143" s="1"/>
  <c r="AA151" i="163"/>
  <c r="CW134" i="163"/>
  <c r="DG134" i="163" s="1"/>
  <c r="K132" i="143" s="1"/>
  <c r="AO51" i="163"/>
  <c r="BS51" i="163" s="1"/>
  <c r="BN25" i="159"/>
  <c r="CX146" i="163"/>
  <c r="CX103" i="163"/>
  <c r="DH103" i="163" s="1"/>
  <c r="R101" i="143" s="1"/>
  <c r="CX50" i="163"/>
  <c r="DH50" i="163" s="1"/>
  <c r="R46" i="143" s="1"/>
  <c r="CY88" i="163"/>
  <c r="DI88" i="163" s="1"/>
  <c r="Y84" i="143" s="1"/>
  <c r="CY12" i="163"/>
  <c r="CW120" i="163"/>
  <c r="DG120" i="163" s="1"/>
  <c r="K118" i="143" s="1"/>
  <c r="CW48" i="163"/>
  <c r="DG48" i="163" s="1"/>
  <c r="K44" i="143" s="1"/>
  <c r="BS30" i="163"/>
  <c r="CX147" i="163"/>
  <c r="CX87" i="163"/>
  <c r="DH87" i="163" s="1"/>
  <c r="R83" i="143" s="1"/>
  <c r="CY149" i="163"/>
  <c r="BD60" i="163"/>
  <c r="CH60" i="163" s="1"/>
  <c r="CC34" i="159"/>
  <c r="CV105" i="163"/>
  <c r="DF105" i="163" s="1"/>
  <c r="AN91" i="163"/>
  <c r="BR91" i="163" s="1"/>
  <c r="BM65" i="159"/>
  <c r="CQ65" i="159" s="1"/>
  <c r="DA65" i="159" s="1"/>
  <c r="CV77" i="163"/>
  <c r="DF77" i="163" s="1"/>
  <c r="CV47" i="163"/>
  <c r="DF47" i="163" s="1"/>
  <c r="CY109" i="163"/>
  <c r="DI109" i="163" s="1"/>
  <c r="Y107" i="143" s="1"/>
  <c r="CV81" i="163"/>
  <c r="DF81" i="163" s="1"/>
  <c r="CY146" i="163"/>
  <c r="CV112" i="163"/>
  <c r="DF112" i="163" s="1"/>
  <c r="CW49" i="163"/>
  <c r="DG49" i="163" s="1"/>
  <c r="K45" i="143" s="1"/>
  <c r="CX120" i="159"/>
  <c r="CS120" i="159"/>
  <c r="CV43" i="163"/>
  <c r="DF43" i="163" s="1"/>
  <c r="CW37" i="163"/>
  <c r="DG37" i="163" s="1"/>
  <c r="K33" i="143" s="1"/>
  <c r="CS53" i="159"/>
  <c r="CX53" i="159"/>
  <c r="AP42" i="163"/>
  <c r="BT42" i="163" s="1"/>
  <c r="BO16" i="159"/>
  <c r="AQ73" i="163"/>
  <c r="BU73" i="163" s="1"/>
  <c r="BP47" i="159"/>
  <c r="CT47" i="159" s="1"/>
  <c r="DD47" i="159" s="1"/>
  <c r="CV86" i="163"/>
  <c r="DF86" i="163" s="1"/>
  <c r="CY44" i="163"/>
  <c r="DI44" i="163" s="1"/>
  <c r="Y40" i="143" s="1"/>
  <c r="CV147" i="163"/>
  <c r="AP51" i="163"/>
  <c r="BT51" i="163" s="1"/>
  <c r="BO25" i="159"/>
  <c r="AP82" i="163"/>
  <c r="BT82" i="163" s="1"/>
  <c r="BO56" i="159"/>
  <c r="CY126" i="163"/>
  <c r="DI126" i="163" s="1"/>
  <c r="Y124" i="143" s="1"/>
  <c r="AQ82" i="163"/>
  <c r="BU82" i="163" s="1"/>
  <c r="BP56" i="159"/>
  <c r="CY20" i="163"/>
  <c r="M151" i="163"/>
  <c r="CV120" i="163"/>
  <c r="DF120" i="163" s="1"/>
  <c r="CV36" i="163"/>
  <c r="DF36" i="163" s="1"/>
  <c r="CR122" i="159"/>
  <c r="CW122" i="159"/>
  <c r="DB148" i="163" s="1"/>
  <c r="AO115" i="163"/>
  <c r="BS115" i="163" s="1"/>
  <c r="BN89" i="159"/>
  <c r="CW55" i="163"/>
  <c r="DG55" i="163" s="1"/>
  <c r="K51" i="143" s="1"/>
  <c r="CW17" i="163"/>
  <c r="DG17" i="163" s="1"/>
  <c r="K17" i="143" s="1"/>
  <c r="CX131" i="163"/>
  <c r="DH131" i="163" s="1"/>
  <c r="CX79" i="163"/>
  <c r="CY74" i="163"/>
  <c r="DI74" i="163" s="1"/>
  <c r="Y70" i="143" s="1"/>
  <c r="CY50" i="163"/>
  <c r="DI50" i="163" s="1"/>
  <c r="Y46" i="143" s="1"/>
  <c r="CV123" i="159"/>
  <c r="DA149" i="163" s="1"/>
  <c r="CQ123" i="159"/>
  <c r="CV135" i="163"/>
  <c r="DF135" i="163" s="1"/>
  <c r="CV53" i="159"/>
  <c r="CQ53" i="159"/>
  <c r="CV37" i="163"/>
  <c r="DF37" i="163" s="1"/>
  <c r="CX74" i="163"/>
  <c r="DH74" i="163" s="1"/>
  <c r="R70" i="143" s="1"/>
  <c r="AQ54" i="163"/>
  <c r="BU54" i="163" s="1"/>
  <c r="BP28" i="159"/>
  <c r="AZ99" i="163"/>
  <c r="CD99" i="163" s="1"/>
  <c r="BY73" i="159"/>
  <c r="AN115" i="163"/>
  <c r="BR115" i="163" s="1"/>
  <c r="BM89" i="159"/>
  <c r="CV108" i="163"/>
  <c r="DF108" i="163" s="1"/>
  <c r="CV44" i="163"/>
  <c r="DF44" i="163" s="1"/>
  <c r="CW142" i="163"/>
  <c r="DG142" i="163" s="1"/>
  <c r="K140" i="143" s="1"/>
  <c r="CW93" i="163"/>
  <c r="DG93" i="163" s="1"/>
  <c r="K89" i="143" s="1"/>
  <c r="CW71" i="163"/>
  <c r="DG71" i="163" s="1"/>
  <c r="K67" i="143" s="1"/>
  <c r="CW53" i="163"/>
  <c r="DG53" i="163" s="1"/>
  <c r="K49" i="143" s="1"/>
  <c r="CW45" i="163"/>
  <c r="DG45" i="163" s="1"/>
  <c r="K41" i="143" s="1"/>
  <c r="CX116" i="163"/>
  <c r="DH116" i="163" s="1"/>
  <c r="R114" i="143" s="1"/>
  <c r="CX52" i="163"/>
  <c r="DH52" i="163" s="1"/>
  <c r="R48" i="143" s="1"/>
  <c r="CX40" i="163"/>
  <c r="DH40" i="163" s="1"/>
  <c r="R36" i="143" s="1"/>
  <c r="CY132" i="163"/>
  <c r="DI132" i="163" s="1"/>
  <c r="Y130" i="143" s="1"/>
  <c r="CY104" i="163"/>
  <c r="DI104" i="163" s="1"/>
  <c r="Y102" i="143" s="1"/>
  <c r="L29" i="163"/>
  <c r="CV124" i="163"/>
  <c r="DF124" i="163" s="1"/>
  <c r="CV49" i="163"/>
  <c r="DF49" i="163" s="1"/>
  <c r="CV17" i="163"/>
  <c r="DF17" i="163" s="1"/>
  <c r="P151" i="163"/>
  <c r="CG28" i="163"/>
  <c r="CW137" i="163"/>
  <c r="DG137" i="163" s="1"/>
  <c r="K135" i="143" s="1"/>
  <c r="CW109" i="163"/>
  <c r="DG109" i="163" s="1"/>
  <c r="K107" i="143" s="1"/>
  <c r="CX122" i="163"/>
  <c r="DH122" i="163" s="1"/>
  <c r="R120" i="143" s="1"/>
  <c r="CX90" i="163"/>
  <c r="DH90" i="163" s="1"/>
  <c r="R86" i="143" s="1"/>
  <c r="CX12" i="163"/>
  <c r="DH12" i="163" s="1"/>
  <c r="R12" i="143" s="1"/>
  <c r="CY63" i="163"/>
  <c r="DI63" i="163" s="1"/>
  <c r="Y59" i="143" s="1"/>
  <c r="CV64" i="163"/>
  <c r="DF64" i="163" s="1"/>
  <c r="CW119" i="163"/>
  <c r="DG119" i="163" s="1"/>
  <c r="K117" i="143" s="1"/>
  <c r="CW58" i="163"/>
  <c r="DG58" i="163" s="1"/>
  <c r="K54" i="143" s="1"/>
  <c r="CX122" i="159"/>
  <c r="DC148" i="163" s="1"/>
  <c r="CS122" i="159"/>
  <c r="CX105" i="163"/>
  <c r="DH105" i="163" s="1"/>
  <c r="R103" i="143" s="1"/>
  <c r="CY121" i="163"/>
  <c r="DI121" i="163" s="1"/>
  <c r="Y119" i="143" s="1"/>
  <c r="BP34" i="163"/>
  <c r="CT34" i="163" s="1"/>
  <c r="CO8" i="159"/>
  <c r="CV144" i="163"/>
  <c r="DF144" i="163" s="1"/>
  <c r="CV72" i="163"/>
  <c r="DF72" i="163" s="1"/>
  <c r="CW77" i="163"/>
  <c r="DG77" i="163" s="1"/>
  <c r="K73" i="143" s="1"/>
  <c r="CW40" i="163"/>
  <c r="DG40" i="163" s="1"/>
  <c r="K36" i="143" s="1"/>
  <c r="CX71" i="163"/>
  <c r="DH71" i="163" s="1"/>
  <c r="R67" i="143" s="1"/>
  <c r="AN73" i="163"/>
  <c r="BR73" i="163" s="1"/>
  <c r="BM47" i="159"/>
  <c r="CQ47" i="159" s="1"/>
  <c r="DA47" i="159" s="1"/>
  <c r="CV19" i="163"/>
  <c r="DF19" i="163" s="1"/>
  <c r="BJ60" i="163"/>
  <c r="CN60" i="163" s="1"/>
  <c r="BE70" i="159"/>
  <c r="CI34" i="159"/>
  <c r="CW92" i="163"/>
  <c r="DG92" i="163" s="1"/>
  <c r="K88" i="143" s="1"/>
  <c r="CX68" i="163"/>
  <c r="DH68" i="163" s="1"/>
  <c r="R64" i="143" s="1"/>
  <c r="CY19" i="163"/>
  <c r="AI22" i="163"/>
  <c r="CV119" i="163"/>
  <c r="DF119" i="163" s="1"/>
  <c r="AN61" i="163"/>
  <c r="BR61" i="163" s="1"/>
  <c r="BM35" i="159"/>
  <c r="CQ35" i="159" s="1"/>
  <c r="DA35" i="159" s="1"/>
  <c r="CW110" i="163"/>
  <c r="DG110" i="163" s="1"/>
  <c r="K108" i="143" s="1"/>
  <c r="CW65" i="163"/>
  <c r="DG65" i="163" s="1"/>
  <c r="K61" i="143" s="1"/>
  <c r="CW10" i="163"/>
  <c r="CX39" i="163"/>
  <c r="DH39" i="163" s="1"/>
  <c r="R35" i="143" s="1"/>
  <c r="CY52" i="163"/>
  <c r="DI52" i="163" s="1"/>
  <c r="Y48" i="143" s="1"/>
  <c r="CV58" i="163"/>
  <c r="DF58" i="163" s="1"/>
  <c r="CW81" i="163"/>
  <c r="DG81" i="163" s="1"/>
  <c r="K77" i="143" s="1"/>
  <c r="CY137" i="163"/>
  <c r="DI137" i="163" s="1"/>
  <c r="Y135" i="143" s="1"/>
  <c r="AO91" i="163"/>
  <c r="BS91" i="163" s="1"/>
  <c r="BN65" i="159"/>
  <c r="CX109" i="163"/>
  <c r="DH109" i="163" s="1"/>
  <c r="R107" i="143" s="1"/>
  <c r="AL18" i="163"/>
  <c r="CY114" i="163"/>
  <c r="DI114" i="163" s="1"/>
  <c r="Y112" i="143" s="1"/>
  <c r="CW146" i="163"/>
  <c r="CY83" i="163"/>
  <c r="DI83" i="163" s="1"/>
  <c r="Y79" i="143" s="1"/>
  <c r="CY71" i="163"/>
  <c r="DI71" i="163" s="1"/>
  <c r="Y67" i="143" s="1"/>
  <c r="CV87" i="163"/>
  <c r="DF87" i="163" s="1"/>
  <c r="CW148" i="163"/>
  <c r="CW116" i="163"/>
  <c r="DG116" i="163" s="1"/>
  <c r="K114" i="143" s="1"/>
  <c r="CW88" i="163"/>
  <c r="DG88" i="163" s="1"/>
  <c r="K84" i="143" s="1"/>
  <c r="CX138" i="163"/>
  <c r="DH138" i="163" s="1"/>
  <c r="R136" i="143" s="1"/>
  <c r="CX43" i="163"/>
  <c r="DH43" i="163" s="1"/>
  <c r="R39" i="143" s="1"/>
  <c r="CY136" i="163"/>
  <c r="DI136" i="163" s="1"/>
  <c r="Y134" i="143" s="1"/>
  <c r="CY113" i="163"/>
  <c r="DI113" i="163" s="1"/>
  <c r="Y111" i="143" s="1"/>
  <c r="CV57" i="163"/>
  <c r="DF57" i="163" s="1"/>
  <c r="CW144" i="163"/>
  <c r="DG144" i="163" s="1"/>
  <c r="K142" i="143" s="1"/>
  <c r="CW113" i="163"/>
  <c r="DG113" i="163" s="1"/>
  <c r="K111" i="143" s="1"/>
  <c r="AO35" i="163"/>
  <c r="BS35" i="163" s="1"/>
  <c r="AJ8" i="159"/>
  <c r="BN9" i="159"/>
  <c r="CX137" i="163"/>
  <c r="DH137" i="163" s="1"/>
  <c r="R135" i="143" s="1"/>
  <c r="CX104" i="163"/>
  <c r="DH104" i="163" s="1"/>
  <c r="R102" i="143" s="1"/>
  <c r="CX19" i="163"/>
  <c r="DH19" i="163" s="1"/>
  <c r="R19" i="143" s="1"/>
  <c r="Z151" i="163"/>
  <c r="CY125" i="163"/>
  <c r="DI125" i="163" s="1"/>
  <c r="Y123" i="143" s="1"/>
  <c r="CY102" i="163"/>
  <c r="DI102" i="163" s="1"/>
  <c r="Y100" i="143" s="1"/>
  <c r="CY55" i="163"/>
  <c r="DI55" i="163" s="1"/>
  <c r="Y51" i="143" s="1"/>
  <c r="CY17" i="163"/>
  <c r="CV116" i="163"/>
  <c r="DF116" i="163" s="1"/>
  <c r="CV63" i="163"/>
  <c r="DF63" i="163" s="1"/>
  <c r="CX126" i="163"/>
  <c r="DH126" i="163" s="1"/>
  <c r="R124" i="143" s="1"/>
  <c r="CY53" i="163"/>
  <c r="DI53" i="163" s="1"/>
  <c r="Y49" i="143" s="1"/>
  <c r="CV106" i="163"/>
  <c r="DF106" i="163" s="1"/>
  <c r="AO82" i="163"/>
  <c r="BS82" i="163" s="1"/>
  <c r="BN56" i="159"/>
  <c r="CY142" i="163"/>
  <c r="DI142" i="163" s="1"/>
  <c r="Y140" i="143" s="1"/>
  <c r="CY106" i="163"/>
  <c r="DI106" i="163" s="1"/>
  <c r="Y104" i="143" s="1"/>
  <c r="CY40" i="163"/>
  <c r="DI40" i="163" s="1"/>
  <c r="Y36" i="143" s="1"/>
  <c r="CV110" i="163"/>
  <c r="DF110" i="163" s="1"/>
  <c r="CW53" i="159"/>
  <c r="CR53" i="159"/>
  <c r="CX148" i="163"/>
  <c r="CX110" i="163"/>
  <c r="DH110" i="163" s="1"/>
  <c r="R108" i="143" s="1"/>
  <c r="CY95" i="163"/>
  <c r="DI95" i="163" s="1"/>
  <c r="Y91" i="143" s="1"/>
  <c r="CY23" i="163"/>
  <c r="BC60" i="163"/>
  <c r="CG60" i="163" s="1"/>
  <c r="CB34" i="159"/>
  <c r="BO69" i="163"/>
  <c r="CS69" i="163" s="1"/>
  <c r="BJ34" i="159"/>
  <c r="CN43" i="159"/>
  <c r="G151" i="163"/>
  <c r="AK96" i="163"/>
  <c r="AK151" i="163" s="1"/>
  <c r="CQ120" i="159"/>
  <c r="CV120" i="159"/>
  <c r="CV109" i="163"/>
  <c r="DF109" i="163" s="1"/>
  <c r="CV46" i="163"/>
  <c r="DF46" i="163" s="1"/>
  <c r="CW133" i="163"/>
  <c r="DG133" i="163" s="1"/>
  <c r="K131" i="143" s="1"/>
  <c r="CW52" i="163"/>
  <c r="DG52" i="163" s="1"/>
  <c r="K48" i="143" s="1"/>
  <c r="CX128" i="163"/>
  <c r="DH128" i="163" s="1"/>
  <c r="R126" i="143" s="1"/>
  <c r="CX78" i="163"/>
  <c r="DH78" i="163" s="1"/>
  <c r="R74" i="143" s="1"/>
  <c r="CX53" i="163"/>
  <c r="DH53" i="163" s="1"/>
  <c r="R49" i="143" s="1"/>
  <c r="CY131" i="163"/>
  <c r="DI131" i="163" s="1"/>
  <c r="CY81" i="163"/>
  <c r="DI81" i="163" s="1"/>
  <c r="Y77" i="143" s="1"/>
  <c r="CY45" i="163"/>
  <c r="DI45" i="163" s="1"/>
  <c r="Y41" i="143" s="1"/>
  <c r="CV123" i="163"/>
  <c r="DF123" i="163" s="1"/>
  <c r="CV95" i="163"/>
  <c r="DF95" i="163" s="1"/>
  <c r="CV74" i="163"/>
  <c r="DF74" i="163" s="1"/>
  <c r="CV66" i="163"/>
  <c r="DF66" i="163" s="1"/>
  <c r="CW112" i="163"/>
  <c r="DG112" i="163" s="1"/>
  <c r="K110" i="143" s="1"/>
  <c r="AO38" i="163"/>
  <c r="BS38" i="163" s="1"/>
  <c r="BN12" i="159"/>
  <c r="CR12" i="159" s="1"/>
  <c r="DB12" i="159" s="1"/>
  <c r="AF151" i="163"/>
  <c r="CX139" i="163"/>
  <c r="DH139" i="163" s="1"/>
  <c r="R137" i="143" s="1"/>
  <c r="CX120" i="163"/>
  <c r="DH120" i="163" s="1"/>
  <c r="R118" i="143" s="1"/>
  <c r="BN34" i="163"/>
  <c r="CR34" i="163" s="1"/>
  <c r="CM8" i="159"/>
  <c r="CY117" i="163"/>
  <c r="DI117" i="163" s="1"/>
  <c r="Y115" i="143" s="1"/>
  <c r="CY77" i="163"/>
  <c r="DI77" i="163" s="1"/>
  <c r="Y73" i="143" s="1"/>
  <c r="CV8" i="163"/>
  <c r="DF8" i="163" s="1"/>
  <c r="CY62" i="163"/>
  <c r="DI62" i="163" s="1"/>
  <c r="Y58" i="143" s="1"/>
  <c r="AO54" i="163"/>
  <c r="BS54" i="163" s="1"/>
  <c r="BN28" i="159"/>
  <c r="F151" i="163"/>
  <c r="AJ96" i="163"/>
  <c r="CV65" i="163"/>
  <c r="DF65" i="163" s="1"/>
  <c r="CW122" i="163"/>
  <c r="DG122" i="163" s="1"/>
  <c r="K120" i="143" s="1"/>
  <c r="CY108" i="163"/>
  <c r="DI108" i="163" s="1"/>
  <c r="Y106" i="143" s="1"/>
  <c r="CW138" i="163"/>
  <c r="DG138" i="163" s="1"/>
  <c r="K136" i="143" s="1"/>
  <c r="CX133" i="163"/>
  <c r="DH133" i="163" s="1"/>
  <c r="R131" i="143" s="1"/>
  <c r="CX46" i="163"/>
  <c r="DH46" i="163" s="1"/>
  <c r="R42" i="143" s="1"/>
  <c r="CY90" i="163"/>
  <c r="DI90" i="163" s="1"/>
  <c r="Y86" i="143" s="1"/>
  <c r="CH28" i="163"/>
  <c r="J29" i="163"/>
  <c r="CW107" i="163"/>
  <c r="DG107" i="163" s="1"/>
  <c r="K105" i="143" s="1"/>
  <c r="AP54" i="163"/>
  <c r="BT54" i="163" s="1"/>
  <c r="BO28" i="159"/>
  <c r="CV101" i="163"/>
  <c r="DF101" i="163" s="1"/>
  <c r="CV89" i="163"/>
  <c r="DF89" i="163" s="1"/>
  <c r="CW90" i="163"/>
  <c r="DG90" i="163" s="1"/>
  <c r="K86" i="143" s="1"/>
  <c r="AP73" i="163"/>
  <c r="BT73" i="163" s="1"/>
  <c r="BO47" i="159"/>
  <c r="CS47" i="159" s="1"/>
  <c r="DC47" i="159" s="1"/>
  <c r="CX83" i="163"/>
  <c r="DH83" i="163" s="1"/>
  <c r="R79" i="143" s="1"/>
  <c r="CY124" i="163"/>
  <c r="DI124" i="163" s="1"/>
  <c r="Y122" i="143" s="1"/>
  <c r="CV138" i="163"/>
  <c r="DF138" i="163" s="1"/>
  <c r="CR121" i="159"/>
  <c r="CW121" i="159"/>
  <c r="DB147" i="163" s="1"/>
  <c r="CX81" i="163"/>
  <c r="DH81" i="163" s="1"/>
  <c r="R77" i="143" s="1"/>
  <c r="CX72" i="163"/>
  <c r="DH72" i="163" s="1"/>
  <c r="R68" i="143" s="1"/>
  <c r="CY48" i="163"/>
  <c r="DI48" i="163" s="1"/>
  <c r="Y44" i="143" s="1"/>
  <c r="CY10" i="163"/>
  <c r="CV149" i="163"/>
  <c r="CV79" i="163"/>
  <c r="AN70" i="163"/>
  <c r="BR70" i="163" s="1"/>
  <c r="AI43" i="159"/>
  <c r="BM44" i="159"/>
  <c r="CW36" i="163"/>
  <c r="DG36" i="163" s="1"/>
  <c r="K32" i="143" s="1"/>
  <c r="BI18" i="163"/>
  <c r="CM18" i="163" s="1"/>
  <c r="AP61" i="163"/>
  <c r="BT61" i="163" s="1"/>
  <c r="L57" i="143" s="1"/>
  <c r="BO35" i="159"/>
  <c r="CV142" i="163"/>
  <c r="DF142" i="163" s="1"/>
  <c r="AN82" i="163"/>
  <c r="BR82" i="163" s="1"/>
  <c r="BM56" i="159"/>
  <c r="CW141" i="163"/>
  <c r="DG141" i="163" s="1"/>
  <c r="K139" i="143" s="1"/>
  <c r="AO100" i="163"/>
  <c r="BS100" i="163" s="1"/>
  <c r="AJ73" i="159"/>
  <c r="BN74" i="159"/>
  <c r="CW47" i="163"/>
  <c r="DG47" i="163" s="1"/>
  <c r="K43" i="143" s="1"/>
  <c r="CW14" i="163"/>
  <c r="DG14" i="163" s="1"/>
  <c r="K14" i="143" s="1"/>
  <c r="CW64" i="163"/>
  <c r="DG64" i="163" s="1"/>
  <c r="K60" i="143" s="1"/>
  <c r="AP91" i="163"/>
  <c r="BT91" i="163" s="1"/>
  <c r="BO65" i="159"/>
  <c r="CX48" i="163"/>
  <c r="DH48" i="163" s="1"/>
  <c r="R44" i="143" s="1"/>
  <c r="CY139" i="163"/>
  <c r="DI139" i="163" s="1"/>
  <c r="Y137" i="143" s="1"/>
  <c r="AQ91" i="163"/>
  <c r="BU91" i="163" s="1"/>
  <c r="BP65" i="159"/>
  <c r="CY14" i="163"/>
  <c r="CV141" i="163"/>
  <c r="DF141" i="163" s="1"/>
  <c r="CW123" i="163"/>
  <c r="DG123" i="163" s="1"/>
  <c r="K121" i="143" s="1"/>
  <c r="CW105" i="163"/>
  <c r="DG105" i="163" s="1"/>
  <c r="K103" i="143" s="1"/>
  <c r="CX112" i="163"/>
  <c r="DH112" i="163" s="1"/>
  <c r="R110" i="143" s="1"/>
  <c r="CX63" i="163"/>
  <c r="DH63" i="163" s="1"/>
  <c r="R59" i="143" s="1"/>
  <c r="CX75" i="163"/>
  <c r="DH75" i="163" s="1"/>
  <c r="R71" i="143" s="1"/>
  <c r="CT121" i="159"/>
  <c r="CY121" i="159"/>
  <c r="DD147" i="163" s="1"/>
  <c r="AQ115" i="163"/>
  <c r="BU115" i="163" s="1"/>
  <c r="BP89" i="159"/>
  <c r="CY57" i="163"/>
  <c r="DI57" i="163" s="1"/>
  <c r="Y53" i="143" s="1"/>
  <c r="BM69" i="163"/>
  <c r="CQ69" i="163" s="1"/>
  <c r="BH34" i="159"/>
  <c r="CL43" i="159"/>
  <c r="CQ122" i="159"/>
  <c r="CV122" i="159"/>
  <c r="DA148" i="163" s="1"/>
  <c r="CV133" i="163"/>
  <c r="DF133" i="163" s="1"/>
  <c r="CV90" i="163"/>
  <c r="DF90" i="163" s="1"/>
  <c r="CV10" i="163"/>
  <c r="DF10" i="163" s="1"/>
  <c r="CW136" i="163"/>
  <c r="DG136" i="163" s="1"/>
  <c r="K134" i="143" s="1"/>
  <c r="CW79" i="163"/>
  <c r="AO73" i="163"/>
  <c r="BS73" i="163" s="1"/>
  <c r="BN47" i="159"/>
  <c r="CR47" i="159" s="1"/>
  <c r="DB47" i="159" s="1"/>
  <c r="CX56" i="163"/>
  <c r="DH56" i="163" s="1"/>
  <c r="R52" i="143" s="1"/>
  <c r="CY140" i="163"/>
  <c r="DI140" i="163" s="1"/>
  <c r="Y138" i="143" s="1"/>
  <c r="AQ100" i="163"/>
  <c r="BU100" i="163" s="1"/>
  <c r="BP74" i="159"/>
  <c r="AL73" i="159"/>
  <c r="CV103" i="163"/>
  <c r="DF103" i="163" s="1"/>
  <c r="CW84" i="163"/>
  <c r="DG84" i="163" s="1"/>
  <c r="K80" i="143" s="1"/>
  <c r="AO61" i="163"/>
  <c r="BS61" i="163" s="1"/>
  <c r="BN35" i="159"/>
  <c r="CW8" i="163"/>
  <c r="DG8" i="163" s="1"/>
  <c r="K8" i="143" s="1"/>
  <c r="BO34" i="163"/>
  <c r="CS34" i="163" s="1"/>
  <c r="CN8" i="159"/>
  <c r="CV139" i="163"/>
  <c r="DF139" i="163" s="1"/>
  <c r="CV102" i="163"/>
  <c r="DF102" i="163" s="1"/>
  <c r="AN54" i="163"/>
  <c r="BR54" i="163" s="1"/>
  <c r="BM28" i="159"/>
  <c r="CR123" i="159"/>
  <c r="CW123" i="159"/>
  <c r="DB149" i="163" s="1"/>
  <c r="CW67" i="163"/>
  <c r="DG67" i="163" s="1"/>
  <c r="K63" i="143" s="1"/>
  <c r="CW39" i="163"/>
  <c r="DG39" i="163" s="1"/>
  <c r="K35" i="143" s="1"/>
  <c r="CW41" i="163"/>
  <c r="DG41" i="163" s="1"/>
  <c r="K37" i="143" s="1"/>
  <c r="CX44" i="163"/>
  <c r="DH44" i="163" s="1"/>
  <c r="R40" i="143" s="1"/>
  <c r="CY46" i="163"/>
  <c r="DI46" i="163" s="1"/>
  <c r="Y42" i="143" s="1"/>
  <c r="CV93" i="163"/>
  <c r="DF93" i="163" s="1"/>
  <c r="AN51" i="163"/>
  <c r="BR51" i="163" s="1"/>
  <c r="BM25" i="159"/>
  <c r="CW140" i="163"/>
  <c r="DG140" i="163" s="1"/>
  <c r="K138" i="143" s="1"/>
  <c r="CW106" i="163"/>
  <c r="DG106" i="163" s="1"/>
  <c r="K104" i="143" s="1"/>
  <c r="CW59" i="163"/>
  <c r="DG59" i="163" s="1"/>
  <c r="K55" i="143" s="1"/>
  <c r="CY133" i="163"/>
  <c r="DI133" i="163" s="1"/>
  <c r="Y131" i="143" s="1"/>
  <c r="CY36" i="163"/>
  <c r="DI36" i="163" s="1"/>
  <c r="Y32" i="143" s="1"/>
  <c r="AN35" i="163"/>
  <c r="BR35" i="163" s="1"/>
  <c r="BM9" i="159"/>
  <c r="AI8" i="159"/>
  <c r="CX24" i="163"/>
  <c r="DH24" i="163" s="1"/>
  <c r="R24" i="143" s="1"/>
  <c r="U151" i="163"/>
  <c r="CX8" i="163"/>
  <c r="DH8" i="163" s="1"/>
  <c r="R8" i="143" s="1"/>
  <c r="CX94" i="163"/>
  <c r="DH94" i="163" s="1"/>
  <c r="R90" i="143" s="1"/>
  <c r="M29" i="163"/>
  <c r="CV128" i="163"/>
  <c r="DF128" i="163" s="1"/>
  <c r="CV24" i="163"/>
  <c r="DF24" i="163" s="1"/>
  <c r="CW24" i="163"/>
  <c r="DG24" i="163" s="1"/>
  <c r="K24" i="143" s="1"/>
  <c r="CV55" i="163"/>
  <c r="DF55" i="163" s="1"/>
  <c r="Q151" i="163"/>
  <c r="CW56" i="163"/>
  <c r="DG56" i="163" s="1"/>
  <c r="K52" i="143" s="1"/>
  <c r="CX41" i="163"/>
  <c r="DH41" i="163" s="1"/>
  <c r="R37" i="143" s="1"/>
  <c r="CX93" i="163"/>
  <c r="DH93" i="163" s="1"/>
  <c r="R89" i="143" s="1"/>
  <c r="CY16" i="163"/>
  <c r="AS99" i="163"/>
  <c r="BW99" i="163" s="1"/>
  <c r="BR73" i="159"/>
  <c r="O29" i="163"/>
  <c r="CV88" i="163"/>
  <c r="DF88" i="163" s="1"/>
  <c r="CV59" i="163"/>
  <c r="DF59" i="163" s="1"/>
  <c r="CV7" i="163"/>
  <c r="DF7" i="163" s="1"/>
  <c r="CW147" i="163"/>
  <c r="CW103" i="163"/>
  <c r="DG103" i="163" s="1"/>
  <c r="K101" i="143" s="1"/>
  <c r="CW63" i="163"/>
  <c r="DG63" i="163" s="1"/>
  <c r="K59" i="143" s="1"/>
  <c r="CW19" i="163"/>
  <c r="DG19" i="163" s="1"/>
  <c r="K19" i="143" s="1"/>
  <c r="AO42" i="163"/>
  <c r="BS42" i="163" s="1"/>
  <c r="BN16" i="159"/>
  <c r="CX141" i="163"/>
  <c r="DH141" i="163" s="1"/>
  <c r="R139" i="143" s="1"/>
  <c r="CX16" i="163"/>
  <c r="DH16" i="163" s="1"/>
  <c r="R16" i="143" s="1"/>
  <c r="CY127" i="163"/>
  <c r="DI127" i="163" s="1"/>
  <c r="Y125" i="143" s="1"/>
  <c r="CY107" i="163"/>
  <c r="DI107" i="163" s="1"/>
  <c r="Y105" i="143" s="1"/>
  <c r="CV118" i="163"/>
  <c r="DF118" i="163" s="1"/>
  <c r="CV71" i="163"/>
  <c r="DF71" i="163" s="1"/>
  <c r="CV23" i="163"/>
  <c r="DF23" i="163" s="1"/>
  <c r="CW124" i="163"/>
  <c r="DG124" i="163" s="1"/>
  <c r="K122" i="143" s="1"/>
  <c r="CW80" i="163"/>
  <c r="DG80" i="163" s="1"/>
  <c r="K76" i="143" s="1"/>
  <c r="K75" i="143" s="1"/>
  <c r="CX132" i="163"/>
  <c r="DH132" i="163" s="1"/>
  <c r="R130" i="143" s="1"/>
  <c r="CX102" i="163"/>
  <c r="DH102" i="163" s="1"/>
  <c r="R100" i="143" s="1"/>
  <c r="CX62" i="163"/>
  <c r="DH62" i="163" s="1"/>
  <c r="R58" i="143" s="1"/>
  <c r="CX49" i="163"/>
  <c r="DH49" i="163" s="1"/>
  <c r="R45" i="143" s="1"/>
  <c r="CY118" i="163"/>
  <c r="DI118" i="163" s="1"/>
  <c r="Y116" i="143" s="1"/>
  <c r="CY67" i="163"/>
  <c r="DI67" i="163" s="1"/>
  <c r="Y63" i="143" s="1"/>
  <c r="CY41" i="163"/>
  <c r="DI41" i="163" s="1"/>
  <c r="Y37" i="143" s="1"/>
  <c r="CV111" i="163"/>
  <c r="DF111" i="163" s="1"/>
  <c r="CV12" i="163"/>
  <c r="DF12" i="163" s="1"/>
  <c r="CW101" i="163"/>
  <c r="DG101" i="163" s="1"/>
  <c r="K99" i="143" s="1"/>
  <c r="CX114" i="163"/>
  <c r="DH114" i="163" s="1"/>
  <c r="R112" i="143" s="1"/>
  <c r="CX92" i="163"/>
  <c r="DH92" i="163" s="1"/>
  <c r="R88" i="143" s="1"/>
  <c r="CY92" i="163"/>
  <c r="DI92" i="163" s="1"/>
  <c r="Y88" i="143" s="1"/>
  <c r="CY24" i="163"/>
  <c r="CV137" i="163"/>
  <c r="DF137" i="163" s="1"/>
  <c r="CW83" i="163"/>
  <c r="DG83" i="163" s="1"/>
  <c r="K79" i="143" s="1"/>
  <c r="CY147" i="163"/>
  <c r="CY8" i="163"/>
  <c r="CV148" i="163"/>
  <c r="CV41" i="163"/>
  <c r="DF41" i="163" s="1"/>
  <c r="CW74" i="163"/>
  <c r="DG74" i="163" s="1"/>
  <c r="K70" i="143" s="1"/>
  <c r="CX134" i="163"/>
  <c r="DH134" i="163" s="1"/>
  <c r="R132" i="143" s="1"/>
  <c r="AP100" i="163"/>
  <c r="BT100" i="163" s="1"/>
  <c r="AK73" i="159"/>
  <c r="BO74" i="159"/>
  <c r="CY101" i="163"/>
  <c r="DI101" i="163" s="1"/>
  <c r="Y99" i="143" s="1"/>
  <c r="CY68" i="163"/>
  <c r="DI68" i="163" s="1"/>
  <c r="Y64" i="143" s="1"/>
  <c r="CY56" i="163"/>
  <c r="DI56" i="163" s="1"/>
  <c r="Y52" i="143" s="1"/>
  <c r="CV146" i="163"/>
  <c r="CV127" i="163"/>
  <c r="DF127" i="163" s="1"/>
  <c r="CV20" i="163"/>
  <c r="DF20" i="163" s="1"/>
  <c r="CW126" i="163"/>
  <c r="DG126" i="163" s="1"/>
  <c r="K124" i="143" s="1"/>
  <c r="CX125" i="163"/>
  <c r="DH125" i="163" s="1"/>
  <c r="R123" i="143" s="1"/>
  <c r="CX88" i="163"/>
  <c r="DH88" i="163" s="1"/>
  <c r="R84" i="143" s="1"/>
  <c r="CX20" i="163"/>
  <c r="DH20" i="163" s="1"/>
  <c r="R20" i="143" s="1"/>
  <c r="CY119" i="163"/>
  <c r="DI119" i="163" s="1"/>
  <c r="Y117" i="143" s="1"/>
  <c r="CY66" i="163"/>
  <c r="DI66" i="163" s="1"/>
  <c r="Y62" i="143" s="1"/>
  <c r="AN100" i="163"/>
  <c r="BR100" i="163" s="1"/>
  <c r="BM74" i="159"/>
  <c r="AI73" i="159"/>
  <c r="CW149" i="163"/>
  <c r="CW108" i="163"/>
  <c r="DG108" i="163" s="1"/>
  <c r="K106" i="143" s="1"/>
  <c r="CW16" i="163"/>
  <c r="DG16" i="163" s="1"/>
  <c r="K16" i="143" s="1"/>
  <c r="CX119" i="163"/>
  <c r="DH119" i="163" s="1"/>
  <c r="R117" i="143" s="1"/>
  <c r="CY144" i="163"/>
  <c r="DI144" i="163" s="1"/>
  <c r="Y142" i="143" s="1"/>
  <c r="CY87" i="163"/>
  <c r="DI87" i="163" s="1"/>
  <c r="Y83" i="143" s="1"/>
  <c r="CY64" i="163"/>
  <c r="DI64" i="163" s="1"/>
  <c r="Y60" i="143" s="1"/>
  <c r="CV126" i="163"/>
  <c r="DF126" i="163" s="1"/>
  <c r="CV92" i="163"/>
  <c r="DF92" i="163" s="1"/>
  <c r="CV62" i="163"/>
  <c r="DF62" i="163" s="1"/>
  <c r="CW50" i="163"/>
  <c r="DG50" i="163" s="1"/>
  <c r="K46" i="143" s="1"/>
  <c r="CX107" i="163"/>
  <c r="DH107" i="163" s="1"/>
  <c r="R105" i="143" s="1"/>
  <c r="CY58" i="163"/>
  <c r="DI58" i="163" s="1"/>
  <c r="Y54" i="143" s="1"/>
  <c r="CW66" i="163"/>
  <c r="DG66" i="163" s="1"/>
  <c r="K62" i="143" s="1"/>
  <c r="AP70" i="163"/>
  <c r="BT70" i="163" s="1"/>
  <c r="AK43" i="159"/>
  <c r="BO44" i="159"/>
  <c r="CX45" i="163"/>
  <c r="DH45" i="163" s="1"/>
  <c r="R41" i="143" s="1"/>
  <c r="CY86" i="163"/>
  <c r="DI86" i="163" s="1"/>
  <c r="Y82" i="143" s="1"/>
  <c r="BT30" i="163"/>
  <c r="CX7" i="163"/>
  <c r="CY111" i="163"/>
  <c r="DI111" i="163" s="1"/>
  <c r="Y109" i="143" s="1"/>
  <c r="CX117" i="163"/>
  <c r="DH117" i="163" s="1"/>
  <c r="R115" i="143" s="1"/>
  <c r="CX140" i="163"/>
  <c r="DH140" i="163" s="1"/>
  <c r="R138" i="143" s="1"/>
  <c r="CX36" i="163"/>
  <c r="DH36" i="163" s="1"/>
  <c r="R32" i="143" s="1"/>
  <c r="CY138" i="163"/>
  <c r="DI138" i="163" s="1"/>
  <c r="Y136" i="143" s="1"/>
  <c r="CY84" i="163"/>
  <c r="DI84" i="163" s="1"/>
  <c r="Y80" i="143" s="1"/>
  <c r="AQ35" i="163"/>
  <c r="BU35" i="163" s="1"/>
  <c r="AL8" i="159"/>
  <c r="BP9" i="159"/>
  <c r="CV75" i="163"/>
  <c r="DF75" i="163" s="1"/>
  <c r="AN38" i="163"/>
  <c r="BR38" i="163" s="1"/>
  <c r="BM12" i="159"/>
  <c r="CQ12" i="159" s="1"/>
  <c r="DA12" i="159" s="1"/>
  <c r="CX111" i="163"/>
  <c r="DH111" i="163" s="1"/>
  <c r="R109" i="143" s="1"/>
  <c r="CX64" i="163"/>
  <c r="DH64" i="163" s="1"/>
  <c r="R60" i="143" s="1"/>
  <c r="CT53" i="159"/>
  <c r="CY53" i="159"/>
  <c r="CY47" i="163"/>
  <c r="DI47" i="163" s="1"/>
  <c r="Y43" i="143" s="1"/>
  <c r="Y29" i="163"/>
  <c r="AS130" i="163"/>
  <c r="BW130" i="163" s="1"/>
  <c r="AN103" i="159"/>
  <c r="AN124" i="159" s="1"/>
  <c r="BR104" i="159"/>
  <c r="AN85" i="163"/>
  <c r="BR85" i="163" s="1"/>
  <c r="BM59" i="159"/>
  <c r="BJ18" i="163"/>
  <c r="CN18" i="163" s="1"/>
  <c r="AP38" i="163"/>
  <c r="BT38" i="163" s="1"/>
  <c r="L34" i="143" s="1"/>
  <c r="BO12" i="159"/>
  <c r="CS12" i="159" s="1"/>
  <c r="DC12" i="159" s="1"/>
  <c r="CY122" i="159"/>
  <c r="DD148" i="163" s="1"/>
  <c r="CT122" i="159"/>
  <c r="BN69" i="163"/>
  <c r="CR69" i="163" s="1"/>
  <c r="BI34" i="159"/>
  <c r="CM43" i="159"/>
  <c r="BM34" i="163"/>
  <c r="CQ34" i="163" s="1"/>
  <c r="CL8" i="159"/>
  <c r="CV50" i="163"/>
  <c r="DF50" i="163" s="1"/>
  <c r="CW132" i="163"/>
  <c r="DG132" i="163" s="1"/>
  <c r="K130" i="143" s="1"/>
  <c r="CW68" i="163"/>
  <c r="DG68" i="163" s="1"/>
  <c r="K64" i="143" s="1"/>
  <c r="CS123" i="159"/>
  <c r="CX123" i="159"/>
  <c r="DC149" i="163" s="1"/>
  <c r="CX37" i="163"/>
  <c r="DH37" i="163" s="1"/>
  <c r="R33" i="143" s="1"/>
  <c r="CY122" i="163"/>
  <c r="DI122" i="163" s="1"/>
  <c r="Y120" i="143" s="1"/>
  <c r="AQ42" i="163"/>
  <c r="BU42" i="163" s="1"/>
  <c r="BP16" i="159"/>
  <c r="CV56" i="163"/>
  <c r="DF56" i="163" s="1"/>
  <c r="CW121" i="163"/>
  <c r="DG121" i="163" s="1"/>
  <c r="K119" i="143" s="1"/>
  <c r="CW72" i="163"/>
  <c r="DG72" i="163" s="1"/>
  <c r="K68" i="143" s="1"/>
  <c r="K66" i="143" s="1"/>
  <c r="CX136" i="163"/>
  <c r="DH136" i="163" s="1"/>
  <c r="R134" i="143" s="1"/>
  <c r="CX118" i="163"/>
  <c r="DH118" i="163" s="1"/>
  <c r="R116" i="143" s="1"/>
  <c r="CX59" i="163"/>
  <c r="DH59" i="163" s="1"/>
  <c r="R55" i="143" s="1"/>
  <c r="CX23" i="163"/>
  <c r="DH23" i="163" s="1"/>
  <c r="R23" i="143" s="1"/>
  <c r="CY116" i="163"/>
  <c r="DI116" i="163" s="1"/>
  <c r="Y114" i="143" s="1"/>
  <c r="CY110" i="163"/>
  <c r="DI110" i="163" s="1"/>
  <c r="Y108" i="143" s="1"/>
  <c r="BH18" i="163"/>
  <c r="CL18" i="163" s="1"/>
  <c r="AL32" i="163"/>
  <c r="AL28" i="163"/>
  <c r="CV114" i="163"/>
  <c r="DF114" i="163" s="1"/>
  <c r="CW135" i="163"/>
  <c r="DG135" i="163" s="1"/>
  <c r="K133" i="143" s="1"/>
  <c r="CW87" i="163"/>
  <c r="DG87" i="163" s="1"/>
  <c r="K83" i="143" s="1"/>
  <c r="CX101" i="163"/>
  <c r="DH101" i="163" s="1"/>
  <c r="R99" i="143" s="1"/>
  <c r="CX57" i="163"/>
  <c r="DH57" i="163" s="1"/>
  <c r="R53" i="143" s="1"/>
  <c r="CY141" i="163"/>
  <c r="DI141" i="163" s="1"/>
  <c r="Y139" i="143" s="1"/>
  <c r="CV80" i="163"/>
  <c r="DF80" i="163" s="1"/>
  <c r="CV16" i="163"/>
  <c r="DF16" i="163" s="1"/>
  <c r="CW102" i="163"/>
  <c r="DG102" i="163" s="1"/>
  <c r="K100" i="143" s="1"/>
  <c r="CW62" i="163"/>
  <c r="DG62" i="163" s="1"/>
  <c r="K58" i="143" s="1"/>
  <c r="BE18" i="163"/>
  <c r="CI18" i="163" s="1"/>
  <c r="CV45" i="163"/>
  <c r="DF45" i="163" s="1"/>
  <c r="CW23" i="163"/>
  <c r="DG23" i="163" s="1"/>
  <c r="K23" i="143" s="1"/>
  <c r="CX86" i="163"/>
  <c r="DH86" i="163" s="1"/>
  <c r="R82" i="143" s="1"/>
  <c r="CX17" i="163"/>
  <c r="DH17" i="163" s="1"/>
  <c r="R17" i="143" s="1"/>
  <c r="AF29" i="163"/>
  <c r="CV52" i="163"/>
  <c r="DF52" i="163" s="1"/>
  <c r="AN42" i="163"/>
  <c r="BR42" i="163" s="1"/>
  <c r="BM16" i="159"/>
  <c r="CW125" i="163"/>
  <c r="DG125" i="163" s="1"/>
  <c r="K123" i="143" s="1"/>
  <c r="CW104" i="163"/>
  <c r="DG104" i="163" s="1"/>
  <c r="K102" i="143" s="1"/>
  <c r="CW46" i="163"/>
  <c r="DG46" i="163" s="1"/>
  <c r="K42" i="143" s="1"/>
  <c r="CW131" i="163"/>
  <c r="DG131" i="163" s="1"/>
  <c r="AO70" i="163"/>
  <c r="BS70" i="163" s="1"/>
  <c r="AJ43" i="159"/>
  <c r="BN44" i="159"/>
  <c r="CW139" i="163"/>
  <c r="DG139" i="163" s="1"/>
  <c r="K137" i="143" s="1"/>
  <c r="CX80" i="163"/>
  <c r="DH80" i="163" s="1"/>
  <c r="R76" i="143" s="1"/>
  <c r="R75" i="143" s="1"/>
  <c r="CS121" i="159"/>
  <c r="CX121" i="159"/>
  <c r="DC147" i="163" s="1"/>
  <c r="CX58" i="163"/>
  <c r="DH58" i="163" s="1"/>
  <c r="R54" i="143" s="1"/>
  <c r="CT123" i="159"/>
  <c r="CY123" i="159"/>
  <c r="DD149" i="163" s="1"/>
  <c r="CW118" i="163"/>
  <c r="DG118" i="163" s="1"/>
  <c r="K116" i="143" s="1"/>
  <c r="CY134" i="163"/>
  <c r="DI134" i="163" s="1"/>
  <c r="Y132" i="143" s="1"/>
  <c r="AP35" i="163"/>
  <c r="BT35" i="163" s="1"/>
  <c r="AK8" i="159"/>
  <c r="BO9" i="159"/>
  <c r="CY72" i="163"/>
  <c r="DI72" i="163" s="1"/>
  <c r="Y68" i="143" s="1"/>
  <c r="AP76" i="163"/>
  <c r="BT76" i="163" s="1"/>
  <c r="BO50" i="159"/>
  <c r="CS50" i="159" s="1"/>
  <c r="DC50" i="159" s="1"/>
  <c r="CX144" i="163"/>
  <c r="DH144" i="163" s="1"/>
  <c r="R142" i="143" s="1"/>
  <c r="CX84" i="163"/>
  <c r="DH84" i="163" s="1"/>
  <c r="R80" i="143" s="1"/>
  <c r="CX77" i="163"/>
  <c r="DH77" i="163" s="1"/>
  <c r="R73" i="143" s="1"/>
  <c r="AQ61" i="163"/>
  <c r="BU61" i="163" s="1"/>
  <c r="S57" i="143" s="1"/>
  <c r="BP35" i="159"/>
  <c r="CT35" i="159" s="1"/>
  <c r="DD35" i="159" s="1"/>
  <c r="E151" i="163"/>
  <c r="AI96" i="163"/>
  <c r="CV117" i="163"/>
  <c r="DF117" i="163" s="1"/>
  <c r="CW114" i="163"/>
  <c r="DG114" i="163" s="1"/>
  <c r="K112" i="143" s="1"/>
  <c r="CW57" i="163"/>
  <c r="DG57" i="163" s="1"/>
  <c r="K53" i="143" s="1"/>
  <c r="CW20" i="163"/>
  <c r="DG20" i="163" s="1"/>
  <c r="K20" i="143" s="1"/>
  <c r="CW43" i="163"/>
  <c r="DG43" i="163" s="1"/>
  <c r="K39" i="143" s="1"/>
  <c r="CY120" i="163"/>
  <c r="DI120" i="163" s="1"/>
  <c r="Y118" i="143" s="1"/>
  <c r="CY79" i="163"/>
  <c r="CV136" i="163"/>
  <c r="DF136" i="163" s="1"/>
  <c r="CV48" i="163"/>
  <c r="DF48" i="163" s="1"/>
  <c r="CW128" i="163"/>
  <c r="DG128" i="163" s="1"/>
  <c r="K126" i="143" s="1"/>
  <c r="CW75" i="163"/>
  <c r="DG75" i="163" s="1"/>
  <c r="K71" i="143" s="1"/>
  <c r="CX124" i="163"/>
  <c r="DH124" i="163" s="1"/>
  <c r="R122" i="143" s="1"/>
  <c r="CX67" i="163"/>
  <c r="DH67" i="163" s="1"/>
  <c r="R63" i="143" s="1"/>
  <c r="CY148" i="163"/>
  <c r="CY112" i="163"/>
  <c r="DI112" i="163" s="1"/>
  <c r="Y110" i="143" s="1"/>
  <c r="AQ51" i="163"/>
  <c r="BU51" i="163" s="1"/>
  <c r="BP25" i="159"/>
  <c r="CT25" i="159" s="1"/>
  <c r="DD25" i="159" s="1"/>
  <c r="CY49" i="163"/>
  <c r="DI49" i="163" s="1"/>
  <c r="Y45" i="143" s="1"/>
  <c r="CQ121" i="159"/>
  <c r="CV121" i="159"/>
  <c r="DA147" i="163" s="1"/>
  <c r="CV125" i="163"/>
  <c r="DF125" i="163" s="1"/>
  <c r="CV83" i="163"/>
  <c r="DF83" i="163" s="1"/>
  <c r="CW78" i="163"/>
  <c r="DG78" i="163" s="1"/>
  <c r="K74" i="143" s="1"/>
  <c r="K72" i="143" s="1"/>
  <c r="CX149" i="163"/>
  <c r="CX106" i="163"/>
  <c r="DH106" i="163" s="1"/>
  <c r="R104" i="143" s="1"/>
  <c r="CX65" i="163"/>
  <c r="DH65" i="163" s="1"/>
  <c r="R61" i="143" s="1"/>
  <c r="CY120" i="159"/>
  <c r="CT120" i="159"/>
  <c r="CY65" i="163"/>
  <c r="DI65" i="163" s="1"/>
  <c r="Y61" i="143" s="1"/>
  <c r="CV140" i="163"/>
  <c r="DF140" i="163" s="1"/>
  <c r="CV104" i="163"/>
  <c r="DF104" i="163" s="1"/>
  <c r="CV14" i="163"/>
  <c r="DF14" i="163" s="1"/>
  <c r="CT25" i="163"/>
  <c r="AG29" i="163"/>
  <c r="CY123" i="163"/>
  <c r="DI123" i="163" s="1"/>
  <c r="Y121" i="143" s="1"/>
  <c r="AQ38" i="163"/>
  <c r="BU38" i="163" s="1"/>
  <c r="S34" i="143" s="1"/>
  <c r="X34" i="143" s="1"/>
  <c r="BP12" i="159"/>
  <c r="CT12" i="159" s="1"/>
  <c r="DD12" i="159" s="1"/>
  <c r="CJ28" i="163"/>
  <c r="BD18" i="163"/>
  <c r="CH18" i="163" s="1"/>
  <c r="CV134" i="163"/>
  <c r="DF134" i="163" s="1"/>
  <c r="CV107" i="163"/>
  <c r="DF107" i="163" s="1"/>
  <c r="CW12" i="163"/>
  <c r="DG12" i="163" s="1"/>
  <c r="K12" i="143" s="1"/>
  <c r="CX127" i="163"/>
  <c r="DH127" i="163" s="1"/>
  <c r="R125" i="143" s="1"/>
  <c r="CX10" i="163"/>
  <c r="AK22" i="163"/>
  <c r="CY94" i="163"/>
  <c r="DI94" i="163" s="1"/>
  <c r="Y90" i="143" s="1"/>
  <c r="CY103" i="163"/>
  <c r="DI103" i="163" s="1"/>
  <c r="Y101" i="143" s="1"/>
  <c r="BP69" i="163"/>
  <c r="CT69" i="163" s="1"/>
  <c r="BK34" i="159"/>
  <c r="CO43" i="159"/>
  <c r="CV113" i="163"/>
  <c r="DF113" i="163" s="1"/>
  <c r="CW117" i="163"/>
  <c r="DG117" i="163" s="1"/>
  <c r="K115" i="143" s="1"/>
  <c r="CX121" i="163"/>
  <c r="DH121" i="163" s="1"/>
  <c r="R119" i="143" s="1"/>
  <c r="CX47" i="163"/>
  <c r="DH47" i="163" s="1"/>
  <c r="R43" i="143" s="1"/>
  <c r="BE60" i="163"/>
  <c r="CI60" i="163" s="1"/>
  <c r="CD34" i="159"/>
  <c r="CY80" i="163"/>
  <c r="DI80" i="163" s="1"/>
  <c r="Y76" i="143" s="1"/>
  <c r="CY93" i="163"/>
  <c r="DI93" i="163" s="1"/>
  <c r="Y89" i="143" s="1"/>
  <c r="CI28" i="163"/>
  <c r="CV121" i="163"/>
  <c r="DF121" i="163" s="1"/>
  <c r="CV122" i="163"/>
  <c r="DF122" i="163" s="1"/>
  <c r="CV78" i="163"/>
  <c r="DF78" i="163" s="1"/>
  <c r="CW127" i="163"/>
  <c r="DG127" i="163" s="1"/>
  <c r="K125" i="143" s="1"/>
  <c r="CW111" i="163"/>
  <c r="DG111" i="163" s="1"/>
  <c r="K109" i="143" s="1"/>
  <c r="CW86" i="163"/>
  <c r="DG86" i="163" s="1"/>
  <c r="K82" i="143" s="1"/>
  <c r="AJ150" i="163"/>
  <c r="AJ22" i="163"/>
  <c r="CX142" i="163"/>
  <c r="DH142" i="163" s="1"/>
  <c r="R140" i="143" s="1"/>
  <c r="CX95" i="163"/>
  <c r="DH95" i="163" s="1"/>
  <c r="R91" i="143" s="1"/>
  <c r="CY135" i="163"/>
  <c r="DI135" i="163" s="1"/>
  <c r="Y133" i="143" s="1"/>
  <c r="CY75" i="163"/>
  <c r="DI75" i="163" s="1"/>
  <c r="Y71" i="143" s="1"/>
  <c r="BU30" i="163"/>
  <c r="CY7" i="163"/>
  <c r="CY30" i="163" s="1"/>
  <c r="CV131" i="163"/>
  <c r="DF131" i="163" s="1"/>
  <c r="AN76" i="163"/>
  <c r="BR76" i="163" s="1"/>
  <c r="BM50" i="159"/>
  <c r="CQ50" i="159" s="1"/>
  <c r="DA50" i="159" s="1"/>
  <c r="X66" i="143" l="1"/>
  <c r="BF151" i="163"/>
  <c r="X31" i="143"/>
  <c r="X87" i="143"/>
  <c r="J145" i="143"/>
  <c r="M30" i="143"/>
  <c r="X50" i="143"/>
  <c r="CQ59" i="159"/>
  <c r="DA59" i="159" s="1"/>
  <c r="Q9" i="143"/>
  <c r="Q11" i="143" s="1"/>
  <c r="J21" i="143"/>
  <c r="T30" i="143"/>
  <c r="M97" i="143"/>
  <c r="X47" i="143"/>
  <c r="U97" i="143"/>
  <c r="F30" i="143"/>
  <c r="N22" i="143"/>
  <c r="N25" i="143" s="1"/>
  <c r="J129" i="143"/>
  <c r="X75" i="143"/>
  <c r="L30" i="143"/>
  <c r="X98" i="143"/>
  <c r="F22" i="143"/>
  <c r="F25" i="143" s="1"/>
  <c r="M56" i="143"/>
  <c r="M92" i="143" s="1"/>
  <c r="Y69" i="143"/>
  <c r="X129" i="143"/>
  <c r="X113" i="143"/>
  <c r="R69" i="143"/>
  <c r="N97" i="143"/>
  <c r="N148" i="143" s="1"/>
  <c r="X57" i="143"/>
  <c r="J113" i="143"/>
  <c r="S97" i="143"/>
  <c r="K69" i="143"/>
  <c r="K65" i="143" s="1"/>
  <c r="R129" i="143"/>
  <c r="K129" i="143"/>
  <c r="U56" i="143"/>
  <c r="X21" i="143"/>
  <c r="U22" i="143"/>
  <c r="U25" i="143" s="1"/>
  <c r="K31" i="143"/>
  <c r="Y75" i="143"/>
  <c r="Y66" i="143"/>
  <c r="M22" i="143"/>
  <c r="M25" i="143" s="1"/>
  <c r="CJ125" i="159"/>
  <c r="Q66" i="143"/>
  <c r="G22" i="143"/>
  <c r="G25" i="143" s="1"/>
  <c r="A62" i="159"/>
  <c r="J9" i="143"/>
  <c r="J11" i="143" s="1"/>
  <c r="A24" i="159"/>
  <c r="A77" i="159"/>
  <c r="A18" i="159"/>
  <c r="A75" i="159"/>
  <c r="A99" i="159"/>
  <c r="A67" i="159"/>
  <c r="A22" i="159"/>
  <c r="A81" i="159"/>
  <c r="A31" i="159"/>
  <c r="A30" i="159"/>
  <c r="A66" i="159"/>
  <c r="F97" i="143"/>
  <c r="A96" i="159"/>
  <c r="A90" i="159"/>
  <c r="A95" i="159"/>
  <c r="A92" i="159"/>
  <c r="A105" i="159"/>
  <c r="A55" i="159"/>
  <c r="A84" i="159"/>
  <c r="A41" i="159"/>
  <c r="A115" i="159"/>
  <c r="A20" i="159"/>
  <c r="R21" i="143"/>
  <c r="A98" i="159"/>
  <c r="AC9" i="143"/>
  <c r="AC11" i="143" s="1"/>
  <c r="AI7" i="143"/>
  <c r="AI9" i="143" s="1"/>
  <c r="X9" i="143"/>
  <c r="X11" i="143" s="1"/>
  <c r="A15" i="159"/>
  <c r="A11" i="159"/>
  <c r="A54" i="159"/>
  <c r="A33" i="159"/>
  <c r="A19" i="159"/>
  <c r="A13" i="159"/>
  <c r="A100" i="159"/>
  <c r="A57" i="159"/>
  <c r="A87" i="159"/>
  <c r="R31" i="143"/>
  <c r="Y129" i="143"/>
  <c r="DH14" i="163"/>
  <c r="R14" i="143" s="1"/>
  <c r="N14" i="143"/>
  <c r="Q14" i="143" s="1"/>
  <c r="A68" i="159"/>
  <c r="Q21" i="143"/>
  <c r="A107" i="159"/>
  <c r="A102" i="159"/>
  <c r="A112" i="159"/>
  <c r="A48" i="159"/>
  <c r="A110" i="159"/>
  <c r="A14" i="159"/>
  <c r="A76" i="159"/>
  <c r="A109" i="159"/>
  <c r="A118" i="159"/>
  <c r="F56" i="143"/>
  <c r="F92" i="143" s="1"/>
  <c r="BK151" i="163"/>
  <c r="CO96" i="163"/>
  <c r="CO151" i="163" s="1"/>
  <c r="T22" i="143"/>
  <c r="T25" i="143" s="1"/>
  <c r="A60" i="159"/>
  <c r="A10" i="159"/>
  <c r="A38" i="159"/>
  <c r="A42" i="159"/>
  <c r="A69" i="159"/>
  <c r="A32" i="159"/>
  <c r="A29" i="159"/>
  <c r="A27" i="159"/>
  <c r="A47" i="159"/>
  <c r="A26" i="159"/>
  <c r="A91" i="159"/>
  <c r="A88" i="159"/>
  <c r="A49" i="159"/>
  <c r="A80" i="159"/>
  <c r="A113" i="159"/>
  <c r="A86" i="159"/>
  <c r="A39" i="159"/>
  <c r="A23" i="159"/>
  <c r="A64" i="159"/>
  <c r="E30" i="143"/>
  <c r="A111" i="159"/>
  <c r="A12" i="159"/>
  <c r="A58" i="159"/>
  <c r="A97" i="159"/>
  <c r="A93" i="159"/>
  <c r="A85" i="159"/>
  <c r="A106" i="159"/>
  <c r="A36" i="159"/>
  <c r="A114" i="159"/>
  <c r="A83" i="159"/>
  <c r="A37" i="159"/>
  <c r="A79" i="159"/>
  <c r="A94" i="159"/>
  <c r="A108" i="159"/>
  <c r="K21" i="143"/>
  <c r="A46" i="159"/>
  <c r="A78" i="159"/>
  <c r="A61" i="159"/>
  <c r="A45" i="159"/>
  <c r="A51" i="159"/>
  <c r="A82" i="159"/>
  <c r="A101" i="159"/>
  <c r="A116" i="159"/>
  <c r="A40" i="159"/>
  <c r="A21" i="159"/>
  <c r="G127" i="143"/>
  <c r="G148" i="143" s="1"/>
  <c r="G30" i="143"/>
  <c r="U30" i="143"/>
  <c r="E97" i="143"/>
  <c r="I30" i="143"/>
  <c r="J69" i="143"/>
  <c r="K78" i="143"/>
  <c r="Y113" i="143"/>
  <c r="Y78" i="143"/>
  <c r="R47" i="143"/>
  <c r="Y87" i="143"/>
  <c r="Y50" i="143"/>
  <c r="Y47" i="143"/>
  <c r="T97" i="143"/>
  <c r="E65" i="143"/>
  <c r="K50" i="143"/>
  <c r="T56" i="143"/>
  <c r="T92" i="143" s="1"/>
  <c r="Y98" i="143"/>
  <c r="L97" i="143"/>
  <c r="S30" i="143"/>
  <c r="Y31" i="143"/>
  <c r="J98" i="143"/>
  <c r="K57" i="143"/>
  <c r="R113" i="143"/>
  <c r="J47" i="143"/>
  <c r="R87" i="143"/>
  <c r="R34" i="143"/>
  <c r="R57" i="143"/>
  <c r="K98" i="143"/>
  <c r="R78" i="143"/>
  <c r="K87" i="143"/>
  <c r="R66" i="143"/>
  <c r="R72" i="143"/>
  <c r="R50" i="143"/>
  <c r="K38" i="143"/>
  <c r="R98" i="143"/>
  <c r="K34" i="143"/>
  <c r="K113" i="143"/>
  <c r="K47" i="143"/>
  <c r="R38" i="143"/>
  <c r="Q69" i="143"/>
  <c r="Q145" i="143"/>
  <c r="Q75" i="143"/>
  <c r="Q87" i="143"/>
  <c r="Q47" i="143"/>
  <c r="Q50" i="143"/>
  <c r="Q72" i="143"/>
  <c r="J78" i="143"/>
  <c r="J75" i="143"/>
  <c r="Q31" i="143"/>
  <c r="J72" i="143"/>
  <c r="Q57" i="143"/>
  <c r="Q34" i="143"/>
  <c r="J34" i="143"/>
  <c r="A103" i="163"/>
  <c r="A93" i="163"/>
  <c r="A132" i="163"/>
  <c r="A45" i="163"/>
  <c r="A114" i="163"/>
  <c r="A36" i="163"/>
  <c r="A139" i="163"/>
  <c r="A75" i="163"/>
  <c r="A110" i="163"/>
  <c r="A104" i="163"/>
  <c r="A124" i="163"/>
  <c r="A95" i="163"/>
  <c r="A128" i="163"/>
  <c r="A57" i="163"/>
  <c r="A107" i="163"/>
  <c r="A81" i="163"/>
  <c r="A127" i="163"/>
  <c r="A52" i="163"/>
  <c r="AI151" i="163"/>
  <c r="A106" i="163"/>
  <c r="A86" i="163"/>
  <c r="A142" i="163"/>
  <c r="A109" i="163"/>
  <c r="A136" i="163"/>
  <c r="A53" i="163"/>
  <c r="A84" i="163"/>
  <c r="A122" i="163"/>
  <c r="A41" i="163"/>
  <c r="A90" i="163"/>
  <c r="A62" i="163"/>
  <c r="A111" i="163"/>
  <c r="A56" i="163"/>
  <c r="A118" i="163"/>
  <c r="A94" i="163"/>
  <c r="A77" i="163"/>
  <c r="A134" i="163"/>
  <c r="A47" i="163"/>
  <c r="A68" i="163"/>
  <c r="A117" i="163"/>
  <c r="A133" i="163"/>
  <c r="A141" i="163"/>
  <c r="A105" i="163"/>
  <c r="A65" i="163"/>
  <c r="A131" i="163"/>
  <c r="A87" i="163"/>
  <c r="A49" i="163"/>
  <c r="A112" i="163"/>
  <c r="A39" i="163"/>
  <c r="A140" i="163"/>
  <c r="A50" i="163"/>
  <c r="A137" i="163"/>
  <c r="A88" i="163"/>
  <c r="A55" i="163"/>
  <c r="A59" i="163"/>
  <c r="A46" i="163"/>
  <c r="A120" i="163"/>
  <c r="A63" i="163"/>
  <c r="A126" i="163"/>
  <c r="A108" i="163"/>
  <c r="A44" i="163"/>
  <c r="A37" i="163"/>
  <c r="A83" i="163"/>
  <c r="A92" i="163"/>
  <c r="A138" i="163"/>
  <c r="A144" i="163"/>
  <c r="A66" i="163"/>
  <c r="A116" i="163"/>
  <c r="A102" i="163"/>
  <c r="A67" i="163"/>
  <c r="A74" i="163"/>
  <c r="A119" i="163"/>
  <c r="A125" i="163"/>
  <c r="A80" i="163"/>
  <c r="A123" i="163"/>
  <c r="A71" i="163"/>
  <c r="A64" i="163"/>
  <c r="A58" i="163"/>
  <c r="A48" i="163"/>
  <c r="A121" i="163"/>
  <c r="A113" i="163"/>
  <c r="A72" i="163"/>
  <c r="A135" i="163"/>
  <c r="A101" i="163"/>
  <c r="A40" i="163"/>
  <c r="BR43" i="159"/>
  <c r="AZ69" i="163"/>
  <c r="CD69" i="163" s="1"/>
  <c r="N65" i="143" s="1"/>
  <c r="N56" i="143" s="1"/>
  <c r="N92" i="143" s="1"/>
  <c r="AS34" i="159"/>
  <c r="AX60" i="163" s="1"/>
  <c r="CB60" i="163" s="1"/>
  <c r="CQ25" i="159"/>
  <c r="DA25" i="159" s="1"/>
  <c r="BS43" i="159"/>
  <c r="AX69" i="163"/>
  <c r="CB69" i="163" s="1"/>
  <c r="BT43" i="159"/>
  <c r="AP34" i="159"/>
  <c r="AU60" i="163" s="1"/>
  <c r="BY60" i="163" s="1"/>
  <c r="BK124" i="159"/>
  <c r="BP150" i="163" s="1"/>
  <c r="CT150" i="163" s="1"/>
  <c r="Q131" i="143"/>
  <c r="Q129" i="143" s="1"/>
  <c r="AN34" i="159"/>
  <c r="AS60" i="163" s="1"/>
  <c r="BW60" i="163" s="1"/>
  <c r="AT69" i="163"/>
  <c r="BX69" i="163" s="1"/>
  <c r="CQ28" i="159"/>
  <c r="DA28" i="159" s="1"/>
  <c r="BY43" i="159"/>
  <c r="Q45" i="143"/>
  <c r="Q38" i="143" s="1"/>
  <c r="Q116" i="143"/>
  <c r="BP129" i="163"/>
  <c r="CT129" i="163" s="1"/>
  <c r="CO103" i="159"/>
  <c r="CO73" i="159"/>
  <c r="CS9" i="159"/>
  <c r="DC9" i="159" s="1"/>
  <c r="Q124" i="143"/>
  <c r="CS44" i="159"/>
  <c r="DC44" i="159" s="1"/>
  <c r="CQ44" i="159"/>
  <c r="DA44" i="159" s="1"/>
  <c r="CL73" i="159"/>
  <c r="BO99" i="163"/>
  <c r="CS99" i="163" s="1"/>
  <c r="BN99" i="163"/>
  <c r="CR99" i="163" s="1"/>
  <c r="CQ89" i="159"/>
  <c r="DA89" i="159" s="1"/>
  <c r="CT9" i="159"/>
  <c r="DD9" i="159" s="1"/>
  <c r="CQ56" i="159"/>
  <c r="DA56" i="159" s="1"/>
  <c r="CQ16" i="159"/>
  <c r="DA16" i="159" s="1"/>
  <c r="BZ43" i="159"/>
  <c r="BY8" i="159"/>
  <c r="AU34" i="163"/>
  <c r="BY34" i="163" s="1"/>
  <c r="J91" i="143"/>
  <c r="J87" i="143" s="1"/>
  <c r="AV34" i="159"/>
  <c r="BA60" i="163" s="1"/>
  <c r="CE60" i="163" s="1"/>
  <c r="BW73" i="159"/>
  <c r="J46" i="143"/>
  <c r="AV99" i="163"/>
  <c r="BZ99" i="163" s="1"/>
  <c r="J83" i="143"/>
  <c r="CS25" i="159"/>
  <c r="DC25" i="159" s="1"/>
  <c r="AX129" i="163"/>
  <c r="CB129" i="163" s="1"/>
  <c r="BT73" i="159"/>
  <c r="CT56" i="159"/>
  <c r="DD56" i="159" s="1"/>
  <c r="CS16" i="159"/>
  <c r="DC16" i="159" s="1"/>
  <c r="J45" i="143"/>
  <c r="J38" i="143" s="1"/>
  <c r="AT99" i="163"/>
  <c r="BX99" i="163" s="1"/>
  <c r="J68" i="143"/>
  <c r="BW8" i="159"/>
  <c r="Q108" i="143"/>
  <c r="BY103" i="159"/>
  <c r="BZ73" i="159"/>
  <c r="AQ34" i="159"/>
  <c r="AQ70" i="159" s="1"/>
  <c r="J84" i="143"/>
  <c r="CT28" i="159"/>
  <c r="DD28" i="159" s="1"/>
  <c r="J32" i="143"/>
  <c r="J31" i="143" s="1"/>
  <c r="CS74" i="159"/>
  <c r="DC74" i="159" s="1"/>
  <c r="CT74" i="159"/>
  <c r="DD74" i="159" s="1"/>
  <c r="BU43" i="159"/>
  <c r="BS34" i="159"/>
  <c r="CS56" i="159"/>
  <c r="DC56" i="159" s="1"/>
  <c r="AO70" i="159"/>
  <c r="AT96" i="163" s="1"/>
  <c r="DA11" i="190"/>
  <c r="DA8" i="190"/>
  <c r="CW8" i="190"/>
  <c r="CW11" i="190"/>
  <c r="DC10" i="163" s="1"/>
  <c r="DB7" i="163"/>
  <c r="DG7" i="163" s="1"/>
  <c r="K7" i="143" s="1"/>
  <c r="K9" i="143" s="1"/>
  <c r="CV10" i="190"/>
  <c r="AX26" i="190"/>
  <c r="CB26" i="190" s="1"/>
  <c r="CB30" i="190" s="1"/>
  <c r="CB23" i="190"/>
  <c r="CF23" i="190"/>
  <c r="BB26" i="190"/>
  <c r="CF26" i="190" s="1"/>
  <c r="AY26" i="190"/>
  <c r="CC26" i="190" s="1"/>
  <c r="CC30" i="190" s="1"/>
  <c r="CC23" i="190"/>
  <c r="BD26" i="190"/>
  <c r="CH26" i="190" s="1"/>
  <c r="CH23" i="190"/>
  <c r="CD23" i="190"/>
  <c r="AZ26" i="190"/>
  <c r="CD26" i="190" s="1"/>
  <c r="CD30" i="190" s="1"/>
  <c r="CU26" i="190"/>
  <c r="DA22" i="163"/>
  <c r="BC26" i="190"/>
  <c r="CG26" i="190" s="1"/>
  <c r="CG23" i="190"/>
  <c r="CX26" i="190"/>
  <c r="DD25" i="163" s="1"/>
  <c r="DD22" i="163"/>
  <c r="AW26" i="190"/>
  <c r="CA26" i="190" s="1"/>
  <c r="CA30" i="190" s="1"/>
  <c r="CA23" i="190"/>
  <c r="AS124" i="159"/>
  <c r="AX150" i="163" s="1"/>
  <c r="CB150" i="163" s="1"/>
  <c r="BU8" i="159"/>
  <c r="CT65" i="159"/>
  <c r="DD65" i="159" s="1"/>
  <c r="AS34" i="163"/>
  <c r="BW34" i="163" s="1"/>
  <c r="CS35" i="159"/>
  <c r="DC35" i="159" s="1"/>
  <c r="BZ8" i="159"/>
  <c r="J61" i="143"/>
  <c r="J57" i="143" s="1"/>
  <c r="Q138" i="143"/>
  <c r="CR9" i="159"/>
  <c r="DB9" i="159" s="1"/>
  <c r="BS8" i="159"/>
  <c r="CP10" i="190"/>
  <c r="CZ10" i="190" s="1"/>
  <c r="CP22" i="190"/>
  <c r="CZ22" i="190" s="1"/>
  <c r="Q105" i="143"/>
  <c r="J54" i="143"/>
  <c r="J50" i="143" s="1"/>
  <c r="CQ74" i="159"/>
  <c r="DA74" i="159" s="1"/>
  <c r="CR35" i="159"/>
  <c r="DB35" i="159" s="1"/>
  <c r="CS28" i="159"/>
  <c r="DC28" i="159" s="1"/>
  <c r="CQ9" i="159"/>
  <c r="DA9" i="159" s="1"/>
  <c r="AZ129" i="163"/>
  <c r="CD129" i="163" s="1"/>
  <c r="CS65" i="159"/>
  <c r="DC65" i="159" s="1"/>
  <c r="CS89" i="159"/>
  <c r="DC89" i="159" s="1"/>
  <c r="CT89" i="159"/>
  <c r="DD89" i="159" s="1"/>
  <c r="CQ10" i="190"/>
  <c r="CS10" i="190"/>
  <c r="DC10" i="190" s="1"/>
  <c r="CQ22" i="190"/>
  <c r="DA22" i="190" s="1"/>
  <c r="CS22" i="190"/>
  <c r="DC22" i="190" s="1"/>
  <c r="CR22" i="190"/>
  <c r="DB22" i="190" s="1"/>
  <c r="CR10" i="190"/>
  <c r="BI19" i="190"/>
  <c r="BO18" i="163" s="1"/>
  <c r="CS18" i="163" s="1"/>
  <c r="CM12" i="190"/>
  <c r="BI69" i="163"/>
  <c r="CM69" i="163" s="1"/>
  <c r="I65" i="143" s="1"/>
  <c r="I56" i="143" s="1"/>
  <c r="BD34" i="159"/>
  <c r="CH43" i="159"/>
  <c r="CH8" i="159"/>
  <c r="BI34" i="163"/>
  <c r="CM34" i="163" s="1"/>
  <c r="CG43" i="159"/>
  <c r="BH69" i="163"/>
  <c r="CL69" i="163" s="1"/>
  <c r="BC34" i="159"/>
  <c r="BH34" i="163"/>
  <c r="CL34" i="163" s="1"/>
  <c r="CG8" i="159"/>
  <c r="BH19" i="190"/>
  <c r="BN18" i="163" s="1"/>
  <c r="CR18" i="163" s="1"/>
  <c r="CL12" i="190"/>
  <c r="CK12" i="190"/>
  <c r="BG19" i="190"/>
  <c r="BM18" i="163" s="1"/>
  <c r="CQ18" i="163" s="1"/>
  <c r="AY11" i="163"/>
  <c r="CC11" i="163" s="1"/>
  <c r="BW12" i="190"/>
  <c r="BW29" i="190" s="1"/>
  <c r="AS19" i="190"/>
  <c r="AZ11" i="163"/>
  <c r="CD11" i="163" s="1"/>
  <c r="BX12" i="190"/>
  <c r="BX29" i="190" s="1"/>
  <c r="AT19" i="190"/>
  <c r="AX11" i="163"/>
  <c r="CB11" i="163" s="1"/>
  <c r="CB28" i="163" s="1"/>
  <c r="AR19" i="190"/>
  <c r="BV12" i="190"/>
  <c r="BV29" i="190" s="1"/>
  <c r="BA11" i="163"/>
  <c r="CE11" i="163" s="1"/>
  <c r="AU19" i="190"/>
  <c r="BY12" i="190"/>
  <c r="BY29" i="190" s="1"/>
  <c r="AT11" i="163"/>
  <c r="BX11" i="163" s="1"/>
  <c r="AN19" i="190"/>
  <c r="BR12" i="190"/>
  <c r="BR29" i="190" s="1"/>
  <c r="AU11" i="163"/>
  <c r="BY11" i="163" s="1"/>
  <c r="BS12" i="190"/>
  <c r="BS29" i="190" s="1"/>
  <c r="AO19" i="190"/>
  <c r="AV11" i="163"/>
  <c r="BZ11" i="163" s="1"/>
  <c r="BT12" i="190"/>
  <c r="BT29" i="190" s="1"/>
  <c r="AS11" i="163"/>
  <c r="BW11" i="163" s="1"/>
  <c r="BW28" i="163" s="1"/>
  <c r="BQ12" i="190"/>
  <c r="BQ29" i="190" s="1"/>
  <c r="AM19" i="190"/>
  <c r="AN11" i="163"/>
  <c r="BR11" i="163" s="1"/>
  <c r="BL12" i="190"/>
  <c r="AH19" i="190"/>
  <c r="AO11" i="163"/>
  <c r="BS11" i="163" s="1"/>
  <c r="BM12" i="190"/>
  <c r="AI19" i="190"/>
  <c r="AQ11" i="163"/>
  <c r="BU11" i="163" s="1"/>
  <c r="BO12" i="190"/>
  <c r="AP11" i="163"/>
  <c r="BT11" i="163" s="1"/>
  <c r="BN12" i="190"/>
  <c r="CT44" i="159"/>
  <c r="DD44" i="159" s="1"/>
  <c r="AJ14" i="190"/>
  <c r="BN14" i="190" s="1"/>
  <c r="CR14" i="190" s="1"/>
  <c r="DB14" i="190" s="1"/>
  <c r="AK63" i="159"/>
  <c r="DI8" i="163"/>
  <c r="Y8" i="143" s="1"/>
  <c r="DI24" i="163"/>
  <c r="Y24" i="143" s="1"/>
  <c r="DI20" i="163"/>
  <c r="DI16" i="163"/>
  <c r="DI10" i="163"/>
  <c r="DI17" i="163"/>
  <c r="DI19" i="163"/>
  <c r="DI7" i="163"/>
  <c r="DI14" i="163"/>
  <c r="DI12" i="163"/>
  <c r="DI23" i="163"/>
  <c r="DG10" i="163"/>
  <c r="K10" i="143" s="1"/>
  <c r="CR28" i="159"/>
  <c r="DB28" i="159" s="1"/>
  <c r="CR25" i="159"/>
  <c r="DB25" i="159" s="1"/>
  <c r="CR44" i="159"/>
  <c r="DB44" i="159" s="1"/>
  <c r="BF22" i="163"/>
  <c r="CJ22" i="163" s="1"/>
  <c r="CR16" i="159"/>
  <c r="DB16" i="159" s="1"/>
  <c r="CR89" i="159"/>
  <c r="DB89" i="159" s="1"/>
  <c r="CR65" i="159"/>
  <c r="DB65" i="159" s="1"/>
  <c r="DG147" i="163"/>
  <c r="DH148" i="163"/>
  <c r="R146" i="143" s="1"/>
  <c r="DF149" i="163"/>
  <c r="DB121" i="159"/>
  <c r="CR74" i="159"/>
  <c r="DB74" i="159" s="1"/>
  <c r="DG148" i="163"/>
  <c r="K146" i="143" s="1"/>
  <c r="AY69" i="163"/>
  <c r="CC69" i="163" s="1"/>
  <c r="G65" i="143" s="1"/>
  <c r="G56" i="143" s="1"/>
  <c r="AT34" i="159"/>
  <c r="BX43" i="159"/>
  <c r="CR56" i="159"/>
  <c r="DB56" i="159" s="1"/>
  <c r="DC120" i="159"/>
  <c r="AY129" i="163"/>
  <c r="CC129" i="163" s="1"/>
  <c r="BX103" i="159"/>
  <c r="DC121" i="159"/>
  <c r="DA122" i="159"/>
  <c r="DA121" i="159"/>
  <c r="DC122" i="159"/>
  <c r="AY99" i="163"/>
  <c r="CC99" i="163" s="1"/>
  <c r="AT124" i="159"/>
  <c r="BX73" i="159"/>
  <c r="DB120" i="159"/>
  <c r="DD123" i="159"/>
  <c r="DF148" i="163"/>
  <c r="AY34" i="163"/>
  <c r="CC34" i="163" s="1"/>
  <c r="BX8" i="159"/>
  <c r="AS150" i="163"/>
  <c r="BW150" i="163" s="1"/>
  <c r="BR124" i="159"/>
  <c r="CV38" i="163"/>
  <c r="DF38" i="163" s="1"/>
  <c r="CW21" i="163"/>
  <c r="DG21" i="163" s="1"/>
  <c r="DC79" i="163"/>
  <c r="DH79" i="163" s="1"/>
  <c r="CX34" i="159"/>
  <c r="CW30" i="163"/>
  <c r="CY38" i="163"/>
  <c r="DI38" i="163" s="1"/>
  <c r="Y34" i="143" s="1"/>
  <c r="DD120" i="159"/>
  <c r="AP34" i="163"/>
  <c r="BT34" i="163" s="1"/>
  <c r="BO8" i="159"/>
  <c r="CV42" i="163"/>
  <c r="DF42" i="163" s="1"/>
  <c r="E29" i="163"/>
  <c r="AI25" i="163"/>
  <c r="AI29" i="163" s="1"/>
  <c r="BJ22" i="163"/>
  <c r="CN22" i="163" s="1"/>
  <c r="AP69" i="163"/>
  <c r="BT69" i="163" s="1"/>
  <c r="L65" i="143" s="1"/>
  <c r="BO43" i="159"/>
  <c r="CV51" i="163"/>
  <c r="DF51" i="163" s="1"/>
  <c r="AE29" i="163"/>
  <c r="CX61" i="163"/>
  <c r="DH61" i="163" s="1"/>
  <c r="CV61" i="163"/>
  <c r="DF61" i="163" s="1"/>
  <c r="CV115" i="163"/>
  <c r="DF115" i="163" s="1"/>
  <c r="DA123" i="159"/>
  <c r="CX82" i="163"/>
  <c r="DH82" i="163" s="1"/>
  <c r="DC53" i="159"/>
  <c r="CY21" i="163"/>
  <c r="DB146" i="163"/>
  <c r="DG146" i="163" s="1"/>
  <c r="K144" i="143" s="1"/>
  <c r="CW104" i="159"/>
  <c r="CW9" i="163"/>
  <c r="BD22" i="163"/>
  <c r="CH22" i="163" s="1"/>
  <c r="DD146" i="163"/>
  <c r="DI146" i="163" s="1"/>
  <c r="Y144" i="143" s="1"/>
  <c r="CY104" i="159"/>
  <c r="DI148" i="163"/>
  <c r="Y146" i="143" s="1"/>
  <c r="CX35" i="163"/>
  <c r="DH35" i="163" s="1"/>
  <c r="BN60" i="163"/>
  <c r="CR60" i="163" s="1"/>
  <c r="BI70" i="159"/>
  <c r="CM34" i="159"/>
  <c r="CX70" i="163"/>
  <c r="DH70" i="163" s="1"/>
  <c r="CV54" i="163"/>
  <c r="DF54" i="163" s="1"/>
  <c r="CW61" i="163"/>
  <c r="DG61" i="163" s="1"/>
  <c r="CY100" i="163"/>
  <c r="DI100" i="163" s="1"/>
  <c r="BW34" i="159"/>
  <c r="CX73" i="163"/>
  <c r="DH73" i="163" s="1"/>
  <c r="DA146" i="163"/>
  <c r="DF146" i="163" s="1"/>
  <c r="CV104" i="159"/>
  <c r="CV9" i="163"/>
  <c r="DF9" i="163" s="1"/>
  <c r="CV73" i="163"/>
  <c r="DF73" i="163" s="1"/>
  <c r="BD96" i="163"/>
  <c r="CC70" i="159"/>
  <c r="DI149" i="163"/>
  <c r="Y147" i="143" s="1"/>
  <c r="BC22" i="163"/>
  <c r="CG22" i="163" s="1"/>
  <c r="Q29" i="163"/>
  <c r="CQ28" i="163"/>
  <c r="BO60" i="163"/>
  <c r="CS60" i="163" s="1"/>
  <c r="BJ70" i="159"/>
  <c r="CN34" i="159"/>
  <c r="CW91" i="163"/>
  <c r="DG91" i="163" s="1"/>
  <c r="CV76" i="163"/>
  <c r="DF76" i="163" s="1"/>
  <c r="T29" i="163"/>
  <c r="AQ34" i="163"/>
  <c r="BU34" i="163" s="1"/>
  <c r="BP8" i="159"/>
  <c r="AN99" i="163"/>
  <c r="BR99" i="163" s="1"/>
  <c r="BM73" i="159"/>
  <c r="AP99" i="163"/>
  <c r="BT99" i="163" s="1"/>
  <c r="BO73" i="159"/>
  <c r="CS28" i="163"/>
  <c r="BI22" i="163"/>
  <c r="CM22" i="163" s="1"/>
  <c r="AN69" i="163"/>
  <c r="BR69" i="163" s="1"/>
  <c r="BM43" i="159"/>
  <c r="DA120" i="159"/>
  <c r="BC96" i="163"/>
  <c r="CB70" i="159"/>
  <c r="CW82" i="163"/>
  <c r="DG82" i="163" s="1"/>
  <c r="U29" i="163"/>
  <c r="AZ150" i="163"/>
  <c r="CD150" i="163" s="1"/>
  <c r="BY124" i="159"/>
  <c r="CX51" i="163"/>
  <c r="DH51" i="163" s="1"/>
  <c r="CV21" i="163"/>
  <c r="DF21" i="163" s="1"/>
  <c r="P29" i="163"/>
  <c r="CX115" i="163"/>
  <c r="DH115" i="163" s="1"/>
  <c r="AQ99" i="163"/>
  <c r="BU99" i="163" s="1"/>
  <c r="BP73" i="159"/>
  <c r="CW73" i="163"/>
  <c r="DG73" i="163" s="1"/>
  <c r="CX21" i="163"/>
  <c r="DH21" i="163" s="1"/>
  <c r="BP60" i="163"/>
  <c r="CT60" i="163" s="1"/>
  <c r="BK70" i="159"/>
  <c r="CO34" i="159"/>
  <c r="CY61" i="163"/>
  <c r="DI61" i="163" s="1"/>
  <c r="Y57" i="143" s="1"/>
  <c r="BH22" i="163"/>
  <c r="CL22" i="163" s="1"/>
  <c r="DD122" i="159"/>
  <c r="CY35" i="163"/>
  <c r="DI35" i="163" s="1"/>
  <c r="DG149" i="163"/>
  <c r="K147" i="143" s="1"/>
  <c r="CX100" i="163"/>
  <c r="DH100" i="163" s="1"/>
  <c r="CY115" i="163"/>
  <c r="DI115" i="163" s="1"/>
  <c r="AD29" i="163"/>
  <c r="CV82" i="163"/>
  <c r="DF82" i="163" s="1"/>
  <c r="CV70" i="163"/>
  <c r="DF70" i="163" s="1"/>
  <c r="CX54" i="163"/>
  <c r="DH54" i="163" s="1"/>
  <c r="AJ151" i="163"/>
  <c r="CX9" i="163"/>
  <c r="DB53" i="159"/>
  <c r="BJ96" i="163"/>
  <c r="CI70" i="159"/>
  <c r="DF147" i="163"/>
  <c r="CV91" i="163"/>
  <c r="DF91" i="163" s="1"/>
  <c r="CW76" i="163"/>
  <c r="DG76" i="163" s="1"/>
  <c r="CX76" i="163"/>
  <c r="DH76" i="163" s="1"/>
  <c r="AO69" i="163"/>
  <c r="BS69" i="163" s="1"/>
  <c r="BN43" i="159"/>
  <c r="BE22" i="163"/>
  <c r="CI22" i="163" s="1"/>
  <c r="CV100" i="163"/>
  <c r="DF100" i="163" s="1"/>
  <c r="BR34" i="163"/>
  <c r="BM8" i="159"/>
  <c r="CX91" i="163"/>
  <c r="DH91" i="163" s="1"/>
  <c r="AO99" i="163"/>
  <c r="BS99" i="163" s="1"/>
  <c r="BN73" i="159"/>
  <c r="G29" i="163"/>
  <c r="AK25" i="163"/>
  <c r="AK29" i="163" s="1"/>
  <c r="DB79" i="163"/>
  <c r="DG79" i="163" s="1"/>
  <c r="CW34" i="159"/>
  <c r="AO34" i="163"/>
  <c r="BS34" i="163" s="1"/>
  <c r="BN8" i="159"/>
  <c r="DA53" i="159"/>
  <c r="CW115" i="163"/>
  <c r="DG115" i="163" s="1"/>
  <c r="CY82" i="163"/>
  <c r="DI82" i="163" s="1"/>
  <c r="CY73" i="163"/>
  <c r="DI73" i="163" s="1"/>
  <c r="K29" i="163"/>
  <c r="CW70" i="163"/>
  <c r="DG70" i="163" s="1"/>
  <c r="CY9" i="163"/>
  <c r="DC123" i="159"/>
  <c r="CV85" i="163"/>
  <c r="DF85" i="163" s="1"/>
  <c r="DD79" i="163"/>
  <c r="DI79" i="163" s="1"/>
  <c r="CY34" i="159"/>
  <c r="AL22" i="163"/>
  <c r="V29" i="163"/>
  <c r="DI147" i="163"/>
  <c r="CR28" i="163"/>
  <c r="Z29" i="163"/>
  <c r="AJ25" i="163"/>
  <c r="AJ29" i="163" s="1"/>
  <c r="F29" i="163"/>
  <c r="DB123" i="159"/>
  <c r="DD121" i="159"/>
  <c r="CW100" i="163"/>
  <c r="DG100" i="163" s="1"/>
  <c r="CW35" i="163"/>
  <c r="DG35" i="163" s="1"/>
  <c r="CY54" i="163"/>
  <c r="DI54" i="163" s="1"/>
  <c r="DA79" i="163"/>
  <c r="DF79" i="163" s="1"/>
  <c r="CV34" i="159"/>
  <c r="DH147" i="163"/>
  <c r="CY70" i="163"/>
  <c r="DI70" i="163" s="1"/>
  <c r="AS129" i="163"/>
  <c r="BW129" i="163" s="1"/>
  <c r="BR103" i="159"/>
  <c r="BE96" i="163"/>
  <c r="CD70" i="159"/>
  <c r="AA29" i="163"/>
  <c r="DH149" i="163"/>
  <c r="R147" i="143" s="1"/>
  <c r="CY51" i="163"/>
  <c r="DI51" i="163" s="1"/>
  <c r="AZ60" i="163"/>
  <c r="CD60" i="163" s="1"/>
  <c r="AU70" i="159"/>
  <c r="BY34" i="159"/>
  <c r="BU13" i="163"/>
  <c r="S13" i="143" s="1"/>
  <c r="X13" i="143" s="1"/>
  <c r="CX38" i="163"/>
  <c r="DH38" i="163" s="1"/>
  <c r="DD53" i="159"/>
  <c r="CX30" i="163"/>
  <c r="CW42" i="163"/>
  <c r="DG42" i="163" s="1"/>
  <c r="CV35" i="163"/>
  <c r="DF35" i="163" s="1"/>
  <c r="BM60" i="163"/>
  <c r="CQ60" i="163" s="1"/>
  <c r="BH70" i="159"/>
  <c r="CL34" i="159"/>
  <c r="CY91" i="163"/>
  <c r="DI91" i="163" s="1"/>
  <c r="CW54" i="163"/>
  <c r="DG54" i="163" s="1"/>
  <c r="CW38" i="163"/>
  <c r="DG38" i="163" s="1"/>
  <c r="AI34" i="159"/>
  <c r="DB122" i="159"/>
  <c r="CX42" i="163"/>
  <c r="DH42" i="163" s="1"/>
  <c r="DC146" i="163"/>
  <c r="DH146" i="163" s="1"/>
  <c r="R144" i="143" s="1"/>
  <c r="CX104" i="159"/>
  <c r="R29" i="163"/>
  <c r="CW51" i="163"/>
  <c r="DG51" i="163" s="1"/>
  <c r="I92" i="143" l="1"/>
  <c r="U92" i="143"/>
  <c r="CQ43" i="159"/>
  <c r="DA43" i="159" s="1"/>
  <c r="Q98" i="143"/>
  <c r="X97" i="143"/>
  <c r="J97" i="143"/>
  <c r="AS70" i="159"/>
  <c r="AX96" i="163" s="1"/>
  <c r="A53" i="159"/>
  <c r="A121" i="159"/>
  <c r="A123" i="159"/>
  <c r="G92" i="143"/>
  <c r="A120" i="159"/>
  <c r="A122" i="159"/>
  <c r="Y23" i="143"/>
  <c r="Y16" i="143"/>
  <c r="A44" i="159"/>
  <c r="Y20" i="143"/>
  <c r="A74" i="159"/>
  <c r="Y14" i="143"/>
  <c r="H36" i="213" s="1"/>
  <c r="Y12" i="143"/>
  <c r="Y7" i="143"/>
  <c r="Y9" i="143" s="1"/>
  <c r="K11" i="143"/>
  <c r="A65" i="159"/>
  <c r="S18" i="143"/>
  <c r="S22" i="143" s="1"/>
  <c r="S25" i="143" s="1"/>
  <c r="X18" i="143"/>
  <c r="X22" i="143" s="1"/>
  <c r="X25" i="143" s="1"/>
  <c r="Y10" i="143"/>
  <c r="Y19" i="143"/>
  <c r="A35" i="159"/>
  <c r="A89" i="159"/>
  <c r="A28" i="159"/>
  <c r="Y17" i="143"/>
  <c r="A25" i="159"/>
  <c r="Y97" i="143"/>
  <c r="K30" i="143"/>
  <c r="Y145" i="143"/>
  <c r="K145" i="143"/>
  <c r="R97" i="143"/>
  <c r="R30" i="143"/>
  <c r="R65" i="143"/>
  <c r="Q65" i="143"/>
  <c r="K97" i="143"/>
  <c r="R145" i="143"/>
  <c r="Q113" i="143"/>
  <c r="Q97" i="143" s="1"/>
  <c r="Q30" i="143"/>
  <c r="J30" i="143"/>
  <c r="J66" i="143"/>
  <c r="J65" i="143" s="1"/>
  <c r="A56" i="159"/>
  <c r="A147" i="163"/>
  <c r="A79" i="163"/>
  <c r="A146" i="163"/>
  <c r="A149" i="163"/>
  <c r="A148" i="163"/>
  <c r="A70" i="163"/>
  <c r="A73" i="163"/>
  <c r="A61" i="163"/>
  <c r="A35" i="163"/>
  <c r="A115" i="163"/>
  <c r="A82" i="163"/>
  <c r="A38" i="163"/>
  <c r="A100" i="163"/>
  <c r="A51" i="163"/>
  <c r="A91" i="163"/>
  <c r="A54" i="163"/>
  <c r="BR34" i="159"/>
  <c r="AN70" i="159"/>
  <c r="AN125" i="159" s="1"/>
  <c r="BK125" i="159"/>
  <c r="BT34" i="159"/>
  <c r="AP70" i="159"/>
  <c r="BT70" i="159" s="1"/>
  <c r="CO124" i="159"/>
  <c r="BZ34" i="159"/>
  <c r="AV70" i="159"/>
  <c r="BZ70" i="159" s="1"/>
  <c r="CS8" i="159"/>
  <c r="DC8" i="159" s="1"/>
  <c r="CE28" i="163"/>
  <c r="CQ73" i="159"/>
  <c r="DA73" i="159" s="1"/>
  <c r="AV60" i="163"/>
  <c r="BZ60" i="163" s="1"/>
  <c r="DA10" i="190"/>
  <c r="BU34" i="159"/>
  <c r="BS70" i="159"/>
  <c r="CQ8" i="159"/>
  <c r="DA8" i="159" s="1"/>
  <c r="BW124" i="159"/>
  <c r="BX28" i="163"/>
  <c r="DB11" i="190"/>
  <c r="CD28" i="163"/>
  <c r="CV12" i="190"/>
  <c r="DB9" i="163"/>
  <c r="DG9" i="163" s="1"/>
  <c r="DC7" i="163"/>
  <c r="DH7" i="163" s="1"/>
  <c r="R7" i="143" s="1"/>
  <c r="R9" i="143" s="1"/>
  <c r="CW10" i="190"/>
  <c r="DB8" i="190"/>
  <c r="CU30" i="190"/>
  <c r="DA25" i="163"/>
  <c r="BY28" i="163"/>
  <c r="CS73" i="159"/>
  <c r="DC73" i="159" s="1"/>
  <c r="CS43" i="159"/>
  <c r="DC43" i="159" s="1"/>
  <c r="CO43" i="163"/>
  <c r="W39" i="143" s="1"/>
  <c r="W38" i="143" s="1"/>
  <c r="W30" i="143" s="1"/>
  <c r="W92" i="143" s="1"/>
  <c r="W43" i="163"/>
  <c r="BZ28" i="163"/>
  <c r="BG23" i="190"/>
  <c r="BM22" i="163" s="1"/>
  <c r="CQ22" i="163" s="1"/>
  <c r="CK19" i="190"/>
  <c r="BH23" i="190"/>
  <c r="BN22" i="163" s="1"/>
  <c r="CR22" i="163" s="1"/>
  <c r="CL19" i="190"/>
  <c r="BI60" i="163"/>
  <c r="CM60" i="163" s="1"/>
  <c r="BD70" i="159"/>
  <c r="CH34" i="159"/>
  <c r="BH60" i="163"/>
  <c r="CL60" i="163" s="1"/>
  <c r="CG34" i="159"/>
  <c r="BC70" i="159"/>
  <c r="CM19" i="190"/>
  <c r="BI23" i="190"/>
  <c r="BO22" i="163" s="1"/>
  <c r="CS22" i="163" s="1"/>
  <c r="BA18" i="163"/>
  <c r="CE18" i="163" s="1"/>
  <c r="AU23" i="190"/>
  <c r="BY19" i="190"/>
  <c r="AZ18" i="163"/>
  <c r="CD18" i="163" s="1"/>
  <c r="BX19" i="190"/>
  <c r="AT23" i="190"/>
  <c r="AY18" i="163"/>
  <c r="CC18" i="163" s="1"/>
  <c r="BW19" i="190"/>
  <c r="AS23" i="190"/>
  <c r="AX18" i="163"/>
  <c r="CB18" i="163" s="1"/>
  <c r="AR23" i="190"/>
  <c r="BV19" i="190"/>
  <c r="AV18" i="163"/>
  <c r="BZ18" i="163" s="1"/>
  <c r="BT19" i="190"/>
  <c r="AU18" i="163"/>
  <c r="BY18" i="163" s="1"/>
  <c r="BS19" i="190"/>
  <c r="AO23" i="190"/>
  <c r="AS18" i="163"/>
  <c r="BW18" i="163" s="1"/>
  <c r="BQ19" i="190"/>
  <c r="AM23" i="190"/>
  <c r="AT18" i="163"/>
  <c r="BX18" i="163" s="1"/>
  <c r="BR19" i="190"/>
  <c r="AN23" i="190"/>
  <c r="AO18" i="163"/>
  <c r="AI23" i="190"/>
  <c r="BM19" i="190"/>
  <c r="BN29" i="190"/>
  <c r="CR12" i="190"/>
  <c r="BM29" i="190"/>
  <c r="CQ12" i="190"/>
  <c r="AQ18" i="163"/>
  <c r="BU18" i="163" s="1"/>
  <c r="BO19" i="190"/>
  <c r="AN18" i="163"/>
  <c r="BR18" i="163" s="1"/>
  <c r="AH23" i="190"/>
  <c r="BL19" i="190"/>
  <c r="CS12" i="190"/>
  <c r="BO29" i="190"/>
  <c r="BL29" i="190"/>
  <c r="CP12" i="190"/>
  <c r="CT73" i="159"/>
  <c r="DD73" i="159" s="1"/>
  <c r="AJ19" i="190"/>
  <c r="AJ23" i="190" s="1"/>
  <c r="AP13" i="163"/>
  <c r="BT13" i="163" s="1"/>
  <c r="L13" i="143" s="1"/>
  <c r="CW34" i="163"/>
  <c r="DG34" i="163" s="1"/>
  <c r="CO143" i="163"/>
  <c r="W141" i="143" s="1"/>
  <c r="W143" i="163"/>
  <c r="DI21" i="163"/>
  <c r="DI9" i="163"/>
  <c r="DG30" i="163"/>
  <c r="CR8" i="159"/>
  <c r="DB8" i="159" s="1"/>
  <c r="DH10" i="163"/>
  <c r="R10" i="143" s="1"/>
  <c r="AC14" i="143"/>
  <c r="AI14" i="143" s="1"/>
  <c r="AI10" i="143"/>
  <c r="AI11" i="143" s="1"/>
  <c r="AC17" i="143"/>
  <c r="AI17" i="143" s="1"/>
  <c r="AC12" i="143"/>
  <c r="AC23" i="143"/>
  <c r="AI23" i="143" s="1"/>
  <c r="AC24" i="143"/>
  <c r="AI24" i="143" s="1"/>
  <c r="AC16" i="143"/>
  <c r="AI16" i="143" s="1"/>
  <c r="BF25" i="163"/>
  <c r="CJ25" i="163" s="1"/>
  <c r="CR73" i="159"/>
  <c r="DB73" i="159" s="1"/>
  <c r="CR43" i="159"/>
  <c r="DB43" i="159" s="1"/>
  <c r="AY150" i="163"/>
  <c r="CC150" i="163" s="1"/>
  <c r="BX124" i="159"/>
  <c r="CC28" i="163"/>
  <c r="AY60" i="163"/>
  <c r="CC60" i="163" s="1"/>
  <c r="AT70" i="159"/>
  <c r="BX34" i="159"/>
  <c r="CY13" i="163"/>
  <c r="DA60" i="163"/>
  <c r="CV70" i="159"/>
  <c r="DA96" i="163" s="1"/>
  <c r="DD60" i="163"/>
  <c r="CY70" i="159"/>
  <c r="DD96" i="163" s="1"/>
  <c r="BE25" i="163"/>
  <c r="CI25" i="163" s="1"/>
  <c r="DB60" i="163"/>
  <c r="CW70" i="159"/>
  <c r="DB96" i="163" s="1"/>
  <c r="CW99" i="163"/>
  <c r="DG99" i="163" s="1"/>
  <c r="CV34" i="163"/>
  <c r="DF34" i="163" s="1"/>
  <c r="DA130" i="163"/>
  <c r="CV103" i="159"/>
  <c r="BN96" i="163"/>
  <c r="CM70" i="159"/>
  <c r="AN60" i="163"/>
  <c r="BR60" i="163" s="1"/>
  <c r="AI70" i="159"/>
  <c r="BM34" i="159"/>
  <c r="CY99" i="163"/>
  <c r="DI99" i="163" s="1"/>
  <c r="BT28" i="163"/>
  <c r="CX11" i="163"/>
  <c r="CV99" i="163"/>
  <c r="DF99" i="163" s="1"/>
  <c r="DD130" i="163"/>
  <c r="CY103" i="159"/>
  <c r="CX69" i="163"/>
  <c r="DH69" i="163" s="1"/>
  <c r="DC60" i="163"/>
  <c r="CX70" i="159"/>
  <c r="DC96" i="163" s="1"/>
  <c r="CW69" i="163"/>
  <c r="DG69" i="163" s="1"/>
  <c r="BI25" i="163"/>
  <c r="CM25" i="163" s="1"/>
  <c r="CM29" i="163" s="1"/>
  <c r="CX34" i="163"/>
  <c r="DH34" i="163" s="1"/>
  <c r="CN96" i="163"/>
  <c r="BH25" i="163"/>
  <c r="CL25" i="163" s="1"/>
  <c r="CL29" i="163" s="1"/>
  <c r="CH96" i="163"/>
  <c r="BR28" i="163"/>
  <c r="CV11" i="163"/>
  <c r="BM96" i="163"/>
  <c r="CL70" i="159"/>
  <c r="CI96" i="163"/>
  <c r="DC130" i="163"/>
  <c r="CX103" i="159"/>
  <c r="BU28" i="163"/>
  <c r="CY11" i="163"/>
  <c r="CY28" i="163" s="1"/>
  <c r="W16" i="159"/>
  <c r="CE17" i="159"/>
  <c r="BP96" i="163"/>
  <c r="CO70" i="159"/>
  <c r="AZ96" i="163"/>
  <c r="BY70" i="159"/>
  <c r="BY125" i="159" s="1"/>
  <c r="CE117" i="159"/>
  <c r="W104" i="159"/>
  <c r="CG96" i="163"/>
  <c r="CX99" i="163"/>
  <c r="DH99" i="163" s="1"/>
  <c r="BO96" i="163"/>
  <c r="CN70" i="159"/>
  <c r="BX96" i="163"/>
  <c r="BD25" i="163"/>
  <c r="CH25" i="163" s="1"/>
  <c r="BJ25" i="163"/>
  <c r="CN25" i="163" s="1"/>
  <c r="CN29" i="163" s="1"/>
  <c r="CV69" i="163"/>
  <c r="DF69" i="163" s="1"/>
  <c r="DB130" i="163"/>
  <c r="CW103" i="159"/>
  <c r="W29" i="163"/>
  <c r="AL25" i="163"/>
  <c r="AL29" i="163" s="1"/>
  <c r="AU125" i="159"/>
  <c r="BC25" i="163"/>
  <c r="CG25" i="163" s="1"/>
  <c r="AV96" i="163"/>
  <c r="BU70" i="159"/>
  <c r="BS28" i="163"/>
  <c r="CW11" i="163"/>
  <c r="H52" i="213" l="1"/>
  <c r="H56" i="213" s="1"/>
  <c r="H58" i="213" s="1"/>
  <c r="H37" i="213"/>
  <c r="AS125" i="159"/>
  <c r="BW70" i="159"/>
  <c r="CQ34" i="159"/>
  <c r="DA34" i="159" s="1"/>
  <c r="BR70" i="159"/>
  <c r="BR125" i="159" s="1"/>
  <c r="CT17" i="159"/>
  <c r="DD17" i="159" s="1"/>
  <c r="Y21" i="143"/>
  <c r="Q13" i="143"/>
  <c r="Q18" i="143" s="1"/>
  <c r="Q22" i="143" s="1"/>
  <c r="Q25" i="143" s="1"/>
  <c r="L18" i="143"/>
  <c r="L22" i="143" s="1"/>
  <c r="L25" i="143" s="1"/>
  <c r="DI30" i="163"/>
  <c r="R11" i="143"/>
  <c r="Y11" i="143"/>
  <c r="A73" i="159"/>
  <c r="W128" i="143"/>
  <c r="W127" i="143" s="1"/>
  <c r="W148" i="143" s="1"/>
  <c r="AJ141" i="143"/>
  <c r="AI12" i="143"/>
  <c r="A99" i="163"/>
  <c r="AU96" i="163"/>
  <c r="AS96" i="163"/>
  <c r="AS151" i="163" s="1"/>
  <c r="CO125" i="159"/>
  <c r="BA96" i="163"/>
  <c r="CE96" i="163" s="1"/>
  <c r="BW125" i="159"/>
  <c r="DC9" i="163"/>
  <c r="DH9" i="163" s="1"/>
  <c r="CW12" i="190"/>
  <c r="DB12" i="190" s="1"/>
  <c r="DB10" i="190"/>
  <c r="CV29" i="190"/>
  <c r="CV19" i="190"/>
  <c r="DB11" i="163"/>
  <c r="DG11" i="163" s="1"/>
  <c r="AP18" i="163"/>
  <c r="BT18" i="163" s="1"/>
  <c r="BN19" i="190"/>
  <c r="CR19" i="190" s="1"/>
  <c r="CS19" i="190"/>
  <c r="DC19" i="190" s="1"/>
  <c r="CQ19" i="190"/>
  <c r="BI26" i="190"/>
  <c r="CM26" i="190" s="1"/>
  <c r="CM23" i="190"/>
  <c r="CH70" i="159"/>
  <c r="BI96" i="163"/>
  <c r="CM96" i="163" s="1"/>
  <c r="CL23" i="190"/>
  <c r="BH26" i="190"/>
  <c r="CL26" i="190" s="1"/>
  <c r="BH96" i="163"/>
  <c r="CL96" i="163" s="1"/>
  <c r="CG70" i="159"/>
  <c r="BG26" i="190"/>
  <c r="CK26" i="190" s="1"/>
  <c r="CK23" i="190"/>
  <c r="AZ22" i="163"/>
  <c r="CD22" i="163" s="1"/>
  <c r="BX23" i="190"/>
  <c r="AT26" i="190"/>
  <c r="AX22" i="163"/>
  <c r="CB22" i="163" s="1"/>
  <c r="BV23" i="190"/>
  <c r="AR26" i="190"/>
  <c r="BA22" i="163"/>
  <c r="CE22" i="163" s="1"/>
  <c r="AU26" i="190"/>
  <c r="AV104" i="159" s="1"/>
  <c r="BY23" i="190"/>
  <c r="AY22" i="163"/>
  <c r="CC22" i="163" s="1"/>
  <c r="AS26" i="190"/>
  <c r="BW23" i="190"/>
  <c r="AU22" i="163"/>
  <c r="BY22" i="163" s="1"/>
  <c r="BS23" i="190"/>
  <c r="AO26" i="190"/>
  <c r="AT22" i="163"/>
  <c r="BX22" i="163" s="1"/>
  <c r="BR23" i="190"/>
  <c r="AN26" i="190"/>
  <c r="CP19" i="190"/>
  <c r="CZ19" i="190" s="1"/>
  <c r="AV22" i="163"/>
  <c r="BZ22" i="163" s="1"/>
  <c r="BT23" i="190"/>
  <c r="AS22" i="163"/>
  <c r="BW22" i="163" s="1"/>
  <c r="AM26" i="190"/>
  <c r="BQ23" i="190"/>
  <c r="DA12" i="190"/>
  <c r="DA29" i="190" s="1"/>
  <c r="CQ29" i="190"/>
  <c r="AN22" i="163"/>
  <c r="BR22" i="163" s="1"/>
  <c r="AH26" i="190"/>
  <c r="BL23" i="190"/>
  <c r="CR29" i="190"/>
  <c r="CP29" i="190"/>
  <c r="CZ12" i="190"/>
  <c r="CZ29" i="190" s="1"/>
  <c r="AQ22" i="163"/>
  <c r="BU22" i="163" s="1"/>
  <c r="BO23" i="190"/>
  <c r="AO22" i="163"/>
  <c r="AI26" i="190"/>
  <c r="BM23" i="190"/>
  <c r="DC12" i="190"/>
  <c r="CS29" i="190"/>
  <c r="W130" i="163"/>
  <c r="CO130" i="163"/>
  <c r="CO42" i="163"/>
  <c r="W42" i="163"/>
  <c r="AP22" i="163"/>
  <c r="BT22" i="163" s="1"/>
  <c r="AJ26" i="190"/>
  <c r="BN23" i="190"/>
  <c r="DI11" i="163"/>
  <c r="DI28" i="163" s="1"/>
  <c r="DI13" i="163"/>
  <c r="DH30" i="163"/>
  <c r="DH13" i="163"/>
  <c r="R13" i="143" s="1"/>
  <c r="CE119" i="159"/>
  <c r="BF145" i="163"/>
  <c r="CJ145" i="163" s="1"/>
  <c r="V143" i="143" s="1"/>
  <c r="X143" i="143" s="1"/>
  <c r="AY96" i="163"/>
  <c r="BX70" i="159"/>
  <c r="BX125" i="159" s="1"/>
  <c r="AT125" i="159"/>
  <c r="CJ29" i="163"/>
  <c r="CG29" i="163"/>
  <c r="AP89" i="163"/>
  <c r="BT89" i="163" s="1"/>
  <c r="BO63" i="159"/>
  <c r="CS63" i="159" s="1"/>
  <c r="DC63" i="159" s="1"/>
  <c r="AK59" i="159"/>
  <c r="CX28" i="163"/>
  <c r="CR96" i="163"/>
  <c r="DB129" i="163"/>
  <c r="CW124" i="159"/>
  <c r="DC129" i="163"/>
  <c r="CX124" i="159"/>
  <c r="CV18" i="163"/>
  <c r="DF18" i="163" s="1"/>
  <c r="DA129" i="163"/>
  <c r="CV124" i="159"/>
  <c r="CW28" i="163"/>
  <c r="BD145" i="163"/>
  <c r="CH145" i="163" s="1"/>
  <c r="H143" i="143" s="1"/>
  <c r="CC119" i="159"/>
  <c r="CS96" i="163"/>
  <c r="BZ96" i="163"/>
  <c r="CH29" i="163"/>
  <c r="DD129" i="163"/>
  <c r="CY124" i="159"/>
  <c r="BY96" i="163"/>
  <c r="BJ145" i="163"/>
  <c r="CN145" i="163" s="1"/>
  <c r="P143" i="143" s="1"/>
  <c r="CI119" i="159"/>
  <c r="CJ143" i="163"/>
  <c r="V141" i="143" s="1"/>
  <c r="V128" i="143" s="1"/>
  <c r="V127" i="143" s="1"/>
  <c r="V148" i="143" s="1"/>
  <c r="AL143" i="163"/>
  <c r="CE104" i="159"/>
  <c r="W103" i="159"/>
  <c r="CE16" i="159"/>
  <c r="W8" i="159"/>
  <c r="BI145" i="163"/>
  <c r="CM145" i="163" s="1"/>
  <c r="I143" i="143" s="1"/>
  <c r="J143" i="143" s="1"/>
  <c r="CH119" i="159"/>
  <c r="AO89" i="163"/>
  <c r="BS89" i="163" s="1"/>
  <c r="E85" i="143" s="1"/>
  <c r="E81" i="143" s="1"/>
  <c r="E56" i="143" s="1"/>
  <c r="E92" i="143" s="1"/>
  <c r="BN63" i="159"/>
  <c r="AJ59" i="159"/>
  <c r="CQ96" i="163"/>
  <c r="BH145" i="163"/>
  <c r="CL145" i="163" s="1"/>
  <c r="CG119" i="159"/>
  <c r="AN96" i="163"/>
  <c r="BM70" i="159"/>
  <c r="CQ70" i="159" s="1"/>
  <c r="DA70" i="159" s="1"/>
  <c r="BC145" i="163"/>
  <c r="CG145" i="163" s="1"/>
  <c r="CB119" i="159"/>
  <c r="AZ151" i="163"/>
  <c r="CD96" i="163"/>
  <c r="CJ43" i="163"/>
  <c r="V39" i="143" s="1"/>
  <c r="AL43" i="163"/>
  <c r="BS13" i="163"/>
  <c r="E13" i="143" s="1"/>
  <c r="AX151" i="163"/>
  <c r="CB96" i="163"/>
  <c r="CV60" i="163"/>
  <c r="DF60" i="163" s="1"/>
  <c r="AQ78" i="163"/>
  <c r="BU78" i="163" s="1"/>
  <c r="S74" i="143" s="1"/>
  <c r="BP52" i="159"/>
  <c r="AL50" i="159"/>
  <c r="CY18" i="163"/>
  <c r="BE145" i="163"/>
  <c r="CI145" i="163" s="1"/>
  <c r="O143" i="143" s="1"/>
  <c r="CD119" i="159"/>
  <c r="CS119" i="159" s="1"/>
  <c r="DC119" i="159" s="1"/>
  <c r="AQ89" i="163"/>
  <c r="BU89" i="163" s="1"/>
  <c r="S85" i="143" s="1"/>
  <c r="BP63" i="159"/>
  <c r="CT63" i="159" s="1"/>
  <c r="DD63" i="159" s="1"/>
  <c r="AL59" i="159"/>
  <c r="BP151" i="163"/>
  <c r="CT96" i="163"/>
  <c r="CV28" i="163"/>
  <c r="DF11" i="163"/>
  <c r="CI29" i="163"/>
  <c r="E11" i="237" l="1"/>
  <c r="E54" i="237" s="1"/>
  <c r="E57" i="237" s="1"/>
  <c r="G36" i="213"/>
  <c r="R18" i="143"/>
  <c r="BW96" i="163"/>
  <c r="Y13" i="143"/>
  <c r="Y18" i="143" s="1"/>
  <c r="Y22" i="143" s="1"/>
  <c r="Y25" i="143" s="1"/>
  <c r="CT52" i="159"/>
  <c r="DD52" i="159" s="1"/>
  <c r="CR63" i="159"/>
  <c r="DB63" i="159" s="1"/>
  <c r="CT16" i="159"/>
  <c r="DD16" i="159" s="1"/>
  <c r="A16" i="159" s="1"/>
  <c r="J13" i="143"/>
  <c r="J18" i="143" s="1"/>
  <c r="J22" i="143" s="1"/>
  <c r="J25" i="143" s="1"/>
  <c r="E18" i="143"/>
  <c r="E22" i="143" s="1"/>
  <c r="E25" i="143" s="1"/>
  <c r="A17" i="159"/>
  <c r="R22" i="143"/>
  <c r="R25" i="143" s="1"/>
  <c r="L85" i="143"/>
  <c r="L81" i="143" s="1"/>
  <c r="L56" i="143" s="1"/>
  <c r="L92" i="143" s="1"/>
  <c r="X85" i="143"/>
  <c r="X81" i="143" s="1"/>
  <c r="S81" i="143"/>
  <c r="V38" i="143"/>
  <c r="V30" i="143" s="1"/>
  <c r="V92" i="143" s="1"/>
  <c r="X39" i="143"/>
  <c r="X38" i="143" s="1"/>
  <c r="X30" i="143" s="1"/>
  <c r="S72" i="143"/>
  <c r="X74" i="143"/>
  <c r="X72" i="143" s="1"/>
  <c r="CX18" i="163"/>
  <c r="BO25" i="163"/>
  <c r="CS25" i="163" s="1"/>
  <c r="CS29" i="163" s="1"/>
  <c r="BM25" i="163"/>
  <c r="CQ25" i="163" s="1"/>
  <c r="CQ29" i="163" s="1"/>
  <c r="DB29" i="190"/>
  <c r="DA19" i="190"/>
  <c r="DB18" i="163"/>
  <c r="CV23" i="190"/>
  <c r="DC11" i="163"/>
  <c r="DH11" i="163" s="1"/>
  <c r="CW29" i="190"/>
  <c r="CW19" i="190"/>
  <c r="DB19" i="190" s="1"/>
  <c r="CQ23" i="190"/>
  <c r="CR23" i="190"/>
  <c r="AI143" i="143"/>
  <c r="AI39" i="143"/>
  <c r="CR119" i="159"/>
  <c r="DB119" i="159" s="1"/>
  <c r="CS23" i="190"/>
  <c r="DC23" i="190" s="1"/>
  <c r="CP23" i="190"/>
  <c r="CZ23" i="190" s="1"/>
  <c r="BN25" i="163"/>
  <c r="CR25" i="163" s="1"/>
  <c r="BV26" i="190"/>
  <c r="BV30" i="190" s="1"/>
  <c r="AX25" i="163"/>
  <c r="CB25" i="163" s="1"/>
  <c r="BA143" i="163"/>
  <c r="CE143" i="163" s="1"/>
  <c r="U141" i="143" s="1"/>
  <c r="U128" i="143" s="1"/>
  <c r="U127" i="143" s="1"/>
  <c r="U148" i="143" s="1"/>
  <c r="BA25" i="163"/>
  <c r="CE25" i="163" s="1"/>
  <c r="BY26" i="190"/>
  <c r="BY30" i="190" s="1"/>
  <c r="BW26" i="190"/>
  <c r="BW30" i="190" s="1"/>
  <c r="AY25" i="163"/>
  <c r="CC25" i="163" s="1"/>
  <c r="AZ25" i="163"/>
  <c r="CD25" i="163" s="1"/>
  <c r="BX26" i="190"/>
  <c r="BX30" i="190" s="1"/>
  <c r="BR26" i="190"/>
  <c r="BR30" i="190" s="1"/>
  <c r="AT25" i="163"/>
  <c r="BX25" i="163" s="1"/>
  <c r="BQ26" i="190"/>
  <c r="BQ30" i="190" s="1"/>
  <c r="AS25" i="163"/>
  <c r="BW25" i="163" s="1"/>
  <c r="BS26" i="190"/>
  <c r="BS30" i="190" s="1"/>
  <c r="AU25" i="163"/>
  <c r="BY25" i="163" s="1"/>
  <c r="AQ117" i="159"/>
  <c r="AV143" i="163" s="1"/>
  <c r="BZ143" i="163" s="1"/>
  <c r="T141" i="143" s="1"/>
  <c r="T128" i="143" s="1"/>
  <c r="T127" i="143" s="1"/>
  <c r="T148" i="143" s="1"/>
  <c r="BT26" i="190"/>
  <c r="BT30" i="190" s="1"/>
  <c r="AV25" i="163"/>
  <c r="BZ25" i="163" s="1"/>
  <c r="BM26" i="190"/>
  <c r="AO25" i="163"/>
  <c r="BO26" i="190"/>
  <c r="AQ25" i="163"/>
  <c r="BU25" i="163" s="1"/>
  <c r="AN25" i="163"/>
  <c r="BR25" i="163" s="1"/>
  <c r="BL26" i="190"/>
  <c r="AI141" i="143"/>
  <c r="CO129" i="163"/>
  <c r="W129" i="163"/>
  <c r="CO34" i="163"/>
  <c r="W34" i="163"/>
  <c r="BN26" i="190"/>
  <c r="AP25" i="163"/>
  <c r="BT25" i="163" s="1"/>
  <c r="J85" i="143"/>
  <c r="DI18" i="163"/>
  <c r="CT119" i="159"/>
  <c r="DD119" i="159" s="1"/>
  <c r="DG28" i="163"/>
  <c r="CY145" i="163"/>
  <c r="DI145" i="163" s="1"/>
  <c r="Y143" i="143" s="1"/>
  <c r="AY151" i="163"/>
  <c r="CC96" i="163"/>
  <c r="AT143" i="163"/>
  <c r="BX143" i="163" s="1"/>
  <c r="F141" i="143" s="1"/>
  <c r="F128" i="143" s="1"/>
  <c r="F127" i="143" s="1"/>
  <c r="F148" i="143" s="1"/>
  <c r="BS117" i="159"/>
  <c r="AO104" i="159"/>
  <c r="CY43" i="163"/>
  <c r="DI43" i="163" s="1"/>
  <c r="Y39" i="143" s="1"/>
  <c r="Y38" i="143" s="1"/>
  <c r="Y30" i="143" s="1"/>
  <c r="CX22" i="163"/>
  <c r="BJ143" i="163"/>
  <c r="CN143" i="163" s="1"/>
  <c r="P141" i="143" s="1"/>
  <c r="P128" i="143" s="1"/>
  <c r="P127" i="143" s="1"/>
  <c r="P148" i="143" s="1"/>
  <c r="CI117" i="159"/>
  <c r="BE104" i="159"/>
  <c r="DA150" i="163"/>
  <c r="DA151" i="163" s="1"/>
  <c r="CV125" i="159"/>
  <c r="CX89" i="163"/>
  <c r="DH89" i="163" s="1"/>
  <c r="R85" i="143" s="1"/>
  <c r="R81" i="143" s="1"/>
  <c r="R56" i="143" s="1"/>
  <c r="R92" i="143" s="1"/>
  <c r="BE143" i="163"/>
  <c r="CI143" i="163" s="1"/>
  <c r="O141" i="143" s="1"/>
  <c r="O128" i="143" s="1"/>
  <c r="O127" i="143" s="1"/>
  <c r="O148" i="143" s="1"/>
  <c r="CD117" i="159"/>
  <c r="AZ104" i="159"/>
  <c r="BW151" i="163"/>
  <c r="AQ76" i="163"/>
  <c r="BU76" i="163" s="1"/>
  <c r="BP50" i="159"/>
  <c r="CT50" i="159" s="1"/>
  <c r="DD50" i="159" s="1"/>
  <c r="AL43" i="159"/>
  <c r="CB151" i="163"/>
  <c r="CD151" i="163"/>
  <c r="BD143" i="163"/>
  <c r="CH143" i="163" s="1"/>
  <c r="H141" i="143" s="1"/>
  <c r="H128" i="143" s="1"/>
  <c r="H127" i="143" s="1"/>
  <c r="H148" i="143" s="1"/>
  <c r="CC117" i="159"/>
  <c r="AY104" i="159"/>
  <c r="BN145" i="163"/>
  <c r="CR145" i="163" s="1"/>
  <c r="CW145" i="163" s="1"/>
  <c r="DG145" i="163" s="1"/>
  <c r="K143" i="143" s="1"/>
  <c r="CM119" i="159"/>
  <c r="DD150" i="163"/>
  <c r="DD151" i="163" s="1"/>
  <c r="CY125" i="159"/>
  <c r="DC150" i="163"/>
  <c r="DC151" i="163" s="1"/>
  <c r="CX125" i="159"/>
  <c r="BS18" i="163"/>
  <c r="BR96" i="163"/>
  <c r="CW89" i="163"/>
  <c r="DG89" i="163" s="1"/>
  <c r="K85" i="143" s="1"/>
  <c r="K81" i="143" s="1"/>
  <c r="K56" i="143" s="1"/>
  <c r="K92" i="143" s="1"/>
  <c r="CE8" i="159"/>
  <c r="CT8" i="159" s="1"/>
  <c r="DD8" i="159" s="1"/>
  <c r="A8" i="159"/>
  <c r="W70" i="159"/>
  <c r="DF28" i="163"/>
  <c r="AQ85" i="163"/>
  <c r="BU85" i="163" s="1"/>
  <c r="BP59" i="159"/>
  <c r="CT59" i="159" s="1"/>
  <c r="DD59" i="159" s="1"/>
  <c r="CY78" i="163"/>
  <c r="DI78" i="163" s="1"/>
  <c r="BC143" i="163"/>
  <c r="CG143" i="163" s="1"/>
  <c r="CB117" i="159"/>
  <c r="AX104" i="159"/>
  <c r="BH143" i="163"/>
  <c r="CL143" i="163" s="1"/>
  <c r="CG117" i="159"/>
  <c r="BC104" i="159"/>
  <c r="CE103" i="159"/>
  <c r="W124" i="159"/>
  <c r="AU143" i="163"/>
  <c r="BY143" i="163" s="1"/>
  <c r="M141" i="143" s="1"/>
  <c r="M128" i="143" s="1"/>
  <c r="M127" i="143" s="1"/>
  <c r="M148" i="143" s="1"/>
  <c r="BT117" i="159"/>
  <c r="AP104" i="159"/>
  <c r="BI143" i="163"/>
  <c r="CM143" i="163" s="1"/>
  <c r="I141" i="143" s="1"/>
  <c r="CH117" i="159"/>
  <c r="BD104" i="159"/>
  <c r="CV22" i="163"/>
  <c r="DF22" i="163" s="1"/>
  <c r="CT151" i="163"/>
  <c r="CY89" i="163"/>
  <c r="DI89" i="163" s="1"/>
  <c r="CY22" i="163"/>
  <c r="CW13" i="163"/>
  <c r="DG13" i="163" s="1"/>
  <c r="K18" i="143" s="1"/>
  <c r="K22" i="143" s="1"/>
  <c r="K25" i="143" s="1"/>
  <c r="BM145" i="163"/>
  <c r="CQ145" i="163" s="1"/>
  <c r="CL119" i="159"/>
  <c r="AO85" i="163"/>
  <c r="BS85" i="163" s="1"/>
  <c r="BN59" i="159"/>
  <c r="CR59" i="159" s="1"/>
  <c r="AJ34" i="159"/>
  <c r="CJ42" i="163"/>
  <c r="AL42" i="163"/>
  <c r="CJ130" i="163"/>
  <c r="AL130" i="163"/>
  <c r="BO145" i="163"/>
  <c r="CS145" i="163" s="1"/>
  <c r="CX145" i="163" s="1"/>
  <c r="DH145" i="163" s="1"/>
  <c r="R143" i="143" s="1"/>
  <c r="CN119" i="159"/>
  <c r="DB150" i="163"/>
  <c r="DB151" i="163" s="1"/>
  <c r="CW125" i="159"/>
  <c r="AP85" i="163"/>
  <c r="BT85" i="163" s="1"/>
  <c r="BO59" i="159"/>
  <c r="CS59" i="159" s="1"/>
  <c r="DC59" i="159" s="1"/>
  <c r="AK34" i="159"/>
  <c r="G52" i="213" l="1"/>
  <c r="G56" i="213" s="1"/>
  <c r="G58" i="213" s="1"/>
  <c r="G37" i="213"/>
  <c r="E14" i="237"/>
  <c r="E18" i="237" s="1"/>
  <c r="CP26" i="190"/>
  <c r="A63" i="159"/>
  <c r="A52" i="159"/>
  <c r="CR26" i="190"/>
  <c r="CS26" i="190"/>
  <c r="CQ26" i="190"/>
  <c r="A50" i="159"/>
  <c r="A89" i="163"/>
  <c r="Y85" i="143"/>
  <c r="Y81" i="143" s="1"/>
  <c r="A78" i="163"/>
  <c r="Y74" i="143"/>
  <c r="Y72" i="143" s="1"/>
  <c r="Q85" i="143"/>
  <c r="Q81" i="143" s="1"/>
  <c r="Q56" i="143" s="1"/>
  <c r="Q92" i="143" s="1"/>
  <c r="I128" i="143"/>
  <c r="I127" i="143" s="1"/>
  <c r="I148" i="143" s="1"/>
  <c r="AI128" i="143"/>
  <c r="AI127" i="143" s="1"/>
  <c r="AI148" i="143" s="1"/>
  <c r="J81" i="143"/>
  <c r="J56" i="143" s="1"/>
  <c r="J92" i="143" s="1"/>
  <c r="AI38" i="143"/>
  <c r="AI30" i="143" s="1"/>
  <c r="AI92" i="143" s="1"/>
  <c r="DB59" i="159"/>
  <c r="A59" i="159" s="1"/>
  <c r="A43" i="163"/>
  <c r="BY29" i="163"/>
  <c r="CD29" i="163"/>
  <c r="CR29" i="163"/>
  <c r="BZ29" i="163"/>
  <c r="DA23" i="190"/>
  <c r="DC18" i="163"/>
  <c r="DH18" i="163" s="1"/>
  <c r="CW23" i="190"/>
  <c r="DB23" i="190" s="1"/>
  <c r="CV26" i="190"/>
  <c r="DB22" i="163"/>
  <c r="CE29" i="163"/>
  <c r="BW29" i="163"/>
  <c r="BX29" i="163"/>
  <c r="CB29" i="163"/>
  <c r="BZ117" i="159"/>
  <c r="AV103" i="159"/>
  <c r="AQ104" i="159"/>
  <c r="BU104" i="159" s="1"/>
  <c r="BU117" i="159"/>
  <c r="BO30" i="190"/>
  <c r="BL30" i="190"/>
  <c r="BM30" i="190"/>
  <c r="Q143" i="143"/>
  <c r="DI22" i="163"/>
  <c r="BN30" i="190"/>
  <c r="DH28" i="163"/>
  <c r="CC151" i="163"/>
  <c r="CC29" i="163"/>
  <c r="W150" i="163"/>
  <c r="W125" i="159"/>
  <c r="CE124" i="159"/>
  <c r="CY85" i="163"/>
  <c r="DI85" i="163" s="1"/>
  <c r="CJ34" i="163"/>
  <c r="AL34" i="163"/>
  <c r="A34" i="163"/>
  <c r="CY76" i="163"/>
  <c r="DI76" i="163" s="1"/>
  <c r="A76" i="163" s="1"/>
  <c r="BE130" i="163"/>
  <c r="CI130" i="163" s="1"/>
  <c r="AZ103" i="159"/>
  <c r="CD104" i="159"/>
  <c r="BS22" i="163"/>
  <c r="AP60" i="163"/>
  <c r="BT60" i="163" s="1"/>
  <c r="AK70" i="159"/>
  <c r="BO34" i="159"/>
  <c r="CS34" i="159" s="1"/>
  <c r="DC34" i="159" s="1"/>
  <c r="CW85" i="163"/>
  <c r="DG85" i="163" s="1"/>
  <c r="BM143" i="163"/>
  <c r="CQ143" i="163" s="1"/>
  <c r="CL117" i="159"/>
  <c r="BH104" i="159"/>
  <c r="CW18" i="163"/>
  <c r="DG18" i="163" s="1"/>
  <c r="BT29" i="163"/>
  <c r="CX25" i="163"/>
  <c r="BU29" i="163"/>
  <c r="CY25" i="163"/>
  <c r="CY29" i="163" s="1"/>
  <c r="CJ129" i="163"/>
  <c r="AL129" i="163"/>
  <c r="W96" i="163"/>
  <c r="AL96" i="163" s="1"/>
  <c r="CE70" i="159"/>
  <c r="CV96" i="163"/>
  <c r="AQ143" i="163"/>
  <c r="BU143" i="163" s="1"/>
  <c r="S141" i="143" s="1"/>
  <c r="BP117" i="159"/>
  <c r="CX85" i="163"/>
  <c r="DH85" i="163" s="1"/>
  <c r="AU130" i="163"/>
  <c r="BY130" i="163" s="1"/>
  <c r="AP103" i="159"/>
  <c r="BT104" i="159"/>
  <c r="AN145" i="163"/>
  <c r="BR145" i="163" s="1"/>
  <c r="BM119" i="159"/>
  <c r="BH130" i="163"/>
  <c r="CL130" i="163" s="1"/>
  <c r="BC103" i="159"/>
  <c r="CG104" i="159"/>
  <c r="BN143" i="163"/>
  <c r="CR143" i="163" s="1"/>
  <c r="CM117" i="159"/>
  <c r="BI104" i="159"/>
  <c r="AT130" i="163"/>
  <c r="BX130" i="163" s="1"/>
  <c r="AO103" i="159"/>
  <c r="BS104" i="159"/>
  <c r="BO143" i="163"/>
  <c r="CS143" i="163" s="1"/>
  <c r="CN117" i="159"/>
  <c r="BJ104" i="159"/>
  <c r="CY42" i="163"/>
  <c r="DI42" i="163" s="1"/>
  <c r="BR29" i="163"/>
  <c r="CV25" i="163"/>
  <c r="AO60" i="163"/>
  <c r="BS60" i="163" s="1"/>
  <c r="AJ70" i="159"/>
  <c r="BN34" i="159"/>
  <c r="CR34" i="159" s="1"/>
  <c r="BI130" i="163"/>
  <c r="CM130" i="163" s="1"/>
  <c r="BD103" i="159"/>
  <c r="CH104" i="159"/>
  <c r="BC130" i="163"/>
  <c r="CG130" i="163" s="1"/>
  <c r="AX103" i="159"/>
  <c r="CB104" i="159"/>
  <c r="BD130" i="163"/>
  <c r="CH130" i="163" s="1"/>
  <c r="AY103" i="159"/>
  <c r="CC104" i="159"/>
  <c r="AQ69" i="163"/>
  <c r="BU69" i="163" s="1"/>
  <c r="S65" i="143" s="1"/>
  <c r="X65" i="143" s="1"/>
  <c r="X56" i="143" s="1"/>
  <c r="X92" i="143" s="1"/>
  <c r="BP43" i="159"/>
  <c r="CT43" i="159" s="1"/>
  <c r="DD43" i="159" s="1"/>
  <c r="AL34" i="159"/>
  <c r="BJ130" i="163"/>
  <c r="CN130" i="163" s="1"/>
  <c r="BE103" i="159"/>
  <c r="CI104" i="159"/>
  <c r="E20" i="237" l="1"/>
  <c r="E21" i="237"/>
  <c r="E17" i="237"/>
  <c r="E19" i="237"/>
  <c r="CQ119" i="159"/>
  <c r="DA119" i="159" s="1"/>
  <c r="A43" i="159"/>
  <c r="X141" i="143"/>
  <c r="X128" i="143" s="1"/>
  <c r="X127" i="143" s="1"/>
  <c r="X148" i="143" s="1"/>
  <c r="S128" i="143"/>
  <c r="S127" i="143" s="1"/>
  <c r="S148" i="143" s="1"/>
  <c r="S56" i="143"/>
  <c r="S92" i="143" s="1"/>
  <c r="DB34" i="159"/>
  <c r="A85" i="163"/>
  <c r="A42" i="163"/>
  <c r="BA130" i="163"/>
  <c r="CE130" i="163" s="1"/>
  <c r="CV30" i="190"/>
  <c r="DB25" i="163"/>
  <c r="CW26" i="190"/>
  <c r="DB26" i="190" s="1"/>
  <c r="DB30" i="190" s="1"/>
  <c r="DC22" i="163"/>
  <c r="DH22" i="163" s="1"/>
  <c r="BZ104" i="159"/>
  <c r="AV130" i="163"/>
  <c r="BZ130" i="163" s="1"/>
  <c r="AQ103" i="159"/>
  <c r="AV129" i="163" s="1"/>
  <c r="BZ129" i="163" s="1"/>
  <c r="DA26" i="190"/>
  <c r="DA30" i="190" s="1"/>
  <c r="CQ30" i="190"/>
  <c r="CP30" i="190"/>
  <c r="CZ26" i="190"/>
  <c r="CZ30" i="190" s="1"/>
  <c r="CS30" i="190"/>
  <c r="DC26" i="190"/>
  <c r="CT117" i="159"/>
  <c r="DD117" i="159" s="1"/>
  <c r="CR30" i="190"/>
  <c r="DI25" i="163"/>
  <c r="DI29" i="163" s="1"/>
  <c r="AC13" i="143"/>
  <c r="CW22" i="163"/>
  <c r="DG22" i="163" s="1"/>
  <c r="CW60" i="163"/>
  <c r="DG60" i="163" s="1"/>
  <c r="BH129" i="163"/>
  <c r="CL129" i="163" s="1"/>
  <c r="CG103" i="159"/>
  <c r="BC124" i="159"/>
  <c r="AU129" i="163"/>
  <c r="BY129" i="163" s="1"/>
  <c r="BT103" i="159"/>
  <c r="AP124" i="159"/>
  <c r="AP96" i="163"/>
  <c r="BO70" i="159"/>
  <c r="CS70" i="159" s="1"/>
  <c r="DC70" i="159" s="1"/>
  <c r="CY34" i="163"/>
  <c r="DI34" i="163" s="1"/>
  <c r="BD129" i="163"/>
  <c r="CH129" i="163" s="1"/>
  <c r="CC103" i="159"/>
  <c r="AY124" i="159"/>
  <c r="CX60" i="163"/>
  <c r="DH60" i="163" s="1"/>
  <c r="BE129" i="163"/>
  <c r="CI129" i="163" s="1"/>
  <c r="CD103" i="159"/>
  <c r="AZ124" i="159"/>
  <c r="CJ150" i="163"/>
  <c r="BJ129" i="163"/>
  <c r="CN129" i="163" s="1"/>
  <c r="CI103" i="159"/>
  <c r="BE124" i="159"/>
  <c r="BC129" i="163"/>
  <c r="CG129" i="163" s="1"/>
  <c r="CB103" i="159"/>
  <c r="AX124" i="159"/>
  <c r="AQ60" i="163"/>
  <c r="BU60" i="163" s="1"/>
  <c r="AL70" i="159"/>
  <c r="BP34" i="159"/>
  <c r="DF25" i="163"/>
  <c r="CV29" i="163"/>
  <c r="BM130" i="163"/>
  <c r="CQ130" i="163" s="1"/>
  <c r="CL104" i="159"/>
  <c r="BH103" i="159"/>
  <c r="AQ130" i="163"/>
  <c r="BU130" i="163" s="1"/>
  <c r="AL103" i="159"/>
  <c r="AL124" i="159" s="1"/>
  <c r="BP104" i="159"/>
  <c r="BI129" i="163"/>
  <c r="CM129" i="163" s="1"/>
  <c r="CH103" i="159"/>
  <c r="BD124" i="159"/>
  <c r="AN143" i="163"/>
  <c r="BR143" i="163" s="1"/>
  <c r="BM117" i="159"/>
  <c r="AI104" i="159"/>
  <c r="CY69" i="163"/>
  <c r="DI69" i="163" s="1"/>
  <c r="BO130" i="163"/>
  <c r="CS130" i="163" s="1"/>
  <c r="BJ103" i="159"/>
  <c r="CN104" i="159"/>
  <c r="BN130" i="163"/>
  <c r="CR130" i="163" s="1"/>
  <c r="BI103" i="159"/>
  <c r="CM104" i="159"/>
  <c r="BS25" i="163"/>
  <c r="CY143" i="163"/>
  <c r="W151" i="163"/>
  <c r="CJ96" i="163"/>
  <c r="CX29" i="163"/>
  <c r="CV145" i="163"/>
  <c r="DF145" i="163" s="1"/>
  <c r="AO96" i="163"/>
  <c r="BN70" i="159"/>
  <c r="CR70" i="159" s="1"/>
  <c r="DB70" i="159" s="1"/>
  <c r="BA129" i="163"/>
  <c r="CE129" i="163" s="1"/>
  <c r="BZ103" i="159"/>
  <c r="AV124" i="159"/>
  <c r="AT129" i="163"/>
  <c r="BX129" i="163" s="1"/>
  <c r="BS103" i="159"/>
  <c r="AO124" i="159"/>
  <c r="DF96" i="163"/>
  <c r="CE125" i="159"/>
  <c r="DI143" i="163" l="1"/>
  <c r="Y141" i="143" s="1"/>
  <c r="Y128" i="143" s="1"/>
  <c r="Y127" i="143" s="1"/>
  <c r="Y148" i="143" s="1"/>
  <c r="CW155" i="163"/>
  <c r="AL125" i="159"/>
  <c r="CQ117" i="159"/>
  <c r="DA117" i="159" s="1"/>
  <c r="A119" i="159"/>
  <c r="A69" i="163"/>
  <c r="Y65" i="143"/>
  <c r="Y56" i="143" s="1"/>
  <c r="Y92" i="143" s="1"/>
  <c r="AI13" i="143"/>
  <c r="AI18" i="143" s="1"/>
  <c r="AI22" i="143" s="1"/>
  <c r="AI25" i="143" s="1"/>
  <c r="AC18" i="143"/>
  <c r="AC22" i="143" s="1"/>
  <c r="AC25" i="143" s="1"/>
  <c r="AL151" i="163"/>
  <c r="A145" i="163"/>
  <c r="BU103" i="159"/>
  <c r="AQ124" i="159"/>
  <c r="AV150" i="163" s="1"/>
  <c r="CT104" i="159"/>
  <c r="DD104" i="159" s="1"/>
  <c r="CW30" i="190"/>
  <c r="DC25" i="163"/>
  <c r="DH25" i="163" s="1"/>
  <c r="AO143" i="163"/>
  <c r="BS143" i="163" s="1"/>
  <c r="E141" i="143" s="1"/>
  <c r="BN117" i="159"/>
  <c r="CR117" i="159" s="1"/>
  <c r="DB117" i="159" s="1"/>
  <c r="AJ104" i="159"/>
  <c r="AT150" i="163"/>
  <c r="AO125" i="159"/>
  <c r="BS124" i="159"/>
  <c r="BS125" i="159" s="1"/>
  <c r="BA150" i="163"/>
  <c r="AV125" i="159"/>
  <c r="BZ124" i="159"/>
  <c r="BZ125" i="159" s="1"/>
  <c r="BS29" i="163"/>
  <c r="CW25" i="163"/>
  <c r="BN129" i="163"/>
  <c r="CR129" i="163" s="1"/>
  <c r="CM103" i="159"/>
  <c r="BI124" i="159"/>
  <c r="BI150" i="163"/>
  <c r="BD125" i="159"/>
  <c r="CH124" i="159"/>
  <c r="CH125" i="159" s="1"/>
  <c r="BM129" i="163"/>
  <c r="CQ129" i="163" s="1"/>
  <c r="CL103" i="159"/>
  <c r="BH124" i="159"/>
  <c r="CT34" i="159"/>
  <c r="CJ151" i="163"/>
  <c r="AQ96" i="163"/>
  <c r="BP70" i="159"/>
  <c r="CT70" i="159" s="1"/>
  <c r="DD70" i="159" s="1"/>
  <c r="A70" i="159" s="1"/>
  <c r="BD150" i="163"/>
  <c r="AY125" i="159"/>
  <c r="CC124" i="159"/>
  <c r="CC125" i="159" s="1"/>
  <c r="BH150" i="163"/>
  <c r="CL150" i="163" s="1"/>
  <c r="CL151" i="163" s="1"/>
  <c r="BC125" i="159"/>
  <c r="CG124" i="159"/>
  <c r="CG125" i="159" s="1"/>
  <c r="BS96" i="163"/>
  <c r="BE150" i="163"/>
  <c r="AZ125" i="159"/>
  <c r="CD124" i="159"/>
  <c r="CD125" i="159" s="1"/>
  <c r="DF29" i="163"/>
  <c r="CY60" i="163"/>
  <c r="BO129" i="163"/>
  <c r="CS129" i="163" s="1"/>
  <c r="CN103" i="159"/>
  <c r="BJ124" i="159"/>
  <c r="AN130" i="163"/>
  <c r="BR130" i="163" s="1"/>
  <c r="BM104" i="159"/>
  <c r="CQ104" i="159" s="1"/>
  <c r="DA104" i="159" s="1"/>
  <c r="AI103" i="159"/>
  <c r="BC150" i="163"/>
  <c r="AX125" i="159"/>
  <c r="CB124" i="159"/>
  <c r="CB125" i="159" s="1"/>
  <c r="BT96" i="163"/>
  <c r="CV143" i="163"/>
  <c r="DF143" i="163" s="1"/>
  <c r="CY130" i="163"/>
  <c r="DI130" i="163" s="1"/>
  <c r="AQ129" i="163"/>
  <c r="BU129" i="163" s="1"/>
  <c r="BP103" i="159"/>
  <c r="BJ150" i="163"/>
  <c r="BE125" i="159"/>
  <c r="CI124" i="159"/>
  <c r="CI125" i="159" s="1"/>
  <c r="AU150" i="163"/>
  <c r="AP125" i="159"/>
  <c r="BT124" i="159"/>
  <c r="BT125" i="159" s="1"/>
  <c r="BU124" i="159" l="1"/>
  <c r="BU125" i="159" s="1"/>
  <c r="AQ125" i="159"/>
  <c r="E128" i="143"/>
  <c r="E127" i="143" s="1"/>
  <c r="E148" i="143" s="1"/>
  <c r="J141" i="143"/>
  <c r="J128" i="143" s="1"/>
  <c r="J127" i="143" s="1"/>
  <c r="J148" i="143" s="1"/>
  <c r="DD34" i="159"/>
  <c r="A34" i="159" s="1"/>
  <c r="DI60" i="163"/>
  <c r="DH29" i="163"/>
  <c r="CG150" i="163"/>
  <c r="BC151" i="163"/>
  <c r="CI150" i="163"/>
  <c r="BE151" i="163"/>
  <c r="CY129" i="163"/>
  <c r="DI129" i="163" s="1"/>
  <c r="CW96" i="163"/>
  <c r="CT103" i="159"/>
  <c r="BY150" i="163"/>
  <c r="AU151" i="163"/>
  <c r="BZ150" i="163"/>
  <c r="AV151" i="163"/>
  <c r="BM150" i="163"/>
  <c r="BH125" i="159"/>
  <c r="CL124" i="159"/>
  <c r="CL125" i="159" s="1"/>
  <c r="BN150" i="163"/>
  <c r="BI125" i="159"/>
  <c r="CM124" i="159"/>
  <c r="CM125" i="159" s="1"/>
  <c r="CE150" i="163"/>
  <c r="BA151" i="163"/>
  <c r="CM150" i="163"/>
  <c r="BI151" i="163"/>
  <c r="CX96" i="163"/>
  <c r="AN129" i="163"/>
  <c r="BR129" i="163" s="1"/>
  <c r="BM103" i="159"/>
  <c r="CQ103" i="159" s="1"/>
  <c r="DA103" i="159" s="1"/>
  <c r="AI124" i="159"/>
  <c r="CH150" i="163"/>
  <c r="BD151" i="163"/>
  <c r="AO130" i="163"/>
  <c r="BS130" i="163" s="1"/>
  <c r="AJ103" i="159"/>
  <c r="BN104" i="159"/>
  <c r="CR104" i="159" s="1"/>
  <c r="DB104" i="159" s="1"/>
  <c r="DG25" i="163"/>
  <c r="CW29" i="163"/>
  <c r="CN150" i="163"/>
  <c r="BJ151" i="163"/>
  <c r="CV130" i="163"/>
  <c r="DF130" i="163" s="1"/>
  <c r="BU96" i="163"/>
  <c r="AQ150" i="163"/>
  <c r="BU150" i="163" s="1"/>
  <c r="BP124" i="159"/>
  <c r="BO150" i="163"/>
  <c r="BJ125" i="159"/>
  <c r="CN124" i="159"/>
  <c r="CN125" i="159" s="1"/>
  <c r="BH151" i="163"/>
  <c r="BX150" i="163"/>
  <c r="AT151" i="163"/>
  <c r="CW143" i="163"/>
  <c r="DG143" i="163" s="1"/>
  <c r="CN151" i="163" l="1"/>
  <c r="A60" i="163"/>
  <c r="CM151" i="163"/>
  <c r="K141" i="143"/>
  <c r="E116" i="13" s="1"/>
  <c r="AQ151" i="163"/>
  <c r="AI149" i="143"/>
  <c r="CS150" i="163"/>
  <c r="BO151" i="163"/>
  <c r="CQ150" i="163"/>
  <c r="BM151" i="163"/>
  <c r="BU151" i="163"/>
  <c r="CY96" i="163"/>
  <c r="DG29" i="163"/>
  <c r="AN150" i="163"/>
  <c r="AI125" i="159"/>
  <c r="BM124" i="159"/>
  <c r="BP125" i="159"/>
  <c r="CT124" i="159"/>
  <c r="CV129" i="163"/>
  <c r="DF129" i="163" s="1"/>
  <c r="DD103" i="159"/>
  <c r="DH96" i="163"/>
  <c r="BZ151" i="163"/>
  <c r="DG96" i="163"/>
  <c r="CI151" i="163"/>
  <c r="CW130" i="163"/>
  <c r="DG130" i="163" s="1"/>
  <c r="CR150" i="163"/>
  <c r="BN151" i="163"/>
  <c r="BX151" i="163"/>
  <c r="CH151" i="163"/>
  <c r="BY151" i="163"/>
  <c r="CE151" i="163"/>
  <c r="AO129" i="163"/>
  <c r="BS129" i="163" s="1"/>
  <c r="BN103" i="159"/>
  <c r="AJ124" i="159"/>
  <c r="CY150" i="163"/>
  <c r="DI150" i="163" s="1"/>
  <c r="CG151" i="163"/>
  <c r="K128" i="143" l="1"/>
  <c r="K127" i="143" s="1"/>
  <c r="K148" i="143" s="1"/>
  <c r="CR103" i="159"/>
  <c r="AO150" i="163"/>
  <c r="AJ125" i="159"/>
  <c r="BN124" i="159"/>
  <c r="CQ151" i="163"/>
  <c r="BR150" i="163"/>
  <c r="AN151" i="163"/>
  <c r="CW129" i="163"/>
  <c r="DG129" i="163" s="1"/>
  <c r="DD124" i="159"/>
  <c r="DD125" i="159" s="1"/>
  <c r="CT125" i="159"/>
  <c r="CY151" i="163"/>
  <c r="DI96" i="163"/>
  <c r="CR151" i="163"/>
  <c r="BM125" i="159"/>
  <c r="CQ124" i="159"/>
  <c r="CS151" i="163"/>
  <c r="DI151" i="163" l="1"/>
  <c r="A96" i="163"/>
  <c r="CV150" i="163"/>
  <c r="BR151" i="163"/>
  <c r="CQ125" i="159"/>
  <c r="DA124" i="159"/>
  <c r="DA125" i="159" s="1"/>
  <c r="BS150" i="163"/>
  <c r="AO151" i="163"/>
  <c r="DB103" i="159"/>
  <c r="BN125" i="159"/>
  <c r="CR124" i="159"/>
  <c r="DF150" i="163" l="1"/>
  <c r="CV151" i="163"/>
  <c r="CR125" i="159"/>
  <c r="DB124" i="159"/>
  <c r="CW150" i="163"/>
  <c r="BS151" i="163"/>
  <c r="DB125" i="159" l="1"/>
  <c r="DG150" i="163"/>
  <c r="CW151" i="163"/>
  <c r="DF151" i="163"/>
  <c r="DG151" i="163" l="1"/>
  <c r="AA12" i="143" l="1"/>
  <c r="AG12" i="143" s="1"/>
  <c r="AD147" i="143"/>
  <c r="AJ147" i="143" s="1"/>
  <c r="AB147" i="143"/>
  <c r="AH147" i="143" s="1"/>
  <c r="AA147" i="143"/>
  <c r="AG147" i="143" s="1"/>
  <c r="Z147" i="143"/>
  <c r="AF147" i="143" s="1"/>
  <c r="AD146" i="143"/>
  <c r="AB146" i="143"/>
  <c r="AA146" i="143"/>
  <c r="Z146" i="143"/>
  <c r="AD144" i="143"/>
  <c r="AJ144" i="143" s="1"/>
  <c r="AB144" i="143"/>
  <c r="AH144" i="143" s="1"/>
  <c r="AA144" i="143"/>
  <c r="AG144" i="143" s="1"/>
  <c r="Z144" i="143"/>
  <c r="AF144" i="143" s="1"/>
  <c r="AD143" i="143"/>
  <c r="AJ143" i="143" s="1"/>
  <c r="AB143" i="143"/>
  <c r="AH143" i="143" s="1"/>
  <c r="AA143" i="143"/>
  <c r="AG143" i="143" s="1"/>
  <c r="Z143" i="143"/>
  <c r="AF143" i="143" s="1"/>
  <c r="AD142" i="143"/>
  <c r="AJ142" i="143" s="1"/>
  <c r="AB142" i="143"/>
  <c r="AH142" i="143" s="1"/>
  <c r="AA142" i="143"/>
  <c r="AG142" i="143" s="1"/>
  <c r="Z142" i="143"/>
  <c r="AF142" i="143" s="1"/>
  <c r="AD140" i="143"/>
  <c r="AJ140" i="143" s="1"/>
  <c r="AB140" i="143"/>
  <c r="AH140" i="143" s="1"/>
  <c r="AA140" i="143"/>
  <c r="AG140" i="143" s="1"/>
  <c r="Z140" i="143"/>
  <c r="AF140" i="143" s="1"/>
  <c r="AD139" i="143"/>
  <c r="AJ139" i="143" s="1"/>
  <c r="AB139" i="143"/>
  <c r="AH139" i="143" s="1"/>
  <c r="AA139" i="143"/>
  <c r="AG139" i="143" s="1"/>
  <c r="Z139" i="143"/>
  <c r="AF139" i="143" s="1"/>
  <c r="AD138" i="143"/>
  <c r="AJ138" i="143" s="1"/>
  <c r="AB138" i="143"/>
  <c r="AH138" i="143" s="1"/>
  <c r="AA138" i="143"/>
  <c r="AG138" i="143" s="1"/>
  <c r="Z138" i="143"/>
  <c r="AF138" i="143" s="1"/>
  <c r="AD137" i="143"/>
  <c r="AJ137" i="143" s="1"/>
  <c r="AB137" i="143"/>
  <c r="AH137" i="143" s="1"/>
  <c r="AA137" i="143"/>
  <c r="AG137" i="143" s="1"/>
  <c r="Z137" i="143"/>
  <c r="AF137" i="143" s="1"/>
  <c r="AD136" i="143"/>
  <c r="AJ136" i="143" s="1"/>
  <c r="AB136" i="143"/>
  <c r="AH136" i="143" s="1"/>
  <c r="AA136" i="143"/>
  <c r="AG136" i="143" s="1"/>
  <c r="Z136" i="143"/>
  <c r="AF136" i="143" s="1"/>
  <c r="AD135" i="143"/>
  <c r="AJ135" i="143" s="1"/>
  <c r="AB135" i="143"/>
  <c r="AH135" i="143" s="1"/>
  <c r="AA135" i="143"/>
  <c r="AG135" i="143" s="1"/>
  <c r="Z135" i="143"/>
  <c r="AF135" i="143" s="1"/>
  <c r="AD134" i="143"/>
  <c r="AJ134" i="143" s="1"/>
  <c r="AB134" i="143"/>
  <c r="AH134" i="143" s="1"/>
  <c r="AA134" i="143"/>
  <c r="AG134" i="143" s="1"/>
  <c r="Z134" i="143"/>
  <c r="AF134" i="143" s="1"/>
  <c r="AD133" i="143"/>
  <c r="AJ133" i="143" s="1"/>
  <c r="AB133" i="143"/>
  <c r="AH133" i="143" s="1"/>
  <c r="AA133" i="143"/>
  <c r="AG133" i="143" s="1"/>
  <c r="Z133" i="143"/>
  <c r="AF133" i="143" s="1"/>
  <c r="AD132" i="143"/>
  <c r="AJ132" i="143" s="1"/>
  <c r="AB132" i="143"/>
  <c r="AH132" i="143" s="1"/>
  <c r="AA132" i="143"/>
  <c r="AG132" i="143" s="1"/>
  <c r="Z132" i="143"/>
  <c r="AF132" i="143" s="1"/>
  <c r="AD131" i="143"/>
  <c r="AJ131" i="143" s="1"/>
  <c r="AB131" i="143"/>
  <c r="AH131" i="143" s="1"/>
  <c r="AA131" i="143"/>
  <c r="AG131" i="143" s="1"/>
  <c r="Z131" i="143"/>
  <c r="AF131" i="143" s="1"/>
  <c r="AD130" i="143"/>
  <c r="AB130" i="143"/>
  <c r="AA130" i="143"/>
  <c r="Z130" i="143"/>
  <c r="AD126" i="143"/>
  <c r="AJ126" i="143" s="1"/>
  <c r="AB126" i="143"/>
  <c r="AH126" i="143" s="1"/>
  <c r="AA126" i="143"/>
  <c r="AG126" i="143" s="1"/>
  <c r="Z126" i="143"/>
  <c r="AF126" i="143" s="1"/>
  <c r="AD125" i="143"/>
  <c r="AJ125" i="143" s="1"/>
  <c r="AB125" i="143"/>
  <c r="AH125" i="143" s="1"/>
  <c r="AA125" i="143"/>
  <c r="AG125" i="143" s="1"/>
  <c r="Z125" i="143"/>
  <c r="AF125" i="143" s="1"/>
  <c r="AD124" i="143"/>
  <c r="AJ124" i="143" s="1"/>
  <c r="AB124" i="143"/>
  <c r="AH124" i="143" s="1"/>
  <c r="AA124" i="143"/>
  <c r="AG124" i="143" s="1"/>
  <c r="Z124" i="143"/>
  <c r="AF124" i="143" s="1"/>
  <c r="AD123" i="143"/>
  <c r="AJ123" i="143" s="1"/>
  <c r="AB123" i="143"/>
  <c r="AH123" i="143" s="1"/>
  <c r="AA123" i="143"/>
  <c r="AG123" i="143" s="1"/>
  <c r="Z123" i="143"/>
  <c r="AF123" i="143" s="1"/>
  <c r="AD122" i="143"/>
  <c r="AJ122" i="143" s="1"/>
  <c r="AB122" i="143"/>
  <c r="AH122" i="143" s="1"/>
  <c r="AA122" i="143"/>
  <c r="AG122" i="143" s="1"/>
  <c r="Z122" i="143"/>
  <c r="AF122" i="143" s="1"/>
  <c r="AB121" i="143"/>
  <c r="AH121" i="143" s="1"/>
  <c r="AA121" i="143"/>
  <c r="AG121" i="143" s="1"/>
  <c r="Z121" i="143"/>
  <c r="AF121" i="143" s="1"/>
  <c r="AD120" i="143"/>
  <c r="AJ120" i="143" s="1"/>
  <c r="AB120" i="143"/>
  <c r="AH120" i="143" s="1"/>
  <c r="AA120" i="143"/>
  <c r="AG120" i="143" s="1"/>
  <c r="Z120" i="143"/>
  <c r="AF120" i="143" s="1"/>
  <c r="AD119" i="143"/>
  <c r="AJ119" i="143" s="1"/>
  <c r="AB119" i="143"/>
  <c r="AH119" i="143" s="1"/>
  <c r="AA119" i="143"/>
  <c r="AG119" i="143" s="1"/>
  <c r="Z119" i="143"/>
  <c r="AF119" i="143" s="1"/>
  <c r="AD118" i="143"/>
  <c r="AJ118" i="143" s="1"/>
  <c r="AB118" i="143"/>
  <c r="AH118" i="143" s="1"/>
  <c r="AA118" i="143"/>
  <c r="AG118" i="143" s="1"/>
  <c r="Z118" i="143"/>
  <c r="AF118" i="143" s="1"/>
  <c r="AD117" i="143"/>
  <c r="AJ117" i="143" s="1"/>
  <c r="AB117" i="143"/>
  <c r="AH117" i="143" s="1"/>
  <c r="AA117" i="143"/>
  <c r="AG117" i="143" s="1"/>
  <c r="Z117" i="143"/>
  <c r="AF117" i="143" s="1"/>
  <c r="AD116" i="143"/>
  <c r="AJ116" i="143" s="1"/>
  <c r="AB116" i="143"/>
  <c r="AH116" i="143" s="1"/>
  <c r="AA116" i="143"/>
  <c r="AG116" i="143" s="1"/>
  <c r="Z116" i="143"/>
  <c r="AF116" i="143" s="1"/>
  <c r="AD115" i="143"/>
  <c r="AJ115" i="143" s="1"/>
  <c r="AB115" i="143"/>
  <c r="AH115" i="143" s="1"/>
  <c r="AA115" i="143"/>
  <c r="AG115" i="143" s="1"/>
  <c r="Z115" i="143"/>
  <c r="AF115" i="143" s="1"/>
  <c r="AD114" i="143"/>
  <c r="AB114" i="143"/>
  <c r="AA114" i="143"/>
  <c r="Z114" i="143"/>
  <c r="AD112" i="143"/>
  <c r="AJ112" i="143" s="1"/>
  <c r="AB112" i="143"/>
  <c r="AH112" i="143" s="1"/>
  <c r="AA112" i="143"/>
  <c r="AG112" i="143" s="1"/>
  <c r="Z112" i="143"/>
  <c r="AF112" i="143" s="1"/>
  <c r="AD111" i="143"/>
  <c r="AJ111" i="143" s="1"/>
  <c r="AB111" i="143"/>
  <c r="AH111" i="143" s="1"/>
  <c r="AA111" i="143"/>
  <c r="AG111" i="143" s="1"/>
  <c r="Z111" i="143"/>
  <c r="AF111" i="143" s="1"/>
  <c r="AD110" i="143"/>
  <c r="AJ110" i="143" s="1"/>
  <c r="AB110" i="143"/>
  <c r="AH110" i="143" s="1"/>
  <c r="AA110" i="143"/>
  <c r="AG110" i="143" s="1"/>
  <c r="Z110" i="143"/>
  <c r="AF110" i="143" s="1"/>
  <c r="AD109" i="143"/>
  <c r="AJ109" i="143" s="1"/>
  <c r="AB109" i="143"/>
  <c r="AH109" i="143" s="1"/>
  <c r="AA109" i="143"/>
  <c r="AG109" i="143" s="1"/>
  <c r="Z109" i="143"/>
  <c r="AF109" i="143" s="1"/>
  <c r="AB108" i="143"/>
  <c r="AH108" i="143" s="1"/>
  <c r="AA108" i="143"/>
  <c r="AG108" i="143" s="1"/>
  <c r="Z108" i="143"/>
  <c r="AF108" i="143" s="1"/>
  <c r="AD107" i="143"/>
  <c r="AJ107" i="143" s="1"/>
  <c r="AB107" i="143"/>
  <c r="AH107" i="143" s="1"/>
  <c r="AA107" i="143"/>
  <c r="AG107" i="143" s="1"/>
  <c r="AF107" i="143"/>
  <c r="AD106" i="143"/>
  <c r="AJ106" i="143" s="1"/>
  <c r="AB106" i="143"/>
  <c r="AH106" i="143" s="1"/>
  <c r="AA106" i="143"/>
  <c r="AG106" i="143" s="1"/>
  <c r="Z106" i="143"/>
  <c r="AF106" i="143" s="1"/>
  <c r="AD105" i="143"/>
  <c r="AJ105" i="143" s="1"/>
  <c r="AB105" i="143"/>
  <c r="AH105" i="143" s="1"/>
  <c r="AA105" i="143"/>
  <c r="AG105" i="143" s="1"/>
  <c r="Z105" i="143"/>
  <c r="AF105" i="143" s="1"/>
  <c r="AD104" i="143"/>
  <c r="AJ104" i="143" s="1"/>
  <c r="AB104" i="143"/>
  <c r="AH104" i="143" s="1"/>
  <c r="Z104" i="143"/>
  <c r="AF104" i="143" s="1"/>
  <c r="AD103" i="143"/>
  <c r="AJ103" i="143" s="1"/>
  <c r="AB103" i="143"/>
  <c r="AH103" i="143" s="1"/>
  <c r="AA103" i="143"/>
  <c r="AG103" i="143" s="1"/>
  <c r="Z103" i="143"/>
  <c r="AF103" i="143" s="1"/>
  <c r="AD102" i="143"/>
  <c r="AJ102" i="143" s="1"/>
  <c r="AB102" i="143"/>
  <c r="AH102" i="143" s="1"/>
  <c r="AA102" i="143"/>
  <c r="AG102" i="143" s="1"/>
  <c r="Z102" i="143"/>
  <c r="AF102" i="143" s="1"/>
  <c r="AD101" i="143"/>
  <c r="AJ101" i="143" s="1"/>
  <c r="AB101" i="143"/>
  <c r="AH101" i="143" s="1"/>
  <c r="AA101" i="143"/>
  <c r="AG101" i="143" s="1"/>
  <c r="Z101" i="143"/>
  <c r="AF101" i="143" s="1"/>
  <c r="AD100" i="143"/>
  <c r="AJ100" i="143" s="1"/>
  <c r="AB100" i="143"/>
  <c r="AH100" i="143" s="1"/>
  <c r="AA100" i="143"/>
  <c r="AG100" i="143" s="1"/>
  <c r="Z100" i="143"/>
  <c r="AF100" i="143" s="1"/>
  <c r="AA99" i="143"/>
  <c r="AB99" i="143"/>
  <c r="AD99" i="143"/>
  <c r="Z99" i="143"/>
  <c r="AB32" i="143"/>
  <c r="AG32" i="143"/>
  <c r="Z32" i="143"/>
  <c r="AH146" i="143" l="1"/>
  <c r="AH145" i="143" s="1"/>
  <c r="AB145" i="143"/>
  <c r="AJ130" i="143"/>
  <c r="AJ129" i="143" s="1"/>
  <c r="AJ128" i="143" s="1"/>
  <c r="AD129" i="143"/>
  <c r="AD128" i="143" s="1"/>
  <c r="AJ146" i="143"/>
  <c r="AJ145" i="143" s="1"/>
  <c r="AD145" i="143"/>
  <c r="AF32" i="143"/>
  <c r="AF114" i="143"/>
  <c r="AF113" i="143" s="1"/>
  <c r="Z113" i="143"/>
  <c r="AH32" i="143"/>
  <c r="AB31" i="143"/>
  <c r="AG114" i="143"/>
  <c r="AG113" i="143" s="1"/>
  <c r="AA113" i="143"/>
  <c r="AH130" i="143"/>
  <c r="AH129" i="143" s="1"/>
  <c r="AB129" i="143"/>
  <c r="AF99" i="143"/>
  <c r="AF98" i="143" s="1"/>
  <c r="Z98" i="143"/>
  <c r="Z97" i="143" s="1"/>
  <c r="AH114" i="143"/>
  <c r="AH113" i="143" s="1"/>
  <c r="AB113" i="143"/>
  <c r="AJ114" i="143"/>
  <c r="AJ113" i="143" s="1"/>
  <c r="AD113" i="143"/>
  <c r="AF130" i="143"/>
  <c r="AF129" i="143" s="1"/>
  <c r="Z129" i="143"/>
  <c r="AF146" i="143"/>
  <c r="AF145" i="143" s="1"/>
  <c r="Z145" i="143"/>
  <c r="AG99" i="143"/>
  <c r="AG98" i="143" s="1"/>
  <c r="AA98" i="143"/>
  <c r="AJ99" i="143"/>
  <c r="AJ98" i="143" s="1"/>
  <c r="AD98" i="143"/>
  <c r="AD97" i="143" s="1"/>
  <c r="AH99" i="143"/>
  <c r="AH98" i="143" s="1"/>
  <c r="AH97" i="143" s="1"/>
  <c r="AB98" i="143"/>
  <c r="AG130" i="143"/>
  <c r="AG129" i="143" s="1"/>
  <c r="AA129" i="143"/>
  <c r="AG146" i="143"/>
  <c r="AG145" i="143" s="1"/>
  <c r="AA145" i="143"/>
  <c r="AE120" i="143"/>
  <c r="AE122" i="143"/>
  <c r="AE124" i="143"/>
  <c r="AE126" i="143"/>
  <c r="AE131" i="143"/>
  <c r="AE133" i="143"/>
  <c r="AE135" i="143"/>
  <c r="AE32" i="143"/>
  <c r="AE137" i="143"/>
  <c r="AE139" i="143"/>
  <c r="AE142" i="143"/>
  <c r="AE144" i="143"/>
  <c r="AE147" i="143"/>
  <c r="AE106" i="143"/>
  <c r="AE108" i="143"/>
  <c r="AE110" i="143"/>
  <c r="AE112" i="143"/>
  <c r="AE115" i="143"/>
  <c r="AE117" i="143"/>
  <c r="AE119" i="143"/>
  <c r="AE121" i="143"/>
  <c r="AE123" i="143"/>
  <c r="AE125" i="143"/>
  <c r="AE130" i="143"/>
  <c r="AE132" i="143"/>
  <c r="AE134" i="143"/>
  <c r="AE136" i="143"/>
  <c r="AE138" i="143"/>
  <c r="AE140" i="143"/>
  <c r="AE143" i="143"/>
  <c r="AE146" i="143"/>
  <c r="AE105" i="143"/>
  <c r="AE107" i="143"/>
  <c r="AE109" i="143"/>
  <c r="AE111" i="143"/>
  <c r="AE114" i="143"/>
  <c r="AE116" i="143"/>
  <c r="AE118" i="143"/>
  <c r="AE99" i="143"/>
  <c r="AE101" i="143"/>
  <c r="AE103" i="143"/>
  <c r="AE100" i="143"/>
  <c r="AE102" i="143"/>
  <c r="AE104" i="143"/>
  <c r="AB23" i="143"/>
  <c r="AH23" i="143" s="1"/>
  <c r="AA24" i="143"/>
  <c r="AG24" i="143" s="1"/>
  <c r="AJ97" i="143" l="1"/>
  <c r="AF97" i="143"/>
  <c r="AA97" i="143"/>
  <c r="AG97" i="143"/>
  <c r="AL136" i="143"/>
  <c r="AK136" i="143"/>
  <c r="AL142" i="143"/>
  <c r="AK142" i="143"/>
  <c r="AL100" i="143"/>
  <c r="AK100" i="143"/>
  <c r="AL109" i="143"/>
  <c r="AK109" i="143"/>
  <c r="AL134" i="143"/>
  <c r="AK134" i="143"/>
  <c r="AL115" i="143"/>
  <c r="AK115" i="143"/>
  <c r="AL139" i="143"/>
  <c r="AK139" i="143"/>
  <c r="AL122" i="143"/>
  <c r="AK122" i="143"/>
  <c r="AL102" i="143"/>
  <c r="AK102" i="143"/>
  <c r="AL117" i="143"/>
  <c r="AK117" i="143"/>
  <c r="AL124" i="143"/>
  <c r="AK124" i="143"/>
  <c r="AL107" i="143"/>
  <c r="AK107" i="143"/>
  <c r="AL120" i="143"/>
  <c r="AK120" i="143"/>
  <c r="AL111" i="143"/>
  <c r="AK111" i="143"/>
  <c r="AL103" i="143"/>
  <c r="AK103" i="143"/>
  <c r="AL137" i="143"/>
  <c r="AK137" i="143"/>
  <c r="AL101" i="143"/>
  <c r="AK101" i="143"/>
  <c r="AL105" i="143"/>
  <c r="AK105" i="143"/>
  <c r="AL130" i="143"/>
  <c r="AK130" i="143"/>
  <c r="AE129" i="143"/>
  <c r="AL110" i="143"/>
  <c r="AK110" i="143"/>
  <c r="AL32" i="143"/>
  <c r="AK32" i="143"/>
  <c r="AL112" i="143"/>
  <c r="AK112" i="143"/>
  <c r="AL146" i="143"/>
  <c r="AE145" i="143"/>
  <c r="AK146" i="143"/>
  <c r="AL135" i="143"/>
  <c r="AK135" i="143"/>
  <c r="AD127" i="143"/>
  <c r="AL123" i="143"/>
  <c r="AK123" i="143"/>
  <c r="AL106" i="143"/>
  <c r="AK106" i="143"/>
  <c r="AL133" i="143"/>
  <c r="AK133" i="143"/>
  <c r="AJ127" i="143"/>
  <c r="AL132" i="143"/>
  <c r="AK132" i="143"/>
  <c r="AL99" i="143"/>
  <c r="AK99" i="143"/>
  <c r="AE98" i="143"/>
  <c r="AL125" i="143"/>
  <c r="AK125" i="143"/>
  <c r="AL118" i="143"/>
  <c r="AK118" i="143"/>
  <c r="AL140" i="143"/>
  <c r="AK140" i="143"/>
  <c r="AL121" i="143"/>
  <c r="AK121" i="143"/>
  <c r="AL147" i="143"/>
  <c r="AK147" i="143"/>
  <c r="AL131" i="143"/>
  <c r="AK131" i="143"/>
  <c r="AL108" i="143"/>
  <c r="AK108" i="143"/>
  <c r="AL143" i="143"/>
  <c r="AK143" i="143"/>
  <c r="AL116" i="143"/>
  <c r="AK116" i="143"/>
  <c r="AL104" i="143"/>
  <c r="AK104" i="143"/>
  <c r="AL114" i="143"/>
  <c r="AK114" i="143"/>
  <c r="AE113" i="143"/>
  <c r="AL138" i="143"/>
  <c r="AK138" i="143"/>
  <c r="AL119" i="143"/>
  <c r="AK119" i="143"/>
  <c r="AL144" i="143"/>
  <c r="AK144" i="143"/>
  <c r="AL126" i="143"/>
  <c r="AK126" i="143"/>
  <c r="AB97" i="143"/>
  <c r="A146" i="143"/>
  <c r="AD91" i="143"/>
  <c r="AJ91" i="143" s="1"/>
  <c r="AB91" i="143"/>
  <c r="AH91" i="143" s="1"/>
  <c r="AA91" i="143"/>
  <c r="AG91" i="143" s="1"/>
  <c r="Z91" i="143"/>
  <c r="AF91" i="143" s="1"/>
  <c r="AD90" i="143"/>
  <c r="AJ90" i="143" s="1"/>
  <c r="AB90" i="143"/>
  <c r="AH90" i="143" s="1"/>
  <c r="AA90" i="143"/>
  <c r="AG90" i="143" s="1"/>
  <c r="Z90" i="143"/>
  <c r="AF90" i="143" s="1"/>
  <c r="AD89" i="143"/>
  <c r="AJ89" i="143" s="1"/>
  <c r="AB89" i="143"/>
  <c r="AH89" i="143" s="1"/>
  <c r="AA89" i="143"/>
  <c r="AG89" i="143" s="1"/>
  <c r="Z89" i="143"/>
  <c r="AF89" i="143" s="1"/>
  <c r="AD88" i="143"/>
  <c r="AB88" i="143"/>
  <c r="AA88" i="143"/>
  <c r="Z88" i="143"/>
  <c r="AD86" i="143"/>
  <c r="AJ86" i="143" s="1"/>
  <c r="AB86" i="143"/>
  <c r="AH86" i="143" s="1"/>
  <c r="AA86" i="143"/>
  <c r="AG86" i="143" s="1"/>
  <c r="Z86" i="143"/>
  <c r="AF86" i="143" s="1"/>
  <c r="AD85" i="143"/>
  <c r="AJ85" i="143" s="1"/>
  <c r="AB85" i="143"/>
  <c r="AH85" i="143" s="1"/>
  <c r="AA85" i="143"/>
  <c r="AG85" i="143" s="1"/>
  <c r="Z85" i="143"/>
  <c r="AF85" i="143" s="1"/>
  <c r="AD84" i="143"/>
  <c r="AJ84" i="143" s="1"/>
  <c r="AB84" i="143"/>
  <c r="AH84" i="143" s="1"/>
  <c r="AA84" i="143"/>
  <c r="AG84" i="143" s="1"/>
  <c r="Z84" i="143"/>
  <c r="AF84" i="143" s="1"/>
  <c r="AD83" i="143"/>
  <c r="AJ83" i="143" s="1"/>
  <c r="AB83" i="143"/>
  <c r="AH83" i="143" s="1"/>
  <c r="AA83" i="143"/>
  <c r="AG83" i="143" s="1"/>
  <c r="Z83" i="143"/>
  <c r="AF83" i="143" s="1"/>
  <c r="AD82" i="143"/>
  <c r="AB82" i="143"/>
  <c r="AA82" i="143"/>
  <c r="Z82" i="143"/>
  <c r="AD80" i="143"/>
  <c r="AJ80" i="143" s="1"/>
  <c r="AB80" i="143"/>
  <c r="AH80" i="143" s="1"/>
  <c r="AA80" i="143"/>
  <c r="AG80" i="143" s="1"/>
  <c r="Z80" i="143"/>
  <c r="AF80" i="143" s="1"/>
  <c r="AD79" i="143"/>
  <c r="AB79" i="143"/>
  <c r="AA79" i="143"/>
  <c r="Z79" i="143"/>
  <c r="AB77" i="143"/>
  <c r="AH77" i="143" s="1"/>
  <c r="Z77" i="143"/>
  <c r="AF77" i="143" s="1"/>
  <c r="AA67" i="143"/>
  <c r="AG67" i="143" s="1"/>
  <c r="AD64" i="143"/>
  <c r="AJ64" i="143" s="1"/>
  <c r="AB64" i="143"/>
  <c r="AH64" i="143" s="1"/>
  <c r="AA64" i="143"/>
  <c r="AG64" i="143" s="1"/>
  <c r="Z64" i="143"/>
  <c r="AF64" i="143" s="1"/>
  <c r="AD63" i="143"/>
  <c r="AJ63" i="143" s="1"/>
  <c r="AB63" i="143"/>
  <c r="AH63" i="143" s="1"/>
  <c r="AA63" i="143"/>
  <c r="AG63" i="143" s="1"/>
  <c r="Z63" i="143"/>
  <c r="AF63" i="143" s="1"/>
  <c r="AD62" i="143"/>
  <c r="AJ62" i="143" s="1"/>
  <c r="AB62" i="143"/>
  <c r="AH62" i="143" s="1"/>
  <c r="AA62" i="143"/>
  <c r="AG62" i="143" s="1"/>
  <c r="Z62" i="143"/>
  <c r="AF62" i="143" s="1"/>
  <c r="AD61" i="143"/>
  <c r="AJ61" i="143" s="1"/>
  <c r="AB61" i="143"/>
  <c r="AH61" i="143" s="1"/>
  <c r="AA61" i="143"/>
  <c r="AG61" i="143" s="1"/>
  <c r="Z61" i="143"/>
  <c r="AF61" i="143" s="1"/>
  <c r="AD60" i="143"/>
  <c r="AJ60" i="143" s="1"/>
  <c r="AB60" i="143"/>
  <c r="AH60" i="143" s="1"/>
  <c r="AA60" i="143"/>
  <c r="AG60" i="143" s="1"/>
  <c r="Z60" i="143"/>
  <c r="AF60" i="143" s="1"/>
  <c r="AD59" i="143"/>
  <c r="AJ59" i="143" s="1"/>
  <c r="AB59" i="143"/>
  <c r="AH59" i="143" s="1"/>
  <c r="AA59" i="143"/>
  <c r="AG59" i="143" s="1"/>
  <c r="Z59" i="143"/>
  <c r="AF59" i="143" s="1"/>
  <c r="AD58" i="143"/>
  <c r="AB58" i="143"/>
  <c r="AA58" i="143"/>
  <c r="Z58" i="143"/>
  <c r="AD55" i="143"/>
  <c r="AJ55" i="143" s="1"/>
  <c r="AB55" i="143"/>
  <c r="AH55" i="143" s="1"/>
  <c r="AA55" i="143"/>
  <c r="AG55" i="143" s="1"/>
  <c r="Z55" i="143"/>
  <c r="AF55" i="143" s="1"/>
  <c r="AD54" i="143"/>
  <c r="AJ54" i="143" s="1"/>
  <c r="AB54" i="143"/>
  <c r="AH54" i="143" s="1"/>
  <c r="AA54" i="143"/>
  <c r="AG54" i="143" s="1"/>
  <c r="Z54" i="143"/>
  <c r="AF54" i="143" s="1"/>
  <c r="AD53" i="143"/>
  <c r="AJ53" i="143" s="1"/>
  <c r="AB53" i="143"/>
  <c r="AH53" i="143" s="1"/>
  <c r="AA53" i="143"/>
  <c r="AG53" i="143" s="1"/>
  <c r="Z53" i="143"/>
  <c r="AF53" i="143" s="1"/>
  <c r="AD52" i="143"/>
  <c r="AJ52" i="143" s="1"/>
  <c r="AB52" i="143"/>
  <c r="AH52" i="143" s="1"/>
  <c r="AA52" i="143"/>
  <c r="AG52" i="143" s="1"/>
  <c r="Z52" i="143"/>
  <c r="AF52" i="143" s="1"/>
  <c r="AD51" i="143"/>
  <c r="AB51" i="143"/>
  <c r="AA51" i="143"/>
  <c r="Z51" i="143"/>
  <c r="AD77" i="143"/>
  <c r="AJ77" i="143" s="1"/>
  <c r="AA77" i="143"/>
  <c r="AG77" i="143" s="1"/>
  <c r="AD76" i="143"/>
  <c r="AB76" i="143"/>
  <c r="AA76" i="143"/>
  <c r="Z76" i="143"/>
  <c r="AD74" i="143"/>
  <c r="AB74" i="143"/>
  <c r="AA74" i="143"/>
  <c r="Z74" i="143"/>
  <c r="AD73" i="143"/>
  <c r="AJ73" i="143" s="1"/>
  <c r="AB73" i="143"/>
  <c r="AH73" i="143" s="1"/>
  <c r="AA73" i="143"/>
  <c r="AG73" i="143" s="1"/>
  <c r="Z73" i="143"/>
  <c r="AF73" i="143" s="1"/>
  <c r="AD71" i="143"/>
  <c r="AB71" i="143"/>
  <c r="AA71" i="143"/>
  <c r="Z71" i="143"/>
  <c r="AD70" i="143"/>
  <c r="AJ70" i="143" s="1"/>
  <c r="AB70" i="143"/>
  <c r="AH70" i="143" s="1"/>
  <c r="AA70" i="143"/>
  <c r="AG70" i="143" s="1"/>
  <c r="Z70" i="143"/>
  <c r="AF70" i="143" s="1"/>
  <c r="AD68" i="143"/>
  <c r="AB68" i="143"/>
  <c r="AA68" i="143"/>
  <c r="Z68" i="143"/>
  <c r="AD67" i="143"/>
  <c r="AJ67" i="143" s="1"/>
  <c r="AB67" i="143"/>
  <c r="AH67" i="143" s="1"/>
  <c r="Z67" i="143"/>
  <c r="AF67" i="143" s="1"/>
  <c r="AD49" i="143"/>
  <c r="AJ49" i="143" s="1"/>
  <c r="AB49" i="143"/>
  <c r="AH49" i="143" s="1"/>
  <c r="AA49" i="143"/>
  <c r="AG49" i="143" s="1"/>
  <c r="Z49" i="143"/>
  <c r="AF49" i="143" s="1"/>
  <c r="AD48" i="143"/>
  <c r="AB48" i="143"/>
  <c r="AA48" i="143"/>
  <c r="Z48" i="143"/>
  <c r="AD46" i="143"/>
  <c r="AJ46" i="143" s="1"/>
  <c r="AB46" i="143"/>
  <c r="AH46" i="143" s="1"/>
  <c r="AA46" i="143"/>
  <c r="AG46" i="143" s="1"/>
  <c r="Z46" i="143"/>
  <c r="AF46" i="143" s="1"/>
  <c r="AD45" i="143"/>
  <c r="AJ45" i="143" s="1"/>
  <c r="AB45" i="143"/>
  <c r="AH45" i="143" s="1"/>
  <c r="AA45" i="143"/>
  <c r="AG45" i="143" s="1"/>
  <c r="Z45" i="143"/>
  <c r="AF45" i="143" s="1"/>
  <c r="AD44" i="143"/>
  <c r="AJ44" i="143" s="1"/>
  <c r="AB44" i="143"/>
  <c r="AH44" i="143" s="1"/>
  <c r="AA44" i="143"/>
  <c r="AG44" i="143" s="1"/>
  <c r="Z44" i="143"/>
  <c r="AF44" i="143" s="1"/>
  <c r="AD43" i="143"/>
  <c r="AJ43" i="143" s="1"/>
  <c r="AB43" i="143"/>
  <c r="AH43" i="143" s="1"/>
  <c r="AA43" i="143"/>
  <c r="AG43" i="143" s="1"/>
  <c r="Z43" i="143"/>
  <c r="AF43" i="143" s="1"/>
  <c r="AD42" i="143"/>
  <c r="AJ42" i="143" s="1"/>
  <c r="AB42" i="143"/>
  <c r="AH42" i="143" s="1"/>
  <c r="AA42" i="143"/>
  <c r="AG42" i="143" s="1"/>
  <c r="Z42" i="143"/>
  <c r="AF42" i="143" s="1"/>
  <c r="AD41" i="143"/>
  <c r="AJ41" i="143" s="1"/>
  <c r="AB41" i="143"/>
  <c r="AH41" i="143" s="1"/>
  <c r="AA41" i="143"/>
  <c r="AG41" i="143" s="1"/>
  <c r="Z41" i="143"/>
  <c r="AF41" i="143" s="1"/>
  <c r="AD40" i="143"/>
  <c r="AJ40" i="143" s="1"/>
  <c r="AB40" i="143"/>
  <c r="AH40" i="143" s="1"/>
  <c r="AA40" i="143"/>
  <c r="AG40" i="143" s="1"/>
  <c r="Z40" i="143"/>
  <c r="AF40" i="143" s="1"/>
  <c r="AD39" i="143"/>
  <c r="AB39" i="143"/>
  <c r="AA39" i="143"/>
  <c r="Z39" i="143"/>
  <c r="AD37" i="143"/>
  <c r="AJ37" i="143" s="1"/>
  <c r="AB37" i="143"/>
  <c r="AH37" i="143" s="1"/>
  <c r="AA37" i="143"/>
  <c r="AG37" i="143" s="1"/>
  <c r="Z37" i="143"/>
  <c r="AF37" i="143" s="1"/>
  <c r="AD36" i="143"/>
  <c r="AJ36" i="143" s="1"/>
  <c r="AB36" i="143"/>
  <c r="AH36" i="143" s="1"/>
  <c r="AA36" i="143"/>
  <c r="AG36" i="143" s="1"/>
  <c r="Z36" i="143"/>
  <c r="AF36" i="143" s="1"/>
  <c r="AD35" i="143"/>
  <c r="AB35" i="143"/>
  <c r="AA35" i="143"/>
  <c r="Z35" i="143"/>
  <c r="AD33" i="143"/>
  <c r="AJ33" i="143" s="1"/>
  <c r="AH33" i="143"/>
  <c r="AH31" i="143" s="1"/>
  <c r="AG33" i="143"/>
  <c r="AG31" i="143" s="1"/>
  <c r="Z33" i="143"/>
  <c r="A126" i="143" l="1"/>
  <c r="A135" i="143"/>
  <c r="A134" i="143"/>
  <c r="A130" i="143"/>
  <c r="A139" i="143"/>
  <c r="A100" i="143"/>
  <c r="A99" i="143"/>
  <c r="A115" i="143"/>
  <c r="A125" i="143"/>
  <c r="A110" i="143"/>
  <c r="A104" i="143"/>
  <c r="A137" i="143"/>
  <c r="A101" i="143"/>
  <c r="A107" i="143"/>
  <c r="A112" i="143"/>
  <c r="A132" i="143"/>
  <c r="A131" i="143"/>
  <c r="A119" i="143"/>
  <c r="A136" i="143"/>
  <c r="A116" i="143"/>
  <c r="A133" i="143"/>
  <c r="A121" i="143"/>
  <c r="AG35" i="143"/>
  <c r="AG34" i="143" s="1"/>
  <c r="AA34" i="143"/>
  <c r="AJ35" i="143"/>
  <c r="AD34" i="143"/>
  <c r="AF76" i="143"/>
  <c r="AF75" i="143" s="1"/>
  <c r="Z75" i="143"/>
  <c r="AH51" i="143"/>
  <c r="AH50" i="143" s="1"/>
  <c r="AB50" i="143"/>
  <c r="AJ88" i="143"/>
  <c r="AJ87" i="143" s="1"/>
  <c r="AD87" i="143"/>
  <c r="AF39" i="143"/>
  <c r="AF38" i="143" s="1"/>
  <c r="Z38" i="143"/>
  <c r="AF48" i="143"/>
  <c r="AF47" i="143" s="1"/>
  <c r="Z47" i="143"/>
  <c r="AG76" i="143"/>
  <c r="AG75" i="143" s="1"/>
  <c r="AA75" i="143"/>
  <c r="AJ51" i="143"/>
  <c r="AJ50" i="143" s="1"/>
  <c r="AD50" i="143"/>
  <c r="AF79" i="143"/>
  <c r="AF78" i="143" s="1"/>
  <c r="Z78" i="143"/>
  <c r="AF82" i="143"/>
  <c r="AF81" i="143" s="1"/>
  <c r="Z81" i="143"/>
  <c r="A138" i="143"/>
  <c r="A147" i="143"/>
  <c r="AK129" i="143"/>
  <c r="A122" i="143"/>
  <c r="A109" i="143"/>
  <c r="AJ39" i="143"/>
  <c r="AJ38" i="143" s="1"/>
  <c r="AD38" i="143"/>
  <c r="AF33" i="143"/>
  <c r="AF31" i="143" s="1"/>
  <c r="Z31" i="143"/>
  <c r="AG39" i="143"/>
  <c r="AG38" i="143" s="1"/>
  <c r="AA38" i="143"/>
  <c r="AG48" i="143"/>
  <c r="AG47" i="143" s="1"/>
  <c r="AA47" i="143"/>
  <c r="AH76" i="143"/>
  <c r="AH75" i="143" s="1"/>
  <c r="AB75" i="143"/>
  <c r="AF58" i="143"/>
  <c r="AF57" i="143" s="1"/>
  <c r="Z57" i="143"/>
  <c r="AG79" i="143"/>
  <c r="AG78" i="143" s="1"/>
  <c r="AA78" i="143"/>
  <c r="AG82" i="143"/>
  <c r="AG81" i="143" s="1"/>
  <c r="AA81" i="143"/>
  <c r="A143" i="143"/>
  <c r="AE97" i="143"/>
  <c r="AL129" i="143"/>
  <c r="A103" i="143"/>
  <c r="A124" i="143"/>
  <c r="AH39" i="143"/>
  <c r="AH38" i="143" s="1"/>
  <c r="AB38" i="143"/>
  <c r="AH48" i="143"/>
  <c r="AH47" i="143" s="1"/>
  <c r="AB47" i="143"/>
  <c r="AJ76" i="143"/>
  <c r="AJ75" i="143" s="1"/>
  <c r="AD75" i="143"/>
  <c r="AG58" i="143"/>
  <c r="AG57" i="143" s="1"/>
  <c r="AA57" i="143"/>
  <c r="AH79" i="143"/>
  <c r="AH78" i="143" s="1"/>
  <c r="AB78" i="143"/>
  <c r="AH82" i="143"/>
  <c r="AH81" i="143" s="1"/>
  <c r="AB81" i="143"/>
  <c r="AK98" i="143"/>
  <c r="AJ48" i="143"/>
  <c r="AJ47" i="143" s="1"/>
  <c r="AD47" i="143"/>
  <c r="AF68" i="143"/>
  <c r="AF66" i="143" s="1"/>
  <c r="Z66" i="143"/>
  <c r="AF71" i="143"/>
  <c r="AF69" i="143" s="1"/>
  <c r="Z69" i="143"/>
  <c r="AF74" i="143"/>
  <c r="AF72" i="143" s="1"/>
  <c r="Z72" i="143"/>
  <c r="AH58" i="143"/>
  <c r="AH57" i="143" s="1"/>
  <c r="AB57" i="143"/>
  <c r="AJ79" i="143"/>
  <c r="AJ78" i="143" s="1"/>
  <c r="AD78" i="143"/>
  <c r="AJ82" i="143"/>
  <c r="AJ81" i="143" s="1"/>
  <c r="AD81" i="143"/>
  <c r="A114" i="143"/>
  <c r="AL113" i="143"/>
  <c r="AL98" i="143"/>
  <c r="AK145" i="143"/>
  <c r="A105" i="143"/>
  <c r="A111" i="143"/>
  <c r="A117" i="143"/>
  <c r="AG68" i="143"/>
  <c r="AG66" i="143" s="1"/>
  <c r="AA66" i="143"/>
  <c r="AG71" i="143"/>
  <c r="AG69" i="143" s="1"/>
  <c r="AA69" i="143"/>
  <c r="AG74" i="143"/>
  <c r="AG72" i="143" s="1"/>
  <c r="AA72" i="143"/>
  <c r="AJ58" i="143"/>
  <c r="AJ57" i="143" s="1"/>
  <c r="AD57" i="143"/>
  <c r="AF88" i="143"/>
  <c r="AF87" i="143" s="1"/>
  <c r="Z87" i="143"/>
  <c r="A144" i="143"/>
  <c r="A140" i="143"/>
  <c r="A106" i="143"/>
  <c r="A142" i="143"/>
  <c r="AF35" i="143"/>
  <c r="AF34" i="143" s="1"/>
  <c r="Z34" i="143"/>
  <c r="AH68" i="143"/>
  <c r="AH66" i="143" s="1"/>
  <c r="AB66" i="143"/>
  <c r="AH71" i="143"/>
  <c r="AH69" i="143" s="1"/>
  <c r="AB69" i="143"/>
  <c r="AH74" i="143"/>
  <c r="AH72" i="143" s="1"/>
  <c r="AB72" i="143"/>
  <c r="AF51" i="143"/>
  <c r="AF50" i="143" s="1"/>
  <c r="Z50" i="143"/>
  <c r="AG88" i="143"/>
  <c r="AG87" i="143" s="1"/>
  <c r="AA87" i="143"/>
  <c r="AK113" i="143"/>
  <c r="AL145" i="143"/>
  <c r="A120" i="143"/>
  <c r="A102" i="143"/>
  <c r="AH35" i="143"/>
  <c r="AH34" i="143" s="1"/>
  <c r="AB34" i="143"/>
  <c r="AJ68" i="143"/>
  <c r="AJ66" i="143" s="1"/>
  <c r="AD66" i="143"/>
  <c r="AJ71" i="143"/>
  <c r="AJ69" i="143" s="1"/>
  <c r="AD69" i="143"/>
  <c r="AJ74" i="143"/>
  <c r="AJ72" i="143" s="1"/>
  <c r="AD72" i="143"/>
  <c r="AG51" i="143"/>
  <c r="AG50" i="143" s="1"/>
  <c r="AA50" i="143"/>
  <c r="AH88" i="143"/>
  <c r="AH87" i="143" s="1"/>
  <c r="AB87" i="143"/>
  <c r="A118" i="143"/>
  <c r="A123" i="143"/>
  <c r="AJ34" i="143"/>
  <c r="AE84" i="143"/>
  <c r="AE35" i="143"/>
  <c r="AE37" i="143"/>
  <c r="AE40" i="143"/>
  <c r="AE42" i="143"/>
  <c r="AE44" i="143"/>
  <c r="AE46" i="143"/>
  <c r="AE49" i="143"/>
  <c r="AE43" i="143"/>
  <c r="AE45" i="143"/>
  <c r="AE48" i="143"/>
  <c r="AE52" i="143"/>
  <c r="AE54" i="143"/>
  <c r="AE58" i="143"/>
  <c r="AE60" i="143"/>
  <c r="AE62" i="143"/>
  <c r="AE64" i="143"/>
  <c r="AE51" i="143"/>
  <c r="AE53" i="143"/>
  <c r="AE55" i="143"/>
  <c r="AE59" i="143"/>
  <c r="AE61" i="143"/>
  <c r="AE63" i="143"/>
  <c r="AE77" i="143"/>
  <c r="AE70" i="143"/>
  <c r="AE73" i="143"/>
  <c r="AE76" i="143"/>
  <c r="AE79" i="143"/>
  <c r="AE82" i="143"/>
  <c r="AE86" i="143"/>
  <c r="AE89" i="143"/>
  <c r="AE91" i="143"/>
  <c r="AE36" i="143"/>
  <c r="AE41" i="143"/>
  <c r="AE67" i="143"/>
  <c r="AE33" i="143"/>
  <c r="AE39" i="143"/>
  <c r="AE68" i="143"/>
  <c r="AE71" i="143"/>
  <c r="AE74" i="143"/>
  <c r="AE80" i="143"/>
  <c r="AE83" i="143"/>
  <c r="AE85" i="143"/>
  <c r="AE88" i="143"/>
  <c r="AE90" i="143"/>
  <c r="AB8" i="143"/>
  <c r="AH8" i="143" s="1"/>
  <c r="AB10" i="143"/>
  <c r="AH10" i="143" s="1"/>
  <c r="AB12" i="143"/>
  <c r="AH12" i="143" s="1"/>
  <c r="AB13" i="143"/>
  <c r="AH13" i="143" s="1"/>
  <c r="AB14" i="143"/>
  <c r="AH14" i="143" s="1"/>
  <c r="AB15" i="143"/>
  <c r="AB16" i="143"/>
  <c r="AH16" i="143" s="1"/>
  <c r="AB17" i="143"/>
  <c r="AH17" i="143" s="1"/>
  <c r="AB19" i="143"/>
  <c r="AB20" i="143"/>
  <c r="AH20" i="143" s="1"/>
  <c r="AB24" i="143"/>
  <c r="AH24" i="143" s="1"/>
  <c r="AB7" i="143"/>
  <c r="AH30" i="143" l="1"/>
  <c r="AL97" i="143"/>
  <c r="AK97" i="143"/>
  <c r="AA65" i="143"/>
  <c r="AG30" i="143"/>
  <c r="AB30" i="143"/>
  <c r="AL46" i="143"/>
  <c r="AK46" i="143"/>
  <c r="AL68" i="143"/>
  <c r="AE66" i="143"/>
  <c r="AK68" i="143"/>
  <c r="AL86" i="143"/>
  <c r="AK86" i="143"/>
  <c r="AL61" i="143"/>
  <c r="AK61" i="143"/>
  <c r="AL58" i="143"/>
  <c r="AK58" i="143"/>
  <c r="AE57" i="143"/>
  <c r="AL44" i="143"/>
  <c r="AK44" i="143"/>
  <c r="AG7" i="143"/>
  <c r="AA9" i="143"/>
  <c r="AL71" i="143"/>
  <c r="AK71" i="143"/>
  <c r="AE69" i="143"/>
  <c r="AL89" i="143"/>
  <c r="AK89" i="143"/>
  <c r="AL60" i="143"/>
  <c r="AK60" i="143"/>
  <c r="AF30" i="143"/>
  <c r="AL90" i="143"/>
  <c r="AK90" i="143"/>
  <c r="AK39" i="143"/>
  <c r="AE38" i="143"/>
  <c r="AL39" i="143"/>
  <c r="AL82" i="143"/>
  <c r="AK82" i="143"/>
  <c r="AE81" i="143"/>
  <c r="AL59" i="143"/>
  <c r="AK59" i="143"/>
  <c r="AL54" i="143"/>
  <c r="AK54" i="143"/>
  <c r="AL42" i="143"/>
  <c r="AK42" i="143"/>
  <c r="AH19" i="143"/>
  <c r="AH21" i="143" s="1"/>
  <c r="AB21" i="143"/>
  <c r="AL63" i="143"/>
  <c r="AK63" i="143"/>
  <c r="AL88" i="143"/>
  <c r="AK88" i="143"/>
  <c r="AE87" i="143"/>
  <c r="AL33" i="143"/>
  <c r="AL31" i="143" s="1"/>
  <c r="AK33" i="143"/>
  <c r="AK31" i="143" s="1"/>
  <c r="AE31" i="143"/>
  <c r="AL79" i="143"/>
  <c r="AE78" i="143"/>
  <c r="AK79" i="143"/>
  <c r="AL55" i="143"/>
  <c r="AK55" i="143"/>
  <c r="AL52" i="143"/>
  <c r="AK52" i="143"/>
  <c r="AK40" i="143"/>
  <c r="AL40" i="143"/>
  <c r="Z65" i="143"/>
  <c r="Z56" i="143" s="1"/>
  <c r="AL85" i="143"/>
  <c r="AK85" i="143"/>
  <c r="AL67" i="143"/>
  <c r="AK67" i="143"/>
  <c r="AL76" i="143"/>
  <c r="AE75" i="143"/>
  <c r="AK76" i="143"/>
  <c r="AL53" i="143"/>
  <c r="AK53" i="143"/>
  <c r="AL48" i="143"/>
  <c r="AK48" i="143"/>
  <c r="AE47" i="143"/>
  <c r="AL37" i="143"/>
  <c r="AK37" i="143"/>
  <c r="AH7" i="143"/>
  <c r="AH9" i="143" s="1"/>
  <c r="AH11" i="143" s="1"/>
  <c r="AH18" i="143" s="1"/>
  <c r="AH22" i="143" s="1"/>
  <c r="AH25" i="143" s="1"/>
  <c r="AB9" i="143"/>
  <c r="AB11" i="143" s="1"/>
  <c r="AB18" i="143" s="1"/>
  <c r="AB22" i="143" s="1"/>
  <c r="AB25" i="143" s="1"/>
  <c r="AL83" i="143"/>
  <c r="AK83" i="143"/>
  <c r="AL41" i="143"/>
  <c r="AK41" i="143"/>
  <c r="AL73" i="143"/>
  <c r="AK73" i="143"/>
  <c r="AL51" i="143"/>
  <c r="AK51" i="143"/>
  <c r="AE50" i="143"/>
  <c r="AL45" i="143"/>
  <c r="AK45" i="143"/>
  <c r="AL35" i="143"/>
  <c r="AK35" i="143"/>
  <c r="AE34" i="143"/>
  <c r="AK34" i="143" s="1"/>
  <c r="AA56" i="143"/>
  <c r="AA30" i="143"/>
  <c r="AL80" i="143"/>
  <c r="AK80" i="143"/>
  <c r="AL36" i="143"/>
  <c r="AK36" i="143"/>
  <c r="AL70" i="143"/>
  <c r="AK70" i="143"/>
  <c r="AL64" i="143"/>
  <c r="AK64" i="143"/>
  <c r="AL43" i="143"/>
  <c r="AK43" i="143"/>
  <c r="AL84" i="143"/>
  <c r="AK84" i="143"/>
  <c r="AL74" i="143"/>
  <c r="AE72" i="143"/>
  <c r="AK74" i="143"/>
  <c r="A74" i="143" s="1"/>
  <c r="AL91" i="143"/>
  <c r="AK91" i="143"/>
  <c r="AL77" i="143"/>
  <c r="AK77" i="143"/>
  <c r="AL62" i="143"/>
  <c r="AK62" i="143"/>
  <c r="AL49" i="143"/>
  <c r="AK49" i="143"/>
  <c r="AD65" i="143"/>
  <c r="AD56" i="143" s="1"/>
  <c r="AB65" i="143"/>
  <c r="AB56" i="143" s="1"/>
  <c r="AB92" i="143" s="1"/>
  <c r="Z30" i="143"/>
  <c r="AJ65" i="143"/>
  <c r="AJ56" i="143" s="1"/>
  <c r="AH65" i="143"/>
  <c r="AH56" i="143" s="1"/>
  <c r="AG65" i="143"/>
  <c r="AG56" i="143" s="1"/>
  <c r="AF65" i="143"/>
  <c r="AF56" i="143" s="1"/>
  <c r="A35" i="143"/>
  <c r="AE15" i="143"/>
  <c r="AH15" i="143"/>
  <c r="Z7" i="143"/>
  <c r="A76" i="143" l="1"/>
  <c r="A88" i="143"/>
  <c r="A33" i="143"/>
  <c r="A79" i="143"/>
  <c r="A54" i="143"/>
  <c r="A68" i="143"/>
  <c r="A58" i="143"/>
  <c r="A71" i="143"/>
  <c r="A61" i="143"/>
  <c r="A64" i="143"/>
  <c r="AA92" i="143"/>
  <c r="A59" i="143"/>
  <c r="A41" i="143"/>
  <c r="Z92" i="143"/>
  <c r="A67" i="143"/>
  <c r="A51" i="143"/>
  <c r="A70" i="143"/>
  <c r="A73" i="143"/>
  <c r="A37" i="143"/>
  <c r="A77" i="143"/>
  <c r="A62" i="143"/>
  <c r="AL57" i="143"/>
  <c r="AL50" i="143"/>
  <c r="A91" i="143"/>
  <c r="A84" i="143"/>
  <c r="A36" i="143"/>
  <c r="AL72" i="143"/>
  <c r="AK47" i="143"/>
  <c r="A86" i="143"/>
  <c r="A49" i="143"/>
  <c r="A43" i="143"/>
  <c r="A80" i="143"/>
  <c r="A42" i="143"/>
  <c r="A85" i="143"/>
  <c r="AK78" i="143"/>
  <c r="AK50" i="143"/>
  <c r="A83" i="143"/>
  <c r="AL47" i="143"/>
  <c r="A55" i="143"/>
  <c r="AK87" i="143"/>
  <c r="AL81" i="143"/>
  <c r="A60" i="143"/>
  <c r="AL87" i="143"/>
  <c r="AL38" i="143"/>
  <c r="AF7" i="143"/>
  <c r="A53" i="143"/>
  <c r="A89" i="143"/>
  <c r="A44" i="143"/>
  <c r="AK66" i="143"/>
  <c r="AK81" i="143"/>
  <c r="AK75" i="143"/>
  <c r="AL78" i="143"/>
  <c r="AK38" i="143"/>
  <c r="AE65" i="143"/>
  <c r="AE56" i="143" s="1"/>
  <c r="AF92" i="143"/>
  <c r="AK72" i="143"/>
  <c r="AE30" i="143"/>
  <c r="A63" i="143"/>
  <c r="AK57" i="143"/>
  <c r="AK69" i="143"/>
  <c r="AL66" i="143"/>
  <c r="AL75" i="143"/>
  <c r="A90" i="143"/>
  <c r="AL69" i="143"/>
  <c r="AG92" i="143"/>
  <c r="AL34" i="143"/>
  <c r="A82" i="143"/>
  <c r="AH92" i="143"/>
  <c r="A45" i="143"/>
  <c r="A52" i="143"/>
  <c r="A46" i="143"/>
  <c r="AL15" i="143"/>
  <c r="AK15" i="143"/>
  <c r="AE7" i="143"/>
  <c r="AK30" i="143" l="1"/>
  <c r="AL65" i="143"/>
  <c r="AL56" i="143" s="1"/>
  <c r="AL30" i="143"/>
  <c r="AE92" i="143"/>
  <c r="AL7" i="143"/>
  <c r="AK65" i="143"/>
  <c r="AK56" i="143" s="1"/>
  <c r="AK92" i="143" s="1"/>
  <c r="AK7" i="143"/>
  <c r="AL92" i="143" l="1"/>
  <c r="Z24" i="143" l="1"/>
  <c r="AG23" i="143"/>
  <c r="Z23" i="143"/>
  <c r="Z20" i="143"/>
  <c r="AA19" i="143"/>
  <c r="AA21" i="143" s="1"/>
  <c r="Z19" i="143"/>
  <c r="AA17" i="143"/>
  <c r="AG17" i="143" s="1"/>
  <c r="Z17" i="143"/>
  <c r="AA16" i="143"/>
  <c r="AG16" i="143" s="1"/>
  <c r="Z16" i="143"/>
  <c r="AA14" i="143"/>
  <c r="AG14" i="143" s="1"/>
  <c r="Z14" i="143"/>
  <c r="AF14" i="143" s="1"/>
  <c r="AG13" i="143"/>
  <c r="Z13" i="143"/>
  <c r="Z12" i="143"/>
  <c r="AA10" i="143"/>
  <c r="Z10" i="143"/>
  <c r="Z8" i="143"/>
  <c r="Z9" i="143" s="1"/>
  <c r="AD15" i="143"/>
  <c r="Z21" i="143" l="1"/>
  <c r="Z11" i="143"/>
  <c r="Z18" i="143" s="1"/>
  <c r="Z22" i="143" s="1"/>
  <c r="Z25" i="143" s="1"/>
  <c r="AG10" i="143"/>
  <c r="AA11" i="143"/>
  <c r="AA18" i="143" s="1"/>
  <c r="AA22" i="143" s="1"/>
  <c r="AA25" i="143" s="1"/>
  <c r="AJ15" i="143"/>
  <c r="A15" i="143"/>
  <c r="AF23" i="143"/>
  <c r="AF8" i="143"/>
  <c r="AF9" i="143" s="1"/>
  <c r="AF24" i="143"/>
  <c r="AF17" i="143"/>
  <c r="AF16" i="143"/>
  <c r="AF13" i="143"/>
  <c r="AF19" i="143"/>
  <c r="AF20" i="143"/>
  <c r="AF10" i="143"/>
  <c r="AG8" i="143"/>
  <c r="AG9" i="143" s="1"/>
  <c r="AG11" i="143" s="1"/>
  <c r="AG18" i="143" s="1"/>
  <c r="AG22" i="143" s="1"/>
  <c r="AG25" i="143" s="1"/>
  <c r="AE12" i="143"/>
  <c r="AK12" i="143" s="1"/>
  <c r="AF12" i="143"/>
  <c r="AG19" i="143"/>
  <c r="AG21" i="143" s="1"/>
  <c r="AE17" i="143"/>
  <c r="AE10" i="143"/>
  <c r="AE8" i="143"/>
  <c r="AE9" i="143" s="1"/>
  <c r="AE16" i="143"/>
  <c r="AE23" i="143"/>
  <c r="AE24" i="143"/>
  <c r="AE13" i="143"/>
  <c r="AE19" i="143"/>
  <c r="AE14" i="143"/>
  <c r="AE20" i="143"/>
  <c r="AE11" i="143" l="1"/>
  <c r="AF11" i="143"/>
  <c r="AF18" i="143" s="1"/>
  <c r="AF21" i="143"/>
  <c r="AE18" i="143"/>
  <c r="AE21" i="143"/>
  <c r="AL12" i="143"/>
  <c r="AK19" i="143"/>
  <c r="AL19" i="143"/>
  <c r="AK8" i="143"/>
  <c r="AK9" i="143" s="1"/>
  <c r="AL8" i="143"/>
  <c r="AL9" i="143" s="1"/>
  <c r="AK20" i="143"/>
  <c r="AL20" i="143"/>
  <c r="AK10" i="143"/>
  <c r="AL10" i="143"/>
  <c r="AK23" i="143"/>
  <c r="AL23" i="143"/>
  <c r="AK14" i="143"/>
  <c r="AL14" i="143"/>
  <c r="X5" i="233" s="1"/>
  <c r="AK17" i="143"/>
  <c r="AL17" i="143"/>
  <c r="AK24" i="143"/>
  <c r="AL24" i="143"/>
  <c r="AK16" i="143"/>
  <c r="AL16" i="143"/>
  <c r="AK13" i="143"/>
  <c r="AL13" i="143"/>
  <c r="AD10" i="143"/>
  <c r="AD12" i="143"/>
  <c r="AD16" i="143"/>
  <c r="AD8" i="143"/>
  <c r="AD9" i="143" s="1"/>
  <c r="AD24" i="143"/>
  <c r="AD17" i="143"/>
  <c r="AD14" i="143"/>
  <c r="AJ14" i="143" s="1"/>
  <c r="AD13" i="143"/>
  <c r="AD23" i="143"/>
  <c r="X5" i="234" l="1"/>
  <c r="AB5" i="234" s="1"/>
  <c r="AB5" i="233"/>
  <c r="AF22" i="143"/>
  <c r="AF25" i="143" s="1"/>
  <c r="AK21" i="143"/>
  <c r="A20" i="143"/>
  <c r="AK11" i="143"/>
  <c r="AK18" i="143" s="1"/>
  <c r="AK22" i="143" s="1"/>
  <c r="AK25" i="143" s="1"/>
  <c r="AD11" i="143"/>
  <c r="AD18" i="143" s="1"/>
  <c r="AD22" i="143" s="1"/>
  <c r="AD25" i="143" s="1"/>
  <c r="A19" i="143"/>
  <c r="AL21" i="143"/>
  <c r="A21" i="143" s="1"/>
  <c r="AE22" i="143"/>
  <c r="AE25" i="143" s="1"/>
  <c r="AL11" i="143"/>
  <c r="AL18" i="143" s="1"/>
  <c r="AJ10" i="143"/>
  <c r="A14" i="143"/>
  <c r="AJ23" i="143"/>
  <c r="A23" i="143" s="1"/>
  <c r="AJ16" i="143"/>
  <c r="AJ24" i="143"/>
  <c r="A24" i="143" s="1"/>
  <c r="AJ12" i="143"/>
  <c r="A12" i="143" s="1"/>
  <c r="AJ13" i="143"/>
  <c r="AJ8" i="143"/>
  <c r="A8" i="143" s="1"/>
  <c r="AJ17" i="143"/>
  <c r="AA141" i="143"/>
  <c r="Z141" i="143"/>
  <c r="AL22" i="143" l="1"/>
  <c r="AL25" i="143" s="1"/>
  <c r="AF141" i="143"/>
  <c r="AF128" i="143" s="1"/>
  <c r="AF127" i="143" s="1"/>
  <c r="Z128" i="143"/>
  <c r="Z127" i="143" s="1"/>
  <c r="Z148" i="143" s="1"/>
  <c r="AG141" i="143"/>
  <c r="AG128" i="143" s="1"/>
  <c r="AG127" i="143" s="1"/>
  <c r="AA128" i="143"/>
  <c r="AA127" i="143" s="1"/>
  <c r="AA148" i="143" s="1"/>
  <c r="AA149" i="143" s="1"/>
  <c r="AJ7" i="143"/>
  <c r="A7" i="143" l="1"/>
  <c r="AJ9" i="143"/>
  <c r="A9" i="143" s="1"/>
  <c r="F98" i="13"/>
  <c r="F16" i="13"/>
  <c r="E115" i="13"/>
  <c r="F13" i="13"/>
  <c r="E94" i="13"/>
  <c r="F79" i="13"/>
  <c r="E84" i="13"/>
  <c r="E25" i="13"/>
  <c r="E20" i="13"/>
  <c r="E19" i="13"/>
  <c r="E108" i="13"/>
  <c r="E111" i="13"/>
  <c r="E40" i="13"/>
  <c r="F91" i="13"/>
  <c r="F28" i="13"/>
  <c r="E49" i="13"/>
  <c r="F75" i="13"/>
  <c r="F93" i="13"/>
  <c r="E59" i="13"/>
  <c r="E65" i="13"/>
  <c r="F82" i="13"/>
  <c r="E61" i="13"/>
  <c r="E82" i="13"/>
  <c r="E15" i="13"/>
  <c r="E109" i="13"/>
  <c r="F83" i="13"/>
  <c r="F92" i="13"/>
  <c r="F50" i="13"/>
  <c r="E107" i="13"/>
  <c r="F114" i="13"/>
  <c r="F110" i="13"/>
  <c r="E95" i="13"/>
  <c r="E119" i="13"/>
  <c r="E31" i="13"/>
  <c r="E85" i="13"/>
  <c r="E67" i="13"/>
  <c r="E97" i="13"/>
  <c r="E17" i="13"/>
  <c r="F115" i="13"/>
  <c r="E98" i="13"/>
  <c r="F29" i="13"/>
  <c r="E56" i="13"/>
  <c r="F38" i="13"/>
  <c r="F43" i="13"/>
  <c r="F30" i="13"/>
  <c r="E86" i="13"/>
  <c r="F36" i="13"/>
  <c r="E39" i="13"/>
  <c r="E12" i="13"/>
  <c r="E8" i="13"/>
  <c r="E96" i="13"/>
  <c r="F77" i="13"/>
  <c r="G49" i="13"/>
  <c r="H49" i="13" s="1"/>
  <c r="F60" i="13"/>
  <c r="F94" i="13"/>
  <c r="F46" i="13"/>
  <c r="F105" i="13"/>
  <c r="F122" i="13"/>
  <c r="F101" i="13"/>
  <c r="F95" i="13"/>
  <c r="E66" i="13"/>
  <c r="F113" i="13"/>
  <c r="E81" i="13"/>
  <c r="E106" i="13"/>
  <c r="E89" i="13"/>
  <c r="E62" i="13"/>
  <c r="E58" i="13"/>
  <c r="E100" i="13"/>
  <c r="E114" i="13"/>
  <c r="E60" i="13"/>
  <c r="F61" i="13"/>
  <c r="F22" i="13"/>
  <c r="E22" i="13"/>
  <c r="F89" i="13"/>
  <c r="F81" i="13"/>
  <c r="E29" i="13"/>
  <c r="F49" i="13"/>
  <c r="F100" i="13"/>
  <c r="E78" i="13"/>
  <c r="F76" i="13"/>
  <c r="F11" i="13"/>
  <c r="E21" i="13"/>
  <c r="F121" i="13"/>
  <c r="F15" i="13"/>
  <c r="E36" i="13"/>
  <c r="E79" i="13"/>
  <c r="F53" i="13"/>
  <c r="E52" i="13"/>
  <c r="F90" i="13"/>
  <c r="F55" i="13"/>
  <c r="E110" i="13"/>
  <c r="F66" i="13"/>
  <c r="F64" i="13"/>
  <c r="F19" i="13"/>
  <c r="E44" i="13"/>
  <c r="F59" i="13"/>
  <c r="E122" i="13"/>
  <c r="E50" i="13"/>
  <c r="F65" i="13"/>
  <c r="F99" i="13"/>
  <c r="E113" i="13"/>
  <c r="E121" i="13"/>
  <c r="F44" i="13"/>
  <c r="E18" i="13"/>
  <c r="E76" i="13"/>
  <c r="F86" i="13"/>
  <c r="F34" i="13"/>
  <c r="E37" i="13"/>
  <c r="F20" i="13"/>
  <c r="F21" i="13"/>
  <c r="E91" i="13"/>
  <c r="F40" i="13"/>
  <c r="E16" i="13"/>
  <c r="F25" i="13"/>
  <c r="E99" i="13"/>
  <c r="F80" i="13"/>
  <c r="E105" i="13"/>
  <c r="E90" i="13"/>
  <c r="E75" i="13"/>
  <c r="E87" i="13"/>
  <c r="F52" i="13"/>
  <c r="F39" i="13"/>
  <c r="F31" i="13"/>
  <c r="E55" i="13"/>
  <c r="E80" i="13"/>
  <c r="E112" i="13"/>
  <c r="F109" i="13"/>
  <c r="F85" i="13"/>
  <c r="F67" i="13"/>
  <c r="E13" i="13"/>
  <c r="F96" i="13"/>
  <c r="E64" i="13"/>
  <c r="E9" i="13"/>
  <c r="E43" i="13"/>
  <c r="F112" i="13"/>
  <c r="F56" i="13"/>
  <c r="F35" i="13"/>
  <c r="F111" i="13"/>
  <c r="F8" i="13"/>
  <c r="E93" i="13"/>
  <c r="F17" i="13"/>
  <c r="E28" i="13"/>
  <c r="F106" i="13"/>
  <c r="E101" i="13"/>
  <c r="F119" i="13"/>
  <c r="F18" i="13"/>
  <c r="E77" i="13"/>
  <c r="F107" i="13"/>
  <c r="E53" i="13"/>
  <c r="E83" i="13"/>
  <c r="F87" i="13"/>
  <c r="E92" i="13"/>
  <c r="F27" i="13"/>
  <c r="F37" i="13"/>
  <c r="F84" i="13"/>
  <c r="F97" i="13"/>
  <c r="E27" i="13"/>
  <c r="E11" i="13"/>
  <c r="F78" i="13"/>
  <c r="F108" i="13"/>
  <c r="E35" i="13"/>
  <c r="F12" i="13"/>
  <c r="E30" i="13"/>
  <c r="E38" i="13"/>
  <c r="F62" i="13"/>
  <c r="F58" i="13"/>
  <c r="E34" i="13"/>
  <c r="AJ11" i="143" l="1"/>
  <c r="AJ18" i="143" s="1"/>
  <c r="AJ22" i="143" s="1"/>
  <c r="AJ25" i="143" s="1"/>
  <c r="A5" i="143"/>
  <c r="A18" i="143"/>
  <c r="G105" i="13"/>
  <c r="H105" i="13" s="1"/>
  <c r="G107" i="13"/>
  <c r="H107" i="13" s="1"/>
  <c r="I107" i="13" s="1"/>
  <c r="J107" i="13" s="1"/>
  <c r="K107" i="13" s="1"/>
  <c r="L107" i="13" s="1"/>
  <c r="M107" i="13" s="1"/>
  <c r="N107" i="13" s="1"/>
  <c r="O107" i="13" s="1"/>
  <c r="P107" i="13" s="1"/>
  <c r="Q107" i="13" s="1"/>
  <c r="AG148" i="143"/>
  <c r="I49" i="13"/>
  <c r="H48" i="13"/>
  <c r="G9" i="13"/>
  <c r="F24" i="13"/>
  <c r="F51" i="13"/>
  <c r="E24" i="13"/>
  <c r="P149" i="143"/>
  <c r="F54" i="13"/>
  <c r="I149" i="143"/>
  <c r="E10" i="13"/>
  <c r="E14" i="13"/>
  <c r="E33" i="13"/>
  <c r="E26" i="13"/>
  <c r="E7" i="13"/>
  <c r="F57" i="13"/>
  <c r="F10" i="13"/>
  <c r="E57" i="13"/>
  <c r="E42" i="13"/>
  <c r="F33" i="13"/>
  <c r="E48" i="13"/>
  <c r="F26" i="13"/>
  <c r="F14" i="13"/>
  <c r="F88" i="13"/>
  <c r="E54" i="13"/>
  <c r="F7" i="13"/>
  <c r="E46" i="13"/>
  <c r="E47" i="13"/>
  <c r="F47" i="13"/>
  <c r="F74" i="13"/>
  <c r="E74" i="13"/>
  <c r="A129" i="143" l="1"/>
  <c r="A22" i="143"/>
  <c r="A11" i="143"/>
  <c r="J49" i="13"/>
  <c r="I48" i="13"/>
  <c r="F23" i="13"/>
  <c r="F45" i="13"/>
  <c r="E23" i="13"/>
  <c r="H9" i="13"/>
  <c r="Z149" i="143"/>
  <c r="F73" i="13"/>
  <c r="E45" i="13"/>
  <c r="A34" i="143"/>
  <c r="G149" i="143"/>
  <c r="G64" i="13"/>
  <c r="H64" i="13" s="1"/>
  <c r="G58" i="13"/>
  <c r="G24" i="13"/>
  <c r="G93" i="13"/>
  <c r="H93" i="13" s="1"/>
  <c r="I93" i="13" s="1"/>
  <c r="J93" i="13" s="1"/>
  <c r="K93" i="13" s="1"/>
  <c r="L93" i="13" s="1"/>
  <c r="M93" i="13" s="1"/>
  <c r="N93" i="13" s="1"/>
  <c r="O93" i="13" s="1"/>
  <c r="P93" i="13" s="1"/>
  <c r="Q93" i="13" s="1"/>
  <c r="G95" i="13"/>
  <c r="H95" i="13" s="1"/>
  <c r="I95" i="13" s="1"/>
  <c r="J95" i="13" s="1"/>
  <c r="K95" i="13" s="1"/>
  <c r="L95" i="13" s="1"/>
  <c r="M95" i="13" s="1"/>
  <c r="N95" i="13" s="1"/>
  <c r="O95" i="13" s="1"/>
  <c r="P95" i="13" s="1"/>
  <c r="Q95" i="13" s="1"/>
  <c r="G16" i="13"/>
  <c r="G55" i="13"/>
  <c r="H55" i="13" s="1"/>
  <c r="I55" i="13" s="1"/>
  <c r="J55" i="13" s="1"/>
  <c r="K55" i="13" s="1"/>
  <c r="L55" i="13" s="1"/>
  <c r="M55" i="13" s="1"/>
  <c r="N55" i="13" s="1"/>
  <c r="O55" i="13" s="1"/>
  <c r="P55" i="13" s="1"/>
  <c r="Q55" i="13" s="1"/>
  <c r="A72" i="143"/>
  <c r="G121" i="13"/>
  <c r="G43" i="13"/>
  <c r="H43" i="13" s="1"/>
  <c r="I43" i="13" s="1"/>
  <c r="J43" i="13" s="1"/>
  <c r="K43" i="13" s="1"/>
  <c r="L43" i="13" s="1"/>
  <c r="M43" i="13" s="1"/>
  <c r="N43" i="13" s="1"/>
  <c r="O43" i="13" s="1"/>
  <c r="P43" i="13" s="1"/>
  <c r="Q43" i="13" s="1"/>
  <c r="G98" i="13"/>
  <c r="H98" i="13" s="1"/>
  <c r="I98" i="13" s="1"/>
  <c r="J98" i="13" s="1"/>
  <c r="K98" i="13" s="1"/>
  <c r="L98" i="13" s="1"/>
  <c r="M98" i="13" s="1"/>
  <c r="N98" i="13" s="1"/>
  <c r="O98" i="13" s="1"/>
  <c r="P98" i="13" s="1"/>
  <c r="Q98" i="13" s="1"/>
  <c r="G89" i="13"/>
  <c r="H89" i="13" s="1"/>
  <c r="I89" i="13" s="1"/>
  <c r="J89" i="13" s="1"/>
  <c r="K89" i="13" s="1"/>
  <c r="L89" i="13" s="1"/>
  <c r="M89" i="13" s="1"/>
  <c r="N89" i="13" s="1"/>
  <c r="O89" i="13" s="1"/>
  <c r="P89" i="13" s="1"/>
  <c r="Q89" i="13" s="1"/>
  <c r="G15" i="13"/>
  <c r="A69" i="143"/>
  <c r="F45" i="210" l="1"/>
  <c r="H16" i="13"/>
  <c r="G45" i="210" s="1"/>
  <c r="F6" i="13"/>
  <c r="K49" i="13"/>
  <c r="J48" i="13"/>
  <c r="I9" i="13"/>
  <c r="E41" i="13"/>
  <c r="F72" i="13"/>
  <c r="G96" i="13"/>
  <c r="I64" i="13"/>
  <c r="J64" i="13" s="1"/>
  <c r="AF148" i="143"/>
  <c r="G122" i="13"/>
  <c r="G110" i="13"/>
  <c r="H110" i="13" s="1"/>
  <c r="I110" i="13" s="1"/>
  <c r="J110" i="13" s="1"/>
  <c r="K110" i="13" s="1"/>
  <c r="L110" i="13" s="1"/>
  <c r="M110" i="13" s="1"/>
  <c r="N110" i="13" s="1"/>
  <c r="O110" i="13" s="1"/>
  <c r="P110" i="13" s="1"/>
  <c r="Q110" i="13" s="1"/>
  <c r="G119" i="13"/>
  <c r="G109" i="13"/>
  <c r="H109" i="13" s="1"/>
  <c r="I109" i="13" s="1"/>
  <c r="J109" i="13" s="1"/>
  <c r="K109" i="13" s="1"/>
  <c r="L109" i="13" s="1"/>
  <c r="M109" i="13" s="1"/>
  <c r="N109" i="13" s="1"/>
  <c r="O109" i="13" s="1"/>
  <c r="P109" i="13" s="1"/>
  <c r="Q109" i="13" s="1"/>
  <c r="G115" i="13"/>
  <c r="H115" i="13" s="1"/>
  <c r="I115" i="13" s="1"/>
  <c r="J115" i="13" s="1"/>
  <c r="K115" i="13" s="1"/>
  <c r="L115" i="13" s="1"/>
  <c r="M115" i="13" s="1"/>
  <c r="N115" i="13" s="1"/>
  <c r="O115" i="13" s="1"/>
  <c r="P115" i="13" s="1"/>
  <c r="Q115" i="13" s="1"/>
  <c r="G112" i="13"/>
  <c r="H112" i="13" s="1"/>
  <c r="I112" i="13" s="1"/>
  <c r="J112" i="13" s="1"/>
  <c r="K112" i="13" s="1"/>
  <c r="L112" i="13" s="1"/>
  <c r="M112" i="13" s="1"/>
  <c r="N112" i="13" s="1"/>
  <c r="O112" i="13" s="1"/>
  <c r="P112" i="13" s="1"/>
  <c r="Q112" i="13" s="1"/>
  <c r="G108" i="13"/>
  <c r="H108" i="13" s="1"/>
  <c r="I108" i="13" s="1"/>
  <c r="J108" i="13" s="1"/>
  <c r="K108" i="13" s="1"/>
  <c r="L108" i="13" s="1"/>
  <c r="M108" i="13" s="1"/>
  <c r="N108" i="13" s="1"/>
  <c r="O108" i="13" s="1"/>
  <c r="P108" i="13" s="1"/>
  <c r="Q108" i="13" s="1"/>
  <c r="G114" i="13"/>
  <c r="H114" i="13" s="1"/>
  <c r="I114" i="13" s="1"/>
  <c r="J114" i="13" s="1"/>
  <c r="K114" i="13" s="1"/>
  <c r="L114" i="13" s="1"/>
  <c r="M114" i="13" s="1"/>
  <c r="N114" i="13" s="1"/>
  <c r="O114" i="13" s="1"/>
  <c r="P114" i="13" s="1"/>
  <c r="Q114" i="13" s="1"/>
  <c r="G111" i="13"/>
  <c r="H111" i="13" s="1"/>
  <c r="I111" i="13" s="1"/>
  <c r="J111" i="13" s="1"/>
  <c r="K111" i="13" s="1"/>
  <c r="L111" i="13" s="1"/>
  <c r="M111" i="13" s="1"/>
  <c r="N111" i="13" s="1"/>
  <c r="O111" i="13" s="1"/>
  <c r="P111" i="13" s="1"/>
  <c r="Q111" i="13" s="1"/>
  <c r="G106" i="13"/>
  <c r="H106" i="13" s="1"/>
  <c r="G113" i="13"/>
  <c r="H113" i="13" s="1"/>
  <c r="I113" i="13" s="1"/>
  <c r="J113" i="13" s="1"/>
  <c r="K113" i="13" s="1"/>
  <c r="L113" i="13" s="1"/>
  <c r="M113" i="13" s="1"/>
  <c r="N113" i="13" s="1"/>
  <c r="O113" i="13" s="1"/>
  <c r="P113" i="13" s="1"/>
  <c r="Q113" i="13" s="1"/>
  <c r="G97" i="13"/>
  <c r="H97" i="13" s="1"/>
  <c r="I97" i="13" s="1"/>
  <c r="J97" i="13" s="1"/>
  <c r="K97" i="13" s="1"/>
  <c r="L97" i="13" s="1"/>
  <c r="M97" i="13" s="1"/>
  <c r="N97" i="13" s="1"/>
  <c r="O97" i="13" s="1"/>
  <c r="P97" i="13" s="1"/>
  <c r="Q97" i="13" s="1"/>
  <c r="G67" i="13"/>
  <c r="G12" i="13"/>
  <c r="H12" i="13" s="1"/>
  <c r="I12" i="13" s="1"/>
  <c r="J12" i="13" s="1"/>
  <c r="K12" i="13" s="1"/>
  <c r="L12" i="13" s="1"/>
  <c r="M12" i="13" s="1"/>
  <c r="N12" i="13" s="1"/>
  <c r="O12" i="13" s="1"/>
  <c r="P12" i="13" s="1"/>
  <c r="Q12" i="13" s="1"/>
  <c r="G85" i="13"/>
  <c r="H85" i="13" s="1"/>
  <c r="I85" i="13" s="1"/>
  <c r="J85" i="13" s="1"/>
  <c r="K85" i="13" s="1"/>
  <c r="L85" i="13" s="1"/>
  <c r="M85" i="13" s="1"/>
  <c r="N85" i="13" s="1"/>
  <c r="O85" i="13" s="1"/>
  <c r="P85" i="13" s="1"/>
  <c r="Q85" i="13" s="1"/>
  <c r="G44" i="13"/>
  <c r="I44" i="13" s="1"/>
  <c r="J44" i="13" s="1"/>
  <c r="K44" i="13" s="1"/>
  <c r="L44" i="13" s="1"/>
  <c r="M44" i="13" s="1"/>
  <c r="N44" i="13" s="1"/>
  <c r="O44" i="13" s="1"/>
  <c r="P44" i="13" s="1"/>
  <c r="Q44" i="13" s="1"/>
  <c r="G87" i="13"/>
  <c r="H87" i="13" s="1"/>
  <c r="I87" i="13" s="1"/>
  <c r="J87" i="13" s="1"/>
  <c r="K87" i="13" s="1"/>
  <c r="L87" i="13" s="1"/>
  <c r="M87" i="13" s="1"/>
  <c r="N87" i="13" s="1"/>
  <c r="O87" i="13" s="1"/>
  <c r="P87" i="13" s="1"/>
  <c r="Q87" i="13" s="1"/>
  <c r="G17" i="13"/>
  <c r="H17" i="13" s="1"/>
  <c r="G19" i="13"/>
  <c r="H19" i="13" s="1"/>
  <c r="I19" i="13" s="1"/>
  <c r="J19" i="13" s="1"/>
  <c r="K19" i="13" s="1"/>
  <c r="L19" i="13" s="1"/>
  <c r="M19" i="13" s="1"/>
  <c r="N19" i="13" s="1"/>
  <c r="O19" i="13" s="1"/>
  <c r="P19" i="13" s="1"/>
  <c r="Q19" i="13" s="1"/>
  <c r="G84" i="13"/>
  <c r="H84" i="13" s="1"/>
  <c r="I84" i="13" s="1"/>
  <c r="J84" i="13" s="1"/>
  <c r="K84" i="13" s="1"/>
  <c r="L84" i="13" s="1"/>
  <c r="M84" i="13" s="1"/>
  <c r="N84" i="13" s="1"/>
  <c r="O84" i="13" s="1"/>
  <c r="P84" i="13" s="1"/>
  <c r="Q84" i="13" s="1"/>
  <c r="G50" i="13"/>
  <c r="G31" i="13"/>
  <c r="H31" i="13" s="1"/>
  <c r="I31" i="13" s="1"/>
  <c r="J31" i="13" s="1"/>
  <c r="K31" i="13" s="1"/>
  <c r="L31" i="13" s="1"/>
  <c r="M31" i="13" s="1"/>
  <c r="N31" i="13" s="1"/>
  <c r="O31" i="13" s="1"/>
  <c r="P31" i="13" s="1"/>
  <c r="Q31" i="13" s="1"/>
  <c r="G52" i="13"/>
  <c r="G30" i="13"/>
  <c r="H30" i="13" s="1"/>
  <c r="I30" i="13" s="1"/>
  <c r="J30" i="13" s="1"/>
  <c r="K30" i="13" s="1"/>
  <c r="L30" i="13" s="1"/>
  <c r="M30" i="13" s="1"/>
  <c r="N30" i="13" s="1"/>
  <c r="O30" i="13" s="1"/>
  <c r="P30" i="13" s="1"/>
  <c r="Q30" i="13" s="1"/>
  <c r="G56" i="13"/>
  <c r="G66" i="13"/>
  <c r="G35" i="13"/>
  <c r="H35" i="13" s="1"/>
  <c r="I35" i="13" s="1"/>
  <c r="J35" i="13" s="1"/>
  <c r="K35" i="13" s="1"/>
  <c r="L35" i="13" s="1"/>
  <c r="M35" i="13" s="1"/>
  <c r="N35" i="13" s="1"/>
  <c r="O35" i="13" s="1"/>
  <c r="P35" i="13" s="1"/>
  <c r="Q35" i="13" s="1"/>
  <c r="G83" i="13"/>
  <c r="G82" i="13"/>
  <c r="H82" i="13" s="1"/>
  <c r="I82" i="13" s="1"/>
  <c r="J82" i="13" s="1"/>
  <c r="K82" i="13" s="1"/>
  <c r="L82" i="13" s="1"/>
  <c r="M82" i="13" s="1"/>
  <c r="N82" i="13" s="1"/>
  <c r="O82" i="13" s="1"/>
  <c r="P82" i="13" s="1"/>
  <c r="Q82" i="13" s="1"/>
  <c r="G18" i="13"/>
  <c r="H18" i="13" s="1"/>
  <c r="I18" i="13" s="1"/>
  <c r="J18" i="13" s="1"/>
  <c r="K18" i="13" s="1"/>
  <c r="L18" i="13" s="1"/>
  <c r="M18" i="13" s="1"/>
  <c r="N18" i="13" s="1"/>
  <c r="O18" i="13" s="1"/>
  <c r="P18" i="13" s="1"/>
  <c r="Q18" i="13" s="1"/>
  <c r="G94" i="13"/>
  <c r="H94" i="13" s="1"/>
  <c r="I94" i="13" s="1"/>
  <c r="J94" i="13" s="1"/>
  <c r="K94" i="13" s="1"/>
  <c r="L94" i="13" s="1"/>
  <c r="M94" i="13" s="1"/>
  <c r="N94" i="13" s="1"/>
  <c r="O94" i="13" s="1"/>
  <c r="P94" i="13" s="1"/>
  <c r="Q94" i="13" s="1"/>
  <c r="G39" i="13"/>
  <c r="H39" i="13" s="1"/>
  <c r="I39" i="13" s="1"/>
  <c r="J39" i="13" s="1"/>
  <c r="K39" i="13" s="1"/>
  <c r="L39" i="13" s="1"/>
  <c r="M39" i="13" s="1"/>
  <c r="N39" i="13" s="1"/>
  <c r="O39" i="13" s="1"/>
  <c r="P39" i="13" s="1"/>
  <c r="Q39" i="13" s="1"/>
  <c r="G25" i="13"/>
  <c r="H25" i="13" s="1"/>
  <c r="I25" i="13" s="1"/>
  <c r="J25" i="13" s="1"/>
  <c r="K25" i="13" s="1"/>
  <c r="L25" i="13" s="1"/>
  <c r="M25" i="13" s="1"/>
  <c r="N25" i="13" s="1"/>
  <c r="O25" i="13" s="1"/>
  <c r="P25" i="13" s="1"/>
  <c r="Q25" i="13" s="1"/>
  <c r="G13" i="13"/>
  <c r="G74" i="13"/>
  <c r="G28" i="13"/>
  <c r="H28" i="13" s="1"/>
  <c r="I28" i="13" s="1"/>
  <c r="J28" i="13" s="1"/>
  <c r="K28" i="13" s="1"/>
  <c r="L28" i="13" s="1"/>
  <c r="M28" i="13" s="1"/>
  <c r="N28" i="13" s="1"/>
  <c r="O28" i="13" s="1"/>
  <c r="P28" i="13" s="1"/>
  <c r="Q28" i="13" s="1"/>
  <c r="G77" i="13"/>
  <c r="H77" i="13" s="1"/>
  <c r="I77" i="13" s="1"/>
  <c r="J77" i="13" s="1"/>
  <c r="K77" i="13" s="1"/>
  <c r="L77" i="13" s="1"/>
  <c r="M77" i="13" s="1"/>
  <c r="N77" i="13" s="1"/>
  <c r="O77" i="13" s="1"/>
  <c r="P77" i="13" s="1"/>
  <c r="Q77" i="13" s="1"/>
  <c r="G80" i="13"/>
  <c r="H80" i="13" s="1"/>
  <c r="I80" i="13" s="1"/>
  <c r="J80" i="13" s="1"/>
  <c r="K80" i="13" s="1"/>
  <c r="L80" i="13" s="1"/>
  <c r="M80" i="13" s="1"/>
  <c r="N80" i="13" s="1"/>
  <c r="O80" i="13" s="1"/>
  <c r="P80" i="13" s="1"/>
  <c r="Q80" i="13" s="1"/>
  <c r="G38" i="13"/>
  <c r="H38" i="13" s="1"/>
  <c r="I38" i="13" s="1"/>
  <c r="J38" i="13" s="1"/>
  <c r="K38" i="13" s="1"/>
  <c r="L38" i="13" s="1"/>
  <c r="M38" i="13" s="1"/>
  <c r="N38" i="13" s="1"/>
  <c r="O38" i="13" s="1"/>
  <c r="P38" i="13" s="1"/>
  <c r="Q38" i="13" s="1"/>
  <c r="G59" i="13"/>
  <c r="G86" i="13"/>
  <c r="H86" i="13" s="1"/>
  <c r="I86" i="13" s="1"/>
  <c r="J86" i="13" s="1"/>
  <c r="K86" i="13" s="1"/>
  <c r="L86" i="13" s="1"/>
  <c r="M86" i="13" s="1"/>
  <c r="N86" i="13" s="1"/>
  <c r="O86" i="13" s="1"/>
  <c r="P86" i="13" s="1"/>
  <c r="Q86" i="13" s="1"/>
  <c r="G101" i="13"/>
  <c r="H101" i="13" s="1"/>
  <c r="I101" i="13" s="1"/>
  <c r="J101" i="13" s="1"/>
  <c r="K101" i="13" s="1"/>
  <c r="L101" i="13" s="1"/>
  <c r="M101" i="13" s="1"/>
  <c r="N101" i="13" s="1"/>
  <c r="O101" i="13" s="1"/>
  <c r="P101" i="13" s="1"/>
  <c r="Q101" i="13" s="1"/>
  <c r="G29" i="13"/>
  <c r="H29" i="13" s="1"/>
  <c r="I29" i="13" s="1"/>
  <c r="J29" i="13" s="1"/>
  <c r="K29" i="13" s="1"/>
  <c r="L29" i="13" s="1"/>
  <c r="M29" i="13" s="1"/>
  <c r="N29" i="13" s="1"/>
  <c r="O29" i="13" s="1"/>
  <c r="P29" i="13" s="1"/>
  <c r="Q29" i="13" s="1"/>
  <c r="G27" i="13"/>
  <c r="H27" i="13" s="1"/>
  <c r="I27" i="13" s="1"/>
  <c r="J27" i="13" s="1"/>
  <c r="K27" i="13" s="1"/>
  <c r="L27" i="13" s="1"/>
  <c r="M27" i="13" s="1"/>
  <c r="N27" i="13" s="1"/>
  <c r="O27" i="13" s="1"/>
  <c r="P27" i="13" s="1"/>
  <c r="Q27" i="13" s="1"/>
  <c r="G47" i="13"/>
  <c r="G75" i="13"/>
  <c r="H75" i="13" s="1"/>
  <c r="I75" i="13" s="1"/>
  <c r="J75" i="13" s="1"/>
  <c r="K75" i="13" s="1"/>
  <c r="L75" i="13" s="1"/>
  <c r="M75" i="13" s="1"/>
  <c r="N75" i="13" s="1"/>
  <c r="O75" i="13" s="1"/>
  <c r="P75" i="13" s="1"/>
  <c r="Q75" i="13" s="1"/>
  <c r="G21" i="13"/>
  <c r="H21" i="13" s="1"/>
  <c r="I21" i="13" s="1"/>
  <c r="J21" i="13" s="1"/>
  <c r="K21" i="13" s="1"/>
  <c r="L21" i="13" s="1"/>
  <c r="M21" i="13" s="1"/>
  <c r="N21" i="13" s="1"/>
  <c r="O21" i="13" s="1"/>
  <c r="P21" i="13" s="1"/>
  <c r="Q21" i="13" s="1"/>
  <c r="G37" i="13"/>
  <c r="H37" i="13" s="1"/>
  <c r="I37" i="13" s="1"/>
  <c r="J37" i="13" s="1"/>
  <c r="K37" i="13" s="1"/>
  <c r="L37" i="13" s="1"/>
  <c r="M37" i="13" s="1"/>
  <c r="N37" i="13" s="1"/>
  <c r="O37" i="13" s="1"/>
  <c r="P37" i="13" s="1"/>
  <c r="Q37" i="13" s="1"/>
  <c r="G79" i="13"/>
  <c r="H79" i="13" s="1"/>
  <c r="I79" i="13" s="1"/>
  <c r="J79" i="13" s="1"/>
  <c r="K79" i="13" s="1"/>
  <c r="L79" i="13" s="1"/>
  <c r="M79" i="13" s="1"/>
  <c r="N79" i="13" s="1"/>
  <c r="O79" i="13" s="1"/>
  <c r="P79" i="13" s="1"/>
  <c r="Q79" i="13" s="1"/>
  <c r="G36" i="13"/>
  <c r="H36" i="13" s="1"/>
  <c r="I36" i="13" s="1"/>
  <c r="J36" i="13" s="1"/>
  <c r="K36" i="13" s="1"/>
  <c r="L36" i="13" s="1"/>
  <c r="M36" i="13" s="1"/>
  <c r="N36" i="13" s="1"/>
  <c r="O36" i="13" s="1"/>
  <c r="P36" i="13" s="1"/>
  <c r="Q36" i="13" s="1"/>
  <c r="G53" i="13"/>
  <c r="H53" i="13" s="1"/>
  <c r="I53" i="13" s="1"/>
  <c r="J53" i="13" s="1"/>
  <c r="K53" i="13" s="1"/>
  <c r="L53" i="13" s="1"/>
  <c r="M53" i="13" s="1"/>
  <c r="N53" i="13" s="1"/>
  <c r="O53" i="13" s="1"/>
  <c r="P53" i="13" s="1"/>
  <c r="Q53" i="13" s="1"/>
  <c r="G78" i="13"/>
  <c r="H78" i="13" s="1"/>
  <c r="I78" i="13" s="1"/>
  <c r="J78" i="13" s="1"/>
  <c r="K78" i="13" s="1"/>
  <c r="L78" i="13" s="1"/>
  <c r="M78" i="13" s="1"/>
  <c r="N78" i="13" s="1"/>
  <c r="O78" i="13" s="1"/>
  <c r="P78" i="13" s="1"/>
  <c r="Q78" i="13" s="1"/>
  <c r="G40" i="13"/>
  <c r="H40" i="13" s="1"/>
  <c r="I40" i="13" s="1"/>
  <c r="J40" i="13" s="1"/>
  <c r="K40" i="13" s="1"/>
  <c r="L40" i="13" s="1"/>
  <c r="M40" i="13" s="1"/>
  <c r="N40" i="13" s="1"/>
  <c r="O40" i="13" s="1"/>
  <c r="P40" i="13" s="1"/>
  <c r="Q40" i="13" s="1"/>
  <c r="G99" i="13"/>
  <c r="H99" i="13" s="1"/>
  <c r="I99" i="13" s="1"/>
  <c r="J99" i="13" s="1"/>
  <c r="K99" i="13" s="1"/>
  <c r="L99" i="13" s="1"/>
  <c r="M99" i="13" s="1"/>
  <c r="N99" i="13" s="1"/>
  <c r="O99" i="13" s="1"/>
  <c r="P99" i="13" s="1"/>
  <c r="Q99" i="13" s="1"/>
  <c r="G46" i="13"/>
  <c r="G92" i="13"/>
  <c r="H92" i="13" s="1"/>
  <c r="I92" i="13" s="1"/>
  <c r="J92" i="13" s="1"/>
  <c r="K92" i="13" s="1"/>
  <c r="L92" i="13" s="1"/>
  <c r="M92" i="13" s="1"/>
  <c r="N92" i="13" s="1"/>
  <c r="O92" i="13" s="1"/>
  <c r="P92" i="13" s="1"/>
  <c r="Q92" i="13" s="1"/>
  <c r="G20" i="13"/>
  <c r="H20" i="13" s="1"/>
  <c r="G22" i="13"/>
  <c r="G90" i="13"/>
  <c r="H90" i="13" s="1"/>
  <c r="I90" i="13" s="1"/>
  <c r="J90" i="13" s="1"/>
  <c r="K90" i="13" s="1"/>
  <c r="L90" i="13" s="1"/>
  <c r="M90" i="13" s="1"/>
  <c r="N90" i="13" s="1"/>
  <c r="O90" i="13" s="1"/>
  <c r="P90" i="13" s="1"/>
  <c r="Q90" i="13" s="1"/>
  <c r="G62" i="13"/>
  <c r="G65" i="13"/>
  <c r="G81" i="13"/>
  <c r="H81" i="13" s="1"/>
  <c r="I81" i="13" s="1"/>
  <c r="J81" i="13" s="1"/>
  <c r="K81" i="13" s="1"/>
  <c r="L81" i="13" s="1"/>
  <c r="M81" i="13" s="1"/>
  <c r="N81" i="13" s="1"/>
  <c r="O81" i="13" s="1"/>
  <c r="P81" i="13" s="1"/>
  <c r="Q81" i="13" s="1"/>
  <c r="G100" i="13"/>
  <c r="H100" i="13" s="1"/>
  <c r="I100" i="13" s="1"/>
  <c r="J100" i="13" s="1"/>
  <c r="K100" i="13" s="1"/>
  <c r="L100" i="13" s="1"/>
  <c r="M100" i="13" s="1"/>
  <c r="N100" i="13" s="1"/>
  <c r="O100" i="13" s="1"/>
  <c r="P100" i="13" s="1"/>
  <c r="Q100" i="13" s="1"/>
  <c r="G91" i="13"/>
  <c r="H91" i="13" s="1"/>
  <c r="I91" i="13" s="1"/>
  <c r="J91" i="13" s="1"/>
  <c r="K91" i="13" s="1"/>
  <c r="L91" i="13" s="1"/>
  <c r="M91" i="13" s="1"/>
  <c r="N91" i="13" s="1"/>
  <c r="O91" i="13" s="1"/>
  <c r="P91" i="13" s="1"/>
  <c r="Q91" i="13" s="1"/>
  <c r="G11" i="13"/>
  <c r="H11" i="13" s="1"/>
  <c r="I11" i="13" s="1"/>
  <c r="J11" i="13" s="1"/>
  <c r="K11" i="13" s="1"/>
  <c r="L11" i="13" s="1"/>
  <c r="M11" i="13" s="1"/>
  <c r="N11" i="13" s="1"/>
  <c r="O11" i="13" s="1"/>
  <c r="P11" i="13" s="1"/>
  <c r="Q11" i="13" s="1"/>
  <c r="G34" i="13"/>
  <c r="H34" i="13" s="1"/>
  <c r="G76" i="13"/>
  <c r="H76" i="13" s="1"/>
  <c r="I76" i="13" s="1"/>
  <c r="J76" i="13" s="1"/>
  <c r="K76" i="13" s="1"/>
  <c r="L76" i="13" s="1"/>
  <c r="M76" i="13" s="1"/>
  <c r="N76" i="13" s="1"/>
  <c r="O76" i="13" s="1"/>
  <c r="P76" i="13" s="1"/>
  <c r="Q76" i="13" s="1"/>
  <c r="G60" i="13"/>
  <c r="H60" i="13" s="1"/>
  <c r="I60" i="13" s="1"/>
  <c r="J60" i="13" s="1"/>
  <c r="K60" i="13" s="1"/>
  <c r="L60" i="13" s="1"/>
  <c r="M60" i="13" s="1"/>
  <c r="N60" i="13" s="1"/>
  <c r="O60" i="13" s="1"/>
  <c r="P60" i="13" s="1"/>
  <c r="Q60" i="13" s="1"/>
  <c r="A145" i="143"/>
  <c r="A113" i="143"/>
  <c r="A78" i="143"/>
  <c r="A87" i="143"/>
  <c r="A108" i="143"/>
  <c r="A38" i="143"/>
  <c r="A47" i="143"/>
  <c r="A57" i="143"/>
  <c r="A50" i="143"/>
  <c r="A75" i="143"/>
  <c r="I34" i="13" l="1"/>
  <c r="H33" i="13"/>
  <c r="F49" i="210"/>
  <c r="I20" i="13"/>
  <c r="I105" i="13"/>
  <c r="L49" i="13"/>
  <c r="K48" i="13"/>
  <c r="H46" i="13"/>
  <c r="H56" i="13"/>
  <c r="H67" i="13"/>
  <c r="H63" i="13" s="1"/>
  <c r="G23" i="13"/>
  <c r="A22" i="13"/>
  <c r="J9" i="13"/>
  <c r="G54" i="13"/>
  <c r="G45" i="13"/>
  <c r="G42" i="13"/>
  <c r="G63" i="13"/>
  <c r="A65" i="143"/>
  <c r="G48" i="13"/>
  <c r="G14" i="13"/>
  <c r="G26" i="13"/>
  <c r="G88" i="13"/>
  <c r="G33" i="13"/>
  <c r="G10" i="13"/>
  <c r="G51" i="13"/>
  <c r="G73" i="13"/>
  <c r="J20" i="13" l="1"/>
  <c r="G49" i="210"/>
  <c r="C13" i="5"/>
  <c r="C8" i="56"/>
  <c r="J34" i="13"/>
  <c r="I33" i="13"/>
  <c r="E52" i="210"/>
  <c r="I16" i="13"/>
  <c r="H54" i="13"/>
  <c r="I56" i="13"/>
  <c r="M49" i="13"/>
  <c r="L48" i="13"/>
  <c r="I46" i="13"/>
  <c r="H47" i="13"/>
  <c r="H45" i="13" s="1"/>
  <c r="K9" i="13"/>
  <c r="I67" i="13"/>
  <c r="K64" i="13"/>
  <c r="E117" i="13"/>
  <c r="G41" i="13"/>
  <c r="R26" i="143"/>
  <c r="G72" i="13"/>
  <c r="A17" i="143"/>
  <c r="A10" i="143"/>
  <c r="A16" i="143"/>
  <c r="A13" i="143"/>
  <c r="K34" i="13" l="1"/>
  <c r="J33" i="13"/>
  <c r="K20" i="13"/>
  <c r="H49" i="210"/>
  <c r="F52" i="210"/>
  <c r="G52" i="210" s="1"/>
  <c r="H52" i="210" s="1"/>
  <c r="I52" i="210" s="1"/>
  <c r="J52" i="210" s="1"/>
  <c r="K52" i="210" s="1"/>
  <c r="L52" i="210" s="1"/>
  <c r="M52" i="210" s="1"/>
  <c r="N52" i="210" s="1"/>
  <c r="O52" i="210" s="1"/>
  <c r="E50" i="210"/>
  <c r="J16" i="13"/>
  <c r="H45" i="210"/>
  <c r="H42" i="13"/>
  <c r="I42" i="13"/>
  <c r="J42" i="13"/>
  <c r="A25" i="143"/>
  <c r="I54" i="13"/>
  <c r="J56" i="13"/>
  <c r="K56" i="13" s="1"/>
  <c r="J46" i="13"/>
  <c r="J47" i="13" s="1"/>
  <c r="I47" i="13"/>
  <c r="I45" i="13" s="1"/>
  <c r="N49" i="13"/>
  <c r="M48" i="13"/>
  <c r="L9" i="13"/>
  <c r="J67" i="13"/>
  <c r="I63" i="13"/>
  <c r="L64" i="13"/>
  <c r="AB141" i="143"/>
  <c r="AB128" i="143" s="1"/>
  <c r="AB127" i="143" s="1"/>
  <c r="AB148" i="143" s="1"/>
  <c r="G61" i="13"/>
  <c r="H61" i="13" s="1"/>
  <c r="A26" i="143"/>
  <c r="L20" i="13" l="1"/>
  <c r="I49" i="210"/>
  <c r="L34" i="13"/>
  <c r="K33" i="13"/>
  <c r="E54" i="210"/>
  <c r="F42" i="210" s="1"/>
  <c r="E78" i="210"/>
  <c r="E79" i="210" s="1"/>
  <c r="K16" i="13"/>
  <c r="I45" i="210"/>
  <c r="A56" i="143"/>
  <c r="A81" i="143"/>
  <c r="AE141" i="143"/>
  <c r="AH141" i="143"/>
  <c r="B21" i="182"/>
  <c r="D21" i="182" s="1"/>
  <c r="L11" i="183" s="1"/>
  <c r="C25" i="183"/>
  <c r="AD32" i="143"/>
  <c r="J54" i="13"/>
  <c r="K46" i="13"/>
  <c r="N48" i="13"/>
  <c r="O49" i="13"/>
  <c r="K67" i="13"/>
  <c r="L67" i="13" s="1"/>
  <c r="L63" i="13" s="1"/>
  <c r="J63" i="13"/>
  <c r="M9" i="13"/>
  <c r="G57" i="13"/>
  <c r="J45" i="13"/>
  <c r="L56" i="13"/>
  <c r="K54" i="13"/>
  <c r="M64" i="13"/>
  <c r="N149" i="143"/>
  <c r="E118" i="13"/>
  <c r="F118" i="13"/>
  <c r="F149" i="143"/>
  <c r="M34" i="13" l="1"/>
  <c r="L33" i="13"/>
  <c r="M20" i="13"/>
  <c r="J49" i="210"/>
  <c r="L16" i="13"/>
  <c r="J45" i="210"/>
  <c r="AH128" i="143"/>
  <c r="AH127" i="143" s="1"/>
  <c r="AH148" i="143" s="1"/>
  <c r="AL141" i="143"/>
  <c r="AK141" i="143"/>
  <c r="AK128" i="143" s="1"/>
  <c r="AK127" i="143" s="1"/>
  <c r="AK148" i="143" s="1"/>
  <c r="AK149" i="143" s="1"/>
  <c r="AE128" i="143"/>
  <c r="AE127" i="143" s="1"/>
  <c r="AE148" i="143" s="1"/>
  <c r="AJ32" i="143"/>
  <c r="AD31" i="143"/>
  <c r="AD30" i="143" s="1"/>
  <c r="AD92" i="143" s="1"/>
  <c r="D17" i="182"/>
  <c r="L7" i="183" s="1"/>
  <c r="C17" i="182"/>
  <c r="K7" i="183" s="1"/>
  <c r="J7" i="183"/>
  <c r="C21" i="182"/>
  <c r="K11" i="183" s="1"/>
  <c r="H24" i="183" s="1"/>
  <c r="J11" i="183"/>
  <c r="B22" i="182"/>
  <c r="D22" i="182" s="1"/>
  <c r="L12" i="183" s="1"/>
  <c r="AD148" i="143"/>
  <c r="K47" i="13"/>
  <c r="K45" i="13" s="1"/>
  <c r="L46" i="13"/>
  <c r="M46" i="13" s="1"/>
  <c r="O48" i="13"/>
  <c r="P49" i="13"/>
  <c r="N9" i="13"/>
  <c r="K63" i="13"/>
  <c r="M56" i="13"/>
  <c r="L54" i="13"/>
  <c r="N64" i="13"/>
  <c r="M149" i="143"/>
  <c r="W149" i="143"/>
  <c r="K49" i="210" l="1"/>
  <c r="N20" i="13"/>
  <c r="N34" i="13"/>
  <c r="M33" i="13"/>
  <c r="M16" i="13"/>
  <c r="K45" i="210"/>
  <c r="AJ31" i="143"/>
  <c r="AJ30" i="143" s="1"/>
  <c r="AJ92" i="143" s="1"/>
  <c r="AL128" i="143"/>
  <c r="AL127" i="143" s="1"/>
  <c r="AL148" i="143" s="1"/>
  <c r="J24" i="183"/>
  <c r="J12" i="183"/>
  <c r="C22" i="182"/>
  <c r="K12" i="183" s="1"/>
  <c r="D26" i="183" s="1"/>
  <c r="G24" i="183"/>
  <c r="M24" i="183"/>
  <c r="I24" i="183"/>
  <c r="D24" i="183"/>
  <c r="E24" i="183"/>
  <c r="L24" i="183"/>
  <c r="K24" i="183"/>
  <c r="F24" i="183"/>
  <c r="A98" i="143"/>
  <c r="L47" i="13"/>
  <c r="P48" i="13"/>
  <c r="Q49" i="13"/>
  <c r="M67" i="13"/>
  <c r="O9" i="13"/>
  <c r="M54" i="13"/>
  <c r="N56" i="13"/>
  <c r="O64" i="13"/>
  <c r="N46" i="13"/>
  <c r="M47" i="13"/>
  <c r="K149" i="143"/>
  <c r="G118" i="13"/>
  <c r="O34" i="13" l="1"/>
  <c r="N33" i="13"/>
  <c r="O20" i="13"/>
  <c r="L49" i="210"/>
  <c r="N16" i="13"/>
  <c r="L45" i="210"/>
  <c r="E26" i="183"/>
  <c r="L26" i="183"/>
  <c r="J26" i="183"/>
  <c r="F26" i="183"/>
  <c r="H26" i="183"/>
  <c r="G26" i="183"/>
  <c r="I26" i="183"/>
  <c r="M26" i="183"/>
  <c r="K26" i="183"/>
  <c r="AD149" i="143"/>
  <c r="L45" i="13"/>
  <c r="Q48" i="13"/>
  <c r="P9" i="13"/>
  <c r="N67" i="13"/>
  <c r="M63" i="13"/>
  <c r="M45" i="13"/>
  <c r="O56" i="13"/>
  <c r="N54" i="13"/>
  <c r="O46" i="13"/>
  <c r="N47" i="13"/>
  <c r="P64" i="13"/>
  <c r="AB149" i="143"/>
  <c r="E149" i="143"/>
  <c r="T149" i="143"/>
  <c r="P20" i="13" l="1"/>
  <c r="M49" i="210"/>
  <c r="P34" i="13"/>
  <c r="O33" i="13"/>
  <c r="O16" i="13"/>
  <c r="M45" i="210"/>
  <c r="A97" i="143"/>
  <c r="AJ148" i="143"/>
  <c r="AG149" i="143"/>
  <c r="O67" i="13"/>
  <c r="N63" i="13"/>
  <c r="Q9" i="13"/>
  <c r="N45" i="13"/>
  <c r="P46" i="13"/>
  <c r="O47" i="13"/>
  <c r="Q64" i="13"/>
  <c r="O54" i="13"/>
  <c r="P56" i="13"/>
  <c r="AE149" i="143"/>
  <c r="G8" i="13"/>
  <c r="A31" i="143"/>
  <c r="Q34" i="13" l="1"/>
  <c r="Q33" i="13" s="1"/>
  <c r="P33" i="13"/>
  <c r="Q20" i="13"/>
  <c r="O49" i="210" s="1"/>
  <c r="N49" i="210"/>
  <c r="P16" i="13"/>
  <c r="N45" i="210"/>
  <c r="AJ149" i="143"/>
  <c r="O45" i="13"/>
  <c r="P67" i="13"/>
  <c r="O63" i="13"/>
  <c r="Q56" i="13"/>
  <c r="P54" i="13"/>
  <c r="P47" i="13"/>
  <c r="Q46" i="13"/>
  <c r="G7" i="13"/>
  <c r="Q16" i="13" l="1"/>
  <c r="O45" i="210"/>
  <c r="G6" i="13"/>
  <c r="E64" i="210" s="1"/>
  <c r="F63" i="210" s="1"/>
  <c r="C7" i="191" s="1"/>
  <c r="Q67" i="13"/>
  <c r="P63" i="13"/>
  <c r="P45" i="13"/>
  <c r="Q54" i="13"/>
  <c r="Q47" i="13"/>
  <c r="F68" i="210" l="1"/>
  <c r="H83" i="13"/>
  <c r="F74" i="210"/>
  <c r="A66" i="143"/>
  <c r="A92" i="143"/>
  <c r="A48" i="143"/>
  <c r="B18" i="182"/>
  <c r="A32" i="143"/>
  <c r="A30" i="143"/>
  <c r="A39" i="143"/>
  <c r="A40" i="143"/>
  <c r="Q63" i="13"/>
  <c r="Q45" i="13"/>
  <c r="D18" i="182" l="1"/>
  <c r="L8" i="183" s="1"/>
  <c r="J8" i="183"/>
  <c r="C18" i="182"/>
  <c r="K8" i="183" s="1"/>
  <c r="C31" i="183" l="1"/>
  <c r="B19" i="182" l="1"/>
  <c r="D19" i="182" s="1"/>
  <c r="L9" i="183" s="1"/>
  <c r="C19" i="182" l="1"/>
  <c r="K9" i="183" s="1"/>
  <c r="K32" i="183" s="1"/>
  <c r="J9" i="183"/>
  <c r="F32" i="183" l="1"/>
  <c r="M32" i="183"/>
  <c r="H32" i="183"/>
  <c r="J32" i="183"/>
  <c r="I32" i="183"/>
  <c r="D32" i="183"/>
  <c r="G32" i="183"/>
  <c r="L32" i="183"/>
  <c r="E32" i="183"/>
  <c r="H41" i="13" l="1"/>
  <c r="I41" i="13" l="1"/>
  <c r="J41" i="13" l="1"/>
  <c r="K42" i="13" l="1"/>
  <c r="K41" i="13" s="1"/>
  <c r="L42" i="13" l="1"/>
  <c r="L41" i="13" s="1"/>
  <c r="M42" i="13" l="1"/>
  <c r="M41" i="13" s="1"/>
  <c r="N42" i="13" l="1"/>
  <c r="N41" i="13" s="1"/>
  <c r="O42" i="13" l="1"/>
  <c r="O41" i="13" s="1"/>
  <c r="Q42" i="13" l="1"/>
  <c r="Q41" i="13" s="1"/>
  <c r="P42" i="13"/>
  <c r="P41" i="13" s="1"/>
  <c r="F63" i="13" l="1"/>
  <c r="F48" i="13"/>
  <c r="F42" i="13" l="1"/>
  <c r="F41" i="13" s="1"/>
  <c r="F32" i="13" s="1"/>
  <c r="E120" i="13"/>
  <c r="F120" i="13"/>
  <c r="E88" i="13"/>
  <c r="E73" i="13"/>
  <c r="E63" i="13"/>
  <c r="E51" i="13"/>
  <c r="F104" i="13" l="1"/>
  <c r="E104" i="13"/>
  <c r="E72" i="13"/>
  <c r="E6" i="13"/>
  <c r="F68" i="13" l="1"/>
  <c r="E32" i="13"/>
  <c r="E68" i="13" s="1"/>
  <c r="E103" i="13"/>
  <c r="E102" i="13" l="1"/>
  <c r="E123" i="13" l="1"/>
  <c r="E124" i="13" s="1"/>
  <c r="E69" i="13" l="1"/>
  <c r="A58" i="13" l="1"/>
  <c r="A98" i="13"/>
  <c r="A59" i="13"/>
  <c r="A99" i="13"/>
  <c r="A101" i="13"/>
  <c r="A100" i="13"/>
  <c r="A90" i="13"/>
  <c r="A106" i="13"/>
  <c r="A109" i="13"/>
  <c r="A110" i="13"/>
  <c r="A122" i="13"/>
  <c r="A111" i="13"/>
  <c r="A62" i="13"/>
  <c r="A50" i="13"/>
  <c r="A93" i="13"/>
  <c r="A112" i="13"/>
  <c r="A94" i="13"/>
  <c r="A65" i="13"/>
  <c r="A107" i="13"/>
  <c r="A95" i="13"/>
  <c r="A114" i="13"/>
  <c r="A66" i="13"/>
  <c r="A89" i="13"/>
  <c r="A108" i="13"/>
  <c r="A97" i="13"/>
  <c r="A91" i="13"/>
  <c r="A92" i="13"/>
  <c r="A119" i="13"/>
  <c r="G32" i="13" l="1"/>
  <c r="A121" i="13"/>
  <c r="A86" i="13"/>
  <c r="A87" i="13"/>
  <c r="I8" i="20" l="1"/>
  <c r="J8" i="20"/>
  <c r="K8" i="20"/>
  <c r="L8" i="20"/>
  <c r="M8" i="20"/>
  <c r="N8" i="20"/>
  <c r="O8" i="20"/>
  <c r="P8" i="20"/>
  <c r="Q8" i="20"/>
  <c r="R8" i="20"/>
  <c r="H8" i="20"/>
  <c r="F10" i="20"/>
  <c r="M120" i="13" l="1"/>
  <c r="N120" i="13"/>
  <c r="O120" i="13"/>
  <c r="P120" i="13"/>
  <c r="Q120" i="13"/>
  <c r="R15" i="20" l="1"/>
  <c r="R7" i="20" s="1"/>
  <c r="Q15" i="20"/>
  <c r="Q7" i="20" s="1"/>
  <c r="P15" i="20"/>
  <c r="P7" i="20" s="1"/>
  <c r="O15" i="20"/>
  <c r="O7" i="20" s="1"/>
  <c r="N15" i="20"/>
  <c r="N7" i="20" s="1"/>
  <c r="M15" i="20"/>
  <c r="M7" i="20" s="1"/>
  <c r="L15" i="20"/>
  <c r="L7" i="20" s="1"/>
  <c r="K15" i="20"/>
  <c r="K7" i="20" s="1"/>
  <c r="J15" i="20"/>
  <c r="J7" i="20" s="1"/>
  <c r="I15" i="20"/>
  <c r="I7" i="20" s="1"/>
  <c r="H15" i="20"/>
  <c r="H7" i="20" s="1"/>
  <c r="A39" i="13" l="1"/>
  <c r="A37" i="13" l="1"/>
  <c r="A36" i="13"/>
  <c r="A18" i="13"/>
  <c r="A53" i="13"/>
  <c r="A35" i="13"/>
  <c r="A25" i="13"/>
  <c r="A38" i="13"/>
  <c r="A40" i="13"/>
  <c r="A30" i="13"/>
  <c r="A55" i="13" l="1"/>
  <c r="A34" i="13"/>
  <c r="A80" i="13"/>
  <c r="A12" i="13"/>
  <c r="A85" i="13"/>
  <c r="H26" i="13" l="1"/>
  <c r="I26" i="13" l="1"/>
  <c r="J26" i="13" l="1"/>
  <c r="K26" i="13" l="1"/>
  <c r="L26" i="13" l="1"/>
  <c r="M26" i="13" l="1"/>
  <c r="P17" i="20"/>
  <c r="O17" i="20"/>
  <c r="N17" i="20"/>
  <c r="M17" i="20"/>
  <c r="R10" i="20"/>
  <c r="Q10" i="20"/>
  <c r="P10" i="20"/>
  <c r="O10" i="20"/>
  <c r="N10" i="20"/>
  <c r="M10" i="20"/>
  <c r="L10" i="20"/>
  <c r="K10" i="20"/>
  <c r="J10" i="20"/>
  <c r="I10" i="20"/>
  <c r="R9" i="20"/>
  <c r="Q9" i="20"/>
  <c r="P9" i="20"/>
  <c r="O9" i="20"/>
  <c r="N9" i="20"/>
  <c r="M9" i="20"/>
  <c r="L9" i="20"/>
  <c r="K9" i="20"/>
  <c r="J9" i="20"/>
  <c r="I9" i="20"/>
  <c r="H10" i="20"/>
  <c r="H9" i="20"/>
  <c r="J17" i="20"/>
  <c r="R17" i="20"/>
  <c r="Q17" i="20"/>
  <c r="L17" i="20"/>
  <c r="K17" i="20"/>
  <c r="I17" i="20"/>
  <c r="H17" i="20"/>
  <c r="N26" i="13" l="1"/>
  <c r="O26" i="13" l="1"/>
  <c r="A78" i="13"/>
  <c r="A81" i="13"/>
  <c r="H11" i="20"/>
  <c r="P26" i="13" l="1"/>
  <c r="I11" i="20"/>
  <c r="Q26" i="13" l="1"/>
  <c r="A29" i="13"/>
  <c r="K11" i="20"/>
  <c r="J11" i="20" l="1"/>
  <c r="L11" i="20" l="1"/>
  <c r="M11" i="20" l="1"/>
  <c r="N11" i="20"/>
  <c r="P11" i="20" l="1"/>
  <c r="O11" i="20" l="1"/>
  <c r="Q11" i="20"/>
  <c r="R11" i="20" l="1"/>
  <c r="G120" i="13" l="1"/>
  <c r="H120" i="13"/>
  <c r="I120" i="13"/>
  <c r="J120" i="13"/>
  <c r="K120" i="13"/>
  <c r="L120" i="13"/>
  <c r="A33" i="13" l="1"/>
  <c r="I17" i="13" l="1"/>
  <c r="H52" i="13"/>
  <c r="H13" i="13"/>
  <c r="H51" i="13" l="1"/>
  <c r="H10" i="13"/>
  <c r="J17" i="13"/>
  <c r="I13" i="13"/>
  <c r="I52" i="13"/>
  <c r="I51" i="13" l="1"/>
  <c r="I10" i="13"/>
  <c r="K17" i="13"/>
  <c r="J52" i="13"/>
  <c r="J13" i="13"/>
  <c r="J51" i="13" l="1"/>
  <c r="J10" i="13"/>
  <c r="L17" i="13"/>
  <c r="K13" i="13"/>
  <c r="K52" i="13"/>
  <c r="K10" i="13" l="1"/>
  <c r="K51" i="13"/>
  <c r="M17" i="13"/>
  <c r="L52" i="13"/>
  <c r="L13" i="13"/>
  <c r="L51" i="13" l="1"/>
  <c r="L10" i="13"/>
  <c r="M52" i="13"/>
  <c r="N17" i="13"/>
  <c r="M13" i="13"/>
  <c r="M51" i="13" l="1"/>
  <c r="M10" i="13"/>
  <c r="N52" i="13"/>
  <c r="N13" i="13"/>
  <c r="O17" i="13"/>
  <c r="N10" i="13" l="1"/>
  <c r="N51" i="13"/>
  <c r="O52" i="13"/>
  <c r="O13" i="13"/>
  <c r="P17" i="13"/>
  <c r="O10" i="13" l="1"/>
  <c r="O51" i="13"/>
  <c r="P52" i="13"/>
  <c r="P13" i="13"/>
  <c r="Q17" i="13"/>
  <c r="P10" i="13" l="1"/>
  <c r="P51" i="13"/>
  <c r="Q52" i="13"/>
  <c r="A19" i="13"/>
  <c r="A75" i="13"/>
  <c r="A115" i="13"/>
  <c r="A79" i="13"/>
  <c r="A17" i="13"/>
  <c r="A77" i="13"/>
  <c r="A82" i="13"/>
  <c r="A113" i="13"/>
  <c r="A76" i="13"/>
  <c r="Q13" i="13"/>
  <c r="Q51" i="13" l="1"/>
  <c r="Q10" i="13"/>
  <c r="A52" i="13"/>
  <c r="A13" i="13"/>
  <c r="G68" i="13"/>
  <c r="B20" i="182" l="1"/>
  <c r="D20" i="182" s="1"/>
  <c r="L10" i="183" s="1"/>
  <c r="J10" i="183" l="1"/>
  <c r="C20" i="182"/>
  <c r="K10" i="183" s="1"/>
  <c r="G104" i="13" l="1"/>
  <c r="H104" i="13" l="1"/>
  <c r="I104" i="13" l="1"/>
  <c r="J105" i="13"/>
  <c r="K105" i="13" l="1"/>
  <c r="J104" i="13"/>
  <c r="L105" i="13" l="1"/>
  <c r="K104" i="13"/>
  <c r="L19" i="20" l="1"/>
  <c r="L104" i="13"/>
  <c r="M105" i="13"/>
  <c r="N105" i="13" l="1"/>
  <c r="M104" i="13"/>
  <c r="O105" i="13" l="1"/>
  <c r="N104" i="13"/>
  <c r="O104" i="13" l="1"/>
  <c r="P105" i="13"/>
  <c r="P104" i="13" l="1"/>
  <c r="Q105" i="13"/>
  <c r="Q104" i="13" l="1"/>
  <c r="A105" i="13"/>
  <c r="A104" i="13" l="1"/>
  <c r="A84" i="13" l="1"/>
  <c r="AH149" i="143" l="1"/>
  <c r="U149" i="143" l="1"/>
  <c r="F117" i="13" l="1"/>
  <c r="F125" i="13" l="1"/>
  <c r="Y149" i="143" l="1"/>
  <c r="G117" i="13" l="1"/>
  <c r="S149" i="143"/>
  <c r="AF149" i="143" l="1"/>
  <c r="G116" i="13"/>
  <c r="H117" i="13" s="1"/>
  <c r="G103" i="13" l="1"/>
  <c r="E7" i="20"/>
  <c r="AL149" i="143" l="1"/>
  <c r="G102" i="13"/>
  <c r="C21" i="183" l="1"/>
  <c r="B16" i="182"/>
  <c r="C16" i="182" s="1"/>
  <c r="K6" i="183" s="1"/>
  <c r="G123" i="13"/>
  <c r="D16" i="182" l="1"/>
  <c r="L6" i="183" s="1"/>
  <c r="K22" i="183" s="1"/>
  <c r="J6" i="183"/>
  <c r="J22" i="183"/>
  <c r="F22" i="183"/>
  <c r="D22" i="183"/>
  <c r="I22" i="183"/>
  <c r="G124" i="13"/>
  <c r="G69" i="13"/>
  <c r="G22" i="183" l="1"/>
  <c r="L22" i="183"/>
  <c r="H22" i="183"/>
  <c r="M22" i="183"/>
  <c r="E22" i="183"/>
  <c r="A9" i="13" l="1"/>
  <c r="A10" i="13"/>
  <c r="A11" i="13"/>
  <c r="A16" i="13"/>
  <c r="A20" i="13"/>
  <c r="A21" i="13"/>
  <c r="A26" i="13"/>
  <c r="A27" i="13"/>
  <c r="A28" i="13"/>
  <c r="A31" i="13"/>
  <c r="A41" i="13"/>
  <c r="A42" i="13"/>
  <c r="A43" i="13"/>
  <c r="A44" i="13"/>
  <c r="A45" i="13"/>
  <c r="A46" i="13"/>
  <c r="A47" i="13"/>
  <c r="A48" i="13"/>
  <c r="A49" i="13"/>
  <c r="A54" i="13"/>
  <c r="A56" i="13"/>
  <c r="A64" i="13"/>
  <c r="A67" i="13"/>
  <c r="I61" i="13" l="1"/>
  <c r="H57" i="13"/>
  <c r="H32" i="13" s="1"/>
  <c r="K11" i="239" s="1"/>
  <c r="K22" i="239" s="1"/>
  <c r="J61" i="13" l="1"/>
  <c r="I57" i="13"/>
  <c r="I32" i="13" s="1"/>
  <c r="M11" i="239" s="1"/>
  <c r="K61" i="13" l="1"/>
  <c r="J57" i="13"/>
  <c r="J32" i="13" s="1"/>
  <c r="O11" i="239" s="1"/>
  <c r="O22" i="239" s="1"/>
  <c r="L61" i="13" l="1"/>
  <c r="K57" i="13"/>
  <c r="K32" i="13" s="1"/>
  <c r="Q11" i="239" s="1"/>
  <c r="M61" i="13" l="1"/>
  <c r="L57" i="13"/>
  <c r="L32" i="13" s="1"/>
  <c r="S11" i="239" s="1"/>
  <c r="S22" i="239" s="1"/>
  <c r="N61" i="13" l="1"/>
  <c r="M57" i="13"/>
  <c r="M32" i="13" s="1"/>
  <c r="U11" i="239" s="1"/>
  <c r="O61" i="13" l="1"/>
  <c r="N57" i="13"/>
  <c r="N32" i="13" s="1"/>
  <c r="W11" i="239" s="1"/>
  <c r="W22" i="239" s="1"/>
  <c r="A60" i="13" l="1"/>
  <c r="P61" i="13"/>
  <c r="O57" i="13"/>
  <c r="O32" i="13" s="1"/>
  <c r="Q61" i="13" l="1"/>
  <c r="A61" i="13" s="1"/>
  <c r="P57" i="13"/>
  <c r="P32" i="13" s="1"/>
  <c r="Y11" i="239" l="1"/>
  <c r="AA11" i="239"/>
  <c r="AA22" i="239" s="1"/>
  <c r="Q57" i="13"/>
  <c r="Q32" i="13" s="1"/>
  <c r="AC11" i="239" s="1"/>
  <c r="A32" i="13" l="1"/>
  <c r="C5" i="191" l="1"/>
  <c r="I14" i="13"/>
  <c r="K14" i="13"/>
  <c r="Q14" i="13" l="1"/>
  <c r="O14" i="13"/>
  <c r="M14" i="13"/>
  <c r="P14" i="13"/>
  <c r="H14" i="13"/>
  <c r="A15" i="13"/>
  <c r="J14" i="13"/>
  <c r="L14" i="13"/>
  <c r="N14" i="13"/>
  <c r="A14" i="13" l="1"/>
  <c r="AP143" i="163" l="1"/>
  <c r="BO117" i="159"/>
  <c r="CS117" i="159" s="1"/>
  <c r="DC117" i="159" s="1"/>
  <c r="A117" i="159" l="1"/>
  <c r="BT143" i="163"/>
  <c r="AK104" i="159"/>
  <c r="AK103" i="159" l="1"/>
  <c r="AP130" i="163"/>
  <c r="BO104" i="159"/>
  <c r="CS104" i="159" s="1"/>
  <c r="DC104" i="159" s="1"/>
  <c r="CX143" i="163"/>
  <c r="CV155" i="163" s="1"/>
  <c r="L141" i="143"/>
  <c r="L128" i="143" l="1"/>
  <c r="Q141" i="143"/>
  <c r="Q128" i="143" s="1"/>
  <c r="Q127" i="143" s="1"/>
  <c r="Q148" i="143" s="1"/>
  <c r="A104" i="159"/>
  <c r="BT130" i="163"/>
  <c r="CX130" i="163" s="1"/>
  <c r="DH130" i="163" s="1"/>
  <c r="DH143" i="163"/>
  <c r="R141" i="143" s="1"/>
  <c r="AP129" i="163"/>
  <c r="AK124" i="159"/>
  <c r="BO103" i="159"/>
  <c r="CS103" i="159" s="1"/>
  <c r="DC103" i="159" s="1"/>
  <c r="R128" i="143" l="1"/>
  <c r="R127" i="143" s="1"/>
  <c r="F116" i="13"/>
  <c r="BO124" i="159"/>
  <c r="AK125" i="159"/>
  <c r="AP150" i="163"/>
  <c r="A130" i="163"/>
  <c r="A103" i="159"/>
  <c r="A141" i="143"/>
  <c r="BT129" i="163"/>
  <c r="CX129" i="163" s="1"/>
  <c r="DH129" i="163" s="1"/>
  <c r="A128" i="143"/>
  <c r="L127" i="143"/>
  <c r="A143" i="163"/>
  <c r="A127" i="143" l="1"/>
  <c r="L148" i="143"/>
  <c r="A129" i="163"/>
  <c r="BO125" i="159"/>
  <c r="CS124" i="159"/>
  <c r="F103" i="13"/>
  <c r="F102" i="13" s="1"/>
  <c r="AP151" i="163"/>
  <c r="BT150" i="163"/>
  <c r="R148" i="143"/>
  <c r="R149" i="143" s="1"/>
  <c r="CS125" i="159" l="1"/>
  <c r="DC124" i="159"/>
  <c r="DC125" i="159" s="1"/>
  <c r="F123" i="13"/>
  <c r="A148" i="143"/>
  <c r="L149" i="143"/>
  <c r="CX150" i="163"/>
  <c r="BT151" i="163"/>
  <c r="A124" i="159" l="1"/>
  <c r="F124" i="13"/>
  <c r="F69" i="13"/>
  <c r="CX151" i="163"/>
  <c r="DH150" i="163"/>
  <c r="DH151" i="163" s="1"/>
  <c r="A150" i="163"/>
  <c r="C29" i="183" l="1"/>
  <c r="B15" i="182" l="1"/>
  <c r="J5" i="183" s="1"/>
  <c r="C15" i="182" l="1"/>
  <c r="K5" i="183" s="1"/>
  <c r="D15" i="182"/>
  <c r="L5" i="183" s="1"/>
  <c r="K30" i="183" l="1"/>
  <c r="F30" i="183"/>
  <c r="G30" i="183"/>
  <c r="H30" i="183"/>
  <c r="I30" i="183"/>
  <c r="J30" i="183"/>
  <c r="E30" i="183"/>
  <c r="L30" i="183"/>
  <c r="M30" i="183"/>
  <c r="D30" i="183"/>
  <c r="G20" i="210" l="1"/>
  <c r="G22" i="210" s="1"/>
  <c r="G27" i="210" s="1"/>
  <c r="G23" i="210" s="1"/>
  <c r="H96" i="13"/>
  <c r="D10" i="56" s="1"/>
  <c r="G28" i="210"/>
  <c r="H20" i="210" l="1"/>
  <c r="H22" i="210" s="1"/>
  <c r="H27" i="210" s="1"/>
  <c r="H23" i="210" s="1"/>
  <c r="I96" i="13"/>
  <c r="H88" i="13"/>
  <c r="H28" i="210"/>
  <c r="L14" i="239" l="1"/>
  <c r="L25" i="239" s="1"/>
  <c r="G11" i="240"/>
  <c r="I88" i="13"/>
  <c r="I20" i="210"/>
  <c r="I28" i="210" s="1"/>
  <c r="J96" i="13"/>
  <c r="N14" i="239" l="1"/>
  <c r="N25" i="239" s="1"/>
  <c r="H11" i="240"/>
  <c r="J20" i="210"/>
  <c r="K96" i="13"/>
  <c r="I22" i="210"/>
  <c r="I27" i="210" s="1"/>
  <c r="I23" i="210" s="1"/>
  <c r="J88" i="13"/>
  <c r="J28" i="210"/>
  <c r="J22" i="210"/>
  <c r="J27" i="210" s="1"/>
  <c r="J23" i="210" s="1"/>
  <c r="I11" i="240" l="1"/>
  <c r="P14" i="239"/>
  <c r="P25" i="239" s="1"/>
  <c r="K20" i="210"/>
  <c r="L96" i="13"/>
  <c r="K88" i="13"/>
  <c r="K28" i="210"/>
  <c r="K22" i="210"/>
  <c r="K27" i="210" s="1"/>
  <c r="K23" i="210" s="1"/>
  <c r="J11" i="240" l="1"/>
  <c r="R14" i="239"/>
  <c r="R25" i="239" s="1"/>
  <c r="L20" i="210"/>
  <c r="L28" i="210" s="1"/>
  <c r="M96" i="13"/>
  <c r="L88" i="13"/>
  <c r="L22" i="210"/>
  <c r="L27" i="210" s="1"/>
  <c r="L23" i="210" s="1"/>
  <c r="K11" i="240" l="1"/>
  <c r="T14" i="239"/>
  <c r="T25" i="239" s="1"/>
  <c r="M20" i="210"/>
  <c r="N96" i="13"/>
  <c r="M88" i="13"/>
  <c r="M22" i="210"/>
  <c r="M27" i="210" s="1"/>
  <c r="M23" i="210" s="1"/>
  <c r="M28" i="210"/>
  <c r="V14" i="239" l="1"/>
  <c r="V25" i="239" s="1"/>
  <c r="L11" i="240"/>
  <c r="N20" i="210"/>
  <c r="N28" i="210" s="1"/>
  <c r="O96" i="13"/>
  <c r="N88" i="13"/>
  <c r="X14" i="239" l="1"/>
  <c r="X25" i="239" s="1"/>
  <c r="M11" i="240"/>
  <c r="N22" i="210"/>
  <c r="N27" i="210" s="1"/>
  <c r="N23" i="210" s="1"/>
  <c r="O20" i="210"/>
  <c r="O22" i="210" s="1"/>
  <c r="O27" i="210" s="1"/>
  <c r="O23" i="210" s="1"/>
  <c r="P96" i="13"/>
  <c r="O88" i="13"/>
  <c r="N11" i="240" l="1"/>
  <c r="Z14" i="239"/>
  <c r="Z25" i="239" s="1"/>
  <c r="O28" i="210"/>
  <c r="Q96" i="13" s="1"/>
  <c r="A96" i="13"/>
  <c r="Q88" i="13"/>
  <c r="P88" i="13"/>
  <c r="AD14" i="239" l="1"/>
  <c r="AD25" i="239" s="1"/>
  <c r="P11" i="240"/>
  <c r="AB14" i="239"/>
  <c r="AB25" i="239" s="1"/>
  <c r="O11" i="240"/>
  <c r="A88" i="13"/>
  <c r="G71" i="210"/>
  <c r="F76" i="210"/>
  <c r="I152" i="213" s="1"/>
  <c r="I37" i="213" s="1"/>
  <c r="I36" i="213" l="1"/>
  <c r="G11" i="237" s="1"/>
  <c r="G54" i="237" s="1"/>
  <c r="D8" i="5"/>
  <c r="G73" i="210"/>
  <c r="O16" i="230" l="1"/>
  <c r="O17" i="230"/>
  <c r="L9" i="56"/>
  <c r="L8" i="56"/>
  <c r="M40" i="213"/>
  <c r="M101" i="213"/>
  <c r="H31" i="214"/>
  <c r="F9" i="56"/>
  <c r="F8" i="56"/>
  <c r="J6" i="5"/>
  <c r="O57" i="213"/>
  <c r="O162" i="213"/>
  <c r="O160" i="213"/>
  <c r="K19" i="240"/>
  <c r="K12" i="240"/>
  <c r="L41" i="213"/>
  <c r="L102" i="213"/>
  <c r="G32" i="214"/>
  <c r="K39" i="230"/>
  <c r="K38" i="230"/>
  <c r="J21" i="237"/>
  <c r="J14" i="237"/>
  <c r="E49" i="213"/>
  <c r="I49" i="213"/>
  <c r="K165" i="213"/>
  <c r="K164" i="213"/>
  <c r="O40" i="213"/>
  <c r="O101" i="213"/>
  <c r="J31" i="214"/>
  <c r="O79" i="210"/>
  <c r="O78" i="210"/>
  <c r="O50" i="210"/>
  <c r="I29" i="214"/>
  <c r="J67" i="238"/>
  <c r="J66" i="238"/>
  <c r="D29" i="214"/>
  <c r="L47" i="213"/>
  <c r="L141" i="213"/>
  <c r="G37" i="214"/>
  <c r="Q42" i="213"/>
  <c r="Q103" i="213"/>
  <c r="L33" i="214"/>
  <c r="E5" i="191"/>
  <c r="E7" i="191"/>
  <c r="A68" i="13"/>
  <c r="H68" i="13"/>
  <c r="H69" i="13"/>
  <c r="R40" i="213"/>
  <c r="R101" i="213"/>
  <c r="M31" i="214"/>
  <c r="M14" i="5"/>
  <c r="M13" i="5"/>
  <c r="P42" i="213"/>
  <c r="P103" i="213"/>
  <c r="K33" i="214"/>
  <c r="M28" i="230"/>
  <c r="M29" i="230"/>
  <c r="M26" i="230"/>
  <c r="M25" i="230"/>
  <c r="M27" i="230"/>
  <c r="H56" i="210"/>
  <c r="H43" i="210"/>
  <c r="H54" i="210"/>
  <c r="I42" i="210"/>
  <c r="O73" i="210"/>
  <c r="O74" i="210"/>
  <c r="I6" i="5"/>
  <c r="N57" i="213"/>
  <c r="N162" i="213"/>
  <c r="N160" i="213"/>
  <c r="Z18" i="239"/>
  <c r="Y22" i="239"/>
  <c r="Y12" i="239"/>
  <c r="Y17" i="239"/>
  <c r="G42" i="210"/>
  <c r="F43" i="210"/>
  <c r="F54" i="210"/>
  <c r="F56" i="210"/>
  <c r="D39" i="214"/>
  <c r="I143" i="213"/>
  <c r="E143" i="213"/>
  <c r="K55" i="237"/>
  <c r="M39" i="213"/>
  <c r="M38" i="213"/>
  <c r="K12" i="237"/>
  <c r="K19" i="237"/>
  <c r="Y39" i="230"/>
  <c r="Y38" i="230"/>
  <c r="K37" i="230"/>
  <c r="K40" i="230"/>
  <c r="K33" i="230"/>
  <c r="K35" i="230"/>
  <c r="K36" i="230"/>
  <c r="J35" i="214"/>
  <c r="I108" i="213"/>
  <c r="I109" i="213"/>
  <c r="I110" i="213"/>
  <c r="K6" i="5"/>
  <c r="P57" i="213"/>
  <c r="P162" i="213"/>
  <c r="P160" i="213"/>
  <c r="G67" i="210"/>
  <c r="J72" i="13"/>
  <c r="J123" i="13"/>
  <c r="J124" i="13"/>
  <c r="E36" i="213"/>
  <c r="I56" i="237"/>
  <c r="K46" i="213"/>
  <c r="K45" i="213"/>
  <c r="I13" i="237"/>
  <c r="I20" i="237"/>
  <c r="I21" i="230"/>
  <c r="I19" i="230"/>
  <c r="I20" i="230"/>
  <c r="O11" i="230"/>
  <c r="O13" i="230"/>
  <c r="N18" i="237"/>
  <c r="P36" i="213"/>
  <c r="N11" i="237"/>
  <c r="N54" i="237"/>
  <c r="P54" i="237"/>
  <c r="R36" i="213"/>
  <c r="P11" i="237"/>
  <c r="P18" i="237"/>
  <c r="E152" i="213"/>
  <c r="K49" i="213"/>
  <c r="K143" i="213"/>
  <c r="F39" i="214"/>
  <c r="Y40" i="230"/>
  <c r="Y33" i="230"/>
  <c r="Y36" i="230"/>
  <c r="Y35" i="230"/>
  <c r="Y37" i="230"/>
  <c r="K23" i="230"/>
  <c r="K22" i="230"/>
  <c r="K24" i="230"/>
  <c r="L6" i="5"/>
  <c r="Q160" i="213"/>
  <c r="Q162" i="213"/>
  <c r="Q57" i="213"/>
  <c r="M54" i="237"/>
  <c r="O36" i="213"/>
  <c r="M11" i="237"/>
  <c r="M18" i="237"/>
  <c r="J47" i="213"/>
  <c r="J141" i="213"/>
  <c r="E37" i="214"/>
  <c r="M98" i="213"/>
  <c r="M100" i="213"/>
  <c r="M99" i="213"/>
  <c r="W37" i="230"/>
  <c r="W33" i="230"/>
  <c r="W36" i="230"/>
  <c r="W35" i="230"/>
  <c r="W40" i="230"/>
  <c r="E25" i="214"/>
  <c r="I25" i="214"/>
  <c r="M25" i="214"/>
  <c r="L25" i="214"/>
  <c r="D25" i="214"/>
  <c r="J25" i="214"/>
  <c r="G25" i="214"/>
  <c r="H25" i="214"/>
  <c r="F25" i="214"/>
  <c r="I18" i="230"/>
  <c r="K25" i="214"/>
  <c r="W18" i="230"/>
  <c r="M18" i="230"/>
  <c r="K18" i="230"/>
  <c r="S18" i="230"/>
  <c r="Y18" i="230"/>
  <c r="O18" i="230"/>
  <c r="AA18" i="230"/>
  <c r="Q18" i="230"/>
  <c r="E18" i="230"/>
  <c r="F18" i="230"/>
  <c r="U18" i="230"/>
  <c r="I53" i="230"/>
  <c r="I55" i="230"/>
  <c r="I52" i="230"/>
  <c r="I51" i="230"/>
  <c r="I54" i="230"/>
  <c r="Y29" i="230"/>
  <c r="Y26" i="230"/>
  <c r="Y28" i="230"/>
  <c r="Y25" i="230"/>
  <c r="Y27" i="230"/>
  <c r="M36" i="230"/>
  <c r="M33" i="230"/>
  <c r="M40" i="230"/>
  <c r="M35" i="230"/>
  <c r="M37" i="230"/>
  <c r="E56" i="213"/>
  <c r="J26" i="214"/>
  <c r="G26" i="214"/>
  <c r="L26" i="214"/>
  <c r="K26" i="214"/>
  <c r="D26" i="214"/>
  <c r="I26" i="214"/>
  <c r="E26" i="214"/>
  <c r="H26" i="214"/>
  <c r="M26" i="214"/>
  <c r="I24" i="230"/>
  <c r="F26" i="214"/>
  <c r="K13" i="20"/>
  <c r="P13" i="20"/>
  <c r="H13" i="20"/>
  <c r="M13" i="20"/>
  <c r="O13" i="20"/>
  <c r="J13" i="20"/>
  <c r="N13" i="20"/>
  <c r="Q13" i="20"/>
  <c r="I13" i="20"/>
  <c r="R13" i="20"/>
  <c r="D9" i="5"/>
  <c r="D10" i="5"/>
  <c r="D15" i="5"/>
  <c r="D16" i="5"/>
  <c r="C18" i="5"/>
  <c r="C21" i="5"/>
  <c r="E9" i="20"/>
  <c r="L13" i="20"/>
  <c r="E27" i="214"/>
  <c r="D27" i="214"/>
  <c r="M27" i="214"/>
  <c r="L27" i="214"/>
  <c r="G27" i="214"/>
  <c r="K27" i="214"/>
  <c r="H27" i="214"/>
  <c r="J27" i="214"/>
  <c r="F27" i="214"/>
  <c r="I22" i="230"/>
  <c r="I23" i="230"/>
  <c r="I27" i="214"/>
  <c r="S54" i="230"/>
  <c r="S52" i="230"/>
  <c r="S53" i="230"/>
  <c r="S51" i="230"/>
  <c r="S55" i="230"/>
  <c r="H10" i="56"/>
  <c r="L83" i="13"/>
  <c r="M20" i="237"/>
  <c r="O46" i="213"/>
  <c r="O45" i="213"/>
  <c r="M13" i="237"/>
  <c r="M56" i="237"/>
  <c r="F193" i="229"/>
  <c r="E191" i="229"/>
  <c r="E198" i="229"/>
  <c r="F203" i="229"/>
  <c r="E192" i="229"/>
  <c r="E203" i="229"/>
  <c r="F198" i="229"/>
  <c r="E202" i="229"/>
  <c r="F202" i="229"/>
  <c r="F190" i="229"/>
  <c r="F194" i="229"/>
  <c r="E197" i="229"/>
  <c r="F187" i="229"/>
  <c r="F191" i="229"/>
  <c r="E187" i="229"/>
  <c r="F201" i="229"/>
  <c r="F197" i="229"/>
  <c r="E186" i="229"/>
  <c r="E193" i="229"/>
  <c r="E201" i="229"/>
  <c r="E190" i="229"/>
  <c r="E194" i="229"/>
  <c r="F192" i="229"/>
  <c r="E23" i="214"/>
  <c r="E24" i="214"/>
  <c r="P47" i="213"/>
  <c r="P141" i="213"/>
  <c r="K37" i="214"/>
  <c r="V26" i="239"/>
  <c r="V15" i="239"/>
  <c r="I111" i="213"/>
  <c r="E111" i="213"/>
  <c r="P41" i="213"/>
  <c r="P102" i="213"/>
  <c r="K32" i="214"/>
  <c r="M73" i="210"/>
  <c r="D5" i="5"/>
  <c r="D7" i="5"/>
  <c r="L54" i="237"/>
  <c r="N36" i="213"/>
  <c r="L11" i="237"/>
  <c r="L18" i="237"/>
  <c r="H40" i="238"/>
  <c r="J30" i="213"/>
  <c r="M129" i="213"/>
  <c r="M138" i="213"/>
  <c r="M139" i="213"/>
  <c r="I98" i="213"/>
  <c r="I99" i="213"/>
  <c r="E100" i="213"/>
  <c r="M10" i="56"/>
  <c r="Q83" i="13"/>
  <c r="K29" i="214"/>
  <c r="AC23" i="239"/>
  <c r="AC21" i="239"/>
  <c r="I16" i="5"/>
  <c r="I15" i="5"/>
  <c r="I10" i="5"/>
  <c r="I9" i="5"/>
  <c r="W23" i="239"/>
  <c r="W21" i="239"/>
  <c r="AA58" i="230"/>
  <c r="AA44" i="230"/>
  <c r="P129" i="213"/>
  <c r="P138" i="213"/>
  <c r="P139" i="213"/>
  <c r="M57" i="237"/>
  <c r="M53" i="237"/>
  <c r="N129" i="213"/>
  <c r="N138" i="213"/>
  <c r="N139" i="213"/>
  <c r="M11" i="230"/>
  <c r="M13" i="230"/>
  <c r="R18" i="239"/>
  <c r="Q22" i="239"/>
  <c r="Q12" i="239"/>
  <c r="Q17" i="239"/>
  <c r="J5" i="191"/>
  <c r="J7" i="191"/>
  <c r="P57" i="237"/>
  <c r="P53" i="237"/>
  <c r="K42" i="210"/>
  <c r="J43" i="210"/>
  <c r="J54" i="210"/>
  <c r="J56" i="210"/>
  <c r="F79" i="210"/>
  <c r="F78" i="210"/>
  <c r="F50" i="210"/>
  <c r="L10" i="56"/>
  <c r="P83" i="13"/>
  <c r="M29" i="214"/>
  <c r="I57" i="240"/>
  <c r="N49" i="213"/>
  <c r="N143" i="213"/>
  <c r="I39" i="214"/>
  <c r="O112" i="213"/>
  <c r="D17" i="214"/>
  <c r="D16" i="214"/>
  <c r="K23" i="214"/>
  <c r="K24" i="214"/>
  <c r="H6" i="5"/>
  <c r="M57" i="213"/>
  <c r="M162" i="213"/>
  <c r="M160" i="213"/>
  <c r="O125" i="13"/>
  <c r="N19" i="240"/>
  <c r="N12" i="240"/>
  <c r="L49" i="213"/>
  <c r="L143" i="213"/>
  <c r="G39" i="214"/>
  <c r="K21" i="237"/>
  <c r="K14" i="237"/>
  <c r="K79" i="210"/>
  <c r="K78" i="210"/>
  <c r="K50" i="210"/>
  <c r="N74" i="210"/>
  <c r="O71" i="210"/>
  <c r="O76" i="210"/>
  <c r="R152" i="213"/>
  <c r="R37" i="213"/>
  <c r="M8" i="5"/>
  <c r="E39" i="214"/>
  <c r="J143" i="213"/>
  <c r="J49" i="213"/>
  <c r="AD27" i="239"/>
  <c r="AD24" i="239"/>
  <c r="E77" i="213"/>
  <c r="S16" i="230"/>
  <c r="S17" i="230"/>
  <c r="L112" i="213"/>
  <c r="P15" i="239"/>
  <c r="P26" i="239"/>
  <c r="W48" i="230"/>
  <c r="W49" i="230"/>
  <c r="W50" i="230"/>
  <c r="K76" i="210"/>
  <c r="N152" i="213"/>
  <c r="N37" i="213"/>
  <c r="I8" i="5"/>
  <c r="G14" i="5"/>
  <c r="G13" i="5"/>
  <c r="O13" i="240"/>
  <c r="O18" i="240"/>
  <c r="L35" i="214"/>
  <c r="N20" i="240"/>
  <c r="N17" i="240"/>
  <c r="H101" i="238"/>
  <c r="J59" i="213"/>
  <c r="K93" i="213"/>
  <c r="K25" i="213"/>
  <c r="K31" i="213"/>
  <c r="I43" i="238"/>
  <c r="N72" i="13"/>
  <c r="N123" i="13"/>
  <c r="N124" i="13"/>
  <c r="A103" i="13"/>
  <c r="N79" i="210"/>
  <c r="N78" i="210"/>
  <c r="N50" i="210"/>
  <c r="R26" i="239"/>
  <c r="R15" i="239"/>
  <c r="G10" i="238"/>
  <c r="C10" i="238"/>
  <c r="E29" i="213"/>
  <c r="J19" i="240"/>
  <c r="J12" i="240"/>
  <c r="J40" i="238"/>
  <c r="L30" i="213"/>
  <c r="AA11" i="230"/>
  <c r="AA13" i="230"/>
  <c r="R17" i="239"/>
  <c r="R16" i="239"/>
  <c r="H35" i="214"/>
  <c r="J108" i="213"/>
  <c r="J109" i="213"/>
  <c r="J110" i="213"/>
  <c r="J111" i="213"/>
  <c r="T27" i="239"/>
  <c r="T24" i="239"/>
  <c r="L73" i="210"/>
  <c r="H18" i="237"/>
  <c r="R42" i="213"/>
  <c r="R103" i="213"/>
  <c r="M33" i="214"/>
  <c r="P67" i="238"/>
  <c r="P66" i="238"/>
  <c r="M41" i="213"/>
  <c r="M102" i="213"/>
  <c r="H32" i="214"/>
  <c r="Y48" i="230"/>
  <c r="Y49" i="230"/>
  <c r="Y50" i="230"/>
  <c r="A116" i="13"/>
  <c r="N16" i="5"/>
  <c r="N15" i="5"/>
  <c r="I10" i="56"/>
  <c r="M83" i="13"/>
  <c r="G5" i="191"/>
  <c r="G7" i="191"/>
  <c r="N47" i="213"/>
  <c r="N141" i="213"/>
  <c r="I37" i="214"/>
  <c r="I69" i="13"/>
  <c r="I68" i="13"/>
  <c r="P19" i="237"/>
  <c r="R39" i="213"/>
  <c r="R38" i="213"/>
  <c r="P12" i="237"/>
  <c r="P55" i="237"/>
  <c r="O17" i="239"/>
  <c r="O12" i="239"/>
  <c r="P18" i="239"/>
  <c r="L50" i="210"/>
  <c r="L78" i="210"/>
  <c r="L79" i="210"/>
  <c r="R129" i="213"/>
  <c r="R138" i="213"/>
  <c r="R139" i="213"/>
  <c r="M65" i="210"/>
  <c r="P40" i="238"/>
  <c r="R30" i="213"/>
  <c r="K48" i="213"/>
  <c r="K142" i="213"/>
  <c r="F38" i="214"/>
  <c r="N69" i="13"/>
  <c r="N68" i="13"/>
  <c r="O40" i="238"/>
  <c r="Q30" i="213"/>
  <c r="O101" i="238"/>
  <c r="Q59" i="213"/>
  <c r="D5" i="56"/>
  <c r="D11" i="56"/>
  <c r="D12" i="56"/>
  <c r="D15" i="56"/>
  <c r="D18" i="56"/>
  <c r="E10" i="20"/>
  <c r="J19" i="214"/>
  <c r="O93" i="213"/>
  <c r="O25" i="213"/>
  <c r="O31" i="213"/>
  <c r="M43" i="238"/>
  <c r="E85" i="237"/>
  <c r="G55" i="237"/>
  <c r="J36" i="213"/>
  <c r="H11" i="237"/>
  <c r="H54" i="237"/>
  <c r="E84" i="237"/>
  <c r="H30" i="214"/>
  <c r="H29" i="214"/>
  <c r="M112" i="213"/>
  <c r="J20" i="240"/>
  <c r="J17" i="240"/>
  <c r="S23" i="230"/>
  <c r="S22" i="230"/>
  <c r="S24" i="230"/>
  <c r="H16" i="5"/>
  <c r="H15" i="5"/>
  <c r="H10" i="5"/>
  <c r="H9" i="5"/>
  <c r="I38" i="214"/>
  <c r="N142" i="213"/>
  <c r="N48" i="213"/>
  <c r="F67" i="210"/>
  <c r="A8" i="13"/>
  <c r="K124" i="13"/>
  <c r="K123" i="13"/>
  <c r="K72" i="13"/>
  <c r="J36" i="214"/>
  <c r="O140" i="213"/>
  <c r="O139" i="213"/>
  <c r="O138" i="213"/>
  <c r="O129" i="213"/>
  <c r="Y10" i="239"/>
  <c r="Y21" i="239"/>
  <c r="Y23" i="239"/>
  <c r="G16" i="5"/>
  <c r="G15" i="5"/>
  <c r="G10" i="5"/>
  <c r="G9" i="5"/>
  <c r="G16" i="214"/>
  <c r="G17" i="214"/>
  <c r="Q139" i="213"/>
  <c r="Q138" i="213"/>
  <c r="Q129" i="213"/>
  <c r="K67" i="210"/>
  <c r="O10" i="240"/>
  <c r="O17" i="240"/>
  <c r="O20" i="240"/>
  <c r="E16" i="214"/>
  <c r="E17" i="214"/>
  <c r="N98" i="213"/>
  <c r="N99" i="213"/>
  <c r="M76" i="210"/>
  <c r="P152" i="213"/>
  <c r="P37" i="213"/>
  <c r="K8" i="5"/>
  <c r="G12" i="237"/>
  <c r="G19" i="237"/>
  <c r="I33" i="230"/>
  <c r="J38" i="214"/>
  <c r="O142" i="213"/>
  <c r="O48" i="213"/>
  <c r="K67" i="238"/>
  <c r="K66" i="238"/>
  <c r="I58" i="230"/>
  <c r="I44" i="230"/>
  <c r="I16" i="214"/>
  <c r="I17" i="214"/>
  <c r="H19" i="237"/>
  <c r="J39" i="213"/>
  <c r="J38" i="213"/>
  <c r="H12" i="237"/>
  <c r="H55" i="237"/>
  <c r="H9" i="56"/>
  <c r="H8" i="56"/>
  <c r="E29" i="214"/>
  <c r="M46" i="230"/>
  <c r="M47" i="230"/>
  <c r="G29" i="214"/>
  <c r="P99" i="213"/>
  <c r="P98" i="213"/>
  <c r="O20" i="237"/>
  <c r="L36" i="214"/>
  <c r="Q140" i="213"/>
  <c r="Q46" i="213"/>
  <c r="Q45" i="213"/>
  <c r="O13" i="237"/>
  <c r="O56" i="237"/>
  <c r="I11" i="230"/>
  <c r="AA50" i="230"/>
  <c r="AA49" i="230"/>
  <c r="AA48" i="230"/>
  <c r="W58" i="230"/>
  <c r="W44" i="230"/>
  <c r="L55" i="237"/>
  <c r="I30" i="214"/>
  <c r="N100" i="213"/>
  <c r="N39" i="213"/>
  <c r="N38" i="213"/>
  <c r="L12" i="237"/>
  <c r="L19" i="237"/>
  <c r="I38" i="213"/>
  <c r="E38" i="213"/>
  <c r="K73" i="210"/>
  <c r="AD26" i="239"/>
  <c r="AD15" i="239"/>
  <c r="P18" i="240"/>
  <c r="P13" i="240"/>
  <c r="AB27" i="239"/>
  <c r="AB24" i="239"/>
  <c r="K16" i="214"/>
  <c r="K17" i="214"/>
  <c r="E42" i="213"/>
  <c r="I42" i="213"/>
  <c r="H20" i="237"/>
  <c r="J46" i="213"/>
  <c r="J45" i="213"/>
  <c r="H13" i="237"/>
  <c r="H56" i="237"/>
  <c r="J19" i="237"/>
  <c r="L39" i="213"/>
  <c r="L38" i="213"/>
  <c r="J12" i="237"/>
  <c r="J55" i="237"/>
  <c r="G101" i="238"/>
  <c r="I59" i="213"/>
  <c r="I5" i="5"/>
  <c r="I7" i="5"/>
  <c r="U39" i="230"/>
  <c r="U38" i="230"/>
  <c r="I18" i="240"/>
  <c r="I13" i="240"/>
  <c r="A117" i="13"/>
  <c r="J10" i="56"/>
  <c r="N83" i="13"/>
  <c r="R98" i="213"/>
  <c r="M30" i="214"/>
  <c r="R100" i="213"/>
  <c r="R99" i="213"/>
  <c r="E57" i="213"/>
  <c r="I160" i="213"/>
  <c r="I162" i="213"/>
  <c r="I57" i="213"/>
  <c r="D6" i="5"/>
  <c r="L57" i="240"/>
  <c r="N19" i="237"/>
  <c r="K30" i="214"/>
  <c r="P100" i="213"/>
  <c r="P39" i="213"/>
  <c r="P38" i="213"/>
  <c r="N12" i="237"/>
  <c r="N55" i="237"/>
  <c r="L76" i="210"/>
  <c r="O152" i="213"/>
  <c r="O37" i="213"/>
  <c r="J8" i="5"/>
  <c r="G19" i="214"/>
  <c r="L93" i="213"/>
  <c r="L25" i="213"/>
  <c r="L31" i="213"/>
  <c r="J43" i="238"/>
  <c r="W47" i="230"/>
  <c r="W45" i="230"/>
  <c r="W46" i="230"/>
  <c r="M103" i="13"/>
  <c r="M102" i="13"/>
  <c r="L12" i="240"/>
  <c r="L19" i="240"/>
  <c r="F23" i="214"/>
  <c r="F24" i="214"/>
  <c r="D30" i="214"/>
  <c r="I100" i="213"/>
  <c r="I39" i="213"/>
  <c r="E39" i="213"/>
  <c r="O23" i="230"/>
  <c r="O22" i="230"/>
  <c r="O24" i="230"/>
  <c r="E78" i="213"/>
  <c r="P10" i="238"/>
  <c r="H19" i="214"/>
  <c r="M93" i="213"/>
  <c r="M25" i="213"/>
  <c r="M31" i="213"/>
  <c r="K43" i="238"/>
  <c r="F19" i="214"/>
  <c r="K112" i="213"/>
  <c r="I23" i="214"/>
  <c r="I24" i="214"/>
  <c r="I72" i="13"/>
  <c r="I123" i="13"/>
  <c r="I124" i="13"/>
  <c r="D33" i="214"/>
  <c r="I103" i="213"/>
  <c r="E103" i="213"/>
  <c r="L67" i="210"/>
  <c r="L10" i="238"/>
  <c r="H67" i="210"/>
  <c r="O48" i="230"/>
  <c r="O49" i="230"/>
  <c r="O50" i="230"/>
  <c r="I14" i="5"/>
  <c r="I13" i="5"/>
  <c r="O10" i="238"/>
  <c r="E35" i="214"/>
  <c r="N125" i="13"/>
  <c r="N57" i="240"/>
  <c r="O57" i="237"/>
  <c r="O53" i="237"/>
  <c r="T26" i="239"/>
  <c r="T15" i="239"/>
  <c r="G23" i="214"/>
  <c r="G24" i="214"/>
  <c r="R41" i="213"/>
  <c r="R102" i="213"/>
  <c r="M32" i="214"/>
  <c r="J69" i="13"/>
  <c r="J68" i="13"/>
  <c r="M165" i="213"/>
  <c r="M91" i="213"/>
  <c r="M78" i="213"/>
  <c r="M77" i="213"/>
  <c r="M106" i="213"/>
  <c r="M154" i="213"/>
  <c r="M159" i="213"/>
  <c r="M164" i="213"/>
  <c r="M68" i="210"/>
  <c r="G65" i="210"/>
  <c r="P27" i="239"/>
  <c r="P24" i="239"/>
  <c r="O39" i="230"/>
  <c r="O38" i="230"/>
  <c r="K57" i="237"/>
  <c r="K53" i="237"/>
  <c r="Q16" i="230"/>
  <c r="Q17" i="230"/>
  <c r="M23" i="214"/>
  <c r="M24" i="214"/>
  <c r="U11" i="230"/>
  <c r="U13" i="230"/>
  <c r="J17" i="237"/>
  <c r="K40" i="213"/>
  <c r="K101" i="213"/>
  <c r="F31" i="214"/>
  <c r="M101" i="238"/>
  <c r="O59" i="213"/>
  <c r="H65" i="210"/>
  <c r="F12" i="56"/>
  <c r="F11" i="56"/>
  <c r="F5" i="56"/>
  <c r="H48" i="210"/>
  <c r="J24" i="13"/>
  <c r="J23" i="13"/>
  <c r="F13" i="5"/>
  <c r="F14" i="5"/>
  <c r="F32" i="214"/>
  <c r="K102" i="213"/>
  <c r="K41" i="213"/>
  <c r="O103" i="13"/>
  <c r="O102" i="13"/>
  <c r="Z15" i="239"/>
  <c r="Z26" i="239"/>
  <c r="Z27" i="239"/>
  <c r="Z24" i="239"/>
  <c r="O91" i="213"/>
  <c r="O78" i="213"/>
  <c r="O77" i="213"/>
  <c r="O106" i="213"/>
  <c r="O154" i="213"/>
  <c r="O159" i="213"/>
  <c r="O164" i="213"/>
  <c r="O165" i="213"/>
  <c r="M35" i="214"/>
  <c r="M63" i="210"/>
  <c r="M72" i="210"/>
  <c r="O83" i="13"/>
  <c r="K10" i="56"/>
  <c r="J48" i="213"/>
  <c r="J142" i="213"/>
  <c r="E38" i="214"/>
  <c r="J10" i="238"/>
  <c r="F35" i="214"/>
  <c r="I31" i="214"/>
  <c r="N101" i="213"/>
  <c r="N40" i="213"/>
  <c r="G33" i="214"/>
  <c r="L103" i="213"/>
  <c r="L42" i="213"/>
  <c r="J10" i="237"/>
  <c r="J53" i="237"/>
  <c r="J57" i="237"/>
  <c r="O69" i="13"/>
  <c r="O68" i="13"/>
  <c r="Q124" i="13"/>
  <c r="Q123" i="13"/>
  <c r="G9" i="56"/>
  <c r="K24" i="13"/>
  <c r="K23" i="13"/>
  <c r="G8" i="56"/>
  <c r="N68" i="210"/>
  <c r="G12" i="56"/>
  <c r="G11" i="56"/>
  <c r="G5" i="56"/>
  <c r="L32" i="214"/>
  <c r="Q102" i="213"/>
  <c r="Q41" i="213"/>
  <c r="N91" i="213"/>
  <c r="N78" i="213"/>
  <c r="N77" i="213"/>
  <c r="N106" i="213"/>
  <c r="N154" i="213"/>
  <c r="N159" i="213"/>
  <c r="N164" i="213"/>
  <c r="N165" i="213"/>
  <c r="M7" i="5"/>
  <c r="J165" i="213"/>
  <c r="J164" i="213"/>
  <c r="U16" i="230"/>
  <c r="U17" i="230"/>
  <c r="M79" i="210"/>
  <c r="M78" i="210"/>
  <c r="M50" i="210"/>
  <c r="K9" i="56"/>
  <c r="K8" i="56"/>
  <c r="O42" i="213"/>
  <c r="O103" i="213"/>
  <c r="J33" i="214"/>
  <c r="K13" i="240"/>
  <c r="K18" i="240"/>
  <c r="V17" i="239"/>
  <c r="V16" i="239"/>
  <c r="E14" i="5"/>
  <c r="E13" i="5"/>
  <c r="Y16" i="230"/>
  <c r="Y17" i="230"/>
  <c r="N27" i="239"/>
  <c r="N24" i="239"/>
  <c r="L38" i="214"/>
  <c r="Q142" i="213"/>
  <c r="Q48" i="213"/>
  <c r="I18" i="237"/>
  <c r="K36" i="213"/>
  <c r="I11" i="237"/>
  <c r="I54" i="237"/>
  <c r="N93" i="213"/>
  <c r="N25" i="213"/>
  <c r="N31" i="213"/>
  <c r="L43" i="238"/>
  <c r="N41" i="213"/>
  <c r="N102" i="213"/>
  <c r="I32" i="214"/>
  <c r="O68" i="210"/>
  <c r="P135" i="238"/>
  <c r="O25" i="210"/>
  <c r="Q118" i="13"/>
  <c r="P165" i="238"/>
  <c r="I57" i="237"/>
  <c r="I53" i="237"/>
  <c r="L9" i="5"/>
  <c r="L10" i="5"/>
  <c r="L15" i="5"/>
  <c r="L16" i="5"/>
  <c r="G21" i="237"/>
  <c r="G14" i="237"/>
  <c r="G18" i="237"/>
  <c r="N108" i="213"/>
  <c r="N111" i="213"/>
  <c r="N110" i="213"/>
  <c r="N109" i="213"/>
  <c r="M6" i="5"/>
  <c r="R160" i="213"/>
  <c r="R162" i="213"/>
  <c r="R57" i="213"/>
  <c r="J103" i="13"/>
  <c r="J102" i="13"/>
  <c r="I12" i="240"/>
  <c r="I19" i="240"/>
  <c r="I65" i="210"/>
  <c r="U23" i="230"/>
  <c r="U22" i="230"/>
  <c r="U24" i="230"/>
  <c r="H37" i="214"/>
  <c r="M141" i="213"/>
  <c r="M47" i="213"/>
  <c r="I40" i="238"/>
  <c r="K30" i="213"/>
  <c r="J40" i="213"/>
  <c r="J101" i="213"/>
  <c r="E31" i="214"/>
  <c r="O20" i="230"/>
  <c r="O19" i="230"/>
  <c r="O21" i="230"/>
  <c r="M20" i="230"/>
  <c r="M19" i="230"/>
  <c r="M21" i="230"/>
  <c r="E52" i="213"/>
  <c r="H57" i="237"/>
  <c r="H53" i="237"/>
  <c r="R111" i="213"/>
  <c r="R110" i="213"/>
  <c r="R109" i="213"/>
  <c r="R108" i="213"/>
  <c r="G10" i="56"/>
  <c r="K83" i="13"/>
  <c r="P17" i="237"/>
  <c r="E31" i="213"/>
  <c r="K38" i="214"/>
  <c r="P142" i="213"/>
  <c r="P48" i="213"/>
  <c r="G17" i="240"/>
  <c r="G20" i="240"/>
  <c r="H23" i="214"/>
  <c r="H24" i="214"/>
  <c r="AA17" i="239"/>
  <c r="AA12" i="239"/>
  <c r="AB18" i="239"/>
  <c r="N12" i="56"/>
  <c r="N11" i="56"/>
  <c r="K65" i="210"/>
  <c r="K11" i="230"/>
  <c r="K13" i="230"/>
  <c r="J73" i="210"/>
  <c r="F7" i="5"/>
  <c r="I35" i="214"/>
  <c r="I31" i="213"/>
  <c r="G43" i="238"/>
  <c r="E43" i="238"/>
  <c r="J98" i="213"/>
  <c r="E30" i="214"/>
  <c r="J100" i="213"/>
  <c r="J99" i="213"/>
  <c r="Q21" i="230"/>
  <c r="Q19" i="230"/>
  <c r="Q20" i="230"/>
  <c r="L42" i="210"/>
  <c r="K43" i="210"/>
  <c r="K54" i="210"/>
  <c r="K56" i="210"/>
  <c r="K16" i="230"/>
  <c r="K17" i="230"/>
  <c r="L99" i="213"/>
  <c r="G30" i="214"/>
  <c r="L100" i="213"/>
  <c r="L98" i="213"/>
  <c r="M67" i="210"/>
  <c r="K108" i="213"/>
  <c r="K109" i="213"/>
  <c r="K110" i="213"/>
  <c r="K111" i="213"/>
  <c r="E92" i="213"/>
  <c r="J16" i="214"/>
  <c r="J17" i="214"/>
  <c r="N10" i="238"/>
  <c r="AA23" i="239"/>
  <c r="AA10" i="239"/>
  <c r="AA21" i="239"/>
  <c r="P10" i="237"/>
  <c r="P14" i="237"/>
  <c r="P21" i="237"/>
  <c r="P111" i="213"/>
  <c r="P110" i="213"/>
  <c r="P109" i="213"/>
  <c r="P108" i="213"/>
  <c r="E33" i="214"/>
  <c r="J103" i="213"/>
  <c r="J42" i="213"/>
  <c r="I25" i="213"/>
  <c r="E25" i="213"/>
  <c r="M108" i="213"/>
  <c r="M109" i="213"/>
  <c r="M110" i="213"/>
  <c r="M111" i="213"/>
  <c r="I91" i="213"/>
  <c r="I78" i="213"/>
  <c r="I77" i="213"/>
  <c r="I106" i="213"/>
  <c r="I154" i="213"/>
  <c r="I159" i="213"/>
  <c r="I164" i="213"/>
  <c r="I165" i="213"/>
  <c r="K54" i="230"/>
  <c r="K55" i="230"/>
  <c r="K52" i="230"/>
  <c r="K51" i="230"/>
  <c r="K53" i="230"/>
  <c r="K12" i="56"/>
  <c r="K11" i="56"/>
  <c r="K5" i="56"/>
  <c r="P123" i="13"/>
  <c r="P124" i="13"/>
  <c r="L37" i="214"/>
  <c r="Q141" i="213"/>
  <c r="Q47" i="213"/>
  <c r="Q39" i="230"/>
  <c r="Q38" i="230"/>
  <c r="I93" i="213"/>
  <c r="E93" i="213"/>
  <c r="N13" i="239"/>
  <c r="N16" i="239"/>
  <c r="N17" i="239"/>
  <c r="K35" i="214"/>
  <c r="A7" i="13"/>
  <c r="P165" i="213"/>
  <c r="P91" i="213"/>
  <c r="P78" i="213"/>
  <c r="P77" i="213"/>
  <c r="P106" i="213"/>
  <c r="P154" i="213"/>
  <c r="P159" i="213"/>
  <c r="P164" i="213"/>
  <c r="F16" i="5"/>
  <c r="F15" i="5"/>
  <c r="F5" i="5"/>
  <c r="F9" i="5"/>
  <c r="F10" i="5"/>
  <c r="M23" i="230"/>
  <c r="M22" i="230"/>
  <c r="M24" i="230"/>
  <c r="M124" i="13"/>
  <c r="M123" i="13"/>
  <c r="M72" i="13"/>
  <c r="J65" i="210"/>
  <c r="E23" i="213"/>
  <c r="L101" i="238"/>
  <c r="N59" i="213"/>
  <c r="G5" i="5"/>
  <c r="G7" i="5"/>
  <c r="N56" i="210"/>
  <c r="N43" i="210"/>
  <c r="N54" i="210"/>
  <c r="O42" i="210"/>
  <c r="M16" i="214"/>
  <c r="M17" i="214"/>
  <c r="P56" i="237"/>
  <c r="M36" i="214"/>
  <c r="R140" i="213"/>
  <c r="R46" i="213"/>
  <c r="R45" i="213"/>
  <c r="P13" i="237"/>
  <c r="P20" i="237"/>
  <c r="I67" i="238"/>
  <c r="I66" i="238"/>
  <c r="G19" i="240"/>
  <c r="G12" i="240"/>
  <c r="S23" i="239"/>
  <c r="S21" i="239"/>
  <c r="I5" i="56"/>
  <c r="I11" i="56"/>
  <c r="I12" i="56"/>
  <c r="Q46" i="230"/>
  <c r="Q47" i="230"/>
  <c r="O19" i="240"/>
  <c r="O12" i="240"/>
  <c r="Y11" i="230"/>
  <c r="Y13" i="230"/>
  <c r="M30" i="213"/>
  <c r="K40" i="238"/>
  <c r="H17" i="237"/>
  <c r="AA24" i="230"/>
  <c r="AA22" i="230"/>
  <c r="AA23" i="230"/>
  <c r="E41" i="213"/>
  <c r="I41" i="213"/>
  <c r="K48" i="210"/>
  <c r="M24" i="13"/>
  <c r="M23" i="13"/>
  <c r="I8" i="56"/>
  <c r="I9" i="56"/>
  <c r="H5" i="5"/>
  <c r="H7" i="5"/>
  <c r="E7" i="5"/>
  <c r="A73" i="13"/>
  <c r="R165" i="213"/>
  <c r="R91" i="213"/>
  <c r="R78" i="213"/>
  <c r="R77" i="213"/>
  <c r="R106" i="213"/>
  <c r="R154" i="213"/>
  <c r="R159" i="213"/>
  <c r="R164" i="213"/>
  <c r="H68" i="210"/>
  <c r="AD17" i="239"/>
  <c r="Q72" i="13"/>
  <c r="AD13" i="239"/>
  <c r="AD16" i="239"/>
  <c r="U58" i="230"/>
  <c r="U44" i="230"/>
  <c r="I64" i="210"/>
  <c r="J63" i="210"/>
  <c r="J72" i="210"/>
  <c r="J68" i="210"/>
  <c r="E37" i="213"/>
  <c r="G76" i="210"/>
  <c r="J152" i="213"/>
  <c r="J37" i="213"/>
  <c r="E8" i="5"/>
  <c r="O72" i="13"/>
  <c r="O123" i="13"/>
  <c r="O124" i="13"/>
  <c r="M45" i="230"/>
  <c r="M44" i="230"/>
  <c r="M58" i="230"/>
  <c r="Q10" i="239"/>
  <c r="Q21" i="239"/>
  <c r="Q23" i="239"/>
  <c r="H20" i="240"/>
  <c r="H17" i="240"/>
  <c r="V27" i="239"/>
  <c r="V13" i="239"/>
  <c r="V24" i="239"/>
  <c r="J23" i="214"/>
  <c r="J24" i="214"/>
  <c r="M5" i="56"/>
  <c r="M11" i="56"/>
  <c r="M12" i="56"/>
  <c r="M10" i="238"/>
  <c r="H10" i="238"/>
  <c r="N42" i="210"/>
  <c r="M43" i="210"/>
  <c r="M54" i="210"/>
  <c r="M56" i="210"/>
  <c r="A123" i="13"/>
  <c r="H123" i="13"/>
  <c r="H124" i="13"/>
  <c r="F37" i="214"/>
  <c r="K141" i="213"/>
  <c r="K47" i="213"/>
  <c r="L29" i="214"/>
  <c r="U23" i="239"/>
  <c r="U21" i="239"/>
  <c r="Q45" i="230"/>
  <c r="Q44" i="230"/>
  <c r="Q58" i="230"/>
  <c r="M17" i="237"/>
  <c r="O56" i="210"/>
  <c r="O43" i="210"/>
  <c r="O54" i="210"/>
  <c r="D23" i="214"/>
  <c r="D24" i="214"/>
  <c r="I28" i="230"/>
  <c r="I29" i="230"/>
  <c r="I27" i="230"/>
  <c r="I25" i="230"/>
  <c r="I26" i="230"/>
  <c r="O40" i="230"/>
  <c r="O33" i="230"/>
  <c r="O36" i="230"/>
  <c r="O35" i="230"/>
  <c r="O37" i="230"/>
  <c r="J67" i="210"/>
  <c r="T18" i="239"/>
  <c r="S10" i="239"/>
  <c r="S12" i="239"/>
  <c r="S17" i="239"/>
  <c r="L139" i="213"/>
  <c r="L138" i="213"/>
  <c r="L129" i="213"/>
  <c r="H10" i="237"/>
  <c r="H14" i="237"/>
  <c r="H21" i="237"/>
  <c r="N10" i="240"/>
  <c r="N13" i="240"/>
  <c r="N18" i="240"/>
  <c r="J42" i="210"/>
  <c r="I48" i="210"/>
  <c r="I43" i="210"/>
  <c r="I54" i="210"/>
  <c r="I56" i="210"/>
  <c r="Q99" i="213"/>
  <c r="Q98" i="213"/>
  <c r="AA53" i="230"/>
  <c r="AA54" i="230"/>
  <c r="AA55" i="230"/>
  <c r="AA51" i="230"/>
  <c r="AA52" i="230"/>
  <c r="M42" i="213"/>
  <c r="M103" i="213"/>
  <c r="H33" i="214"/>
  <c r="E12" i="56"/>
  <c r="E11" i="56"/>
  <c r="E5" i="56"/>
  <c r="M25" i="210"/>
  <c r="O118" i="13"/>
  <c r="N135" i="238"/>
  <c r="N165" i="238"/>
  <c r="K103" i="13"/>
  <c r="K102" i="13"/>
  <c r="J57" i="240"/>
  <c r="E112" i="213"/>
  <c r="D19" i="214"/>
  <c r="I112" i="213"/>
  <c r="A74" i="13"/>
  <c r="G67" i="238"/>
  <c r="G66" i="238"/>
  <c r="P57" i="240"/>
  <c r="M19" i="240"/>
  <c r="M12" i="240"/>
  <c r="M42" i="210"/>
  <c r="L43" i="210"/>
  <c r="L54" i="210"/>
  <c r="L56" i="210"/>
  <c r="F17" i="214"/>
  <c r="F16" i="214"/>
  <c r="E10" i="56"/>
  <c r="I83" i="13"/>
  <c r="A83" i="13"/>
  <c r="W17" i="239"/>
  <c r="W10" i="239"/>
  <c r="W12" i="239"/>
  <c r="X18" i="239"/>
  <c r="K10" i="240"/>
  <c r="K17" i="240"/>
  <c r="K20" i="240"/>
  <c r="S14" i="230"/>
  <c r="M14" i="230"/>
  <c r="Y14" i="230"/>
  <c r="AA14" i="230"/>
  <c r="Q14" i="230"/>
  <c r="W14" i="230"/>
  <c r="K14" i="230"/>
  <c r="U14" i="230"/>
  <c r="O14" i="230"/>
  <c r="P59" i="213"/>
  <c r="N101" i="238"/>
  <c r="L103" i="13"/>
  <c r="L102" i="13"/>
  <c r="K57" i="240"/>
  <c r="H72" i="13"/>
  <c r="A72" i="13"/>
  <c r="K20" i="237"/>
  <c r="H36" i="214"/>
  <c r="M140" i="213"/>
  <c r="M46" i="213"/>
  <c r="M45" i="213"/>
  <c r="K13" i="237"/>
  <c r="K56" i="237"/>
  <c r="P68" i="13"/>
  <c r="P69" i="13"/>
  <c r="M10" i="237"/>
  <c r="M14" i="237"/>
  <c r="M21" i="237"/>
  <c r="N65" i="210"/>
  <c r="Y52" i="230"/>
  <c r="Y55" i="230"/>
  <c r="Y53" i="230"/>
  <c r="Y51" i="230"/>
  <c r="Y54" i="230"/>
  <c r="S40" i="230"/>
  <c r="S36" i="230"/>
  <c r="S37" i="230"/>
  <c r="S35" i="230"/>
  <c r="S33" i="230"/>
  <c r="E24" i="213"/>
  <c r="K10" i="237"/>
  <c r="K17" i="237"/>
  <c r="X24" i="239"/>
  <c r="X27" i="239"/>
  <c r="I10" i="240"/>
  <c r="I17" i="240"/>
  <c r="I20" i="240"/>
  <c r="O55" i="237"/>
  <c r="L30" i="214"/>
  <c r="Q100" i="213"/>
  <c r="Q39" i="213"/>
  <c r="Q38" i="213"/>
  <c r="O12" i="237"/>
  <c r="O19" i="237"/>
  <c r="M39" i="230"/>
  <c r="M38" i="230"/>
  <c r="I10" i="238"/>
  <c r="E5" i="5"/>
  <c r="E9" i="5"/>
  <c r="E10" i="5"/>
  <c r="E15" i="5"/>
  <c r="E16" i="5"/>
  <c r="I19" i="214"/>
  <c r="N112" i="213"/>
  <c r="P58" i="213"/>
  <c r="N66" i="238"/>
  <c r="N67" i="238"/>
  <c r="S39" i="230"/>
  <c r="S38" i="230"/>
  <c r="Q11" i="230"/>
  <c r="Q13" i="230"/>
  <c r="L67" i="238"/>
  <c r="L66" i="238"/>
  <c r="O108" i="213"/>
  <c r="O111" i="213"/>
  <c r="O110" i="213"/>
  <c r="O109" i="213"/>
  <c r="L23" i="214"/>
  <c r="L24" i="214"/>
  <c r="P112" i="213"/>
  <c r="W11" i="230"/>
  <c r="W13" i="230"/>
  <c r="E47" i="213"/>
  <c r="I47" i="213"/>
  <c r="S11" i="230"/>
  <c r="S13" i="230"/>
  <c r="R49" i="213"/>
  <c r="R143" i="213"/>
  <c r="M39" i="214"/>
  <c r="L165" i="238"/>
  <c r="L135" i="238"/>
  <c r="M118" i="13"/>
  <c r="N29" i="213"/>
  <c r="N52" i="213"/>
  <c r="N56" i="213"/>
  <c r="N58" i="213"/>
  <c r="K25" i="210"/>
  <c r="E46" i="213"/>
  <c r="L14" i="5"/>
  <c r="N48" i="210"/>
  <c r="P24" i="13"/>
  <c r="P23" i="13"/>
  <c r="L13" i="5"/>
  <c r="W16" i="230"/>
  <c r="W17" i="230"/>
  <c r="D9" i="56"/>
  <c r="D8" i="56"/>
  <c r="E40" i="238"/>
  <c r="G40" i="238"/>
  <c r="Q40" i="213"/>
  <c r="Q101" i="213"/>
  <c r="L31" i="214"/>
  <c r="S50" i="230"/>
  <c r="S49" i="230"/>
  <c r="S48" i="230"/>
  <c r="A102" i="13"/>
  <c r="G57" i="240"/>
  <c r="Q50" i="230"/>
  <c r="Q49" i="230"/>
  <c r="Q48" i="230"/>
  <c r="L108" i="213"/>
  <c r="L109" i="213"/>
  <c r="L110" i="213"/>
  <c r="L111" i="213"/>
  <c r="F65" i="210"/>
  <c r="O17" i="237"/>
  <c r="M18" i="240"/>
  <c r="M13" i="240"/>
  <c r="H16" i="214"/>
  <c r="H17" i="214"/>
  <c r="N42" i="213"/>
  <c r="N103" i="213"/>
  <c r="I33" i="214"/>
  <c r="K14" i="5"/>
  <c r="M48" i="210"/>
  <c r="O24" i="13"/>
  <c r="O23" i="13"/>
  <c r="K13" i="5"/>
  <c r="N26" i="239"/>
  <c r="N15" i="239"/>
  <c r="N30" i="213"/>
  <c r="L40" i="238"/>
  <c r="L5" i="56"/>
  <c r="L11" i="56"/>
  <c r="L12" i="56"/>
  <c r="Q68" i="13"/>
  <c r="Q69" i="13"/>
  <c r="H103" i="13"/>
  <c r="H102" i="13"/>
  <c r="L15" i="239"/>
  <c r="L26" i="239"/>
  <c r="O10" i="237"/>
  <c r="O14" i="237"/>
  <c r="O21" i="237"/>
  <c r="M38" i="214"/>
  <c r="R142" i="213"/>
  <c r="R48" i="213"/>
  <c r="T13" i="239"/>
  <c r="T16" i="239"/>
  <c r="T17" i="239"/>
  <c r="D14" i="5"/>
  <c r="D13" i="5"/>
  <c r="G17" i="237"/>
  <c r="L57" i="237"/>
  <c r="L53" i="237"/>
  <c r="AC17" i="239"/>
  <c r="AD18" i="239"/>
  <c r="AC10" i="239"/>
  <c r="AC12" i="239"/>
  <c r="AC22" i="239"/>
  <c r="J91" i="213"/>
  <c r="J78" i="213"/>
  <c r="J77" i="213"/>
  <c r="J106" i="213"/>
  <c r="J154" i="213"/>
  <c r="J159" i="213"/>
  <c r="J160" i="213"/>
  <c r="J162" i="213"/>
  <c r="J57" i="213"/>
  <c r="E6" i="5"/>
  <c r="K9" i="5"/>
  <c r="K10" i="5"/>
  <c r="K15" i="5"/>
  <c r="K16" i="5"/>
  <c r="D32" i="214"/>
  <c r="I102" i="213"/>
  <c r="E102" i="213"/>
  <c r="H165" i="238"/>
  <c r="I118" i="13"/>
  <c r="G25" i="210"/>
  <c r="H135" i="238"/>
  <c r="Q55" i="230"/>
  <c r="Q54" i="230"/>
  <c r="Q52" i="230"/>
  <c r="Q51" i="230"/>
  <c r="Q53" i="230"/>
  <c r="Q7" i="13"/>
  <c r="Q6" i="13"/>
  <c r="O64" i="210"/>
  <c r="O65" i="210"/>
  <c r="Q27" i="230"/>
  <c r="Q28" i="230"/>
  <c r="Q29" i="230"/>
  <c r="Q25" i="230"/>
  <c r="Q26" i="230"/>
  <c r="N7" i="13"/>
  <c r="N6" i="13"/>
  <c r="L64" i="210"/>
  <c r="L65" i="210"/>
  <c r="AA47" i="230"/>
  <c r="AA45" i="230"/>
  <c r="AA46" i="230"/>
  <c r="L5" i="5"/>
  <c r="L7" i="5"/>
  <c r="O30" i="213"/>
  <c r="M40" i="238"/>
  <c r="X13" i="239"/>
  <c r="X16" i="239"/>
  <c r="X17" i="239"/>
  <c r="M57" i="240"/>
  <c r="R112" i="213"/>
  <c r="J29" i="213"/>
  <c r="J52" i="213"/>
  <c r="J56" i="213"/>
  <c r="J58" i="213"/>
  <c r="H66" i="238"/>
  <c r="H67" i="238"/>
  <c r="J10" i="240"/>
  <c r="J13" i="240"/>
  <c r="J18" i="240"/>
  <c r="Q117" i="13"/>
  <c r="Q116" i="13"/>
  <c r="Q103" i="13"/>
  <c r="Q102" i="13"/>
  <c r="P12" i="240"/>
  <c r="P19" i="240"/>
  <c r="L48" i="213"/>
  <c r="L142" i="213"/>
  <c r="G38" i="214"/>
  <c r="J37" i="214"/>
  <c r="O141" i="213"/>
  <c r="O47" i="213"/>
  <c r="F6" i="5"/>
  <c r="K57" i="213"/>
  <c r="K162" i="213"/>
  <c r="K91" i="213"/>
  <c r="K78" i="213"/>
  <c r="K77" i="213"/>
  <c r="K106" i="213"/>
  <c r="K154" i="213"/>
  <c r="K159" i="213"/>
  <c r="K160" i="213"/>
  <c r="L24" i="239"/>
  <c r="L27" i="239"/>
  <c r="S58" i="230"/>
  <c r="S44" i="230"/>
  <c r="J54" i="237"/>
  <c r="L36" i="213"/>
  <c r="J11" i="237"/>
  <c r="J18" i="237"/>
  <c r="H57" i="240"/>
  <c r="K10" i="238"/>
  <c r="J5" i="56"/>
  <c r="J11" i="56"/>
  <c r="J12" i="56"/>
  <c r="L21" i="237"/>
  <c r="L14" i="237"/>
  <c r="I25" i="210"/>
  <c r="J165" i="238"/>
  <c r="J135" i="238"/>
  <c r="K118" i="13"/>
  <c r="I103" i="13"/>
  <c r="I102" i="13"/>
  <c r="H12" i="240"/>
  <c r="H19" i="240"/>
  <c r="E36" i="214"/>
  <c r="J140" i="213"/>
  <c r="J139" i="213"/>
  <c r="J138" i="213"/>
  <c r="J129" i="213"/>
  <c r="K21" i="230"/>
  <c r="K19" i="230"/>
  <c r="K20" i="230"/>
  <c r="M37" i="214"/>
  <c r="R141" i="213"/>
  <c r="R47" i="213"/>
  <c r="K7" i="13"/>
  <c r="K6" i="13"/>
  <c r="K68" i="13"/>
  <c r="K69" i="13"/>
  <c r="AA16" i="230"/>
  <c r="AA17" i="230"/>
  <c r="O57" i="240"/>
  <c r="E83" i="237"/>
  <c r="G10" i="237"/>
  <c r="G53" i="237"/>
  <c r="G57" i="237"/>
  <c r="P30" i="213"/>
  <c r="N40" i="238"/>
  <c r="Q8" i="13"/>
  <c r="O67" i="210"/>
  <c r="M5" i="5"/>
  <c r="M9" i="5"/>
  <c r="M10" i="5"/>
  <c r="M15" i="5"/>
  <c r="M16" i="5"/>
  <c r="N103" i="13"/>
  <c r="N102" i="13"/>
  <c r="X15" i="239"/>
  <c r="X26" i="239"/>
  <c r="G35" i="214"/>
  <c r="K19" i="214"/>
  <c r="P93" i="213"/>
  <c r="P25" i="213"/>
  <c r="P31" i="213"/>
  <c r="N43" i="238"/>
  <c r="G165" i="238"/>
  <c r="E58" i="213"/>
  <c r="G135" i="238"/>
  <c r="F25" i="210"/>
  <c r="J50" i="210"/>
  <c r="J78" i="210"/>
  <c r="J79" i="210"/>
  <c r="J14" i="5"/>
  <c r="J13" i="5"/>
  <c r="E48" i="213"/>
  <c r="I48" i="213"/>
  <c r="L68" i="13"/>
  <c r="L69" i="13"/>
  <c r="O10" i="239"/>
  <c r="O21" i="239"/>
  <c r="O23" i="239"/>
  <c r="P29" i="213"/>
  <c r="P52" i="213"/>
  <c r="P56" i="213"/>
  <c r="K5" i="5"/>
  <c r="K7" i="5"/>
  <c r="L18" i="240"/>
  <c r="L13" i="240"/>
  <c r="K68" i="210"/>
  <c r="J25" i="210"/>
  <c r="K165" i="238"/>
  <c r="K135" i="238"/>
  <c r="L118" i="13"/>
  <c r="Y46" i="230"/>
  <c r="Y47" i="230"/>
  <c r="Q111" i="213"/>
  <c r="Q110" i="213"/>
  <c r="Q109" i="213"/>
  <c r="Q108" i="213"/>
  <c r="I74" i="13"/>
  <c r="I73" i="13"/>
  <c r="H10" i="240"/>
  <c r="H13" i="240"/>
  <c r="H18" i="240"/>
  <c r="L29" i="213"/>
  <c r="L52" i="213"/>
  <c r="L56" i="213"/>
  <c r="L58" i="213"/>
  <c r="L59" i="213"/>
  <c r="J101" i="238"/>
  <c r="I68" i="210"/>
  <c r="L10" i="237"/>
  <c r="L17" i="237"/>
  <c r="M36" i="210"/>
  <c r="M51" i="210"/>
  <c r="O74" i="13"/>
  <c r="O73" i="13"/>
  <c r="Z13" i="239"/>
  <c r="Z16" i="239"/>
  <c r="Z17" i="239"/>
  <c r="N36" i="210"/>
  <c r="N51" i="210"/>
  <c r="P74" i="13"/>
  <c r="P73" i="13"/>
  <c r="P72" i="13"/>
  <c r="AB13" i="239"/>
  <c r="AB16" i="239"/>
  <c r="AB17" i="239"/>
  <c r="I38" i="230"/>
  <c r="I39" i="230"/>
  <c r="F33" i="214"/>
  <c r="K103" i="213"/>
  <c r="K42" i="213"/>
  <c r="H116" i="13"/>
  <c r="I117" i="13"/>
  <c r="I116" i="13"/>
  <c r="J117" i="13"/>
  <c r="J116" i="13"/>
  <c r="K117" i="13"/>
  <c r="K116" i="13"/>
  <c r="L117" i="13"/>
  <c r="L116" i="13"/>
  <c r="M117" i="13"/>
  <c r="M116" i="13"/>
  <c r="N117" i="13"/>
  <c r="N116" i="13"/>
  <c r="O117" i="13"/>
  <c r="O116" i="13"/>
  <c r="P117" i="13"/>
  <c r="P116" i="13"/>
  <c r="P103" i="13"/>
  <c r="P102" i="13"/>
  <c r="AB15" i="239"/>
  <c r="AB26" i="239"/>
  <c r="K39" i="214"/>
  <c r="P143" i="213"/>
  <c r="P49" i="213"/>
  <c r="Y45" i="230"/>
  <c r="Y44" i="230"/>
  <c r="Y58" i="230"/>
  <c r="D38" i="214"/>
  <c r="I142" i="213"/>
  <c r="E142" i="213"/>
  <c r="E32" i="214"/>
  <c r="J102" i="213"/>
  <c r="J41" i="213"/>
  <c r="I17" i="237"/>
  <c r="L7" i="13"/>
  <c r="L6" i="13"/>
  <c r="J64" i="210"/>
  <c r="K63" i="210"/>
  <c r="K72" i="210"/>
  <c r="H7" i="191"/>
  <c r="H5" i="191"/>
  <c r="M23" i="239"/>
  <c r="M21" i="239"/>
  <c r="M59" i="213"/>
  <c r="K101" i="238"/>
  <c r="H42" i="210"/>
  <c r="G43" i="210"/>
  <c r="G54" i="210"/>
  <c r="G56" i="210"/>
  <c r="O51" i="210"/>
  <c r="Q74" i="13"/>
  <c r="Q73" i="13"/>
  <c r="P10" i="240"/>
  <c r="P17" i="240"/>
  <c r="P20" i="240"/>
  <c r="W21" i="230"/>
  <c r="W19" i="230"/>
  <c r="W20" i="230"/>
  <c r="W23" i="230"/>
  <c r="W22" i="230"/>
  <c r="W24" i="230"/>
  <c r="H73" i="210"/>
  <c r="G68" i="210"/>
  <c r="I19" i="237"/>
  <c r="K39" i="213"/>
  <c r="K38" i="213"/>
  <c r="I12" i="237"/>
  <c r="I55" i="237"/>
  <c r="J7" i="13"/>
  <c r="J6" i="13"/>
  <c r="H64" i="210"/>
  <c r="I63" i="210"/>
  <c r="I72" i="210"/>
  <c r="F7" i="191"/>
  <c r="F5" i="191"/>
  <c r="I129" i="213"/>
  <c r="I138" i="213"/>
  <c r="L18" i="239"/>
  <c r="K12" i="239"/>
  <c r="K17" i="239"/>
  <c r="E40" i="213"/>
  <c r="I40" i="213"/>
  <c r="O67" i="238"/>
  <c r="O66" i="238"/>
  <c r="I50" i="210"/>
  <c r="I78" i="210"/>
  <c r="I79" i="210"/>
  <c r="J7" i="5"/>
  <c r="H76" i="210"/>
  <c r="K152" i="213"/>
  <c r="K37" i="213"/>
  <c r="F8" i="5"/>
  <c r="N67" i="210"/>
  <c r="L13" i="239"/>
  <c r="L16" i="239"/>
  <c r="L17" i="239"/>
  <c r="Q91" i="213"/>
  <c r="Q78" i="213"/>
  <c r="Q77" i="213"/>
  <c r="Q106" i="213"/>
  <c r="Q154" i="213"/>
  <c r="Q159" i="213"/>
  <c r="Q164" i="213"/>
  <c r="Q165" i="213"/>
  <c r="K31" i="214"/>
  <c r="P101" i="213"/>
  <c r="P40" i="213"/>
  <c r="N73" i="210"/>
  <c r="G64" i="210"/>
  <c r="H63" i="210"/>
  <c r="H72" i="210"/>
  <c r="J83" i="13"/>
  <c r="F10" i="56"/>
  <c r="J48" i="210"/>
  <c r="L24" i="13"/>
  <c r="L23" i="13"/>
  <c r="H13" i="5"/>
  <c r="H14" i="5"/>
  <c r="M29" i="213"/>
  <c r="M52" i="213"/>
  <c r="M56" i="213"/>
  <c r="M58" i="213"/>
  <c r="H5" i="56"/>
  <c r="H11" i="56"/>
  <c r="H12" i="56"/>
  <c r="W39" i="230"/>
  <c r="W38" i="230"/>
  <c r="P8" i="13"/>
  <c r="P7" i="13"/>
  <c r="P6" i="13"/>
  <c r="N64" i="210"/>
  <c r="O63" i="210"/>
  <c r="O72" i="210"/>
  <c r="L7" i="191"/>
  <c r="L5" i="191"/>
  <c r="M19" i="214"/>
  <c r="R93" i="213"/>
  <c r="R25" i="213"/>
  <c r="R31" i="213"/>
  <c r="P43" i="238"/>
  <c r="N21" i="237"/>
  <c r="N14" i="237"/>
  <c r="G48" i="210"/>
  <c r="I24" i="13"/>
  <c r="I23" i="13"/>
  <c r="E8" i="56"/>
  <c r="E9" i="56"/>
  <c r="K10" i="239"/>
  <c r="K21" i="239"/>
  <c r="K23" i="239"/>
  <c r="I101" i="238"/>
  <c r="K59" i="213"/>
  <c r="U47" i="230"/>
  <c r="U45" i="230"/>
  <c r="U46" i="230"/>
  <c r="L160" i="213"/>
  <c r="L162" i="213"/>
  <c r="L57" i="213"/>
  <c r="G6" i="5"/>
  <c r="I10" i="237"/>
  <c r="I14" i="237"/>
  <c r="I21" i="237"/>
  <c r="K18" i="237"/>
  <c r="M36" i="213"/>
  <c r="K11" i="237"/>
  <c r="K54" i="237"/>
  <c r="M17" i="239"/>
  <c r="M22" i="239"/>
  <c r="I7" i="13"/>
  <c r="I6" i="13"/>
  <c r="M10" i="239"/>
  <c r="M12" i="239"/>
  <c r="N18" i="239"/>
  <c r="L24" i="213"/>
  <c r="L23" i="213"/>
  <c r="I36" i="210"/>
  <c r="I51" i="210"/>
  <c r="K74" i="13"/>
  <c r="K73" i="13"/>
  <c r="R13" i="239"/>
  <c r="R24" i="239"/>
  <c r="R27" i="239"/>
  <c r="L68" i="210"/>
  <c r="U40" i="230"/>
  <c r="U37" i="230"/>
  <c r="U33" i="230"/>
  <c r="U35" i="230"/>
  <c r="U36" i="230"/>
  <c r="M48" i="213"/>
  <c r="M142" i="213"/>
  <c r="I50" i="230"/>
  <c r="H38" i="214"/>
  <c r="N56" i="237"/>
  <c r="K36" i="214"/>
  <c r="P140" i="213"/>
  <c r="P46" i="213"/>
  <c r="P45" i="213"/>
  <c r="N13" i="237"/>
  <c r="N20" i="237"/>
  <c r="M52" i="230"/>
  <c r="M53" i="230"/>
  <c r="M54" i="230"/>
  <c r="M51" i="230"/>
  <c r="M55" i="230"/>
  <c r="M68" i="13"/>
  <c r="M69" i="13"/>
  <c r="O58" i="230"/>
  <c r="O44" i="230"/>
  <c r="O18" i="237"/>
  <c r="Q36" i="213"/>
  <c r="O11" i="237"/>
  <c r="O54" i="237"/>
  <c r="M20" i="240"/>
  <c r="L51" i="210"/>
  <c r="N74" i="13"/>
  <c r="N73" i="13"/>
  <c r="M10" i="240"/>
  <c r="M17" i="240"/>
  <c r="S29" i="230"/>
  <c r="S27" i="230"/>
  <c r="S26" i="230"/>
  <c r="S25" i="230"/>
  <c r="S28" i="230"/>
  <c r="J93" i="213"/>
  <c r="J25" i="213"/>
  <c r="J31" i="213"/>
  <c r="H43" i="238"/>
  <c r="J56" i="237"/>
  <c r="G36" i="214"/>
  <c r="L140" i="213"/>
  <c r="L46" i="213"/>
  <c r="L45" i="213"/>
  <c r="J13" i="237"/>
  <c r="J20" i="237"/>
  <c r="L56" i="237"/>
  <c r="I36" i="214"/>
  <c r="N140" i="213"/>
  <c r="N46" i="213"/>
  <c r="N45" i="213"/>
  <c r="L13" i="237"/>
  <c r="L20" i="237"/>
  <c r="D7" i="191"/>
  <c r="D5" i="191"/>
  <c r="AA20" i="230"/>
  <c r="AA19" i="230"/>
  <c r="AA21" i="230"/>
  <c r="K26" i="230"/>
  <c r="K29" i="230"/>
  <c r="K28" i="230"/>
  <c r="K25" i="230"/>
  <c r="K27" i="230"/>
  <c r="I139" i="213"/>
  <c r="E139" i="213"/>
  <c r="Q112" i="213"/>
  <c r="E19" i="214"/>
  <c r="J112" i="213"/>
  <c r="M67" i="238"/>
  <c r="M66" i="238"/>
  <c r="S21" i="230"/>
  <c r="S19" i="230"/>
  <c r="S20" i="230"/>
  <c r="M55" i="237"/>
  <c r="O39" i="213"/>
  <c r="O38" i="213"/>
  <c r="M12" i="237"/>
  <c r="M19" i="237"/>
  <c r="Q23" i="230"/>
  <c r="Q22" i="230"/>
  <c r="Q24" i="230"/>
  <c r="O36" i="210"/>
  <c r="O48" i="210"/>
  <c r="Q24" i="13"/>
  <c r="Q23" i="13"/>
  <c r="M8" i="56"/>
  <c r="M9" i="56"/>
  <c r="W53" i="230"/>
  <c r="W55" i="230"/>
  <c r="W54" i="230"/>
  <c r="W51" i="230"/>
  <c r="W52" i="230"/>
  <c r="G20" i="237"/>
  <c r="F29" i="214"/>
  <c r="I29" i="213"/>
  <c r="I52" i="213"/>
  <c r="I56" i="213"/>
  <c r="I58" i="213"/>
  <c r="H118" i="13"/>
  <c r="A118" i="13"/>
  <c r="K64" i="210"/>
  <c r="L63" i="210"/>
  <c r="L72" i="210"/>
  <c r="I7" i="191"/>
  <c r="I5" i="191"/>
  <c r="U21" i="230"/>
  <c r="U19" i="230"/>
  <c r="U20" i="230"/>
  <c r="U53" i="230"/>
  <c r="U55" i="230"/>
  <c r="U54" i="230"/>
  <c r="U51" i="230"/>
  <c r="U52" i="230"/>
  <c r="H39" i="214"/>
  <c r="M143" i="213"/>
  <c r="M49" i="213"/>
  <c r="AA29" i="230"/>
  <c r="AA26" i="230"/>
  <c r="AA27" i="230"/>
  <c r="AA25" i="230"/>
  <c r="AA28" i="230"/>
  <c r="U22" i="239"/>
  <c r="U17" i="239"/>
  <c r="M7" i="13"/>
  <c r="M6" i="13"/>
  <c r="U10" i="239"/>
  <c r="U12" i="239"/>
  <c r="V18" i="239"/>
  <c r="L39" i="214"/>
  <c r="Q143" i="213"/>
  <c r="Q49" i="213"/>
  <c r="AA33" i="230"/>
  <c r="AA37" i="230"/>
  <c r="AA36" i="230"/>
  <c r="AA35" i="230"/>
  <c r="AA40" i="230"/>
  <c r="O46" i="230"/>
  <c r="O45" i="230"/>
  <c r="O47" i="230"/>
  <c r="O99" i="213"/>
  <c r="O100" i="213"/>
  <c r="O98" i="213"/>
  <c r="N17" i="237"/>
  <c r="G13" i="237"/>
  <c r="G56" i="237"/>
  <c r="E86" i="237"/>
  <c r="K47" i="230"/>
  <c r="K46" i="230"/>
  <c r="E140" i="213"/>
  <c r="E14" i="230"/>
  <c r="F14" i="230"/>
  <c r="I14" i="230"/>
  <c r="L19" i="214"/>
  <c r="Q93" i="213"/>
  <c r="Q25" i="213"/>
  <c r="Q31" i="213"/>
  <c r="O43" i="238"/>
  <c r="J74" i="13"/>
  <c r="J73" i="13"/>
  <c r="P13" i="239"/>
  <c r="P16" i="239"/>
  <c r="P17" i="239"/>
  <c r="G18" i="214"/>
  <c r="L92" i="213"/>
  <c r="L91" i="213"/>
  <c r="L78" i="213"/>
  <c r="L77" i="213"/>
  <c r="L106" i="213"/>
  <c r="L154" i="213"/>
  <c r="L159" i="213"/>
  <c r="L164" i="213"/>
  <c r="L165" i="213"/>
  <c r="U48" i="230"/>
  <c r="U49" i="230"/>
  <c r="U50" i="230"/>
  <c r="K48" i="230"/>
  <c r="K49" i="230"/>
  <c r="K50" i="230"/>
  <c r="K129" i="213"/>
  <c r="F36" i="214"/>
  <c r="K140" i="213"/>
  <c r="K139" i="213"/>
  <c r="K138" i="213"/>
  <c r="U27" i="230"/>
  <c r="U26" i="230"/>
  <c r="U28" i="230"/>
  <c r="U25" i="230"/>
  <c r="U29" i="230"/>
  <c r="N118" i="13"/>
  <c r="M135" i="238"/>
  <c r="L25" i="210"/>
  <c r="O58" i="213"/>
  <c r="M165" i="238"/>
  <c r="F51" i="210"/>
  <c r="H74" i="13"/>
  <c r="H73" i="13"/>
  <c r="G10" i="240"/>
  <c r="G13" i="240"/>
  <c r="G18" i="240"/>
  <c r="I165" i="238"/>
  <c r="H25" i="210"/>
  <c r="I135" i="238"/>
  <c r="K29" i="213"/>
  <c r="K52" i="213"/>
  <c r="K56" i="213"/>
  <c r="K58" i="213"/>
  <c r="J118" i="13"/>
  <c r="I48" i="230"/>
  <c r="I49" i="230"/>
  <c r="J39" i="214"/>
  <c r="O143" i="213"/>
  <c r="O49" i="213"/>
  <c r="I17" i="230"/>
  <c r="I16" i="230"/>
  <c r="L8" i="13"/>
  <c r="M8" i="13"/>
  <c r="N8" i="13"/>
  <c r="O8" i="13"/>
  <c r="O7" i="13"/>
  <c r="O6" i="13"/>
  <c r="M64" i="210"/>
  <c r="N63" i="210"/>
  <c r="N72" i="210"/>
  <c r="K7" i="191"/>
  <c r="K5" i="191"/>
  <c r="L17" i="214"/>
  <c r="L16" i="214"/>
  <c r="M18" i="214"/>
  <c r="R92" i="213"/>
  <c r="R24" i="213"/>
  <c r="R23" i="213"/>
  <c r="R29" i="213"/>
  <c r="R52" i="213"/>
  <c r="R56" i="213"/>
  <c r="R58" i="213"/>
  <c r="R59" i="213"/>
  <c r="P101" i="238"/>
  <c r="I47" i="230"/>
  <c r="D37" i="214"/>
  <c r="I141" i="213"/>
  <c r="E141" i="213"/>
  <c r="S46" i="230"/>
  <c r="S45" i="230"/>
  <c r="S47" i="230"/>
  <c r="A6" i="13"/>
  <c r="I8" i="13"/>
  <c r="J8" i="13"/>
  <c r="K8" i="13"/>
  <c r="I67" i="210"/>
  <c r="J76" i="210"/>
  <c r="M152" i="213"/>
  <c r="M37" i="213"/>
  <c r="H8" i="5"/>
  <c r="O29" i="230"/>
  <c r="O27" i="230"/>
  <c r="O28" i="230"/>
  <c r="O25" i="230"/>
  <c r="O26" i="230"/>
  <c r="I140" i="213"/>
  <c r="I46" i="213"/>
  <c r="I45" i="213"/>
  <c r="E45" i="213"/>
  <c r="A24" i="13"/>
  <c r="W27" i="230"/>
  <c r="W26" i="230"/>
  <c r="W29" i="230"/>
  <c r="E25" i="230"/>
  <c r="F25" i="230"/>
  <c r="W25" i="230"/>
  <c r="W28" i="230"/>
  <c r="I73" i="210"/>
  <c r="E18" i="214"/>
  <c r="J92" i="213"/>
  <c r="J24" i="213"/>
  <c r="J23" i="213"/>
  <c r="G36" i="210"/>
  <c r="G51" i="210"/>
  <c r="G50" i="210"/>
  <c r="G78" i="210"/>
  <c r="G79" i="210"/>
  <c r="H23" i="13"/>
  <c r="A23" i="13"/>
  <c r="I30" i="213"/>
  <c r="E30" i="213"/>
  <c r="Q33" i="230"/>
  <c r="Q36" i="230"/>
  <c r="Q37" i="230"/>
  <c r="Q35" i="230"/>
  <c r="Q40" i="230"/>
  <c r="I18" i="214"/>
  <c r="N92" i="213"/>
  <c r="N24" i="213"/>
  <c r="N23" i="213"/>
  <c r="K36" i="210"/>
  <c r="K51" i="210"/>
  <c r="M74" i="13"/>
  <c r="M73" i="13"/>
  <c r="L10" i="240"/>
  <c r="L17" i="240"/>
  <c r="L20" i="240"/>
  <c r="O135" i="238"/>
  <c r="N25" i="210"/>
  <c r="P118" i="13"/>
  <c r="L18" i="214"/>
  <c r="Q92" i="213"/>
  <c r="Q24" i="213"/>
  <c r="Q23" i="213"/>
  <c r="Q29" i="213"/>
  <c r="Q52" i="213"/>
  <c r="Q56" i="213"/>
  <c r="Q58" i="213"/>
  <c r="O165" i="238"/>
  <c r="D31" i="214"/>
  <c r="I101" i="213"/>
  <c r="E101" i="213"/>
  <c r="I74" i="210"/>
  <c r="J71" i="210"/>
  <c r="J74" i="210"/>
  <c r="K71" i="210"/>
  <c r="K74" i="210"/>
  <c r="L71" i="210"/>
  <c r="L74" i="210"/>
  <c r="M71" i="210"/>
  <c r="M74" i="210"/>
  <c r="N71" i="210"/>
  <c r="N76" i="210"/>
  <c r="Q152" i="213"/>
  <c r="Q37" i="213"/>
  <c r="L8" i="5"/>
  <c r="J30" i="214"/>
  <c r="J29" i="214"/>
  <c r="K18" i="214"/>
  <c r="P92" i="213"/>
  <c r="P24" i="213"/>
  <c r="P23" i="213"/>
  <c r="N10" i="237"/>
  <c r="N53" i="237"/>
  <c r="N57" i="237"/>
  <c r="Y20" i="230"/>
  <c r="E19" i="230"/>
  <c r="F19" i="230"/>
  <c r="Y19" i="230"/>
  <c r="Y21" i="230"/>
  <c r="I40" i="230"/>
  <c r="J32" i="214"/>
  <c r="O102" i="213"/>
  <c r="O41" i="213"/>
  <c r="Y24" i="230"/>
  <c r="E22" i="230"/>
  <c r="F22" i="230"/>
  <c r="Y22" i="230"/>
  <c r="Y23" i="230"/>
  <c r="K45" i="230"/>
  <c r="K44" i="230"/>
  <c r="K58" i="230"/>
  <c r="H18" i="214"/>
  <c r="M92" i="213"/>
  <c r="M24" i="213"/>
  <c r="M23" i="213"/>
  <c r="J36" i="210"/>
  <c r="J51" i="210"/>
  <c r="L74" i="13"/>
  <c r="L73" i="13"/>
  <c r="L72" i="13"/>
  <c r="L123" i="13"/>
  <c r="L124" i="13"/>
  <c r="K98" i="213"/>
  <c r="I36" i="230"/>
  <c r="F30" i="214"/>
  <c r="K100" i="213"/>
  <c r="K99" i="213"/>
  <c r="O53" i="230"/>
  <c r="O52" i="230"/>
  <c r="O55" i="230"/>
  <c r="E51" i="230"/>
  <c r="F51" i="230"/>
  <c r="O51" i="230"/>
  <c r="O54" i="230"/>
  <c r="L36" i="210"/>
  <c r="L48" i="210"/>
  <c r="N24" i="13"/>
  <c r="N23" i="13"/>
  <c r="J8" i="56"/>
  <c r="J9" i="56"/>
  <c r="E35" i="230"/>
  <c r="F35" i="230"/>
  <c r="I35" i="230"/>
  <c r="I37" i="230"/>
  <c r="G31" i="214"/>
  <c r="L101" i="213"/>
  <c r="L40" i="213"/>
  <c r="D18" i="214"/>
  <c r="I92" i="213"/>
  <c r="I24" i="213"/>
  <c r="I23" i="213"/>
  <c r="F36" i="210"/>
  <c r="F48" i="210"/>
  <c r="H24" i="13"/>
  <c r="H8" i="13"/>
  <c r="H7" i="13"/>
  <c r="H6" i="13"/>
  <c r="F64" i="210"/>
  <c r="G63" i="210"/>
  <c r="G72" i="210"/>
  <c r="G74" i="210"/>
  <c r="H71" i="210"/>
  <c r="H74" i="210"/>
  <c r="I71" i="210"/>
  <c r="I76" i="210"/>
  <c r="L152" i="213"/>
  <c r="L37" i="213"/>
  <c r="G8" i="5"/>
  <c r="E45" i="230"/>
  <c r="F45" i="230"/>
  <c r="I45" i="230"/>
  <c r="I46" i="230"/>
  <c r="D36" i="214"/>
  <c r="D35" i="214"/>
  <c r="E48" i="230"/>
  <c r="F48" i="230"/>
  <c r="M48" i="230"/>
  <c r="M49" i="230"/>
  <c r="M50" i="230"/>
  <c r="F18" i="214"/>
  <c r="K92" i="213"/>
  <c r="K24" i="213"/>
  <c r="K23" i="213"/>
  <c r="H36" i="210"/>
  <c r="H51" i="210"/>
  <c r="H50" i="210"/>
  <c r="H78" i="210"/>
  <c r="H79" i="210"/>
  <c r="E13" i="230"/>
  <c r="F13" i="230"/>
  <c r="I13" i="230"/>
  <c r="J18" i="214"/>
  <c r="O92" i="213"/>
  <c r="O24" i="213"/>
  <c r="O23" i="213"/>
  <c r="O29" i="213"/>
  <c r="O52" i="213"/>
  <c r="O56" i="213"/>
  <c r="J5" i="5"/>
  <c r="J9" i="5"/>
  <c r="J10" i="5"/>
  <c r="J15" i="5"/>
  <c r="J16" i="5"/>
  <c r="E17" i="230"/>
  <c r="F17" i="230"/>
  <c r="M17" i="230"/>
  <c r="M16" i="230"/>
  <c r="F186" i="229"/>
  <c r="E38" i="230"/>
  <c r="F38" i="230"/>
  <c r="AA38" i="230"/>
  <c r="AA39" i="23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K.Trinh</author>
  </authors>
  <commentList>
    <comment ref="C153" authorId="0" shapeId="0" xr:uid="{00000000-0006-0000-0B00-000001000000}">
      <text>
        <r>
          <rPr>
            <b/>
            <sz val="9"/>
            <rFont val="Tahoma"/>
            <family val="2"/>
          </rPr>
          <t>K.Trinh:</t>
        </r>
        <r>
          <rPr>
            <sz val="9"/>
            <rFont val="Tahoma"/>
            <family val="2"/>
          </rPr>
          <t xml:space="preserve">
Mất cân đối Tài sản ngắn hạn dài hạn 
Đặc biệt : </t>
        </r>
        <r>
          <rPr>
            <b/>
            <sz val="9"/>
            <rFont val="Tahoma"/>
            <family val="2"/>
          </rPr>
          <t>Giống PG, Giống Tho Xuan; Viet Avis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K70" authorId="0" shapeId="0" xr:uid="{273A7496-BA2E-49D9-A7FA-A4FFC6AD4624}">
      <text>
        <r>
          <rPr>
            <b/>
            <sz val="9"/>
            <color indexed="81"/>
            <rFont val="Tahoma"/>
            <family val="2"/>
          </rPr>
          <t>Author:</t>
        </r>
        <r>
          <rPr>
            <sz val="9"/>
            <color indexed="81"/>
            <rFont val="Tahoma"/>
            <family val="2"/>
          </rPr>
          <t xml:space="preserve">
 lương 4tr
</t>
        </r>
      </text>
    </comment>
  </commentList>
</comments>
</file>

<file path=xl/sharedStrings.xml><?xml version="1.0" encoding="utf-8"?>
<sst xmlns="http://schemas.openxmlformats.org/spreadsheetml/2006/main" count="6764" uniqueCount="2110">
  <si>
    <t>Doanh thu</t>
  </si>
  <si>
    <t>STT</t>
  </si>
  <si>
    <t>Lợi nhuận gộp</t>
  </si>
  <si>
    <t>CHỈ TIÊU</t>
  </si>
  <si>
    <t>BẢNG CÂN ĐỐI KẾ TOÁN</t>
  </si>
  <si>
    <t>2023</t>
  </si>
  <si>
    <t>2024</t>
  </si>
  <si>
    <t>2025</t>
  </si>
  <si>
    <t>2026</t>
  </si>
  <si>
    <t>2027</t>
  </si>
  <si>
    <t>2028</t>
  </si>
  <si>
    <t>Tỷ/năm</t>
  </si>
  <si>
    <t>Cộng</t>
  </si>
  <si>
    <t>Giá vốn</t>
  </si>
  <si>
    <t>Chi phí lãi vay</t>
  </si>
  <si>
    <t>Thuế TNDN</t>
  </si>
  <si>
    <t>LNST</t>
  </si>
  <si>
    <t>LN trước thuế</t>
  </si>
  <si>
    <t>Chi phí quản lý doanh nghiệp</t>
  </si>
  <si>
    <t>WACC</t>
  </si>
  <si>
    <t>Tỷ lệ</t>
  </si>
  <si>
    <t>năm</t>
  </si>
  <si>
    <t>Thuế thu nhập doanh nghiệp</t>
  </si>
  <si>
    <t>Khấu hao</t>
  </si>
  <si>
    <t>Tài sản</t>
  </si>
  <si>
    <t>A -</t>
  </si>
  <si>
    <t>TÀI SẢN NGẮN HẠN</t>
  </si>
  <si>
    <t>I.</t>
  </si>
  <si>
    <t>Tiền và các khoản tương đương tiền</t>
  </si>
  <si>
    <t>1.</t>
  </si>
  <si>
    <t xml:space="preserve">Tiền </t>
  </si>
  <si>
    <t>2.</t>
  </si>
  <si>
    <t>Các khoản tương đương tiền</t>
  </si>
  <si>
    <t>II.</t>
  </si>
  <si>
    <t>Đầu tư tài chính ngắn hạn</t>
  </si>
  <si>
    <t>Chứng khoán kinh doanh</t>
  </si>
  <si>
    <t>Dự phòng giảm giá chứng khoán kinh doanh</t>
  </si>
  <si>
    <t>3.</t>
  </si>
  <si>
    <t>Đầu tư nắm giữ đến ngày đáo hạn</t>
  </si>
  <si>
    <t>III.</t>
  </si>
  <si>
    <t>Các khoản phải thu ngắn hạn</t>
  </si>
  <si>
    <t>Phải thu ngắn hạn của khách hàng</t>
  </si>
  <si>
    <t>Trả trước cho người bán ngắn hạn</t>
  </si>
  <si>
    <t>Phải thu nội bộ ngắn hạn</t>
  </si>
  <si>
    <t>4.</t>
  </si>
  <si>
    <t>Phải thu theo tiến độ kế hoạch hợp đồng xây dựng</t>
  </si>
  <si>
    <t>5.</t>
  </si>
  <si>
    <t>Phải thu về cho vay ngắn hạn</t>
  </si>
  <si>
    <t>6.</t>
  </si>
  <si>
    <t>Phải thu ngắn hạn khác</t>
  </si>
  <si>
    <t>7.</t>
  </si>
  <si>
    <t xml:space="preserve">Dự phòng phải thu ngắn hạn khó đòi </t>
  </si>
  <si>
    <t>8.</t>
  </si>
  <si>
    <t>Tài sản thiếu chờ xử lý</t>
  </si>
  <si>
    <t>IV.</t>
  </si>
  <si>
    <t>Hàng tồn kho</t>
  </si>
  <si>
    <t>Dự phòng giảm giá hàng tồn kho</t>
  </si>
  <si>
    <t>V.</t>
  </si>
  <si>
    <t>Tài sản ngắn hạn khác</t>
  </si>
  <si>
    <t>Chi phí trả trước ngắn hạn</t>
  </si>
  <si>
    <t>Thuế giá trị gia tăng được khấu trừ</t>
  </si>
  <si>
    <t>Thuế và các khoản khác phải thu Nhà nước</t>
  </si>
  <si>
    <t>Giao dịch mua bán lại trái phiếu Chính phủ</t>
  </si>
  <si>
    <t>B-</t>
  </si>
  <si>
    <t>TÀI SẢN DÀI HẠN</t>
  </si>
  <si>
    <t>Các khoản phải thu dài hạn</t>
  </si>
  <si>
    <t>Phải thu dài hạn của khách hàng</t>
  </si>
  <si>
    <t>Trả trước cho người bán dài hạn</t>
  </si>
  <si>
    <t>Vốn kinh doanh ở đơn vị trực thuộc</t>
  </si>
  <si>
    <t>Phải thu nội bộ dài hạn</t>
  </si>
  <si>
    <t>Phải thu về cho vay dài hạn</t>
  </si>
  <si>
    <t>Phải thu dài hạn khác</t>
  </si>
  <si>
    <t>Dự phòng phải thu dài hạn khó đòi</t>
  </si>
  <si>
    <t>Tài sản cố định</t>
  </si>
  <si>
    <t>Tài sản cố định hữu hình</t>
  </si>
  <si>
    <t>-</t>
  </si>
  <si>
    <t>Nguyên giá</t>
  </si>
  <si>
    <t>Giá trị hao mòn lũy kế</t>
  </si>
  <si>
    <t>Tài sản cố định thuê tài chính</t>
  </si>
  <si>
    <t>Tài sản cố định vô hình</t>
  </si>
  <si>
    <t>Bất động sản đầu tư</t>
  </si>
  <si>
    <t>Tài sản dở dang dài hạn</t>
  </si>
  <si>
    <t>Chi phí sản xuất, kinh doanh dở dang dài hạn</t>
  </si>
  <si>
    <t>Chi phí xây dựng cơ bản dở dang</t>
  </si>
  <si>
    <t>Đầu tư tài chính dài hạn</t>
  </si>
  <si>
    <t>Đầu tư vào công ty con</t>
  </si>
  <si>
    <t>Đầu tư vào công ty liên doanh, liên kết</t>
  </si>
  <si>
    <t>Đầu tư góp vốn vào đơn vị khác</t>
  </si>
  <si>
    <t>Dự phòng đầu tư tài chính dài hạn</t>
  </si>
  <si>
    <t>VI.</t>
  </si>
  <si>
    <t>Tài sản dài hạn khác</t>
  </si>
  <si>
    <t>Chi phí trả trước dài hạn</t>
  </si>
  <si>
    <t>Tài sản thuế thu nhập hoãn lại</t>
  </si>
  <si>
    <t>Thiết bị, vật tư, phụ tùng thay thế dài hạn</t>
  </si>
  <si>
    <t xml:space="preserve">TỔNG CỘNG TÀI SẢN </t>
  </si>
  <si>
    <t>Nguồn vốn</t>
  </si>
  <si>
    <t>C -</t>
  </si>
  <si>
    <t>NỢ PHẢI TRẢ</t>
  </si>
  <si>
    <t>Nợ ngắn hạn</t>
  </si>
  <si>
    <t>9.</t>
  </si>
  <si>
    <t>10.</t>
  </si>
  <si>
    <t>11.</t>
  </si>
  <si>
    <t>12.</t>
  </si>
  <si>
    <t>13.</t>
  </si>
  <si>
    <t>14.</t>
  </si>
  <si>
    <t>Nợ dài hạn</t>
  </si>
  <si>
    <t>Phải trả người bán dài hạn</t>
  </si>
  <si>
    <t>Người mua trả tiền trước dài hạn</t>
  </si>
  <si>
    <t>Chi phí phải trả dài hạn</t>
  </si>
  <si>
    <t>Phải trả nội bộ về vốn kinh doanh</t>
  </si>
  <si>
    <t>Phải trả nội bộ dài hạn</t>
  </si>
  <si>
    <t>Doanh thu chưa thực hiện dài hạn</t>
  </si>
  <si>
    <t>Phải trả dài hạn khác</t>
  </si>
  <si>
    <t>Vay và nợ thuê tài chính dài hạn</t>
  </si>
  <si>
    <t>Trái phiếu chuyển đổi</t>
  </si>
  <si>
    <t>Cổ phiếu ưu đãi</t>
  </si>
  <si>
    <t>Thuế thu nhập hoãn lại phải trả</t>
  </si>
  <si>
    <t>Dự phòng phải trả dài hạn</t>
  </si>
  <si>
    <t>Quỹ phát triển khoa học và công nghệ</t>
  </si>
  <si>
    <t>D -</t>
  </si>
  <si>
    <t>VỐN CHỦ SỞ HỮU</t>
  </si>
  <si>
    <t>Vốn chủ sở hữu</t>
  </si>
  <si>
    <t>Vốn góp của chủ sở hữu</t>
  </si>
  <si>
    <t>Cổ phiếu phổ thông có quyền biểu quyết</t>
  </si>
  <si>
    <t>Thặng dư vốn cổ phần</t>
  </si>
  <si>
    <t>Quyền chọn chuyển đổi trái phiếu</t>
  </si>
  <si>
    <t>Vốn khác của chủ sở hữu</t>
  </si>
  <si>
    <t>Cổ phiếu quỹ</t>
  </si>
  <si>
    <t>Chênh lệch đánh giá lại tài sản</t>
  </si>
  <si>
    <t>Chênh lệch tỷ giá hối đoái</t>
  </si>
  <si>
    <t>Quỹ đầu tư phát triển</t>
  </si>
  <si>
    <t>Quỹ hỗ trợ sắp xếp doanh nghiệp</t>
  </si>
  <si>
    <t>Quỹ khác thuộc vốn chủ sở hữu</t>
  </si>
  <si>
    <t>Lợi nhuận sau thuế chưa phân phối</t>
  </si>
  <si>
    <t>Lợi nhuận sau thuế chưa phân phối lũy kế đến cuối kỳ trước</t>
  </si>
  <si>
    <t>Lợi nhuận sau thuế chưa phân phối kỳ này</t>
  </si>
  <si>
    <t>Lợi ích cổ đông không kiểm soát</t>
  </si>
  <si>
    <t>Nguồn kinh phí và quỹ khác</t>
  </si>
  <si>
    <t>Nguồn kinh phí</t>
  </si>
  <si>
    <t>Nguồn kinh phí đã hình thành tài sản cố định</t>
  </si>
  <si>
    <t>TỔNG CỘNG NGUỒN VỐN</t>
  </si>
  <si>
    <t>Tỷ</t>
  </si>
  <si>
    <t>Chỉ tiêu</t>
  </si>
  <si>
    <t>1. Doanh thu</t>
  </si>
  <si>
    <t>2. Các khoản giảm trừ doanh thu</t>
  </si>
  <si>
    <t>3. Doanh thu thuần</t>
  </si>
  <si>
    <t>4. Giá vốn</t>
  </si>
  <si>
    <t>5. Lợi nhuận gộp</t>
  </si>
  <si>
    <t>6. Doanh thu hoạt động tài chính</t>
  </si>
  <si>
    <t>7. Chi phí tài chính</t>
  </si>
  <si>
    <t>Lợi nhuận sau thuế</t>
  </si>
  <si>
    <t>Năm 2024</t>
  </si>
  <si>
    <t>Năm 2025</t>
  </si>
  <si>
    <t>Năm 2026</t>
  </si>
  <si>
    <t>Năm 2027</t>
  </si>
  <si>
    <t>Năm 2028</t>
  </si>
  <si>
    <t>TT</t>
  </si>
  <si>
    <t>Thay đổi vốn luân chuyển thuần</t>
  </si>
  <si>
    <t>Chi đầu tư vốn</t>
  </si>
  <si>
    <t>Thay đổi vay thuần
(= Nợ mới phát sinh - khoản trả nợ gốc)</t>
  </si>
  <si>
    <t>Re</t>
  </si>
  <si>
    <t>Giá trị doanh nghiệp</t>
  </si>
  <si>
    <t>PHƯƠNG PHÁP ĐỊNH GIÁ</t>
  </si>
  <si>
    <t>Giá trị định giá từng PP</t>
  </si>
  <si>
    <t>Giả định kết cấu</t>
  </si>
  <si>
    <t>PA0</t>
  </si>
  <si>
    <t>PA1</t>
  </si>
  <si>
    <t>PA2</t>
  </si>
  <si>
    <t>PA3</t>
  </si>
  <si>
    <t>PA4</t>
  </si>
  <si>
    <t>PA5</t>
  </si>
  <si>
    <t>PA6</t>
  </si>
  <si>
    <t>PA7</t>
  </si>
  <si>
    <t>PA8</t>
  </si>
  <si>
    <t>PA9</t>
  </si>
  <si>
    <t>PA10</t>
  </si>
  <si>
    <t>1. PP TS</t>
  </si>
  <si>
    <t>Giá trị định giá</t>
  </si>
  <si>
    <t>Tài sản ngắn hạn</t>
  </si>
  <si>
    <t>Chênh lệch</t>
  </si>
  <si>
    <t>a. Vốn lưu động đầu kì (ngoài tiền mặt)</t>
  </si>
  <si>
    <t>b. Vốn lưu động cuối kì (ngoài tiền mặt)</t>
  </si>
  <si>
    <t>c. Thay đổi vốn luân chuyển thuần (ngoài tiền mặt)</t>
  </si>
  <si>
    <t>Giả định Biến động kết cấu</t>
  </si>
  <si>
    <t>PP Chính</t>
  </si>
  <si>
    <t>1. PP Tài sản</t>
  </si>
  <si>
    <t>PP chính</t>
  </si>
  <si>
    <t>2. PP DCF1</t>
  </si>
  <si>
    <t>Tổng Chi phí</t>
  </si>
  <si>
    <t>Chiết khấu chi phí lãi vay</t>
  </si>
  <si>
    <t>Khoản vay VLĐ</t>
  </si>
  <si>
    <t>Đầu kỳ</t>
  </si>
  <si>
    <t>Vay trong kỳ</t>
  </si>
  <si>
    <t>Lãi vay</t>
  </si>
  <si>
    <t>Trả gốc vay</t>
  </si>
  <si>
    <t xml:space="preserve"> =&gt; Chi phí lãi vay ảnh hưởng nhiều đến 2 PP =&gt; Lựa chọn PP FCFE chiếm tỷ trọng 70% trong pp tính toán</t>
  </si>
  <si>
    <t>Dòng tiền tự do hàng năm (FCFE)</t>
  </si>
  <si>
    <t>Đơn vị tính: Tỷ đồng</t>
  </si>
  <si>
    <t>Print</t>
  </si>
  <si>
    <t>Chi phí bán hàng</t>
  </si>
  <si>
    <t>Dòng tiền chiết khấu (V)</t>
  </si>
  <si>
    <t>8. Chi phí bán hàng</t>
  </si>
  <si>
    <t>9. Chi phí quản lý doanh nghiệp</t>
  </si>
  <si>
    <t>10. Lợi nhuận thuần từ hoạt động kinh doanh (30 = 20 + (21 -22) – 25 – 26</t>
  </si>
  <si>
    <t>11. Thu nhập khác</t>
  </si>
  <si>
    <t>12. Chi phí khác</t>
  </si>
  <si>
    <t>13. Lợi nhuận khác (40 = 31 - 32)</t>
  </si>
  <si>
    <t>14. Tổng lợi nhuận kế toán trước thuế (50 = 30 + 40)</t>
  </si>
  <si>
    <t>15. Chi phí thuế TNDN</t>
  </si>
  <si>
    <t>Các khoản phải trả ngắn hạn (không bao gồm khoản vay)</t>
  </si>
  <si>
    <t>PP Tham chiếu</t>
  </si>
  <si>
    <t>Vòng quay hàng tồn kho</t>
  </si>
  <si>
    <t>Công suất</t>
  </si>
  <si>
    <t>Nội dung</t>
  </si>
  <si>
    <t>Tài sản đầu kỳ</t>
  </si>
  <si>
    <t>Tài sản cuối kỳ</t>
  </si>
  <si>
    <t>Vốn CSH đầu kỳ</t>
  </si>
  <si>
    <t>Vốn CSH cuối kỳ</t>
  </si>
  <si>
    <t>Tài sản bình quân</t>
  </si>
  <si>
    <t>Vốn CHS bình quân</t>
  </si>
  <si>
    <t>ROA</t>
  </si>
  <si>
    <t>ROE</t>
  </si>
  <si>
    <t>Số lượng CP đang lưu hành</t>
  </si>
  <si>
    <t>TS vô hình đầu kỳ</t>
  </si>
  <si>
    <t>TS Vô hình cuối kỳ</t>
  </si>
  <si>
    <t>TSVô hình BQ</t>
  </si>
  <si>
    <t>CP lãi vay</t>
  </si>
  <si>
    <t>EPS</t>
  </si>
  <si>
    <t>BV</t>
  </si>
  <si>
    <t>Doanh thu thuần</t>
  </si>
  <si>
    <t>EV</t>
  </si>
  <si>
    <t>EBITDA</t>
  </si>
  <si>
    <t>Vốn góp của CSH</t>
  </si>
  <si>
    <t>P/E</t>
  </si>
  <si>
    <t>P/B</t>
  </si>
  <si>
    <t>P/S</t>
  </si>
  <si>
    <t>EV/EBITDA</t>
  </si>
  <si>
    <t>EV/S</t>
  </si>
  <si>
    <t>ROS</t>
  </si>
  <si>
    <t>Chi phí khấu hao</t>
  </si>
  <si>
    <t>Chi phí đầu tư, Trong đó</t>
  </si>
  <si>
    <t xml:space="preserve"> - Vốn chủ</t>
  </si>
  <si>
    <t>15.</t>
  </si>
  <si>
    <t>Thương mại</t>
  </si>
  <si>
    <t>Đơn vị</t>
  </si>
  <si>
    <t xml:space="preserve"> - Vốn vay (70%)</t>
  </si>
  <si>
    <t>Năm</t>
  </si>
  <si>
    <t>2029</t>
  </si>
  <si>
    <t>2030</t>
  </si>
  <si>
    <t>2031</t>
  </si>
  <si>
    <t>2032</t>
  </si>
  <si>
    <t>2033</t>
  </si>
  <si>
    <t>Năm 2029</t>
  </si>
  <si>
    <t>Năm 2030</t>
  </si>
  <si>
    <t>Năm 2031</t>
  </si>
  <si>
    <t>Năm 2032</t>
  </si>
  <si>
    <t>Năm 2033</t>
  </si>
  <si>
    <t xml:space="preserve"> - Lãi vay</t>
  </si>
  <si>
    <t xml:space="preserve"> - Trả gốc vay</t>
  </si>
  <si>
    <t>KẾ HOẠCH TRẢ NỢ GỐC VAY</t>
  </si>
  <si>
    <t xml:space="preserve"> - Đầu kỳ</t>
  </si>
  <si>
    <t xml:space="preserve"> - Vay trong kỳ</t>
  </si>
  <si>
    <t xml:space="preserve"> - Cuối kỳ</t>
  </si>
  <si>
    <t xml:space="preserve"> - Trả nợ gốc</t>
  </si>
  <si>
    <t>Tài sản dài hạn</t>
  </si>
  <si>
    <t>Nợ phải trả</t>
  </si>
  <si>
    <t>Các khoản giảm trừ doanh thu</t>
  </si>
  <si>
    <t>Giá vốn hàng bán</t>
  </si>
  <si>
    <t>Chi phí tài chính</t>
  </si>
  <si>
    <t>Thu nhập khác</t>
  </si>
  <si>
    <t>Chi phí khác</t>
  </si>
  <si>
    <t>Lợi nhuận khác</t>
  </si>
  <si>
    <t>Kỳ hạn vay</t>
  </si>
  <si>
    <t>Mã số</t>
  </si>
  <si>
    <t>01</t>
  </si>
  <si>
    <t>02</t>
  </si>
  <si>
    <t>10</t>
  </si>
  <si>
    <t>11</t>
  </si>
  <si>
    <t>20</t>
  </si>
  <si>
    <t>21</t>
  </si>
  <si>
    <t>22</t>
  </si>
  <si>
    <t>23</t>
  </si>
  <si>
    <t>25</t>
  </si>
  <si>
    <t>26</t>
  </si>
  <si>
    <t>30</t>
  </si>
  <si>
    <t>31</t>
  </si>
  <si>
    <t>32</t>
  </si>
  <si>
    <t>40</t>
  </si>
  <si>
    <t>50</t>
  </si>
  <si>
    <t>51</t>
  </si>
  <si>
    <t>52</t>
  </si>
  <si>
    <t>60</t>
  </si>
  <si>
    <t>100</t>
  </si>
  <si>
    <t>I. Tiền và các khoản tương đương tiền</t>
  </si>
  <si>
    <t>110</t>
  </si>
  <si>
    <t>1. Tiền</t>
  </si>
  <si>
    <t>111</t>
  </si>
  <si>
    <t>2. Các khoản tương đương tiền</t>
  </si>
  <si>
    <t>112</t>
  </si>
  <si>
    <t>II. Đầu tư tài chính ngắn hạn</t>
  </si>
  <si>
    <t>120</t>
  </si>
  <si>
    <t>1. Chứng khoán kinh doanh</t>
  </si>
  <si>
    <t>121</t>
  </si>
  <si>
    <t>2. Dự phòng giảm giá chứng khoán kinh doanh (*)</t>
  </si>
  <si>
    <t>122</t>
  </si>
  <si>
    <t>3. Đầu tư nắm giữ đến ngày đáo hạn</t>
  </si>
  <si>
    <t>123</t>
  </si>
  <si>
    <t>III. Các khoản phải thu ngắn hạn</t>
  </si>
  <si>
    <t>130</t>
  </si>
  <si>
    <t>1. Phải thu ngắn hạn của khách hàng</t>
  </si>
  <si>
    <t>131</t>
  </si>
  <si>
    <t>2. Trả trước cho người bán ngắn hạn</t>
  </si>
  <si>
    <t>132</t>
  </si>
  <si>
    <t>3. Phải thu nội bộ ngắn hạn</t>
  </si>
  <si>
    <t>133</t>
  </si>
  <si>
    <t>4. Phải thu theo tiến độ kế hoạch hợp đồng xây dựng</t>
  </si>
  <si>
    <t>134</t>
  </si>
  <si>
    <t>5. Phải thu về cho vay ngắn hạn</t>
  </si>
  <si>
    <t>135</t>
  </si>
  <si>
    <t>6. Phải thu ngắn hạn khác</t>
  </si>
  <si>
    <t>136</t>
  </si>
  <si>
    <t>7. Dự phòng phải thu ngắn hạn khó đòi (*)</t>
  </si>
  <si>
    <t>137</t>
  </si>
  <si>
    <t>8. Tài sản thiếu chờ xử lý</t>
  </si>
  <si>
    <t>139</t>
  </si>
  <si>
    <t>IV. Hàng tồn kho</t>
  </si>
  <si>
    <t>140</t>
  </si>
  <si>
    <t>1. Hàng tồn kho</t>
  </si>
  <si>
    <t>141</t>
  </si>
  <si>
    <t>2. Dự phòng giảm giá hàng tồn kho (*)</t>
  </si>
  <si>
    <t>149</t>
  </si>
  <si>
    <t>V. Tài sản ngắn hạn khác</t>
  </si>
  <si>
    <t>150</t>
  </si>
  <si>
    <t>1. Chi phí trả trước ngắn hạn</t>
  </si>
  <si>
    <t>151</t>
  </si>
  <si>
    <t>2. Thuế GTGT được khấu trừ</t>
  </si>
  <si>
    <t>152</t>
  </si>
  <si>
    <t>3. Thuế và các khoản khác phải thu Nhà nước</t>
  </si>
  <si>
    <t>153</t>
  </si>
  <si>
    <t>4. Giao dịch mua bán lại trái phiếu Chính phủ</t>
  </si>
  <si>
    <t>154</t>
  </si>
  <si>
    <t>5. Tài sản ngắn hạn khác</t>
  </si>
  <si>
    <t>155</t>
  </si>
  <si>
    <t>200</t>
  </si>
  <si>
    <t>I. Các khoản phải thu dài hạn</t>
  </si>
  <si>
    <t>210</t>
  </si>
  <si>
    <t>1. Phải thu dài hạn của khách hàng</t>
  </si>
  <si>
    <t>211</t>
  </si>
  <si>
    <t>2. Trả trước cho người bán dài hạn</t>
  </si>
  <si>
    <t>212</t>
  </si>
  <si>
    <t>3. Vốn kinh doanh ở đơn vị trực thuộc</t>
  </si>
  <si>
    <t>213</t>
  </si>
  <si>
    <t>4. Phải thu nội bộ dài hạn</t>
  </si>
  <si>
    <t>214</t>
  </si>
  <si>
    <t>5. Phải thu về cho vay dài hạn</t>
  </si>
  <si>
    <t>215</t>
  </si>
  <si>
    <t>6. Phải thu dài hạn khác</t>
  </si>
  <si>
    <t>216</t>
  </si>
  <si>
    <t>7. Dự phòng phải thu dài hạn khó đòi (*)</t>
  </si>
  <si>
    <t>219</t>
  </si>
  <si>
    <t>II. Tài sản cố định</t>
  </si>
  <si>
    <t>220</t>
  </si>
  <si>
    <t>221</t>
  </si>
  <si>
    <t>- Nguyên giá</t>
  </si>
  <si>
    <t>222</t>
  </si>
  <si>
    <t>- Giá trị hao mòn lũy kế (*)</t>
  </si>
  <si>
    <t>223</t>
  </si>
  <si>
    <t>224</t>
  </si>
  <si>
    <t>225</t>
  </si>
  <si>
    <t>226</t>
  </si>
  <si>
    <t>227</t>
  </si>
  <si>
    <t>228</t>
  </si>
  <si>
    <t>229</t>
  </si>
  <si>
    <t>III. Bất động sản đầu tư</t>
  </si>
  <si>
    <t>230</t>
  </si>
  <si>
    <t>231</t>
  </si>
  <si>
    <t>232</t>
  </si>
  <si>
    <t>IV. Tài sản dở dang dài hạn</t>
  </si>
  <si>
    <t>240</t>
  </si>
  <si>
    <t>1. Chi phí sản xuất, kinh doanh dở dang dài hạn</t>
  </si>
  <si>
    <t>241</t>
  </si>
  <si>
    <t>2. Chi phí xây dựng cơ bản dở dang</t>
  </si>
  <si>
    <t>242</t>
  </si>
  <si>
    <t>V. Đầu tư tài chính dài hạn</t>
  </si>
  <si>
    <t>250</t>
  </si>
  <si>
    <t>1. Đầu tư vào công ty con</t>
  </si>
  <si>
    <t>251</t>
  </si>
  <si>
    <t>2. Đầu tư vào công ty liên doanh, liên kết</t>
  </si>
  <si>
    <t>252</t>
  </si>
  <si>
    <t>3. Đầu tư góp vốn vào đơn vị khác</t>
  </si>
  <si>
    <t>253</t>
  </si>
  <si>
    <t>4. Dự phòng đầu tư tài chính dài hạn (*)</t>
  </si>
  <si>
    <t>254</t>
  </si>
  <si>
    <t>5. Đầu tư nắm giữ đến ngày đáo hạn</t>
  </si>
  <si>
    <t>255</t>
  </si>
  <si>
    <t>VI. Tài sản dài hạn khác</t>
  </si>
  <si>
    <t>260</t>
  </si>
  <si>
    <t>1. Chi phí trả trước dài hạn</t>
  </si>
  <si>
    <t>261</t>
  </si>
  <si>
    <t>2. Tài sản thuế thu nhập hoãn lại</t>
  </si>
  <si>
    <t>262</t>
  </si>
  <si>
    <t>3. Thiết bị, vật tư, phụ tùng thay thế dài hạn</t>
  </si>
  <si>
    <t>263</t>
  </si>
  <si>
    <t>4. Tài sản dài hạn khác</t>
  </si>
  <si>
    <t>268</t>
  </si>
  <si>
    <t>270</t>
  </si>
  <si>
    <t>300</t>
  </si>
  <si>
    <t>I. Nợ ngắn hạn</t>
  </si>
  <si>
    <t>310</t>
  </si>
  <si>
    <t>1. Phải trả người bán ngắn hạn</t>
  </si>
  <si>
    <t>311</t>
  </si>
  <si>
    <t>2. Người mua trả tiền trước ngắn hạn</t>
  </si>
  <si>
    <t>312</t>
  </si>
  <si>
    <t>3. Thuế và các khoản phải nộp Nhà nước</t>
  </si>
  <si>
    <t>313</t>
  </si>
  <si>
    <t>4. Phải trả người lao động</t>
  </si>
  <si>
    <t>314</t>
  </si>
  <si>
    <t>5. Chi phí phải trả ngắn hạn</t>
  </si>
  <si>
    <t>315</t>
  </si>
  <si>
    <t>6. Phải trả nội bộ ngắn hạn</t>
  </si>
  <si>
    <t>316</t>
  </si>
  <si>
    <t>7. Phải trả theo tiến độ kế hoạch hợp đồng xây dựng</t>
  </si>
  <si>
    <t>317</t>
  </si>
  <si>
    <t>8. Doanh thu chưa thực hiện ngắn hạn</t>
  </si>
  <si>
    <t>318</t>
  </si>
  <si>
    <t>9. Phải trả ngắn hạn khác</t>
  </si>
  <si>
    <t>319</t>
  </si>
  <si>
    <t>10. Vay và nợ thuê tài chính ngắn hạn</t>
  </si>
  <si>
    <t>320</t>
  </si>
  <si>
    <t>11. Dự phòng phải trả ngắn hạn</t>
  </si>
  <si>
    <t>321</t>
  </si>
  <si>
    <t>12. Quỹ khen thưởng, phúc lợi</t>
  </si>
  <si>
    <t>322</t>
  </si>
  <si>
    <t>13. Quỹ bình ổn giá</t>
  </si>
  <si>
    <t>323</t>
  </si>
  <si>
    <t>14. Giao dịch mua bán lại trái phiếu Chính phủ</t>
  </si>
  <si>
    <t>324</t>
  </si>
  <si>
    <t>II. Nợ dài hạn</t>
  </si>
  <si>
    <t>330</t>
  </si>
  <si>
    <t>1. Phải trả người bán dài hạn</t>
  </si>
  <si>
    <t>331</t>
  </si>
  <si>
    <t>2. Người mua trả tiền trước dài hạn</t>
  </si>
  <si>
    <t>332</t>
  </si>
  <si>
    <t>3. Chi phí phải trả dài hạn</t>
  </si>
  <si>
    <t>333</t>
  </si>
  <si>
    <t>4. Phải trả nội bộ về vốn kinh doanh</t>
  </si>
  <si>
    <t>334</t>
  </si>
  <si>
    <t>5. Phải trả nội bộ dài hạn</t>
  </si>
  <si>
    <t>335</t>
  </si>
  <si>
    <t>6. Doanh thu chưa thực hiện dài hạn</t>
  </si>
  <si>
    <t>336</t>
  </si>
  <si>
    <t>7. Phải trả dài hạn khác</t>
  </si>
  <si>
    <t>337</t>
  </si>
  <si>
    <t>8. Vay và nợ thuê tài chính dài hạn</t>
  </si>
  <si>
    <t>338</t>
  </si>
  <si>
    <t>9. Trái phiếu chuyển đổi</t>
  </si>
  <si>
    <t>339</t>
  </si>
  <si>
    <t>10. Cổ phiếu ưu đãi</t>
  </si>
  <si>
    <t>340</t>
  </si>
  <si>
    <t>341</t>
  </si>
  <si>
    <t>12. Dự phòng phải trả dài hạn</t>
  </si>
  <si>
    <t>342</t>
  </si>
  <si>
    <t>13. Quỹ phát triển khoa học và công nghệ</t>
  </si>
  <si>
    <t>343</t>
  </si>
  <si>
    <t>400</t>
  </si>
  <si>
    <t>I. Vốn chủ sở hữu</t>
  </si>
  <si>
    <t>410</t>
  </si>
  <si>
    <t>1. Vốn góp của chủ sở hữu</t>
  </si>
  <si>
    <t>411</t>
  </si>
  <si>
    <t>2. Thặng dư vốn cổ phần</t>
  </si>
  <si>
    <t>412</t>
  </si>
  <si>
    <t>3. Quyền chọn chuyển đổi trái phiếu</t>
  </si>
  <si>
    <t>413</t>
  </si>
  <si>
    <t>4. Vốn khác của chủ sở hữu</t>
  </si>
  <si>
    <t>414</t>
  </si>
  <si>
    <t>5. Cổ phiếu quỹ (*)</t>
  </si>
  <si>
    <t>415</t>
  </si>
  <si>
    <t>6. Chênh lệch đánh giá lại tài sản</t>
  </si>
  <si>
    <t>416</t>
  </si>
  <si>
    <t>7. Chênh lệch tỷ giá hối đoái</t>
  </si>
  <si>
    <t>417</t>
  </si>
  <si>
    <t>8. Quỹ đầu tư phát triển</t>
  </si>
  <si>
    <t>418</t>
  </si>
  <si>
    <t>9. Quỹ hỗ trợ sắp xếp doanh nghiệp</t>
  </si>
  <si>
    <t>419</t>
  </si>
  <si>
    <t>10. Quỹ khác thuộc vốn chủ sở hữu</t>
  </si>
  <si>
    <t>420</t>
  </si>
  <si>
    <t>11. Lợi nhuận sau thuế chưa phân phối</t>
  </si>
  <si>
    <t>421</t>
  </si>
  <si>
    <t>- LNST chưa phân phối lũy kế đến cuối kỳ trước</t>
  </si>
  <si>
    <t>- LNST chưa phân phối kỳ này</t>
  </si>
  <si>
    <t>422</t>
  </si>
  <si>
    <t>II. Nguồn kinh phí và quỹ khác</t>
  </si>
  <si>
    <t>430</t>
  </si>
  <si>
    <t>1. Nguồn kinh phí</t>
  </si>
  <si>
    <t>431</t>
  </si>
  <si>
    <t>2. Nguồn kinh phí đã hình thành TSCĐ</t>
  </si>
  <si>
    <t>432</t>
  </si>
  <si>
    <t>440</t>
  </si>
  <si>
    <t>Tên doanh nghiệp</t>
  </si>
  <si>
    <t>Chỉ số phản ánh quy mô doanh nghiệp</t>
  </si>
  <si>
    <t>Chỉ số phản ánh hiệu quả hoạt động của doanh nghiệp</t>
  </si>
  <si>
    <t>Đánh giá mức độ tương đồng  chỉ số</t>
  </si>
  <si>
    <t>Căn cứ đánh giá</t>
  </si>
  <si>
    <t>Đánh giá chung</t>
  </si>
  <si>
    <t>Ít tương đồng</t>
  </si>
  <si>
    <t>Chỉ số phản ánh khả năng khả năng tăng trưởng của doanh nghiệp</t>
  </si>
  <si>
    <t>Tỷ số giá thị trường được sử dụng để xác định giá trị của doanh nghiệp cần thẩm định.
Thu thập thông tin thị trường, thẩm định viên xác định 3 tỷ số thị trường của các doanh nghiệp so sánh này ( P/B ), ( P/S ), (EV/S) như sau:</t>
  </si>
  <si>
    <t>Các chỉ số thị trường</t>
  </si>
  <si>
    <t xml:space="preserve">- Xác định giá trị của doanh nghiệp cần thẩm định:
</t>
  </si>
  <si>
    <t>% Trọng số PP áp dụng</t>
  </si>
  <si>
    <t>Giá trị vốn chủ sở hữu DN theo P/B bình quân</t>
  </si>
  <si>
    <t>Giá trị vốn chủ sở hữu DN theo P/S bình quân</t>
  </si>
  <si>
    <t>Giá trị vốn chủ sở hữu DN theo EV/S bình quân</t>
  </si>
  <si>
    <t>Công ty thẩm định</t>
  </si>
  <si>
    <t>thông số</t>
  </si>
  <si>
    <t>TS</t>
  </si>
  <si>
    <t>DT</t>
  </si>
  <si>
    <t>LNG</t>
  </si>
  <si>
    <t>VCSH</t>
  </si>
  <si>
    <t>DTT</t>
  </si>
  <si>
    <t>Vay nợ thuê tài chính đầu kỳ</t>
  </si>
  <si>
    <t>Vay nợ thuê tài chính cuối kỳ</t>
  </si>
  <si>
    <t>Vay nợ thuê tài chính bình quân</t>
  </si>
  <si>
    <t>2. PP Tỷ số</t>
  </si>
  <si>
    <t>2. Phương pháp Tỷ số</t>
  </si>
  <si>
    <t>3. PP Dòng tiền Tự do DN (FCFF)</t>
  </si>
  <si>
    <t>4. PP Dòng tiền Tự do VCSH (FCFE)</t>
  </si>
  <si>
    <t>KẾT QUẢ HOẠT ĐỘNG KINH DOANH</t>
  </si>
  <si>
    <t>16. Chi phí thuế thu nhập doanh nghiệp hoãn lại</t>
  </si>
  <si>
    <t>17. Lợi nhuận sau thuế thu nhập doanh nghiệp</t>
  </si>
  <si>
    <t>Điều chỉnh</t>
  </si>
  <si>
    <t>Mã số Nợ</t>
  </si>
  <si>
    <t>Mã số Có</t>
  </si>
  <si>
    <t>Số tiền</t>
  </si>
  <si>
    <t>411a</t>
  </si>
  <si>
    <t>411b</t>
  </si>
  <si>
    <t>421a</t>
  </si>
  <si>
    <t>421b</t>
  </si>
  <si>
    <t>ĐVT: Tỷ đồng</t>
  </si>
  <si>
    <t>Điều chỉnh giảm tiền mặt</t>
  </si>
  <si>
    <t>Vay ngắn hạn</t>
  </si>
  <si>
    <t>CP Bán hàng</t>
  </si>
  <si>
    <t>CP Quản lý DN</t>
  </si>
  <si>
    <t>CPBH/DT thuần</t>
  </si>
  <si>
    <t>CP Quản lý/DT thuần</t>
  </si>
  <si>
    <t>Chi phí lãi vay/DT thuần</t>
  </si>
  <si>
    <t>Vay ngắn hạn /DT thuần</t>
  </si>
  <si>
    <t>Bình Quân</t>
  </si>
  <si>
    <t xml:space="preserve"> 2023</t>
  </si>
  <si>
    <t>Chuyển nợ phải trả để tăng vốn</t>
  </si>
  <si>
    <t>Tăng vốn</t>
  </si>
  <si>
    <t>Xử lý lỗ lũy kế bằng thặng dư vốn</t>
  </si>
  <si>
    <t>Điều chỉnh doanh thu hoạt động tài chính</t>
  </si>
  <si>
    <t>Thuế TNDN phát sinh</t>
  </si>
  <si>
    <t>Điều chỉnh khoản vay theo tỷ lệ ngành, đồng thời tăng vốn</t>
  </si>
  <si>
    <t>%</t>
  </si>
  <si>
    <t>10. Lợi nhuận thuần từ hoạt động kinh doanh</t>
  </si>
  <si>
    <t>2022</t>
  </si>
  <si>
    <t>2021</t>
  </si>
  <si>
    <t xml:space="preserve"> 2021</t>
  </si>
  <si>
    <t xml:space="preserve"> 2022</t>
  </si>
  <si>
    <t>Tiền</t>
  </si>
  <si>
    <t>Mã</t>
  </si>
  <si>
    <t>CÔNG TY</t>
  </si>
  <si>
    <t>SGD</t>
  </si>
  <si>
    <t>KL Giao dịch BQ/tháng</t>
  </si>
  <si>
    <t>Vay ngắn hạn/Vốn chủ sở hữu</t>
  </si>
  <si>
    <t>Ghi chú</t>
  </si>
  <si>
    <t>UPCOM</t>
  </si>
  <si>
    <t>HOSE</t>
  </si>
  <si>
    <t>Giá trị vốn chủ sở hữu DN theo P/E bình quân</t>
  </si>
  <si>
    <t>Giá trị vốn chủ sở hữu DN theo EV/EBITDA bình quân</t>
  </si>
  <si>
    <t>Lợi nhuận trước thuế</t>
  </si>
  <si>
    <t>Vốn CSH/TTS</t>
  </si>
  <si>
    <t>4. Giá vốn hàng bán</t>
  </si>
  <si>
    <t>1</t>
  </si>
  <si>
    <t>2</t>
  </si>
  <si>
    <t>A. TÀI SẢN NGẮN HẠN</t>
  </si>
  <si>
    <t>B. TÀI SẢN DÀI HẠN</t>
  </si>
  <si>
    <t>1. Tài sản cố định hữu hình</t>
  </si>
  <si>
    <t>2. Tài sản cố định thuê tài chính</t>
  </si>
  <si>
    <t>3. Tài sản cố định vô hình</t>
  </si>
  <si>
    <t>TỔNG CỘNG TÀI SẢN (270 = 100 + 200)</t>
  </si>
  <si>
    <t>NGUỒN VỐN</t>
  </si>
  <si>
    <t>C - NỢ PHẢI TRẢ</t>
  </si>
  <si>
    <t>11. Thuế thu nhập hoãn lại phải trả</t>
  </si>
  <si>
    <t>D - VỐN CHỦ SỞ HỮU</t>
  </si>
  <si>
    <t xml:space="preserve"> - Cổ phiếu phổ thông có quyền biểu quyết</t>
  </si>
  <si>
    <t xml:space="preserve"> - Cổ phiếu ưu đãi</t>
  </si>
  <si>
    <t>12. Nguồn vốn đầu tư XDCB</t>
  </si>
  <si>
    <t>TỔNG CỘNG NGUỒN VỐN (440 = 300 + 400)</t>
  </si>
  <si>
    <t>Kỳ điều chỉnh</t>
  </si>
  <si>
    <t>MãBTDC</t>
  </si>
  <si>
    <t>TK Nợ</t>
  </si>
  <si>
    <t>TK Có</t>
  </si>
  <si>
    <t>A</t>
  </si>
  <si>
    <t>Các bút toán điều chỉnh trong kỳ</t>
  </si>
  <si>
    <t>B</t>
  </si>
  <si>
    <t>Các bút toán điều chỉnh do ảnh hưởng lũy kế đến kỳ sau</t>
  </si>
  <si>
    <t>Điều chỉnh do ảnh hưởng các bút toán năm 2022</t>
  </si>
  <si>
    <t>C</t>
  </si>
  <si>
    <t>Các bút toán bù trừ nội bộ</t>
  </si>
  <si>
    <t>ButruNB</t>
  </si>
  <si>
    <t>4</t>
  </si>
  <si>
    <t>5</t>
  </si>
  <si>
    <t>Điều chỉnh doanh thu năm 2023</t>
  </si>
  <si>
    <t>Điều chỉnh giá vốn tương ứng</t>
  </si>
  <si>
    <t>Vốn CSH/DTT</t>
  </si>
  <si>
    <t>LN LK + Vốn #</t>
  </si>
  <si>
    <t>Giá trị thị trường</t>
  </si>
  <si>
    <t>Giá P thực chất của vốn CHS</t>
  </si>
  <si>
    <t>Vòng quay vốn lưu động</t>
  </si>
  <si>
    <t>D</t>
  </si>
  <si>
    <t>T</t>
  </si>
  <si>
    <t>Tổng</t>
  </si>
  <si>
    <t>Kịch bản sản xuất</t>
  </si>
  <si>
    <t>Tăng BDS ĐT</t>
  </si>
  <si>
    <t>Tổng TS</t>
  </si>
  <si>
    <t>Trước điều chỉnh</t>
  </si>
  <si>
    <t xml:space="preserve">Điều chỉnh </t>
  </si>
  <si>
    <t>Sau điều chỉnh</t>
  </si>
  <si>
    <t>Điều chỉnh Nội bộ</t>
  </si>
  <si>
    <t>1. Doanh thu bán hàng</t>
  </si>
  <si>
    <t xml:space="preserve">2. Các khoản giảm trừ </t>
  </si>
  <si>
    <t>3. Doanh thu thuần bán hàng</t>
  </si>
  <si>
    <t>5. Lợi nhuận gộp về bán hàng</t>
  </si>
  <si>
    <t xml:space="preserve">     Trong đó: chi phí lãi vay </t>
  </si>
  <si>
    <t>13. Lợi nhuận khác</t>
  </si>
  <si>
    <t>14. Tổng lợi nhuận kế toán trước thuế</t>
  </si>
  <si>
    <t xml:space="preserve">15. Chi phí thuế thu nhập doanh nghiệp hiện hành </t>
  </si>
  <si>
    <t>18. Lợi nhuận sau thuế của Công ty mẹ</t>
  </si>
  <si>
    <t>19. Lợi nhuận sau thuế của Cổ đông không kiểm soát</t>
  </si>
  <si>
    <t>Biên LNG</t>
  </si>
  <si>
    <t>Báo cáo Thuế</t>
  </si>
  <si>
    <t>Sau điều chỉnh Nội bộ</t>
  </si>
  <si>
    <t>% tăng DT</t>
  </si>
  <si>
    <t>con</t>
  </si>
  <si>
    <t>kg</t>
  </si>
  <si>
    <t>Giống Thọ Xuân</t>
  </si>
  <si>
    <t>NỘI DUNG</t>
  </si>
  <si>
    <t>Sản phẩm</t>
  </si>
  <si>
    <t>Đơn vị tính</t>
  </si>
  <si>
    <t>Kg</t>
  </si>
  <si>
    <t>6</t>
  </si>
  <si>
    <t>3</t>
  </si>
  <si>
    <t>12</t>
  </si>
  <si>
    <t>17</t>
  </si>
  <si>
    <t>Nông sản Phú Gia</t>
  </si>
  <si>
    <t>Phần lãi lỗ trong Công ty liên doanh liên kết</t>
  </si>
  <si>
    <t>Lãi lỗ liên doanh, liên kết</t>
  </si>
  <si>
    <t>33</t>
  </si>
  <si>
    <t>Khác</t>
  </si>
  <si>
    <t>Sản lượng</t>
  </si>
  <si>
    <t>Xi măng</t>
  </si>
  <si>
    <t>Tên</t>
  </si>
  <si>
    <t>Lĩnh vực HĐ</t>
  </si>
  <si>
    <t>Tên viết tắt</t>
  </si>
  <si>
    <t>Chăn nuôi gà giống và gà thịt</t>
  </si>
  <si>
    <t>THÔNG TIN CHUNG</t>
  </si>
  <si>
    <t>1.1</t>
  </si>
  <si>
    <t>Lịch sử hình thành</t>
  </si>
  <si>
    <t>1.2</t>
  </si>
  <si>
    <t>Cấu trúc Sở hữu</t>
  </si>
  <si>
    <t>1.3</t>
  </si>
  <si>
    <t>Hoạt động (SP)</t>
  </si>
  <si>
    <t>đang cập nhật</t>
  </si>
  <si>
    <t>1.4</t>
  </si>
  <si>
    <t>Pháp nhân - NM</t>
  </si>
  <si>
    <t>1.5</t>
  </si>
  <si>
    <t>BÁO CÁO TÀI CHÍNH</t>
  </si>
  <si>
    <t>2.1</t>
  </si>
  <si>
    <t>BC_Phap nhan</t>
  </si>
  <si>
    <t>(Thuế)</t>
  </si>
  <si>
    <t>2.2</t>
  </si>
  <si>
    <t>BC_Năm</t>
  </si>
  <si>
    <t>2.3</t>
  </si>
  <si>
    <t>BC_San pham</t>
  </si>
  <si>
    <t>Chưa có dữ liệu</t>
  </si>
  <si>
    <t>2.4</t>
  </si>
  <si>
    <t>BC_Hoat dong</t>
  </si>
  <si>
    <t>Điều chỉnh khấu hao năm 2022</t>
  </si>
  <si>
    <t>Trích lập dự phòng phải thu khó đòi</t>
  </si>
  <si>
    <t>Điều chỉnh doanh thu nội bộ 8T.2023 (Chi tiết sheet DTNB)</t>
  </si>
  <si>
    <t>Điều chỉnh doanh thu nội bộ 2022 (Chi tiết sheet DTNB)</t>
  </si>
  <si>
    <t>Sau điều chỉnh nộ bộ</t>
  </si>
  <si>
    <t>Lãi vay ngắn hạn</t>
  </si>
  <si>
    <t>Công suất trại giống</t>
  </si>
  <si>
    <t>Trại gà thịt Lam Sơn</t>
  </si>
  <si>
    <t xml:space="preserve">Công suất </t>
  </si>
  <si>
    <t>Trại gà trứng giống</t>
  </si>
  <si>
    <t>TỔNG CỘNG</t>
  </si>
  <si>
    <t>Số lượng</t>
  </si>
  <si>
    <t>ĐVT</t>
  </si>
  <si>
    <t>Tổng cộng</t>
  </si>
  <si>
    <t>Giá</t>
  </si>
  <si>
    <t>Check</t>
  </si>
  <si>
    <t>Mở rộng trại Xuân Trường</t>
  </si>
  <si>
    <t>Nhà máy phân bón hữu cơ - Vĩnh Lộc</t>
  </si>
  <si>
    <t>Trại Minh Tiến Nâng cấp</t>
  </si>
  <si>
    <t xml:space="preserve">Triển khai </t>
  </si>
  <si>
    <t>'10/2023</t>
  </si>
  <si>
    <t>Hoàn thành</t>
  </si>
  <si>
    <t>'10/2024</t>
  </si>
  <si>
    <t>Tấn</t>
  </si>
  <si>
    <t>DBC</t>
  </si>
  <si>
    <t>AFX</t>
  </si>
  <si>
    <t>BAF</t>
  </si>
  <si>
    <t>MML</t>
  </si>
  <si>
    <t>PRO</t>
  </si>
  <si>
    <t>VLC</t>
  </si>
  <si>
    <t>VSN</t>
  </si>
  <si>
    <t>PSL</t>
  </si>
  <si>
    <t>MLS</t>
  </si>
  <si>
    <t>HAG</t>
  </si>
  <si>
    <t>Price (02/11/2023)</t>
  </si>
  <si>
    <t>Phải trả cuối kì</t>
  </si>
  <si>
    <t>Phải trả đầu kỳ</t>
  </si>
  <si>
    <t>Phải thu cuối kỳ</t>
  </si>
  <si>
    <t>Phải thu đầu kỳ</t>
  </si>
  <si>
    <t>Phú Gia</t>
  </si>
  <si>
    <t>DN so sánh</t>
  </si>
  <si>
    <t>CTCP Tập đoàn Dabaco Việt Nam</t>
  </si>
  <si>
    <t>CTCP Xuất nhập khẩu Nông sản Thực phẩm An Giang</t>
  </si>
  <si>
    <t>CTCP Nông nghiệp BAF Việt Nam</t>
  </si>
  <si>
    <t>CTCP Masan MeatLife</t>
  </si>
  <si>
    <t>CTCP Procimex Việt Nam</t>
  </si>
  <si>
    <t>Tổng Công ty Chăn Nuôi Việt Nam - CTCP</t>
  </si>
  <si>
    <t>CTCP Việt Nam Kỹ nghệ Súc sản</t>
  </si>
  <si>
    <t>CTCP Chăn nuôi Phú Sơn</t>
  </si>
  <si>
    <t>CTCP Chăn nuôi - Mitraco</t>
  </si>
  <si>
    <t>CTCP Hoàng Anh Gia Lai</t>
  </si>
  <si>
    <t>Sản xuất</t>
  </si>
  <si>
    <t>Chỉ số bình quân</t>
  </si>
  <si>
    <t>Tên Công ty</t>
  </si>
  <si>
    <t>LN gộp</t>
  </si>
  <si>
    <t>3. PP DCF2</t>
  </si>
  <si>
    <t>Cộng
Sau bù trừ</t>
  </si>
  <si>
    <t>Nhà máy thức ăn thô cho bò từ phụ phẩm của ngành nông nghiệp</t>
  </si>
  <si>
    <t>Cộng gộp</t>
  </si>
  <si>
    <t>Vốn chủ</t>
  </si>
  <si>
    <t>Vốn vay</t>
  </si>
  <si>
    <t>Tổng nhu cầu vốn</t>
  </si>
  <si>
    <t>1. Nhu cầu vốn lưu động</t>
  </si>
  <si>
    <t>2. Nhu cầu vốn cố định</t>
  </si>
  <si>
    <t>2.1 Dự án Xuân Phú giai đoạn 2</t>
  </si>
  <si>
    <t>2.2 Dự án ABC</t>
  </si>
  <si>
    <t>PHỤ LỤC 1. TỔNG HỢP THÔNG SỐ ĐẦU VÀO</t>
  </si>
  <si>
    <t>Thông số chung:</t>
  </si>
  <si>
    <t>Số giờ vận hành/ngày:</t>
  </si>
  <si>
    <t>giờ/ngày</t>
  </si>
  <si>
    <t>Thông số giá</t>
  </si>
  <si>
    <t>Thông số tài chính</t>
  </si>
  <si>
    <t>Tiến độ giải ngân</t>
  </si>
  <si>
    <t>Thông số KQKD</t>
  </si>
  <si>
    <t>Chi phí dự phòng</t>
  </si>
  <si>
    <t>Thông số vốn lưu động</t>
  </si>
  <si>
    <t>ngày</t>
  </si>
  <si>
    <t>Tiền mặt</t>
  </si>
  <si>
    <t>Năm thứ</t>
  </si>
  <si>
    <t>Tỷ lệ vận hành</t>
  </si>
  <si>
    <t>PHỤ LỤC 4. DOANH THU</t>
  </si>
  <si>
    <t>Lượng sản xuất</t>
  </si>
  <si>
    <t>(tấn)</t>
  </si>
  <si>
    <t>PHỤ LỤC 5. CHI PHÍ NGUYÊN LIỆU</t>
  </si>
  <si>
    <t>Tiêu hao nguyên liệu</t>
  </si>
  <si>
    <t>Products</t>
  </si>
  <si>
    <t>Chi phí nguyên liệu phân bổ vào giá vốn</t>
  </si>
  <si>
    <t>Chi phí nguyên liệu phân bổ vào Hàng tồn kho</t>
  </si>
  <si>
    <t>Tồn kho nguyên liệu</t>
  </si>
  <si>
    <t>(ngày)</t>
  </si>
  <si>
    <t>Chi phí tồn kho nguyên liệu</t>
  </si>
  <si>
    <t>VAT không được khấu trừ</t>
  </si>
  <si>
    <t>VAT phân bổ vào giá vốn</t>
  </si>
  <si>
    <t>VAT phân bổ vào giá trị hàng tồn kho</t>
  </si>
  <si>
    <t>VAT nguyên liệu tồn kho không được khấu trừ</t>
  </si>
  <si>
    <t>Tổng Chi phí NVL chính phân bổ vào giá vốn</t>
  </si>
  <si>
    <t>Giá trung bình NVL</t>
  </si>
  <si>
    <t>(m3)</t>
  </si>
  <si>
    <t>(kg)</t>
  </si>
  <si>
    <t>PHỤ LỤC 8. CHI PHÍ TÀI CHÍNH</t>
  </si>
  <si>
    <t>Đầu tư cố định</t>
  </si>
  <si>
    <t>Tổng đầu tư</t>
  </si>
  <si>
    <t>Giải ngân lũy tiến</t>
  </si>
  <si>
    <t>Vay VND</t>
  </si>
  <si>
    <t>(tỷ VNĐ)</t>
  </si>
  <si>
    <t>Khoản vay VCĐ</t>
  </si>
  <si>
    <t>Trả nợ</t>
  </si>
  <si>
    <t>- LNST</t>
  </si>
  <si>
    <t>- KH</t>
  </si>
  <si>
    <t>Trả lãi vay</t>
  </si>
  <si>
    <t>Cuối kì</t>
  </si>
  <si>
    <t>VỐN LƯU ĐỘNG</t>
  </si>
  <si>
    <t>Vòng quay HTK</t>
  </si>
  <si>
    <t>Vòng quay Phải thu KH</t>
  </si>
  <si>
    <t>Vòng quay phải trả NB</t>
  </si>
  <si>
    <t>Tài sản ngắn hạn (ngoài tiền mặt)</t>
  </si>
  <si>
    <t>Trả trước cho người bán</t>
  </si>
  <si>
    <t>Các khoản phải thu khác</t>
  </si>
  <si>
    <t>Dự phòng phải thu ngắn hạn khó đòi</t>
  </si>
  <si>
    <t>Nợ phải trả người bán ngắn hạn</t>
  </si>
  <si>
    <t>Các khoản phải trả ngắn hạn khác</t>
  </si>
  <si>
    <t>Tính nhu cầu vốn lưu động (tính nhu cầu đi vay ngắn hạn)</t>
  </si>
  <si>
    <t>Vốn lưu động bình quân</t>
  </si>
  <si>
    <t>Vốn lưu động cuối kỳ trước</t>
  </si>
  <si>
    <t>Vốn lưu động cuối kỳ này</t>
  </si>
  <si>
    <t>Kế hoạch Vay và nợ thuê tài chính ngắn hạn</t>
  </si>
  <si>
    <t>Lãi suất vay vốn lưu động</t>
  </si>
  <si>
    <t>Tổng nợ ngắn hạn</t>
  </si>
  <si>
    <t>Bê tông</t>
  </si>
  <si>
    <t xml:space="preserve">Đá </t>
  </si>
  <si>
    <t>Xi</t>
  </si>
  <si>
    <t>Tro bay</t>
  </si>
  <si>
    <t>m3</t>
  </si>
  <si>
    <t>Gạch</t>
  </si>
  <si>
    <t xml:space="preserve">Cát </t>
  </si>
  <si>
    <t>Viên</t>
  </si>
  <si>
    <t>Bê Tông</t>
  </si>
  <si>
    <t>Số lượng dây chuyền</t>
  </si>
  <si>
    <t>Nhà máy</t>
  </si>
  <si>
    <t>viên</t>
  </si>
  <si>
    <t>1.1. Bê Tông</t>
  </si>
  <si>
    <t>1.2. Gạch</t>
  </si>
  <si>
    <t>Công trình</t>
  </si>
  <si>
    <t>Nhà dân</t>
  </si>
  <si>
    <t>Đại lý</t>
  </si>
  <si>
    <t>Công ty CP DV TM Quang Phát</t>
  </si>
  <si>
    <t>Công ty TNHH Bê tông Quang Phát</t>
  </si>
  <si>
    <t>1. Nhà máy X5 - Nam Giang - Thọ Xuân</t>
  </si>
  <si>
    <t>1. Phân xưởng 1- Nam Giang - Thọ Xuân</t>
  </si>
  <si>
    <t>Giá bán Trung bình</t>
  </si>
  <si>
    <t>Mạt</t>
  </si>
  <si>
    <t>đồng/m3</t>
  </si>
  <si>
    <t>đồng/viên</t>
  </si>
  <si>
    <t>Phụ gia</t>
  </si>
  <si>
    <t>lít</t>
  </si>
  <si>
    <t>% CS giảm do độ trễ xe ra vào</t>
  </si>
  <si>
    <t>- Trạm 1</t>
  </si>
  <si>
    <t>- Trạm 2</t>
  </si>
  <si>
    <t>Thực tế</t>
  </si>
  <si>
    <t>CS thiết kế: m3/h</t>
  </si>
  <si>
    <t>Số giờ làm việc/ngày</t>
  </si>
  <si>
    <t>Ngày làm việc /tháng</t>
  </si>
  <si>
    <t>CS/năm</t>
  </si>
  <si>
    <t>2. Nhà máy X2 - Thanh Hóa</t>
  </si>
  <si>
    <t>3. Nhà máy X6- Cẩm Thủy</t>
  </si>
  <si>
    <t>- Gạch đặc</t>
  </si>
  <si>
    <t>- Gạch 2 lỗ</t>
  </si>
  <si>
    <t>- Gạch 2 lỗ đứng</t>
  </si>
  <si>
    <t>- Gạch 2 lỗ vuông</t>
  </si>
  <si>
    <t>- Gạch 3 lỗ mỏng</t>
  </si>
  <si>
    <t>- Gạch 3 lỗ dày</t>
  </si>
  <si>
    <t>- Gạch 4 lỗ</t>
  </si>
  <si>
    <t>Viên/h</t>
  </si>
  <si>
    <t>Tỷ trọng sản xuất</t>
  </si>
  <si>
    <t>Đối tượng khách hàng</t>
  </si>
  <si>
    <t>Công suất sản xuất</t>
  </si>
  <si>
    <t>Công ty CP TNHH Bê Tông Quang Phát</t>
  </si>
  <si>
    <t>1. Phân xưởng 2- Cẩm thủy</t>
  </si>
  <si>
    <t>Xi măng Visai</t>
  </si>
  <si>
    <t>Xi măng bỉm sơn</t>
  </si>
  <si>
    <t>Xi măng Công Thanh</t>
  </si>
  <si>
    <t>Xi măng Việt Úc</t>
  </si>
  <si>
    <t>Xi măng Vĩnh thành</t>
  </si>
  <si>
    <t>Xi măng Pomihoa</t>
  </si>
  <si>
    <t>Thép</t>
  </si>
  <si>
    <t>Thép Hòa Phát</t>
  </si>
  <si>
    <t>Thép Việt Nhật</t>
  </si>
  <si>
    <t>Thép Ly</t>
  </si>
  <si>
    <t>Thép việt đức</t>
  </si>
  <si>
    <t>Thép Tisco</t>
  </si>
  <si>
    <t>Thép Việt Úc</t>
  </si>
  <si>
    <t>Xăng dầu</t>
  </si>
  <si>
    <t xml:space="preserve">Tổng </t>
  </si>
  <si>
    <t xml:space="preserve">Sản lượng tiêu thụ </t>
  </si>
  <si>
    <t>Công ty TNHH Bê Tông Quang Phát</t>
  </si>
  <si>
    <t>Công ty Kim Quang Phát</t>
  </si>
  <si>
    <t>Kim Mỹ Linh</t>
  </si>
  <si>
    <t>Sắt</t>
  </si>
  <si>
    <t>đồng/tấn</t>
  </si>
  <si>
    <t>Đồng/kg</t>
  </si>
  <si>
    <t>Đồng/lít</t>
  </si>
  <si>
    <t>Tỷ lệ vận hành bê tông</t>
  </si>
  <si>
    <t>Tỷ lệ vận hành gạch</t>
  </si>
  <si>
    <t>(Tỷ VND)</t>
  </si>
  <si>
    <t>Sản lượng sản xuất</t>
  </si>
  <si>
    <t>1. Công ty CP TM DV Quang Phát</t>
  </si>
  <si>
    <t>2. Công ty TNHH Dịch vu Bê Tông Quang Phát</t>
  </si>
  <si>
    <t>3. Công ty TNHH Sản xuất và Kinh doanh thương mại Kim Quang Phát</t>
  </si>
  <si>
    <t>4.Công ty TNHH Thương mại và dịch vụ Kim Mỹ Linh</t>
  </si>
  <si>
    <t xml:space="preserve">Doanh thu bán hàng và cung cấp dịch vụ </t>
  </si>
  <si>
    <t>Doanh thu thuần về bán hàng và cung cấp dịch vụ</t>
  </si>
  <si>
    <t>Lợi nhuận gộp về bán hàng và cung cấp dịch vụ</t>
  </si>
  <si>
    <t>Doanh thu hoạt động tài chính</t>
  </si>
  <si>
    <t>Trong đó: Chi phí lãi vay</t>
  </si>
  <si>
    <t>Lợi nhuận thuần từ hoạt động kinh doanh</t>
  </si>
  <si>
    <t>Lợi nhuận/ (Lỗ) trước thuế thu nhập doanh nghiệp</t>
  </si>
  <si>
    <t>Lợi nhuận/ (Lỗ) sau thuế thu nhập doanh nghiệp</t>
  </si>
  <si>
    <t>ĐV</t>
  </si>
  <si>
    <t>Thu nhập chịu thuế</t>
  </si>
  <si>
    <t>Thuế suất TNDN</t>
  </si>
  <si>
    <t>Sản phẩm Gạch</t>
  </si>
  <si>
    <t>Sản phẩm Bê tông</t>
  </si>
  <si>
    <t>Sản phẩm Xi măng Visai</t>
  </si>
  <si>
    <t>Sản phẩm Xi măng bỉm sơn</t>
  </si>
  <si>
    <t>Sản phẩm Xi măng Công Thanh</t>
  </si>
  <si>
    <t>Sản phẩm Xi măng Việt Úc</t>
  </si>
  <si>
    <t>Sản phẩm Xi măng Vĩnh thành</t>
  </si>
  <si>
    <t>Sản phẩm Xi măng Pomihoa</t>
  </si>
  <si>
    <t>Sản phẩm Thép Hòa Phát</t>
  </si>
  <si>
    <t>Sản phẩm Thép Việt Nhật</t>
  </si>
  <si>
    <t>Sản phẩm Thép Ly</t>
  </si>
  <si>
    <t>Sản phẩm Thép việt đức</t>
  </si>
  <si>
    <t>Sản phẩm Thép Tisco</t>
  </si>
  <si>
    <t>Sản phẩmThép Việt Úc</t>
  </si>
  <si>
    <t>Sản phẩm Xăng dầu</t>
  </si>
  <si>
    <t>(viên)</t>
  </si>
  <si>
    <t>(lít)</t>
  </si>
  <si>
    <t>(VNĐ)</t>
  </si>
  <si>
    <t>Tổng 24-35</t>
  </si>
  <si>
    <t>PHỤ LỤC 6. CHI PHÍ KHÁC</t>
  </si>
  <si>
    <t>- Doanh thu Bê tông</t>
  </si>
  <si>
    <t>- Doanh thu Gạch</t>
  </si>
  <si>
    <t>- Doanh thu Xi măng</t>
  </si>
  <si>
    <t>- Doanh thu Thép</t>
  </si>
  <si>
    <t>- Doanh thu Xăng</t>
  </si>
  <si>
    <t>- Doanh thu thuần Bê tông</t>
  </si>
  <si>
    <t>- Doanh thu thuần Gạch</t>
  </si>
  <si>
    <t>- Doanh thu thuần Xi măng</t>
  </si>
  <si>
    <t>- Doanh thu thuần Thép</t>
  </si>
  <si>
    <t>- Doanh thu thuần Xăng</t>
  </si>
  <si>
    <t>- Giá vốn Bê tông</t>
  </si>
  <si>
    <t>- Giá vốn Gạch</t>
  </si>
  <si>
    <t>- Giá vốn Xi măng</t>
  </si>
  <si>
    <t>- Giá vốn Thép</t>
  </si>
  <si>
    <t>- Giá vốn Xăng</t>
  </si>
  <si>
    <t>- LNG Bê tông</t>
  </si>
  <si>
    <t>- LNG Gạch</t>
  </si>
  <si>
    <t>- LNG Xi măng</t>
  </si>
  <si>
    <t>- LNG Thép</t>
  </si>
  <si>
    <t>- LNG Xăng</t>
  </si>
  <si>
    <t>- Chi phí bán hàng Bê tông</t>
  </si>
  <si>
    <t>- Chi phí bán hàng Gạch</t>
  </si>
  <si>
    <t>- Chi phí bán hàng Xi măng</t>
  </si>
  <si>
    <t>- Chi phí bán hàng Thép</t>
  </si>
  <si>
    <t>- Chi phí bán hàng Xăng</t>
  </si>
  <si>
    <t>- Giảm trừ Bê tông</t>
  </si>
  <si>
    <t>-Giảm trừ Gạch</t>
  </si>
  <si>
    <t>- Giảm trừ Xi măng</t>
  </si>
  <si>
    <t>- Giảm trừ Thép</t>
  </si>
  <si>
    <t>- Giảm trừ Xăng</t>
  </si>
  <si>
    <t>G_SX1</t>
  </si>
  <si>
    <t>G_SX2</t>
  </si>
  <si>
    <t>G_TM1</t>
  </si>
  <si>
    <t>G_TM3</t>
  </si>
  <si>
    <t>G_TM2</t>
  </si>
  <si>
    <t>Chi phí nguyên liệu Bê tông</t>
  </si>
  <si>
    <t>Chi phí nguyên liệu Gạch</t>
  </si>
  <si>
    <t>Nguyên liệu Bê tông</t>
  </si>
  <si>
    <t>Nguyên liệu Gạch</t>
  </si>
  <si>
    <t>Nhân công trực tiếp</t>
  </si>
  <si>
    <t>- Bê tông</t>
  </si>
  <si>
    <t>- Gạch</t>
  </si>
  <si>
    <t>- Xi măng</t>
  </si>
  <si>
    <t>- Thép</t>
  </si>
  <si>
    <t>- Xăng</t>
  </si>
  <si>
    <t>PHỤ LỤC 7. Chi Phí Lương</t>
  </si>
  <si>
    <t>Người</t>
  </si>
  <si>
    <t>Khấu hao Chi phí giá vốn</t>
  </si>
  <si>
    <t>PHỤ LỤC 7. Khấu hao</t>
  </si>
  <si>
    <t>Khấu hao bán hàng</t>
  </si>
  <si>
    <t>Khấu hao Quản lý</t>
  </si>
  <si>
    <t>Tổng chi phí khấu hao</t>
  </si>
  <si>
    <t>Biến Phí sản xuất</t>
  </si>
  <si>
    <t>Biến phí bán hàng</t>
  </si>
  <si>
    <t>Lợi nhuận góp</t>
  </si>
  <si>
    <t>Định phí sản xuất</t>
  </si>
  <si>
    <t>Định phí ngoài sản xuất</t>
  </si>
  <si>
    <t>Định phí bán bàng</t>
  </si>
  <si>
    <t>Lương nhân viên quản lý</t>
  </si>
  <si>
    <t>Khấu hao sản xuất</t>
  </si>
  <si>
    <t>Định phí quản lý</t>
  </si>
  <si>
    <t>Lợi nhuận thuần hoạt động kinh doanh</t>
  </si>
  <si>
    <t>Bê Tông, TMDV Xi sắt</t>
  </si>
  <si>
    <t>Kim Quang Phát</t>
  </si>
  <si>
    <t>Vạn Xuân</t>
  </si>
  <si>
    <t>Quang Phát</t>
  </si>
  <si>
    <t>DV Quang Phát</t>
  </si>
  <si>
    <t>BT Quang Phát</t>
  </si>
  <si>
    <t>Điều chỉnh khấu hao năm 2023</t>
  </si>
  <si>
    <t>Điều chỉnh giảm chi phí lãi vay vốn hóa</t>
  </si>
  <si>
    <t>Điều chỉnh giảm chi phí trả trước (chi phí lãi vay)</t>
  </si>
  <si>
    <t>Bổ sung bút toán trích khấu hao 2023</t>
  </si>
  <si>
    <t>oiio</t>
  </si>
  <si>
    <t>Điều chỉnh giảm người mua trả tiền trước</t>
  </si>
  <si>
    <t>10 năm 2025</t>
  </si>
  <si>
    <t xml:space="preserve"> - Vốn vay </t>
  </si>
  <si>
    <t>Chế biến sống</t>
  </si>
  <si>
    <t>6 tháng</t>
  </si>
  <si>
    <t>Chế biến chín</t>
  </si>
  <si>
    <t>kg/năm</t>
  </si>
  <si>
    <t>THÁNG 12/2023</t>
  </si>
  <si>
    <t>Mã tài sản</t>
  </si>
  <si>
    <t>Tên tài sản</t>
  </si>
  <si>
    <t>Ngày đưa
vào sử dụng</t>
  </si>
  <si>
    <t>Ngày bắt đầu tính lại khấu hao</t>
  </si>
  <si>
    <t>SL</t>
  </si>
  <si>
    <t>Số ngày kết thúc</t>
  </si>
  <si>
    <t>Nguyên giá đánh giá lại đến 31/12/2021</t>
  </si>
  <si>
    <t>Thời gian khấu hao theo yêu cầu Sếp
khấu hao ( tháng)</t>
  </si>
  <si>
    <t>Thời gian khấu hao ( ngày)</t>
  </si>
  <si>
    <t>Giá trị khấu hao theo tháng</t>
  </si>
  <si>
    <t>Giá trị khấu hao theo ngày</t>
  </si>
  <si>
    <t xml:space="preserve">Giá trị còn
lại đầu kỳ </t>
  </si>
  <si>
    <t xml:space="preserve">Giá trị khấu
 hao trong kỳ </t>
  </si>
  <si>
    <t>Lũy kế</t>
  </si>
  <si>
    <t>Giá trị còn lại
 cuối kỳ</t>
  </si>
  <si>
    <t>Bộ phận
 sử dụng</t>
  </si>
  <si>
    <t>đơn vị sử dụng năm 2023</t>
  </si>
  <si>
    <t>Lọc đầu này</t>
  </si>
  <si>
    <t>Tháng 1</t>
  </si>
  <si>
    <t>Tháng 2</t>
  </si>
  <si>
    <t>Tháng 3</t>
  </si>
  <si>
    <t>Tháng 4</t>
  </si>
  <si>
    <t>Tháng 5</t>
  </si>
  <si>
    <t>Tháng 6</t>
  </si>
  <si>
    <t>Tháng 7</t>
  </si>
  <si>
    <t>Tháng 8</t>
  </si>
  <si>
    <t>Tháng 9</t>
  </si>
  <si>
    <t>Tháng 10</t>
  </si>
  <si>
    <t>Tháng 11</t>
  </si>
  <si>
    <t>Tháng 12</t>
  </si>
  <si>
    <t>Giá trị còn đầu lại 2024</t>
  </si>
  <si>
    <t>Giá trị khấu hao năm</t>
  </si>
  <si>
    <t>Số ngày khấu hao</t>
  </si>
  <si>
    <t>Giá trị khấu hao</t>
  </si>
  <si>
    <t>36C-03139</t>
  </si>
  <si>
    <t>hỏng</t>
  </si>
  <si>
    <t>Hỏng</t>
  </si>
  <si>
    <t>36C-03106</t>
  </si>
  <si>
    <t>X1</t>
  </si>
  <si>
    <t>36C-03394</t>
  </si>
  <si>
    <t>36C-27074</t>
  </si>
  <si>
    <t>VT</t>
  </si>
  <si>
    <t>36C-27953</t>
  </si>
  <si>
    <t>X3</t>
  </si>
  <si>
    <t>36C-02750</t>
  </si>
  <si>
    <t>X5</t>
  </si>
  <si>
    <t>Bê tông - Gạch</t>
  </si>
  <si>
    <t>36C-04285</t>
  </si>
  <si>
    <t>36C-14428</t>
  </si>
  <si>
    <t>36R-01035</t>
  </si>
  <si>
    <t>36R-01002</t>
  </si>
  <si>
    <t>36R-00672</t>
  </si>
  <si>
    <t>36R-00106</t>
  </si>
  <si>
    <t>36R-00606</t>
  </si>
  <si>
    <t>36R-00748</t>
  </si>
  <si>
    <t>36R-00700</t>
  </si>
  <si>
    <t>36R-01014</t>
  </si>
  <si>
    <t>36R-00770</t>
  </si>
  <si>
    <t>36R-00646</t>
  </si>
  <si>
    <t>36R-00101</t>
  </si>
  <si>
    <t>36C-02834</t>
  </si>
  <si>
    <t>36C-13641</t>
  </si>
  <si>
    <t>36C-10497</t>
  </si>
  <si>
    <t>36C-02515</t>
  </si>
  <si>
    <t>chờ sc</t>
  </si>
  <si>
    <t>36R-00763</t>
  </si>
  <si>
    <t>36R-00115</t>
  </si>
  <si>
    <t>36R-00704</t>
  </si>
  <si>
    <t>36R-00752</t>
  </si>
  <si>
    <t>bê tông</t>
  </si>
  <si>
    <t>36R-01051</t>
  </si>
  <si>
    <t>sơn nga</t>
  </si>
  <si>
    <t>R- 06526)</t>
  </si>
  <si>
    <t>công thanh 6478</t>
  </si>
  <si>
    <t>36C-27941</t>
  </si>
  <si>
    <t>36C-13580</t>
  </si>
  <si>
    <t>36C-12653</t>
  </si>
  <si>
    <t>X4</t>
  </si>
  <si>
    <t>36C-12583</t>
  </si>
  <si>
    <t>36C-12549</t>
  </si>
  <si>
    <t>36R-00117</t>
  </si>
  <si>
    <t>36R-01621</t>
  </si>
  <si>
    <t>36R-00886</t>
  </si>
  <si>
    <t>36R-00707</t>
  </si>
  <si>
    <t>36R-01130</t>
  </si>
  <si>
    <t>36R-00989</t>
  </si>
  <si>
    <t>36C-13984</t>
  </si>
  <si>
    <t>36C-03705</t>
  </si>
  <si>
    <t>36C-02814</t>
  </si>
  <si>
    <t>36C-04291</t>
  </si>
  <si>
    <t>36C-09166</t>
  </si>
  <si>
    <t>36N-2301</t>
  </si>
  <si>
    <t>36C-25342</t>
  </si>
  <si>
    <t>cẩm thủy</t>
  </si>
  <si>
    <t>36C-25184</t>
  </si>
  <si>
    <t>36C-15736</t>
  </si>
  <si>
    <t>36C-07322</t>
  </si>
  <si>
    <t>6HC-00128</t>
  </si>
  <si>
    <t>bán</t>
  </si>
  <si>
    <t>36C-24307</t>
  </si>
  <si>
    <t>6HC-00613</t>
  </si>
  <si>
    <t>Thành phố</t>
  </si>
  <si>
    <t>36H-00019</t>
  </si>
  <si>
    <t>36C-24529</t>
  </si>
  <si>
    <t>36C-24591</t>
  </si>
  <si>
    <t>36C-24609</t>
  </si>
  <si>
    <t>36C-24686</t>
  </si>
  <si>
    <t>36C-24714</t>
  </si>
  <si>
    <t>36C-24582</t>
  </si>
  <si>
    <t>36C-24831</t>
  </si>
  <si>
    <t>36C-24848</t>
  </si>
  <si>
    <t>36C-24941</t>
  </si>
  <si>
    <t>36C-24542</t>
  </si>
  <si>
    <t>36C-30627</t>
  </si>
  <si>
    <t>36C-30663</t>
  </si>
  <si>
    <t>36C-06810</t>
  </si>
  <si>
    <t>36C-06865</t>
  </si>
  <si>
    <t>6C- 19147</t>
  </si>
  <si>
    <t>36R-01575</t>
  </si>
  <si>
    <t>đã bán 2/6/2022</t>
  </si>
  <si>
    <t>XE NÂNG 3 TẤN</t>
  </si>
  <si>
    <t>XE NÂNG  2.5 TẤN</t>
  </si>
  <si>
    <t>XE NÂNG 5 TẤN</t>
  </si>
  <si>
    <t>XE NÂNG 3.5 TẤN</t>
  </si>
  <si>
    <t>XE NÂNG (XE KẸP) 3 TẤN</t>
  </si>
  <si>
    <t>XÚC LẬT 3 M3</t>
  </si>
  <si>
    <t>36C-16095</t>
  </si>
  <si>
    <t>36C-16047</t>
  </si>
  <si>
    <t>36C-13902</t>
  </si>
  <si>
    <t>36C-14663</t>
  </si>
  <si>
    <t>36C-11480</t>
  </si>
  <si>
    <t>36C-19780</t>
  </si>
  <si>
    <t>C - 14671</t>
  </si>
  <si>
    <t>36R-00753</t>
  </si>
  <si>
    <t>XÚC LẬT 1,8 M3</t>
  </si>
  <si>
    <t>36R-00103</t>
  </si>
  <si>
    <t>36R-00151</t>
  </si>
  <si>
    <t>36C-12647</t>
  </si>
  <si>
    <t>6R-001163</t>
  </si>
  <si>
    <t>36C-08996</t>
  </si>
  <si>
    <t>36C-18708</t>
  </si>
  <si>
    <t>36C-12623</t>
  </si>
  <si>
    <t>36C-08190</t>
  </si>
  <si>
    <t>VP</t>
  </si>
  <si>
    <t>36C-18881</t>
  </si>
  <si>
    <t>36C-28130</t>
  </si>
  <si>
    <t xml:space="preserve"> 36R-0974</t>
  </si>
  <si>
    <t>lân thuỷ</t>
  </si>
  <si>
    <t>36R-00756</t>
  </si>
  <si>
    <t>36R-00478</t>
  </si>
  <si>
    <t>36R-00725</t>
  </si>
  <si>
    <t>6R- 01483</t>
  </si>
  <si>
    <t>6C -21956</t>
  </si>
  <si>
    <t>A - 34273</t>
  </si>
  <si>
    <t>ql</t>
  </si>
  <si>
    <t>Sếp thương</t>
  </si>
  <si>
    <t>Chung</t>
  </si>
  <si>
    <t>Trạm trộn cũ</t>
  </si>
  <si>
    <t>trạm tộn mới</t>
  </si>
  <si>
    <t>Nhà máy gạch</t>
  </si>
  <si>
    <t>Nhà xưởng X3</t>
  </si>
  <si>
    <t>Xưởng cẩm thủy</t>
  </si>
  <si>
    <t>X6</t>
  </si>
  <si>
    <t>Trạm trộn X6</t>
  </si>
  <si>
    <t>Nhà xưởng 4</t>
  </si>
  <si>
    <t>Nhà X1</t>
  </si>
  <si>
    <t>Nhà xưởng X1</t>
  </si>
  <si>
    <t>Xe bán tải ford đen 35011</t>
  </si>
  <si>
    <t>hùng X4</t>
  </si>
  <si>
    <t>Tec xi rời 2468</t>
  </si>
  <si>
    <t>36C-32324</t>
  </si>
  <si>
    <t>Xe bán tải ford trắng</t>
  </si>
  <si>
    <t>Xúc lật</t>
  </si>
  <si>
    <t>Xúc lật X5</t>
  </si>
  <si>
    <t>36LD-00346</t>
  </si>
  <si>
    <t>Xe trộn bê tông 36LD-00346</t>
  </si>
  <si>
    <t>36LD-00364</t>
  </si>
  <si>
    <t>Xe trộn bê tông 36LD-00364</t>
  </si>
  <si>
    <t>36LD-00382</t>
  </si>
  <si>
    <t>Xe trộn bê tông 36LD-00382</t>
  </si>
  <si>
    <t>36LD-00404</t>
  </si>
  <si>
    <t>Xe trộn bê tông 36LD-00404</t>
  </si>
  <si>
    <t>36LD-00406</t>
  </si>
  <si>
    <t>Xe trộn bê tông 36LD-00406</t>
  </si>
  <si>
    <t>36LD-00515</t>
  </si>
  <si>
    <t>Sơ mi rơ mooc ben 36R-02515. long chiến</t>
  </si>
  <si>
    <t>Long</t>
  </si>
  <si>
    <t>36R-02468</t>
  </si>
  <si>
    <t>Sơ mi rơ mooc tec (mua ngày 18/03/2021. quên chưa trích khấu hao)</t>
  </si>
  <si>
    <t>Dây chuyền gạch X5</t>
  </si>
  <si>
    <t>Dây chuyền gạchX5</t>
  </si>
  <si>
    <t>Xe lex xù ( sếp ninh)</t>
  </si>
  <si>
    <t>Bán tải 36329</t>
  </si>
  <si>
    <t>bàn ghế</t>
  </si>
  <si>
    <t>Bàn ghế văn phòng</t>
  </si>
  <si>
    <t>Dây chuyền gạch X6</t>
  </si>
  <si>
    <t>xe nâng</t>
  </si>
  <si>
    <t>xe nâng bình minh</t>
  </si>
  <si>
    <t>Totota</t>
  </si>
  <si>
    <t>Xe con anh Nam</t>
  </si>
  <si>
    <t>36H-02559</t>
  </si>
  <si>
    <t>Xe tải ben</t>
  </si>
  <si>
    <t>36H-02567</t>
  </si>
  <si>
    <t>36H-02574</t>
  </si>
  <si>
    <t>Xe đầu kéo HOWO</t>
  </si>
  <si>
    <t>36R-02833</t>
  </si>
  <si>
    <t>mooc xi rời</t>
  </si>
  <si>
    <t>36R-02892</t>
  </si>
  <si>
    <t>36H-02717</t>
  </si>
  <si>
    <t xml:space="preserve">xe bồn </t>
  </si>
  <si>
    <t>36H-02782</t>
  </si>
  <si>
    <t>36H-02785</t>
  </si>
  <si>
    <t>36H-02706</t>
  </si>
  <si>
    <t>Xe bơm 56m</t>
  </si>
  <si>
    <t>Bơm tĩnh</t>
  </si>
  <si>
    <t>Xem bơm tĩnh 01/08/2018</t>
  </si>
  <si>
    <t xml:space="preserve">Xúc lật liugong </t>
  </si>
  <si>
    <t>Xúc lật liugong C174 khối</t>
  </si>
  <si>
    <t>36H-04300</t>
  </si>
  <si>
    <t>Xe bồn 36H-04300</t>
  </si>
  <si>
    <t>36H-04305</t>
  </si>
  <si>
    <t>Xe bồn 36H-04305</t>
  </si>
  <si>
    <t>36H-04463</t>
  </si>
  <si>
    <t>Xe bồn 36H-04463</t>
  </si>
  <si>
    <t>36H-04327</t>
  </si>
  <si>
    <t>Xe bồn 36H-04327</t>
  </si>
  <si>
    <t>36H-04334</t>
  </si>
  <si>
    <t>Xe bồn 36H-04334</t>
  </si>
  <si>
    <t>36H-04492</t>
  </si>
  <si>
    <t>Xe đầu kéo 36H-4492</t>
  </si>
  <si>
    <t>36H-04433</t>
  </si>
  <si>
    <t>Xe đầu kéo 4433 ( long)</t>
  </si>
  <si>
    <t>long</t>
  </si>
  <si>
    <t>36HC-00870</t>
  </si>
  <si>
    <t>Xe bơm 47m</t>
  </si>
  <si>
    <t>36HC-00685</t>
  </si>
  <si>
    <t>Xe phun 36HC-00685 38 m</t>
  </si>
  <si>
    <t>máy xếp gạch</t>
  </si>
  <si>
    <t>Dây chuyển máy xếp gạch cẩm thủy</t>
  </si>
  <si>
    <t>36C-39967</t>
  </si>
  <si>
    <t>Xe bán tải 39967 ( thế)</t>
  </si>
  <si>
    <t>thế</t>
  </si>
  <si>
    <t>trạm trộn TB</t>
  </si>
  <si>
    <t>Trạm trộn thanh bình</t>
  </si>
  <si>
    <t>X2</t>
  </si>
  <si>
    <t>36C-41431</t>
  </si>
  <si>
    <t xml:space="preserve">Xe bán tải anh Trường </t>
  </si>
  <si>
    <t>36C-12520</t>
  </si>
  <si>
    <t>Xe tải ben 12520 cậu cường</t>
  </si>
  <si>
    <t>36M-5815</t>
  </si>
  <si>
    <t>Xe tải ben 5815 cậu cường</t>
  </si>
  <si>
    <t>36C-29008</t>
  </si>
  <si>
    <t>Xe tải 36C-29008 cậu cường</t>
  </si>
  <si>
    <t>Tủ điện</t>
  </si>
  <si>
    <t>máy phát điện</t>
  </si>
  <si>
    <t>Tec dầu</t>
  </si>
  <si>
    <t>Mua tec dầu</t>
  </si>
  <si>
    <t>xe bơm 47m</t>
  </si>
  <si>
    <t>Nhà văn phòng ( khu café cũ)</t>
  </si>
  <si>
    <t>Xe xúc lật</t>
  </si>
  <si>
    <t>36R-03920</t>
  </si>
  <si>
    <t>Sơ mi rơ mooc số 36R-03920</t>
  </si>
  <si>
    <t>36R-03924</t>
  </si>
  <si>
    <t>Sơ mi rơ mooc số 36R-03924</t>
  </si>
  <si>
    <t>36R-03928</t>
  </si>
  <si>
    <t>Sơ mi rơ mooc số 36R-03928</t>
  </si>
  <si>
    <t>36H-05858</t>
  </si>
  <si>
    <t>Xe đầu kéo 36H-05858 ( anh Thái</t>
  </si>
  <si>
    <t>36H-05854</t>
  </si>
  <si>
    <t>Xe đầu kéo 36H-05854 ( Anh Thái</t>
  </si>
  <si>
    <t>Téc dầu 10m3</t>
  </si>
  <si>
    <t>Téc dầu 10m3 X6</t>
  </si>
  <si>
    <t>Téc dầu 25m3</t>
  </si>
  <si>
    <t>Téc dầu 25m3 X5</t>
  </si>
  <si>
    <t>x5</t>
  </si>
  <si>
    <t>TTTM Vạn Xuân</t>
  </si>
  <si>
    <t>Trung tâm TM Vạn Xuân</t>
  </si>
  <si>
    <t>Cp xây dựng X5 cộng vào để tính lãi vay</t>
  </si>
  <si>
    <t>đất</t>
  </si>
  <si>
    <t>Chấp thuận chủ trương</t>
  </si>
  <si>
    <t>Chi phí sản xuất chung không cần phân bổ</t>
  </si>
  <si>
    <t>4 xe bồn</t>
  </si>
  <si>
    <t>Chi phí sản xuất chung cần phân bổ</t>
  </si>
  <si>
    <t>nguyên giá</t>
  </si>
  <si>
    <t>Chi phí bán hàng cần phân bổ</t>
  </si>
  <si>
    <t>Chi phí quản lý cần phân bổ</t>
  </si>
  <si>
    <t>Chi phí chung</t>
  </si>
  <si>
    <t>Bảng Khấu Hao TS Cố định</t>
  </si>
  <si>
    <t>Sử dụng cho mục đích</t>
  </si>
  <si>
    <t>XE TẢI(HOAMAI)</t>
  </si>
  <si>
    <t>XE TẢI(TRƯỜNG GIANG)</t>
  </si>
  <si>
    <t>XE TẢI CHIẾN THẮNG</t>
  </si>
  <si>
    <t>SƠ MI MOOC TẢI SỐ 36R-01035</t>
  </si>
  <si>
    <t>SƠ MI MOOC TẢI SỐ 36R-01002</t>
  </si>
  <si>
    <t>SƠ MI MOOC TẢI SỐ 36R-00672</t>
  </si>
  <si>
    <t>SƠ MI MOOC TẢI SỐ 36R-00106</t>
  </si>
  <si>
    <t>SƠ MI MOOC TẢI SỐ 36R-00606</t>
  </si>
  <si>
    <t>SƠ MI MOOC TẢI SỐ 36R-00748</t>
  </si>
  <si>
    <t>SƠ MI MOOC TẢI SỐ 36R-00700</t>
  </si>
  <si>
    <t>SƠ MI MOOC TẢI SỐ 36R-01014</t>
  </si>
  <si>
    <t>SƠ MI MOOC TẢI SỐ 36R-00770</t>
  </si>
  <si>
    <t>SƠ MI MOOC TẢI SỐ 36R-00646</t>
  </si>
  <si>
    <t>SƠ MI MOOC TẢI SỐ 36R-00101</t>
  </si>
  <si>
    <t>XE TẢI THACO</t>
  </si>
  <si>
    <t>XE TẢI CHIẾN THẮNG(có dky gốc)</t>
  </si>
  <si>
    <t>Xe (có Đ ký gốc)</t>
  </si>
  <si>
    <t>SƠ MI MOOC TẢI SỐ 36R-00763</t>
  </si>
  <si>
    <t>SƠ MI MOOC TẢI SỐ 36R-00115</t>
  </si>
  <si>
    <t>SƠ MI MOOC TẢI SỐ 36R-00704</t>
  </si>
  <si>
    <t>SƠ MI MOOC TẢI SỐ 36R-00752</t>
  </si>
  <si>
    <t>SƠ MI MOOC TẢI SỐ 36R-01051</t>
  </si>
  <si>
    <t>SƠ MI MOOC TẢI(công thanh 29R- 06526)</t>
  </si>
  <si>
    <t>SƠ MI MOOC TẢI(công thanh 6478)</t>
  </si>
  <si>
    <t>XE TẢI</t>
  </si>
  <si>
    <t>XE TẢI(HOAMAI)có dk gốc</t>
  </si>
  <si>
    <t>SƠ MI MOOC TẢI SỐ 36R-00117</t>
  </si>
  <si>
    <t>SƠ MI MOOC TẢI SỐ 36R-01621</t>
  </si>
  <si>
    <t>SƠ MI MOOC TẢI SỐ 36R-00886</t>
  </si>
  <si>
    <t>SƠ MI MOOC TẢI SỐ 36R-00707</t>
  </si>
  <si>
    <t>SƠ MI MOOC TẢI SỐ 36R-01130</t>
  </si>
  <si>
    <t>SƠ MI MOOC TẢI SỐ 36R-00989</t>
  </si>
  <si>
    <t>xe có đky gốc</t>
  </si>
  <si>
    <t>xe tải chiến thắng</t>
  </si>
  <si>
    <t>XE TẢI CỬU LONG</t>
  </si>
  <si>
    <t>xe có dky gốc</t>
  </si>
  <si>
    <t>XE TẢI THACO(Có Đ.Ký Gốc)</t>
  </si>
  <si>
    <t>XE TẢI CỬU LONG(Có Đ.Ký Gốc)</t>
  </si>
  <si>
    <t xml:space="preserve">xe có dky gốc </t>
  </si>
  <si>
    <t>XE BƠM</t>
  </si>
  <si>
    <t>XE BƠM CẦN 46</t>
  </si>
  <si>
    <t>XE BƠM CẦN 37</t>
  </si>
  <si>
    <t>XE BƠM MỚI CẦN 36</t>
  </si>
  <si>
    <t xml:space="preserve">XE BƠM MỚI </t>
  </si>
  <si>
    <t>Ô TÔ TRỘN BÊ TÔNG</t>
  </si>
  <si>
    <t>SƠ MI MOOC XI RỜI  36R-01575</t>
  </si>
  <si>
    <t>Ô TÔ TRỘN BÊ TÔNG 14663</t>
  </si>
  <si>
    <t>SƠ MI MOOC TẢI SỐ 36R-00753</t>
  </si>
  <si>
    <t>XÚC LẬT 1.8M3</t>
  </si>
  <si>
    <t>SƠ MI MOOC TẢI SỐ 36R-00103</t>
  </si>
  <si>
    <t>SƠ MI MOOC TẢI SỐ 36R-00151</t>
  </si>
  <si>
    <t>SƠ MI MOOC TẢI SỐ 36R-001163</t>
  </si>
  <si>
    <t>Ô TÔ ĐẦU KÉO(có đký gốc)</t>
  </si>
  <si>
    <t>Ô TÔ ĐẦU KÉO</t>
  </si>
  <si>
    <t>SƠ MI MOOC TẢI SỐ 36R-0974</t>
  </si>
  <si>
    <t>SƠ MI MOOC TẢI SỐ 36R-00756</t>
  </si>
  <si>
    <t>SƠ MI MOOC TẢI SỐ 36R-00478</t>
  </si>
  <si>
    <t>SƠ MI MOOC TẢI SỐ 36R-00725</t>
  </si>
  <si>
    <t>SƠ MI MOOC TẢI SỐ 36R- 01483</t>
  </si>
  <si>
    <t>XE BÁN TẢI</t>
  </si>
  <si>
    <t>XE CON LAND</t>
  </si>
  <si>
    <t xml:space="preserve">TK </t>
  </si>
  <si>
    <t>Xăng</t>
  </si>
  <si>
    <t>Nhà cửa máy móc thiết bị</t>
  </si>
  <si>
    <t>Kim mỹ linh</t>
  </si>
  <si>
    <t>Tỷ VNĐ</t>
  </si>
  <si>
    <t>Bán hàng</t>
  </si>
  <si>
    <t>Quản lý</t>
  </si>
  <si>
    <t>Bê tông - gạch</t>
  </si>
  <si>
    <t>Bê tông - gạch - xi măng</t>
  </si>
  <si>
    <t xml:space="preserve">Bê tông </t>
  </si>
  <si>
    <t>Tổng chi phí lương</t>
  </si>
  <si>
    <t>Nhân công gián tiếp</t>
  </si>
  <si>
    <t>Số người</t>
  </si>
  <si>
    <t>2. Chi phí sản xuất chung</t>
  </si>
  <si>
    <t>3. CPBH khác</t>
  </si>
  <si>
    <t>4. CPQLDN khác</t>
  </si>
  <si>
    <t>CPBH khác</t>
  </si>
  <si>
    <t>CPQLDN khác</t>
  </si>
  <si>
    <t>5. Chi phí dự phòng</t>
  </si>
  <si>
    <t>Nhân công</t>
  </si>
  <si>
    <t>Nguyên VL trực tiếp</t>
  </si>
  <si>
    <t>Nguyên VL gián tiếp</t>
  </si>
  <si>
    <t>Biến Phí</t>
  </si>
  <si>
    <t>- Chi phí NVL Sản xuất Bê tông</t>
  </si>
  <si>
    <t>- Chi phí NVL Sản xuất Gạch</t>
  </si>
  <si>
    <t>- Giá mua hàng hóa  Xi măng</t>
  </si>
  <si>
    <t>- Giá mua hàng hóa Thép</t>
  </si>
  <si>
    <t>- Giá mua hàng hóa xăng</t>
  </si>
  <si>
    <t xml:space="preserve">Xi măng </t>
  </si>
  <si>
    <t xml:space="preserve">Chi phí sản xuất chung   </t>
  </si>
  <si>
    <t>Xi măng - Thép</t>
  </si>
  <si>
    <t xml:space="preserve">Xi măng - Thép - gạch </t>
  </si>
  <si>
    <t>Thép thép</t>
  </si>
  <si>
    <t>xi Thép</t>
  </si>
  <si>
    <t>1. BÁO CÁO KẾT QUẢ KINH DOANH</t>
  </si>
  <si>
    <t>2. BÁO CÁO KẾT QUẢ KINH DOANH THEO ĐỊNH PHÍ BIẾN PHÍ</t>
  </si>
  <si>
    <t>4.1</t>
  </si>
  <si>
    <t>4.1.1</t>
  </si>
  <si>
    <t>4.1.2</t>
  </si>
  <si>
    <t>4.1.3</t>
  </si>
  <si>
    <t>4.2</t>
  </si>
  <si>
    <t>4.2.1</t>
  </si>
  <si>
    <t>6.1</t>
  </si>
  <si>
    <t>6.1.1</t>
  </si>
  <si>
    <t>6.1.2</t>
  </si>
  <si>
    <t>6.2</t>
  </si>
  <si>
    <t>6.2.1</t>
  </si>
  <si>
    <t>6.2.2</t>
  </si>
  <si>
    <t>Định phí</t>
  </si>
  <si>
    <t>6.3</t>
  </si>
  <si>
    <t>Khấu hao quản lý</t>
  </si>
  <si>
    <t>Chi phí quản lý khác</t>
  </si>
  <si>
    <t>- Bán hàng khác</t>
  </si>
  <si>
    <t>- Quản lý doanh nghiệp khác</t>
  </si>
  <si>
    <t xml:space="preserve">6. Biên lợi nhuận gộp </t>
  </si>
  <si>
    <t>Tỷ lệ/DT sp</t>
  </si>
  <si>
    <t>6.1.3</t>
  </si>
  <si>
    <t>Chi phí sản xuất chung</t>
  </si>
  <si>
    <t>Họ và tên</t>
  </si>
  <si>
    <t>Phòng ban</t>
  </si>
  <si>
    <t xml:space="preserve">Cấp bậc </t>
  </si>
  <si>
    <t>Phân loại</t>
  </si>
  <si>
    <t>Tháng</t>
  </si>
  <si>
    <t>Loại hợp đồng</t>
  </si>
  <si>
    <t>Lương cơ bản</t>
  </si>
  <si>
    <t>Lương tính chuyến hoặc tính doanh số</t>
  </si>
  <si>
    <t>Tăng ca</t>
  </si>
  <si>
    <t>Phụ cấp trách nhiệm</t>
  </si>
  <si>
    <t>Phụ cấp Điện thoại</t>
  </si>
  <si>
    <t>Phụ cấp ăn</t>
  </si>
  <si>
    <t>Pc chuyên cần</t>
  </si>
  <si>
    <t>Khác (làm thêm việc khác, trực tết…)</t>
  </si>
  <si>
    <t>Phụ cấp VS xe</t>
  </si>
  <si>
    <t>Phụ cấp Xăng xe</t>
  </si>
  <si>
    <t>Hỗ trợ bảo hiểm</t>
  </si>
  <si>
    <t>Phụ cấp kiêm nhiệm</t>
  </si>
  <si>
    <t>Tổng phụ cấp</t>
  </si>
  <si>
    <t>Lương hàng tháng</t>
  </si>
  <si>
    <t>Lương
đóng BH</t>
  </si>
  <si>
    <t>Lương đóng CĐ</t>
  </si>
  <si>
    <t>Phạt đi trễ/ về sớm</t>
  </si>
  <si>
    <t>Tổng thu nhập hàng tháng</t>
  </si>
  <si>
    <t>BHXH (17%)</t>
  </si>
  <si>
    <t>BH Tai nạn lao động - BNN (0,5%)</t>
  </si>
  <si>
    <t>BHYT
(3%)</t>
  </si>
  <si>
    <t>BHTN
(1%)</t>
  </si>
  <si>
    <t>Các khoản trích từ chi phí doanh nghiệp (21,5%)</t>
  </si>
  <si>
    <t>Thưởng 8/3</t>
  </si>
  <si>
    <t>Sinh nhật nhân sự</t>
  </si>
  <si>
    <t>Thưởng 30/4; 1/5</t>
  </si>
  <si>
    <t>Thưởng 2/9</t>
  </si>
  <si>
    <t>Thưởng 20/10</t>
  </si>
  <si>
    <t>Thưởng tết dương</t>
  </si>
  <si>
    <t>Thưởng tết âm</t>
  </si>
  <si>
    <t>Tổng thưởng</t>
  </si>
  <si>
    <t>Tổng chi phí</t>
  </si>
  <si>
    <t>Lê Huy Mạnh</t>
  </si>
  <si>
    <t>PX1</t>
  </si>
  <si>
    <t>NCGT- (Thép&amp;Xi măng)</t>
  </si>
  <si>
    <t>HĐ vô thời hạn</t>
  </si>
  <si>
    <t>Nguyễn văn Hùng</t>
  </si>
  <si>
    <t>Lái xe</t>
  </si>
  <si>
    <t>Lê Trọng Chương</t>
  </si>
  <si>
    <t>Phạm Trường Giang</t>
  </si>
  <si>
    <t>Kinh doanh</t>
  </si>
  <si>
    <t>Lê Đình Lượng</t>
  </si>
  <si>
    <t>Lê Trọng Chiến</t>
  </si>
  <si>
    <t>7</t>
  </si>
  <si>
    <t>Đặng Thị Kim Tuyến</t>
  </si>
  <si>
    <t>Kế toán</t>
  </si>
  <si>
    <t>8</t>
  </si>
  <si>
    <t>Lê Đình Hùng</t>
  </si>
  <si>
    <t>PX3</t>
  </si>
  <si>
    <t>9</t>
  </si>
  <si>
    <t>Trịnh Văn Xuân</t>
  </si>
  <si>
    <t>Phạm Văn Hòa</t>
  </si>
  <si>
    <t>Lê Văn Ngạn</t>
  </si>
  <si>
    <t>Thủ kho</t>
  </si>
  <si>
    <t xml:space="preserve">Nguyễn Văn Hà </t>
  </si>
  <si>
    <t>13</t>
  </si>
  <si>
    <t>Lê Văn Bình</t>
  </si>
  <si>
    <t>14</t>
  </si>
  <si>
    <t>Bảo vệ</t>
  </si>
  <si>
    <t>15</t>
  </si>
  <si>
    <t>Lưu Thị Loan</t>
  </si>
  <si>
    <t>16</t>
  </si>
  <si>
    <t>Phạm Công Lĩnh</t>
  </si>
  <si>
    <t>Lê Văn Cường</t>
  </si>
  <si>
    <t>PX4</t>
  </si>
  <si>
    <t>18</t>
  </si>
  <si>
    <t>Đào Duy Thọ</t>
  </si>
  <si>
    <t>19</t>
  </si>
  <si>
    <t>Phạm Văn Khương</t>
  </si>
  <si>
    <t>Phạm Minh Đức</t>
  </si>
  <si>
    <t>Trần Ngọc Lương</t>
  </si>
  <si>
    <t xml:space="preserve">Phạm Văn Giới  </t>
  </si>
  <si>
    <t>Phạm Thị Thanh</t>
  </si>
  <si>
    <t>24</t>
  </si>
  <si>
    <t>Trần Thị Hương</t>
  </si>
  <si>
    <t>Hoàng Văn Đôn</t>
  </si>
  <si>
    <t>PX2 - TP</t>
  </si>
  <si>
    <t>NCGT- (Bê Tông&amp;Gạch)</t>
  </si>
  <si>
    <t>Dương Nguyên Anh</t>
  </si>
  <si>
    <t>Phó quản lý</t>
  </si>
  <si>
    <t>27</t>
  </si>
  <si>
    <t>Nguyễn Thị Vân Anh</t>
  </si>
  <si>
    <t>28</t>
  </si>
  <si>
    <t>Trương Thị Lan</t>
  </si>
  <si>
    <t>29</t>
  </si>
  <si>
    <t>Nguyễn Thị Vinh</t>
  </si>
  <si>
    <t>Bếp</t>
  </si>
  <si>
    <t>Lê Bá Lượng</t>
  </si>
  <si>
    <t>VH trạm</t>
  </si>
  <si>
    <t>NCTT- Bê Tông</t>
  </si>
  <si>
    <t xml:space="preserve">Lê Trọng Hiếu </t>
  </si>
  <si>
    <t>Lê Văn Toàn</t>
  </si>
  <si>
    <t>Lê Khắc Thái</t>
  </si>
  <si>
    <t>Thí nghiệm</t>
  </si>
  <si>
    <t>34</t>
  </si>
  <si>
    <t>Lê Văn Hùng</t>
  </si>
  <si>
    <t>35</t>
  </si>
  <si>
    <t>Phạm Thanh Trình</t>
  </si>
  <si>
    <t>36</t>
  </si>
  <si>
    <t>Bùi Văn Nông</t>
  </si>
  <si>
    <t>37</t>
  </si>
  <si>
    <t>Nguyễn Văn Quân</t>
  </si>
  <si>
    <t>38</t>
  </si>
  <si>
    <t>Nguyễn Văn Huy</t>
  </si>
  <si>
    <t>39</t>
  </si>
  <si>
    <t>Lê Tuấn Anh</t>
  </si>
  <si>
    <t>Nguyễn Thị Chung</t>
  </si>
  <si>
    <t>41</t>
  </si>
  <si>
    <t>Nguyễn Hữu Bình</t>
  </si>
  <si>
    <t>42</t>
  </si>
  <si>
    <t>Thiều Kim Hiệp</t>
  </si>
  <si>
    <t>VH bơm</t>
  </si>
  <si>
    <t>43</t>
  </si>
  <si>
    <t>Lê Ngọc Tuấn</t>
  </si>
  <si>
    <t>LX bơm</t>
  </si>
  <si>
    <t>NCGT- Bê Tông</t>
  </si>
  <si>
    <t>44</t>
  </si>
  <si>
    <t>Trần Trọng Ròng</t>
  </si>
  <si>
    <t>45</t>
  </si>
  <si>
    <t>Đặng Hữu Sơn</t>
  </si>
  <si>
    <t>Vh bơm</t>
  </si>
  <si>
    <t>46</t>
  </si>
  <si>
    <t>Nguyễn Anh Huy</t>
  </si>
  <si>
    <t>47</t>
  </si>
  <si>
    <t>Nguyễn Văn Cảnh</t>
  </si>
  <si>
    <t>48</t>
  </si>
  <si>
    <t>Bùi  Xuân Tuấn</t>
  </si>
  <si>
    <t>Tổ trưởng LXB</t>
  </si>
  <si>
    <t>49</t>
  </si>
  <si>
    <t>Bùi văn Việt</t>
  </si>
  <si>
    <t>LXB</t>
  </si>
  <si>
    <t>Phạm Văn Đức</t>
  </si>
  <si>
    <t>Lê Xuân Long</t>
  </si>
  <si>
    <t>Hoàng Thành Đạt</t>
  </si>
  <si>
    <t>53</t>
  </si>
  <si>
    <t>Đàm Văn Vinh</t>
  </si>
  <si>
    <t>54</t>
  </si>
  <si>
    <t>Đỗ Văn Thắng</t>
  </si>
  <si>
    <t>55</t>
  </si>
  <si>
    <t>Lê Duy  Định</t>
  </si>
  <si>
    <t>56</t>
  </si>
  <si>
    <t>Nguyễn Mạnh Hà</t>
  </si>
  <si>
    <t>57</t>
  </si>
  <si>
    <t>Nguyễn Xuân Cường</t>
  </si>
  <si>
    <t>58</t>
  </si>
  <si>
    <t>Lê Văn Trường</t>
  </si>
  <si>
    <t>PX6 - CT</t>
  </si>
  <si>
    <t>59</t>
  </si>
  <si>
    <t>Lê Xuân Sơn</t>
  </si>
  <si>
    <t>Dương Thị Oanh</t>
  </si>
  <si>
    <t>61</t>
  </si>
  <si>
    <t>Nguyễn Ngọc Linh</t>
  </si>
  <si>
    <t>62</t>
  </si>
  <si>
    <t>Hoàng Văn Tịnh</t>
  </si>
  <si>
    <t>kinh doanh</t>
  </si>
  <si>
    <t>63</t>
  </si>
  <si>
    <t>Nguyễn Văn Nga</t>
  </si>
  <si>
    <t>64</t>
  </si>
  <si>
    <t>Triệu Quốc Việt</t>
  </si>
  <si>
    <t>65</t>
  </si>
  <si>
    <t>Trịnh Xuân Tuấn</t>
  </si>
  <si>
    <t>66</t>
  </si>
  <si>
    <t>Phạm Hữu Tưởng</t>
  </si>
  <si>
    <t>Vh trạm</t>
  </si>
  <si>
    <t>67</t>
  </si>
  <si>
    <t>Trịnh Tiến Đô</t>
  </si>
  <si>
    <t>68</t>
  </si>
  <si>
    <t>Hà Thị Thơm</t>
  </si>
  <si>
    <t>69</t>
  </si>
  <si>
    <t>Nguyễn Tiến Nam</t>
  </si>
  <si>
    <t>70</t>
  </si>
  <si>
    <t>Triệu Kim Tiến</t>
  </si>
  <si>
    <t>71</t>
  </si>
  <si>
    <t xml:space="preserve">Trịnh Mạnh Hùng </t>
  </si>
  <si>
    <t>72</t>
  </si>
  <si>
    <t>Bùi Văn Ngọc</t>
  </si>
  <si>
    <t>73</t>
  </si>
  <si>
    <t>Bàn Văn Tới</t>
  </si>
  <si>
    <t>74</t>
  </si>
  <si>
    <t>Triệu Văn Chiến</t>
  </si>
  <si>
    <t>75</t>
  </si>
  <si>
    <t>Phạm Văn Thiệu</t>
  </si>
  <si>
    <t>76</t>
  </si>
  <si>
    <t>77</t>
  </si>
  <si>
    <t>Bùi Văn Thành</t>
  </si>
  <si>
    <t>78</t>
  </si>
  <si>
    <t>Cao Văn Sâm</t>
  </si>
  <si>
    <t>79</t>
  </si>
  <si>
    <t>Trương Thường Phục</t>
  </si>
  <si>
    <t>80</t>
  </si>
  <si>
    <t>Bùi Long Biên</t>
  </si>
  <si>
    <t>81</t>
  </si>
  <si>
    <t>Trương Văn Phương</t>
  </si>
  <si>
    <t>82</t>
  </si>
  <si>
    <t>Cao Văn Thái</t>
  </si>
  <si>
    <t>83</t>
  </si>
  <si>
    <t>Phùng Kim Trọng</t>
  </si>
  <si>
    <t>84</t>
  </si>
  <si>
    <t>Hà Văn Duy</t>
  </si>
  <si>
    <t>85</t>
  </si>
  <si>
    <t>Cao Văn Minh</t>
  </si>
  <si>
    <t>86</t>
  </si>
  <si>
    <t>Ngô Minh Chương</t>
  </si>
  <si>
    <t>87</t>
  </si>
  <si>
    <t>Cao Duy Nguyện</t>
  </si>
  <si>
    <t>88</t>
  </si>
  <si>
    <t>Nguyễn Văn Điệp</t>
  </si>
  <si>
    <t>89</t>
  </si>
  <si>
    <t>Quách Văn Nhân</t>
  </si>
  <si>
    <t>VH trạm NMG</t>
  </si>
  <si>
    <t>NCTT- Gạch</t>
  </si>
  <si>
    <t>90</t>
  </si>
  <si>
    <t>Trịnh Xuân Thắng</t>
  </si>
  <si>
    <t>CN NMG</t>
  </si>
  <si>
    <t>91</t>
  </si>
  <si>
    <t>Phạm văn Nga</t>
  </si>
  <si>
    <t>92</t>
  </si>
  <si>
    <t>Hà Văn Hoan</t>
  </si>
  <si>
    <t>93</t>
  </si>
  <si>
    <t>Trịnh Văn Thiên</t>
  </si>
  <si>
    <t>94</t>
  </si>
  <si>
    <t>Phạm Văn Nghĩa</t>
  </si>
  <si>
    <t>95</t>
  </si>
  <si>
    <t>Nguyễn Văn Huệ</t>
  </si>
  <si>
    <t>96</t>
  </si>
  <si>
    <t>Quách Văn Hùng</t>
  </si>
  <si>
    <t>97</t>
  </si>
  <si>
    <t>Lê Bá Mạnh</t>
  </si>
  <si>
    <t>PX5 - NG</t>
  </si>
  <si>
    <t>98</t>
  </si>
  <si>
    <t>Nguyễn Văn Dũng</t>
  </si>
  <si>
    <t>99</t>
  </si>
  <si>
    <t>Lê Thị Thiệp</t>
  </si>
  <si>
    <t>Lê Đình Thương</t>
  </si>
  <si>
    <t>101</t>
  </si>
  <si>
    <t>Nguyễn Thị Chuyền</t>
  </si>
  <si>
    <t>102</t>
  </si>
  <si>
    <t>Lê Thị Thúy</t>
  </si>
  <si>
    <t>103</t>
  </si>
  <si>
    <t>Phạm Thị Thúy</t>
  </si>
  <si>
    <t>104</t>
  </si>
  <si>
    <t>Hoàng Văn Tuấn</t>
  </si>
  <si>
    <t>LXG</t>
  </si>
  <si>
    <t>NCGT- Gạch</t>
  </si>
  <si>
    <t>105</t>
  </si>
  <si>
    <t>Trịnh Tiến Thành</t>
  </si>
  <si>
    <t>106</t>
  </si>
  <si>
    <t>Lê Đình Tuấn</t>
  </si>
  <si>
    <t>107</t>
  </si>
  <si>
    <t>Nguyễn Ngọc Nhất</t>
  </si>
  <si>
    <t>108</t>
  </si>
  <si>
    <t>Nguyễn Thành Đức</t>
  </si>
  <si>
    <t>109</t>
  </si>
  <si>
    <t>Lê Văn Tú</t>
  </si>
  <si>
    <t>Trịnh Đình Phúc</t>
  </si>
  <si>
    <t>Tổ trưởng TN</t>
  </si>
  <si>
    <t>Kiều Ngọc Thọ</t>
  </si>
  <si>
    <t>Hoàng Văn Quân</t>
  </si>
  <si>
    <t>113</t>
  </si>
  <si>
    <t>Lê Văn Minh</t>
  </si>
  <si>
    <t>114</t>
  </si>
  <si>
    <t>115</t>
  </si>
  <si>
    <t>Lê Thị Hồng</t>
  </si>
  <si>
    <t>116</t>
  </si>
  <si>
    <t>Lê Văn Tùng</t>
  </si>
  <si>
    <t>117</t>
  </si>
  <si>
    <t>Lê Thị Nhớ</t>
  </si>
  <si>
    <t>118</t>
  </si>
  <si>
    <t>Lê Thị Thương</t>
  </si>
  <si>
    <t>119</t>
  </si>
  <si>
    <t>Phạm Lê Châu</t>
  </si>
  <si>
    <t>Bùi Văn Khánh</t>
  </si>
  <si>
    <t>Lê Bá Tới</t>
  </si>
  <si>
    <t>Phạm Xuân Thông</t>
  </si>
  <si>
    <t>124</t>
  </si>
  <si>
    <t>Lê Văn Quang</t>
  </si>
  <si>
    <t>125</t>
  </si>
  <si>
    <t>Lê Trọng Huynh</t>
  </si>
  <si>
    <t>126</t>
  </si>
  <si>
    <t>Trương Xuân Do</t>
  </si>
  <si>
    <t>127</t>
  </si>
  <si>
    <t>Đỗ Văn Hai</t>
  </si>
  <si>
    <t>128</t>
  </si>
  <si>
    <t>Mai Văn Hồng</t>
  </si>
  <si>
    <t>129</t>
  </si>
  <si>
    <t>Hoàng Văn Cường</t>
  </si>
  <si>
    <t>Lê Văn Mạnh</t>
  </si>
  <si>
    <t>Lê Văn Dũng</t>
  </si>
  <si>
    <t>Lê Hữu Nam</t>
  </si>
  <si>
    <t>Đỗ Đình Kim</t>
  </si>
  <si>
    <t xml:space="preserve">Lê Thanh Trường </t>
  </si>
  <si>
    <t>Lê Đức Dũng</t>
  </si>
  <si>
    <t>Phạm Lê Thế</t>
  </si>
  <si>
    <t>Vận tải</t>
  </si>
  <si>
    <t>NCGT- Chung</t>
  </si>
  <si>
    <t>138</t>
  </si>
  <si>
    <t>Phạm Hữu Ngọc</t>
  </si>
  <si>
    <t>Trợ lý VT</t>
  </si>
  <si>
    <t>Nguyễn Văn Chung</t>
  </si>
  <si>
    <t>Sửa xe</t>
  </si>
  <si>
    <t>Lê Đình Trình</t>
  </si>
  <si>
    <t>Đỗ Thị Bắc</t>
  </si>
  <si>
    <t>142</t>
  </si>
  <si>
    <t>Phạm Thị Hoà</t>
  </si>
  <si>
    <t>143</t>
  </si>
  <si>
    <t>Lê Trọng Lai</t>
  </si>
  <si>
    <t>LXC</t>
  </si>
  <si>
    <t>144</t>
  </si>
  <si>
    <t xml:space="preserve">Bùi Văn Hòa </t>
  </si>
  <si>
    <t>145</t>
  </si>
  <si>
    <t>Lê Minh Sơn</t>
  </si>
  <si>
    <t>146</t>
  </si>
  <si>
    <t>Lê Văn Biên</t>
  </si>
  <si>
    <t>147</t>
  </si>
  <si>
    <t>Phạm  Văn Hùng</t>
  </si>
  <si>
    <t>148</t>
  </si>
  <si>
    <t>Lê Văn Nam</t>
  </si>
  <si>
    <t xml:space="preserve">Nguyễn Huy ánh </t>
  </si>
  <si>
    <t>Nguyễn Văn Thanh</t>
  </si>
  <si>
    <t>Đỗ Ngọc Thịnh</t>
  </si>
  <si>
    <t>Tống Văn Tình</t>
  </si>
  <si>
    <t>Tạ Thị Phượng</t>
  </si>
  <si>
    <t>Văn Phòng</t>
  </si>
  <si>
    <t>Phó phòng KT</t>
  </si>
  <si>
    <t>Lưu Thị Dung</t>
  </si>
  <si>
    <t>Lê Thị Bình</t>
  </si>
  <si>
    <t>156</t>
  </si>
  <si>
    <t>Lê Thị Dung</t>
  </si>
  <si>
    <t>157</t>
  </si>
  <si>
    <t>Nguyễn Thị Nguyệt</t>
  </si>
  <si>
    <t xml:space="preserve">Kế toán </t>
  </si>
  <si>
    <t>158</t>
  </si>
  <si>
    <t>Lê Thị Phương</t>
  </si>
  <si>
    <t>159</t>
  </si>
  <si>
    <t>Hà Thị Kim Chi</t>
  </si>
  <si>
    <t>160</t>
  </si>
  <si>
    <t>Lê Thị Ngọc Mai</t>
  </si>
  <si>
    <t>161</t>
  </si>
  <si>
    <t>Lê Thị Mỹ Hạnh</t>
  </si>
  <si>
    <t>162</t>
  </si>
  <si>
    <t>Đinh Thị Như Thuỷ</t>
  </si>
  <si>
    <t>163</t>
  </si>
  <si>
    <t>Nguyễn Thị Thảo</t>
  </si>
  <si>
    <t>164</t>
  </si>
  <si>
    <t>Lê Huy Hùng</t>
  </si>
  <si>
    <t>TP TT</t>
  </si>
  <si>
    <t>165</t>
  </si>
  <si>
    <t>Nguyễn Trung Hùng</t>
  </si>
  <si>
    <t>Lái xe sếp</t>
  </si>
  <si>
    <t>166</t>
  </si>
  <si>
    <t>Hoàng Tiến Việt</t>
  </si>
  <si>
    <t>THCN</t>
  </si>
  <si>
    <t>167</t>
  </si>
  <si>
    <t>Lưu Xuân Tuấn</t>
  </si>
  <si>
    <t>Trưởng phòng</t>
  </si>
  <si>
    <t>Chi bán hàng</t>
  </si>
  <si>
    <t>Chi phí Quản lý</t>
  </si>
  <si>
    <t>I. Doanh thu theo Pháp nhân</t>
  </si>
  <si>
    <t>Visai</t>
  </si>
  <si>
    <t>Bỉm sơn</t>
  </si>
  <si>
    <t>Công thanh</t>
  </si>
  <si>
    <t>Việt Úc</t>
  </si>
  <si>
    <t>Vĩnh Thành</t>
  </si>
  <si>
    <t>Pomihoa</t>
  </si>
  <si>
    <t>Hòa Phát</t>
  </si>
  <si>
    <t>Việt Nhật</t>
  </si>
  <si>
    <t>Ly</t>
  </si>
  <si>
    <t>Việt Đức</t>
  </si>
  <si>
    <t>Tisco</t>
  </si>
  <si>
    <t>II. Doanh thu theo sản phẩm</t>
  </si>
  <si>
    <t>1. Chi phí Nguyên vật gián tiếp</t>
  </si>
  <si>
    <t>Chi phí nguyên vật gián tiếp</t>
  </si>
  <si>
    <t>Chi phí xăng dầu</t>
  </si>
  <si>
    <t>NCGT- Thép</t>
  </si>
  <si>
    <t>NCGT- Xi măng</t>
  </si>
  <si>
    <t>Lương TB</t>
  </si>
  <si>
    <t>Quản lý doanh nghiệp</t>
  </si>
  <si>
    <t>Bộ phận bán hàng</t>
  </si>
  <si>
    <t>Bộ phận quản lý doanh nghiệp</t>
  </si>
  <si>
    <t>NCTT- Xi măng</t>
  </si>
  <si>
    <t>NCTT- Thép</t>
  </si>
  <si>
    <t>NCTT- Xăng</t>
  </si>
  <si>
    <t>NCGT- Xăng</t>
  </si>
  <si>
    <t>tr VNĐ</t>
  </si>
  <si>
    <t>Việt Úc-T</t>
  </si>
  <si>
    <t>Kết chuyển Lãi PL</t>
  </si>
  <si>
    <t>4.Kim Mỹ Linh</t>
  </si>
  <si>
    <t>Dịch vụ Quang Phát</t>
  </si>
  <si>
    <t>Tài chính</t>
  </si>
  <si>
    <t>Bê Tông Quang Phát</t>
  </si>
  <si>
    <t>BIDV</t>
  </si>
  <si>
    <t xml:space="preserve">Tính thay đổi vốn luân chuyển thuần ngoài tiền mặt và tài sản phi hoạt động ngắn hạn </t>
  </si>
  <si>
    <t>VỐN CỐ ĐỊNH</t>
  </si>
  <si>
    <t>Tài sản phi hoạt động (Tiền mặt)</t>
  </si>
  <si>
    <t>Giá trị VCSH</t>
  </si>
  <si>
    <t>Vốn luân chuyển ngoài tiền mặt và tài sản phi hoạt động ngắn hạn</t>
  </si>
  <si>
    <t>LNTT</t>
  </si>
  <si>
    <t xml:space="preserve"> Thu nhập sau thuế (LNST) (*)</t>
  </si>
  <si>
    <t xml:space="preserve"> Chi phí lãi vay</t>
  </si>
  <si>
    <t>Lợi nhuận trước lãi vay và thuế</t>
  </si>
  <si>
    <t xml:space="preserve"> Khấu hao </t>
  </si>
  <si>
    <t>Thay đổi vốn lưu động thuần ngoài tiền mặt và tài sản phi hoạt động ngắn hạn</t>
  </si>
  <si>
    <t>FCFF</t>
  </si>
  <si>
    <t>Giá trị doanh nghiệp tại thời điểm hiện tại Vo</t>
  </si>
  <si>
    <t xml:space="preserve"> Lợi nhuận trước lãi vay và sau thuế (EBIAT)</t>
  </si>
  <si>
    <t>Đơn vị : tỷ đồng</t>
  </si>
  <si>
    <t>N+1</t>
  </si>
  <si>
    <t>Các khoản nợ phải trả chi phí sử dụng vốn</t>
  </si>
  <si>
    <t>FCFF-BẢNG TÍNH DÒNG TIỀN DỰ BÁO HÀNG NĂM CỦA DOANH NGHIỆP</t>
  </si>
  <si>
    <t>FCFE-BẢNG TÍNH DÒNG TIỀN DỰ BÁO HÀNG NĂM CỦA DOANH NGHIỆP</t>
  </si>
  <si>
    <t>Giá trị hiện tại thuần của dòng tiền tự do</t>
  </si>
  <si>
    <t>Tài sản phi hoạt động</t>
  </si>
  <si>
    <t>Các khoản nợ phải trả chưa được thể hiện trong dòng tiền tự do vốn chủ sở hữu</t>
  </si>
  <si>
    <t>tháng/năm</t>
  </si>
  <si>
    <t>Ngày vận hành/tháng</t>
  </si>
  <si>
    <t>ngày/tháng</t>
  </si>
  <si>
    <t>Số tháng vận hành/năm:</t>
  </si>
  <si>
    <t>Thông tin chung</t>
  </si>
  <si>
    <t>Thông tin thị trường</t>
  </si>
  <si>
    <t>Kết quả kinh doanh</t>
  </si>
  <si>
    <t>Các chỉ số</t>
  </si>
  <si>
    <t>DTT &amp; GVHB</t>
  </si>
  <si>
    <t>Chi phí</t>
  </si>
  <si>
    <t>Lợi nhuận</t>
  </si>
  <si>
    <t>Phải thu ngắn hạn</t>
  </si>
  <si>
    <t>Vốn lưu động</t>
  </si>
  <si>
    <t>Tài sản vô hình</t>
  </si>
  <si>
    <t>Tổng tài sản</t>
  </si>
  <si>
    <t>Phải trả người bán NH</t>
  </si>
  <si>
    <t>Vay nợ &amp; Thuê tài chính</t>
  </si>
  <si>
    <t>Lợi nhuận lũy kế và vốn khác</t>
  </si>
  <si>
    <t>Hệ số thanh toán</t>
  </si>
  <si>
    <t>Hệ số khả năng cân đối vốn</t>
  </si>
  <si>
    <t>Hệ số nợ</t>
  </si>
  <si>
    <t>Hệ số phản ánh khả năng hoạt động</t>
  </si>
  <si>
    <t>Khả năng sinh lời</t>
  </si>
  <si>
    <t>Thị trường</t>
  </si>
  <si>
    <t xml:space="preserve">Phù hợp </t>
  </si>
  <si>
    <t>Tên công ty</t>
  </si>
  <si>
    <t>Tên rút gọn</t>
  </si>
  <si>
    <t>Lĩnh vực kinh doanh</t>
  </si>
  <si>
    <t>Sàn 
GD</t>
  </si>
  <si>
    <t>Giá CP (06/02/24)</t>
  </si>
  <si>
    <t>Rank vốn góp</t>
  </si>
  <si>
    <t>CP ưu đãi</t>
  </si>
  <si>
    <t>Rank DTT</t>
  </si>
  <si>
    <t>Rank LNG</t>
  </si>
  <si>
    <t>TS LNG</t>
  </si>
  <si>
    <t>CP Lãi vay</t>
  </si>
  <si>
    <t>CP Tài chính</t>
  </si>
  <si>
    <t>CP Quản lí DN</t>
  </si>
  <si>
    <t>CP Khác</t>
  </si>
  <si>
    <t>LN sau thuế</t>
  </si>
  <si>
    <t>Rank LNST</t>
  </si>
  <si>
    <t>Tiền &amp; 
tương đương tiền</t>
  </si>
  <si>
    <t>VQ
 Phải thu</t>
  </si>
  <si>
    <t>HTK cuối kỳ</t>
  </si>
  <si>
    <t>HTK đầu kỳ</t>
  </si>
  <si>
    <t>VQ HTK</t>
  </si>
  <si>
    <t>VLĐ TB</t>
  </si>
  <si>
    <t>VQ VLĐ</t>
  </si>
  <si>
    <t>TSCĐ Cuối kỳ</t>
  </si>
  <si>
    <t>TSCĐ Đầu kỳ</t>
  </si>
  <si>
    <t>TSCĐ BQ</t>
  </si>
  <si>
    <t>Khấu hao trong năm</t>
  </si>
  <si>
    <t>TS VH Cuối kỳ</t>
  </si>
  <si>
    <t>TS VH đầu kỳ</t>
  </si>
  <si>
    <t>TS VH BQ</t>
  </si>
  <si>
    <t>TS NH cuối kỳ</t>
  </si>
  <si>
    <t>Rank TSNH</t>
  </si>
  <si>
    <t>Kết cấu TSNH</t>
  </si>
  <si>
    <t>Rank kết cấu TSNH</t>
  </si>
  <si>
    <t>TS NH đầu kỳ</t>
  </si>
  <si>
    <t>TS DH Cuối kỳ</t>
  </si>
  <si>
    <t>Rank TSDH</t>
  </si>
  <si>
    <t>% Kết cấu</t>
  </si>
  <si>
    <t>Rank kết cấu TSDH</t>
  </si>
  <si>
    <t>TS DH Đầu kỳ</t>
  </si>
  <si>
    <t>TS cuối kỳ</t>
  </si>
  <si>
    <t>Rank TTS</t>
  </si>
  <si>
    <t>TS đầu kỳ</t>
  </si>
  <si>
    <t>TS BQ</t>
  </si>
  <si>
    <t>Phải trả người bán NH cuối kì</t>
  </si>
  <si>
    <t>Phải trả người bán NH đầu kỳ</t>
  </si>
  <si>
    <t>VQ
Phải trả</t>
  </si>
  <si>
    <t>Vay nợ &amp; Thuê TC
 Ngắn hạn</t>
  </si>
  <si>
    <t>Vay nợ &amp; Thuê TC
 Cuối Kỳ</t>
  </si>
  <si>
    <t>Vay nợ &amp; Thuê TC 
Đầu kỳ</t>
  </si>
  <si>
    <t>Vay nợ &amp; Thuê TC 
BQ</t>
  </si>
  <si>
    <t>Nợ DH 
Cuối kỳ</t>
  </si>
  <si>
    <t>Kết cấu nợ DH/Tổng NV</t>
  </si>
  <si>
    <t>Nợ DH 
Đầu kỳ</t>
  </si>
  <si>
    <t>Nợ NH Cuối kỳ</t>
  </si>
  <si>
    <t>Kết cấu nợ NH/Tổng NV</t>
  </si>
  <si>
    <t>Nợ NH Đầu kỳ</t>
  </si>
  <si>
    <t>VCSH Cuối kỳ</t>
  </si>
  <si>
    <t>Rank VCSH</t>
  </si>
  <si>
    <t>Kết cấu VCSH</t>
  </si>
  <si>
    <t>Rank kết cấu VCSH</t>
  </si>
  <si>
    <t>VCSH Đầu kỳ</t>
  </si>
  <si>
    <t>VCHS BQ</t>
  </si>
  <si>
    <t>(LNLK+ Vốn #)
/Vốn góp</t>
  </si>
  <si>
    <t>Hệ số thanh toán hiện hành</t>
  </si>
  <si>
    <t>Hệ số thanh toán nhanh</t>
  </si>
  <si>
    <t>Hệ số thanh toán tức thời</t>
  </si>
  <si>
    <t>Hệ số thanh toán lãi vay</t>
  </si>
  <si>
    <t>Hệ số vốn CP thường</t>
  </si>
  <si>
    <t>Hệ số vốn CP ưu đãi</t>
  </si>
  <si>
    <t>Nợ DH/ VCSH</t>
  </si>
  <si>
    <t>Tổng nợ/ VCSH</t>
  </si>
  <si>
    <t>Nợ DH/ TTS</t>
  </si>
  <si>
    <t>Tổng nợ/ TTS</t>
  </si>
  <si>
    <t>HSSD tổng tài sản</t>
  </si>
  <si>
    <t>HSSD VCSH</t>
  </si>
  <si>
    <t>HSSD tài sản cố định</t>
  </si>
  <si>
    <t>HSSD tài sản ngắn hạn</t>
  </si>
  <si>
    <t>Doanh thu/TTS</t>
  </si>
  <si>
    <t>Doanh thu/VCSH</t>
  </si>
  <si>
    <t>Tỷ suất sinh lời/ TTS</t>
  </si>
  <si>
    <t>Tỷ suất sinh lời
/VCSH</t>
  </si>
  <si>
    <t>BVPS</t>
  </si>
  <si>
    <t>EV
/EBITDA</t>
  </si>
  <si>
    <t>CTCP Đầu tư và Xây dựng Bình Dương ACC</t>
  </si>
  <si>
    <t>ACC</t>
  </si>
  <si>
    <t>Xây dựng, BĐS, Bê tông cấu kiện, Bê tông nhựa nóng</t>
  </si>
  <si>
    <t>CTCP Khoáng sản FECON</t>
  </si>
  <si>
    <t>KS FECON</t>
  </si>
  <si>
    <t>Cọc bê tông ly tâm</t>
  </si>
  <si>
    <t>FCM</t>
  </si>
  <si>
    <t>CTCP Đầu tư và Xây dựng Tiền Giang</t>
  </si>
  <si>
    <t>XD Tiền Giang</t>
  </si>
  <si>
    <t>Sản xuất bê tông</t>
  </si>
  <si>
    <t>THG</t>
  </si>
  <si>
    <t>CTCP Bê tông Hòa Cầm - Intimex</t>
  </si>
  <si>
    <t>Hòa Cầm</t>
  </si>
  <si>
    <t>HCC</t>
  </si>
  <si>
    <t>HNX</t>
  </si>
  <si>
    <t>CTCP Tập đoàn Đầu tư Din Capital</t>
  </si>
  <si>
    <t>Din Capital</t>
  </si>
  <si>
    <t>PDB</t>
  </si>
  <si>
    <t xml:space="preserve">CTCP Bê tông Ly tâm An Giang </t>
  </si>
  <si>
    <t>Ly Tâm An Giang</t>
  </si>
  <si>
    <t>ACE</t>
  </si>
  <si>
    <t>CTCP DIC - Đồng Tiến</t>
  </si>
  <si>
    <t>Đồng Tiến</t>
  </si>
  <si>
    <t>DID</t>
  </si>
  <si>
    <t>CTCP Bê tông Ly tâm Điện Lực Khánh Hòa</t>
  </si>
  <si>
    <t>Điện Lực Khánh Hòa</t>
  </si>
  <si>
    <t>KCE</t>
  </si>
  <si>
    <t>CTCP Đầu tư Kinh doanh Nhà Thành Đạt</t>
  </si>
  <si>
    <t xml:space="preserve">Thành Đạt </t>
  </si>
  <si>
    <t>VHH</t>
  </si>
  <si>
    <t xml:space="preserve">CTCP Xuân Mai - Đạo Tú </t>
  </si>
  <si>
    <t xml:space="preserve">Đạo Tú </t>
  </si>
  <si>
    <t>XMD</t>
  </si>
  <si>
    <t>Bình quân phù hợp</t>
  </si>
  <si>
    <t>Tốc độ tăng giá bán Bê tông</t>
  </si>
  <si>
    <t>Tốc độ tăng giá bán Xi măng</t>
  </si>
  <si>
    <t>Tốc độ tăng giá bán Gạch không nung</t>
  </si>
  <si>
    <t>Tốc độ tăng giá bán Thép</t>
  </si>
  <si>
    <t>Tốc độ tăng giá bán Xăng</t>
  </si>
  <si>
    <t>Tốc độ tăng giá NVL</t>
  </si>
  <si>
    <t>Chi phí NVL gián tiếp</t>
  </si>
  <si>
    <t>- Gạch không nung</t>
  </si>
  <si>
    <t>- Bê Tông</t>
  </si>
  <si>
    <t>Phân tích theo dữ liệu Kết quả kinh doanh quản trị năm 2023</t>
  </si>
  <si>
    <t>DTT theo sản phẩm</t>
  </si>
  <si>
    <t>Chi phí QLDN khác</t>
  </si>
  <si>
    <t>Biên lợi nhuận gộp</t>
  </si>
  <si>
    <t>Chi phí dự phòng khác</t>
  </si>
  <si>
    <t>Tồn kho sản phẩm</t>
  </si>
  <si>
    <t>Số ngày thu tiền</t>
  </si>
  <si>
    <t>Số ngày trả tiền</t>
  </si>
  <si>
    <t>Vòng quay khoản phải thu</t>
  </si>
  <si>
    <t>Vòng quay khoan phải trả</t>
  </si>
  <si>
    <t>vòng</t>
  </si>
  <si>
    <t>Dữ liệu thực tế theo kế toán</t>
  </si>
  <si>
    <t>Tốc độ tăng trưởng hàng năm</t>
  </si>
  <si>
    <t>Tỷ trọng Sản lượng thương mại</t>
  </si>
  <si>
    <t>- Dịch vụ TM Quang Phát</t>
  </si>
  <si>
    <t>- Bê tông Quang Phát</t>
  </si>
  <si>
    <t>- Kim Mỹ Linh</t>
  </si>
  <si>
    <t>Theo dữ liệu trên báo cáo thuế năm 2023</t>
  </si>
  <si>
    <t>Lãi vay vốn cố định</t>
  </si>
  <si>
    <t>Lãi vay vốn lưu động</t>
  </si>
  <si>
    <t>PL I.2: ƯỚC TÍNH TỶ SUẤT CHIẾT KHẤU (PP2)</t>
  </si>
  <si>
    <r>
      <t>Công thức xác định: WACC = R</t>
    </r>
    <r>
      <rPr>
        <b/>
        <vertAlign val="subscript"/>
        <sz val="12"/>
        <color theme="1"/>
        <rFont val="Calibri"/>
        <family val="2"/>
        <scheme val="minor"/>
      </rPr>
      <t>d</t>
    </r>
    <r>
      <rPr>
        <b/>
        <sz val="12"/>
        <color theme="1"/>
        <rFont val="Calibri"/>
        <family val="2"/>
        <scheme val="minor"/>
      </rPr>
      <t> × F</t>
    </r>
    <r>
      <rPr>
        <b/>
        <vertAlign val="subscript"/>
        <sz val="12"/>
        <color theme="1"/>
        <rFont val="Calibri"/>
        <family val="2"/>
        <scheme val="minor"/>
      </rPr>
      <t>d</t>
    </r>
    <r>
      <rPr>
        <b/>
        <sz val="12"/>
        <color theme="1"/>
        <rFont val="Calibri"/>
        <family val="2"/>
        <scheme val="minor"/>
      </rPr>
      <t> × (1 - t) + R</t>
    </r>
    <r>
      <rPr>
        <b/>
        <vertAlign val="subscript"/>
        <sz val="12"/>
        <color theme="1"/>
        <rFont val="Calibri"/>
        <family val="2"/>
        <scheme val="minor"/>
      </rPr>
      <t>e</t>
    </r>
    <r>
      <rPr>
        <b/>
        <sz val="12"/>
        <color theme="1"/>
        <rFont val="Calibri"/>
        <family val="2"/>
        <scheme val="minor"/>
      </rPr>
      <t> × F</t>
    </r>
    <r>
      <rPr>
        <b/>
        <vertAlign val="subscript"/>
        <sz val="12"/>
        <color theme="1"/>
        <rFont val="Calibri"/>
        <family val="2"/>
        <scheme val="minor"/>
      </rPr>
      <t>e</t>
    </r>
  </si>
  <si>
    <t>Trong đó:</t>
  </si>
  <si>
    <t>WACC:</t>
  </si>
  <si>
    <t>Chi phí sử dụng vốn bình quân gia quyền</t>
  </si>
  <si>
    <r>
      <t>R</t>
    </r>
    <r>
      <rPr>
        <b/>
        <vertAlign val="subscript"/>
        <sz val="12"/>
        <color theme="1"/>
        <rFont val="Calibri"/>
        <family val="2"/>
        <scheme val="minor"/>
      </rPr>
      <t>d</t>
    </r>
    <r>
      <rPr>
        <b/>
        <sz val="12"/>
        <color theme="1"/>
        <rFont val="Calibri"/>
        <family val="2"/>
        <scheme val="minor"/>
      </rPr>
      <t>:</t>
    </r>
  </si>
  <si>
    <t>Chi phí sử dụng nợ của doanh nghiệp</t>
  </si>
  <si>
    <r>
      <t>F</t>
    </r>
    <r>
      <rPr>
        <b/>
        <vertAlign val="subscript"/>
        <sz val="12"/>
        <color theme="1"/>
        <rFont val="Calibri"/>
        <family val="2"/>
        <scheme val="minor"/>
      </rPr>
      <t>d</t>
    </r>
    <r>
      <rPr>
        <b/>
        <sz val="12"/>
        <color theme="1"/>
        <rFont val="Calibri"/>
        <family val="2"/>
        <scheme val="minor"/>
      </rPr>
      <t xml:space="preserve">: </t>
    </r>
  </si>
  <si>
    <t>Tỷ trọng nợ trên tổng nguồn vốn có mất chi phí sử dụng vồn cho hoạt động của doanh nghiệp</t>
  </si>
  <si>
    <t xml:space="preserve">t: </t>
  </si>
  <si>
    <t>Thuế suất thuế thu nhập doanh nghiệp</t>
  </si>
  <si>
    <r>
      <t>R</t>
    </r>
    <r>
      <rPr>
        <b/>
        <vertAlign val="subscript"/>
        <sz val="12"/>
        <color theme="1"/>
        <rFont val="Calibri"/>
        <family val="2"/>
        <scheme val="minor"/>
      </rPr>
      <t>e</t>
    </r>
    <r>
      <rPr>
        <b/>
        <sz val="12"/>
        <color theme="1"/>
        <rFont val="Calibri"/>
        <family val="2"/>
        <scheme val="minor"/>
      </rPr>
      <t>:</t>
    </r>
  </si>
  <si>
    <t>Chi phí sử dụng vốn chủ sở hữu</t>
  </si>
  <si>
    <r>
      <t>F</t>
    </r>
    <r>
      <rPr>
        <b/>
        <vertAlign val="subscript"/>
        <sz val="12"/>
        <color theme="1"/>
        <rFont val="Calibri"/>
        <family val="2"/>
        <scheme val="minor"/>
      </rPr>
      <t>e</t>
    </r>
    <r>
      <rPr>
        <b/>
        <sz val="12"/>
        <color theme="1"/>
        <rFont val="Calibri"/>
        <family val="2"/>
        <scheme val="minor"/>
      </rPr>
      <t xml:space="preserve">: </t>
    </r>
  </si>
  <si>
    <t>Tỷ trọng vốn chủ sở hữu trên tổng nguồn vốn tài trợ cho hoạt động của doanh nghiệp</t>
  </si>
  <si>
    <t>Rd</t>
  </si>
  <si>
    <t>- Qua khảo sát các ngân hàng  xác định chi phí lãi vay trung và dài hạn trung bình của các ngân hàng là 11%/năm. Qua đó,uớc tính chi phí sử dụng nợ dài hạn là: 11%.</t>
  </si>
  <si>
    <t>Fd</t>
  </si>
  <si>
    <t>Fe</t>
  </si>
  <si>
    <t>- Xác định Re</t>
  </si>
  <si>
    <t>Re= Rf+ Rp</t>
  </si>
  <si>
    <t>Rf</t>
  </si>
  <si>
    <t>Lãi suất trúng thầu trái phiếu chính phủ kỳ hạn 10 năm ngày 06/12/2023</t>
  </si>
  <si>
    <t>Rp</t>
  </si>
  <si>
    <t>Phần bù rủi ro vốn chủ sở hữu (Rp) được xác định theo phần bù rủi ro vốn chủ sở hữu của Việt Nam được công bố tại các cơ sở dữ liệu tài chính quốc tế đáng tin cậy</t>
  </si>
  <si>
    <t>Xác định Βl</t>
  </si>
  <si>
    <t>NĂM</t>
  </si>
  <si>
    <t>Bình quân</t>
  </si>
  <si>
    <t>Tổng tài chính</t>
  </si>
  <si>
    <t>Vay và nợ thuê tài chính ngắn hạn</t>
  </si>
  <si>
    <t>Tỷ lệ D/E</t>
  </si>
  <si>
    <t>TỔng nợ tài chính</t>
  </si>
  <si>
    <t>Fd bình quân</t>
  </si>
  <si>
    <t>https://vst.mof.gov.vn/webcenter/portal/mkbnn/r/m/ptrphchph9/pdagitasa9/pkehophha_chitiet129?dDocName=KBNN212429&amp;dID=223531&amp;_afrLoop=16233214472283060&amp;_adf.ctrl-state=15jvl7nwks_22#!%40%40%3F_afrLoop%3D16233214472283060%26dDocName%3DKBNN212429%26dID%3D223531%26_adf.ctrl-state%3D15jvl7nwks_26</t>
  </si>
  <si>
    <t>Ngày</t>
  </si>
  <si>
    <t>Chỉ số VN-Index</t>
  </si>
  <si>
    <t>Tỷ suất sinh lời của thị trường</t>
  </si>
  <si>
    <t xml:space="preserve"> </t>
  </si>
  <si>
    <t>LN LK &amp; Vốn #</t>
  </si>
  <si>
    <t>Giá CP (d/m/y)</t>
  </si>
  <si>
    <t>Giá trị vốn chủ sở hữu DN</t>
  </si>
  <si>
    <t>THG-CTCP Đầu tư và xây dựng Tiền Giang</t>
  </si>
  <si>
    <t>HHC- CTCP Bê tông Hòa Cầm - Intimex</t>
  </si>
  <si>
    <t>PDB- CTCP Tập đoàn Đầu tư Din Capital</t>
  </si>
  <si>
    <t>Giá trị</t>
  </si>
  <si>
    <t>Hợp nhất</t>
  </si>
  <si>
    <t>Tốc độ tăng trưởng DT</t>
  </si>
  <si>
    <t>KẾT QUẢ KINH DOANH</t>
  </si>
  <si>
    <t>A.</t>
  </si>
  <si>
    <t>Tỷ đồng</t>
  </si>
  <si>
    <t>I</t>
  </si>
  <si>
    <t>Chi tiết</t>
  </si>
  <si>
    <t>Tổng hợp</t>
  </si>
  <si>
    <t>(i)</t>
  </si>
  <si>
    <t>a</t>
  </si>
  <si>
    <t>Cơ cấu theo sản phẩm</t>
  </si>
  <si>
    <t>Cơ cấu</t>
  </si>
  <si>
    <t>II</t>
  </si>
  <si>
    <t>Quy mô</t>
  </si>
  <si>
    <t>TỔNG HỢP</t>
  </si>
  <si>
    <t>Tổng CP/DTT</t>
  </si>
  <si>
    <t>CPQLDN</t>
  </si>
  <si>
    <t>CPBH</t>
  </si>
  <si>
    <t>CPTC</t>
  </si>
  <si>
    <t>GVHB</t>
  </si>
  <si>
    <t>Cơ cấu Chi phí/DTT</t>
  </si>
  <si>
    <t>Cơ cấu Chi phí/Tổng CP</t>
  </si>
  <si>
    <t>Ngành (TĐ)</t>
  </si>
  <si>
    <t>Ngành (all)</t>
  </si>
  <si>
    <t>So sánh Cơ cấu Chi phí/DTT với ngành (2023)</t>
  </si>
  <si>
    <t>Tổng CP</t>
  </si>
  <si>
    <t>Chi phí Hợp nhất</t>
  </si>
  <si>
    <t>Ngành (phù hợp)</t>
  </si>
  <si>
    <t>Tỷ suất lợi nhuận trên Vốn chủ sở hữu (ROE)</t>
  </si>
  <si>
    <t>3.3</t>
  </si>
  <si>
    <t>Tỷ suất lợi nhuận trên Tổng Tài sản (ROA)</t>
  </si>
  <si>
    <t>3.2</t>
  </si>
  <si>
    <t>Tỷ suất lợi nhuận trên Doanh thu (ROS)</t>
  </si>
  <si>
    <t>3.1</t>
  </si>
  <si>
    <t>Tỷ suất lợi nhuận</t>
  </si>
  <si>
    <t>Tăng trưởng</t>
  </si>
  <si>
    <t>Xi măng + Thép</t>
  </si>
  <si>
    <t>Biên lợi nhuận gộp theo Hoạt động (SP, DV)</t>
  </si>
  <si>
    <t>c</t>
  </si>
  <si>
    <t xml:space="preserve">Ngành (Phù hợp) </t>
  </si>
  <si>
    <t xml:space="preserve">Ngành (all) </t>
  </si>
  <si>
    <t>So sánh Biên lợi nhuận gộp với Ngành</t>
  </si>
  <si>
    <t>NV</t>
  </si>
  <si>
    <t>Nợ DH</t>
  </si>
  <si>
    <t>Nợ NH</t>
  </si>
  <si>
    <t>TTS</t>
  </si>
  <si>
    <t>TS DH</t>
  </si>
  <si>
    <t>TS NH</t>
  </si>
  <si>
    <t>Tốc độ tăng</t>
  </si>
  <si>
    <t>So sánh Cơ cấu Tài sản - Tổng Nguồn vốn với DN Tương đồng (%)</t>
  </si>
  <si>
    <t>Cơ cấu Tài sản - Tổng Nguồn vốn</t>
  </si>
  <si>
    <t>Tài sản Hợp nhất</t>
  </si>
  <si>
    <t>B.</t>
  </si>
  <si>
    <t>So sánh Vốn chủ sở hữu/ Tổng nguồn vốn Hợp nhất với Ngành</t>
  </si>
  <si>
    <t>Cơ cấu nguồn vốn Hợp nhất - Tổng hợp</t>
  </si>
  <si>
    <t>Cơ cấu nguồn vốn Hợp nhất</t>
  </si>
  <si>
    <t>Doanh thu theo pháp nhân</t>
  </si>
  <si>
    <t>Cơ cấu doanh thu theo sản phẩm</t>
  </si>
  <si>
    <t>QP- TB 10 năm</t>
  </si>
  <si>
    <t xml:space="preserve">So sánh Tỷ suất lợi nhuận trên Vốn chủ sở hữu (ROE) Hợp nhất với Ngành </t>
  </si>
  <si>
    <t>QP</t>
  </si>
  <si>
    <t xml:space="preserve">So sánh ROS Hợp nhất với Ngành </t>
  </si>
  <si>
    <t>So sánh Tỷ suất lợi nhuận trên Tổng Tài sản (ROA) Hợp nhất với Ngành</t>
  </si>
  <si>
    <t>(ii)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</si>
</sst>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0">
    <numFmt numFmtId="41" formatCode="_(* #,##0_);_(* \(#,##0\);_(* &quot;-&quot;_);_(@_)"/>
    <numFmt numFmtId="44" formatCode="_(&quot;$&quot;* #,##0.00_);_(&quot;$&quot;* \(#,##0.00\);_(&quot;$&quot;* &quot;-&quot;??_);_(@_)"/>
    <numFmt numFmtId="43" formatCode="_(* #,##0.00_);_(* \(#,##0.00\);_(* &quot;-&quot;??_);_(@_)"/>
    <numFmt numFmtId="164" formatCode="_(* #,##0_);_(* \(#,##0\);_(* &quot;-&quot;??_);_(@_)"/>
    <numFmt numFmtId="165" formatCode="0.0%"/>
    <numFmt numFmtId="166" formatCode="_-* #,##0\ _₫_-;\-* #,##0\ _₫_-;_-* &quot;-&quot;\ _₫_-;_-@_-"/>
    <numFmt numFmtId="167" formatCode="_(* #,##0.0_);_(* \(#,##0.0\);_(* &quot;-&quot;??_);_(@_)"/>
    <numFmt numFmtId="168" formatCode="_-* #,##0_-;\-* #,##0_-;_-* &quot;-&quot;_-;_-@_-"/>
    <numFmt numFmtId="169" formatCode="_-* #,##0.00\ _₫_-;\-* #,##0.00\ _₫_-;_-* &quot;-&quot;\ _₫_-;_-@_-"/>
    <numFmt numFmtId="170" formatCode="_ * #,##0.00_ ;_ * \-#,##0.00_ ;_ * &quot;-&quot;??_ ;_ @_ "/>
    <numFmt numFmtId="171" formatCode="0_);[Red]\(0\)"/>
    <numFmt numFmtId="172" formatCode="#,##0_)&quot;₫&quot;;[Red]\(#,##0\)&quot;₫&quot;"/>
    <numFmt numFmtId="173" formatCode="_ * #,##0_ ;_ * \-#,##0_ ;_ * &quot;-&quot;??_ ;_ @_ "/>
    <numFmt numFmtId="174" formatCode="_-* #,##0\ &quot;₫&quot;_-;\-* #,##0\ &quot;₫&quot;_-;_-* &quot;-&quot;??\ &quot;₫&quot;_-;_-@_-"/>
    <numFmt numFmtId="175" formatCode="_-* #,##0.00\ &quot;₫&quot;_-;\-* #,##0.00\ &quot;₫&quot;_-;_-* &quot;-&quot;??\ &quot;₫&quot;_-;_-@_-"/>
    <numFmt numFmtId="176" formatCode="_ * #,##0_ ;_ * \-#,##0_ ;_ * &quot;-&quot;_ ;_ @_ "/>
    <numFmt numFmtId="177" formatCode="_(* #,##0.0_);_(* \(#,##0.0\);_(* &quot;-&quot;?_);_(@_)"/>
    <numFmt numFmtId="178" formatCode="0;\-0;\-;@"/>
    <numFmt numFmtId="179" formatCode="_-* #,##0.00_-;\-* #,##0.00_-;_-* &quot;-&quot;??_-;_-@_-"/>
    <numFmt numFmtId="180" formatCode="0.0000"/>
    <numFmt numFmtId="181" formatCode="&quot;£&quot;#,##0.00;\-&quot;£&quot;#,##0.00"/>
    <numFmt numFmtId="182" formatCode="#,##0.0"/>
    <numFmt numFmtId="183" formatCode="#,##0.000"/>
    <numFmt numFmtId="184" formatCode="#,##0.0000"/>
    <numFmt numFmtId="185" formatCode="0.0"/>
    <numFmt numFmtId="186" formatCode="_(* #,##0.00000_);_(* \(#,##0.00000\);_(* &quot;-&quot;??_);_(@_)"/>
    <numFmt numFmtId="187" formatCode="_-* #,##0_-;\-* #,##0_-;_-* &quot;-&quot;??_-;_-@_-"/>
    <numFmt numFmtId="188" formatCode="_-* #,##0.00\ _₫_-;\-* #,##0.00\ _₫_-;_-* &quot;-&quot;??\ _₫_-;_-@_-"/>
    <numFmt numFmtId="189" formatCode="_-* #,##0\ _₫_-;\-* #,##0\ _₫_-;_-* &quot;-&quot;??\ _₫_-;_-@_-"/>
    <numFmt numFmtId="190" formatCode="00"/>
  </numFmts>
  <fonts count="140" x14ac:knownFonts="1">
    <font>
      <sz val="11"/>
      <color theme="1"/>
      <name val="Calibri"/>
      <family val="2"/>
      <scheme val="minor"/>
    </font>
    <font>
      <b/>
      <sz val="11"/>
      <color theme="1"/>
      <name val="Calibri"/>
      <family val="2"/>
      <scheme val="minor"/>
    </font>
    <font>
      <b/>
      <i/>
      <sz val="11"/>
      <color theme="1"/>
      <name val="Calibri"/>
      <family val="2"/>
      <scheme val="minor"/>
    </font>
    <font>
      <b/>
      <sz val="11"/>
      <color theme="0"/>
      <name val="Calibri"/>
      <family val="2"/>
      <scheme val="minor"/>
    </font>
    <font>
      <i/>
      <sz val="11"/>
      <color theme="1"/>
      <name val="Calibri"/>
      <family val="2"/>
      <scheme val="minor"/>
    </font>
    <font>
      <b/>
      <sz val="11"/>
      <color theme="7" tint="-0.499984740745262"/>
      <name val="Calibri"/>
      <family val="2"/>
      <scheme val="minor"/>
    </font>
    <font>
      <sz val="8"/>
      <name val="Calibri"/>
      <family val="2"/>
      <scheme val="minor"/>
    </font>
    <font>
      <sz val="11"/>
      <color theme="1"/>
      <name val="Calibri"/>
      <family val="2"/>
      <scheme val="minor"/>
    </font>
    <font>
      <sz val="11"/>
      <color rgb="FFFF0000"/>
      <name val="Calibri"/>
      <family val="2"/>
      <scheme val="minor"/>
    </font>
    <font>
      <sz val="11"/>
      <color theme="1"/>
      <name val="Times New Roman"/>
      <family val="1"/>
    </font>
    <font>
      <b/>
      <sz val="11"/>
      <color theme="1"/>
      <name val="Times New Roman"/>
      <family val="1"/>
    </font>
    <font>
      <sz val="8"/>
      <name val="Verdana"/>
      <family val="2"/>
    </font>
    <font>
      <sz val="11"/>
      <name val="Calibri"/>
      <family val="2"/>
      <scheme val="minor"/>
    </font>
    <font>
      <u/>
      <sz val="11"/>
      <color theme="10"/>
      <name val="Calibri"/>
      <family val="2"/>
      <scheme val="minor"/>
    </font>
    <font>
      <b/>
      <sz val="11"/>
      <color rgb="FFFF0000"/>
      <name val="Calibri"/>
      <family val="2"/>
      <scheme val="minor"/>
    </font>
    <font>
      <b/>
      <sz val="10"/>
      <color theme="1"/>
      <name val="Calibri"/>
      <family val="2"/>
      <scheme val="minor"/>
    </font>
    <font>
      <sz val="10"/>
      <color theme="1"/>
      <name val="Calibri"/>
      <family val="2"/>
      <scheme val="minor"/>
    </font>
    <font>
      <i/>
      <sz val="10"/>
      <color theme="1"/>
      <name val="Calibri"/>
      <family val="2"/>
      <scheme val="minor"/>
    </font>
    <font>
      <sz val="10"/>
      <color rgb="FF000000"/>
      <name val="Calibri"/>
      <family val="2"/>
      <scheme val="minor"/>
    </font>
    <font>
      <b/>
      <i/>
      <sz val="10"/>
      <color theme="1"/>
      <name val="Calibri"/>
      <family val="2"/>
      <scheme val="minor"/>
    </font>
    <font>
      <b/>
      <i/>
      <sz val="11"/>
      <color theme="0"/>
      <name val="Calibri"/>
      <family val="2"/>
      <scheme val="minor"/>
    </font>
    <font>
      <b/>
      <sz val="11"/>
      <name val="Calibri"/>
      <family val="2"/>
      <scheme val="minor"/>
    </font>
    <font>
      <b/>
      <sz val="11"/>
      <color rgb="FFFFFF00"/>
      <name val="Calibri"/>
      <family val="2"/>
      <scheme val="minor"/>
    </font>
    <font>
      <sz val="11"/>
      <color rgb="FF0070C0"/>
      <name val="Calibri"/>
      <family val="2"/>
      <scheme val="minor"/>
    </font>
    <font>
      <sz val="11"/>
      <color theme="0"/>
      <name val="Calibri"/>
      <family val="2"/>
      <scheme val="minor"/>
    </font>
    <font>
      <sz val="10"/>
      <name val="Calibri"/>
      <family val="2"/>
      <scheme val="minor"/>
    </font>
    <font>
      <b/>
      <sz val="10"/>
      <name val="Calibri"/>
      <family val="2"/>
      <scheme val="minor"/>
    </font>
    <font>
      <i/>
      <sz val="10"/>
      <name val="Calibri"/>
      <family val="2"/>
      <scheme val="minor"/>
    </font>
    <font>
      <b/>
      <sz val="11"/>
      <name val="Times New Roman"/>
      <family val="1"/>
    </font>
    <font>
      <sz val="10"/>
      <color theme="1"/>
      <name val="Times New Roman"/>
      <family val="1"/>
    </font>
    <font>
      <i/>
      <sz val="11"/>
      <name val="Calibri"/>
      <family val="2"/>
      <scheme val="minor"/>
    </font>
    <font>
      <sz val="11"/>
      <color theme="1"/>
      <name val="Calibri Light"/>
      <family val="1"/>
      <scheme val="major"/>
    </font>
    <font>
      <b/>
      <sz val="11"/>
      <color theme="1"/>
      <name val="Calibri Light"/>
      <family val="2"/>
      <scheme val="major"/>
    </font>
    <font>
      <b/>
      <sz val="11"/>
      <color theme="1"/>
      <name val="Calibri Light"/>
      <family val="1"/>
      <scheme val="major"/>
    </font>
    <font>
      <sz val="7"/>
      <color rgb="FF000000"/>
      <name val="Arial"/>
      <family val="2"/>
    </font>
    <font>
      <sz val="7"/>
      <color rgb="FF990000"/>
      <name val="Arial"/>
      <family val="2"/>
    </font>
    <font>
      <sz val="7"/>
      <color rgb="FF009900"/>
      <name val="Arial"/>
      <family val="2"/>
    </font>
    <font>
      <b/>
      <sz val="12"/>
      <color theme="1"/>
      <name val="Calibri"/>
      <family val="2"/>
      <scheme val="minor"/>
    </font>
    <font>
      <sz val="10"/>
      <color rgb="FF000000"/>
      <name val="Arial"/>
      <family val="2"/>
    </font>
    <font>
      <sz val="10"/>
      <name val="Arial"/>
      <family val="2"/>
    </font>
    <font>
      <sz val="11"/>
      <color theme="8"/>
      <name val="Calibri"/>
      <family val="2"/>
      <scheme val="minor"/>
    </font>
    <font>
      <b/>
      <sz val="11"/>
      <color theme="7" tint="-0.249977111117893"/>
      <name val="Calibri"/>
      <family val="2"/>
      <scheme val="minor"/>
    </font>
    <font>
      <b/>
      <i/>
      <sz val="11"/>
      <name val="Calibri"/>
      <family val="2"/>
      <scheme val="minor"/>
    </font>
    <font>
      <sz val="12"/>
      <color theme="1"/>
      <name val="Calibri"/>
      <family val="2"/>
      <scheme val="minor"/>
    </font>
    <font>
      <b/>
      <sz val="12"/>
      <color theme="0"/>
      <name val="Calibri"/>
      <family val="2"/>
      <scheme val="minor"/>
    </font>
    <font>
      <b/>
      <sz val="12"/>
      <color rgb="FFFF0000"/>
      <name val="Calibri"/>
      <family val="2"/>
      <scheme val="minor"/>
    </font>
    <font>
      <sz val="12"/>
      <color theme="0"/>
      <name val="Calibri"/>
      <family val="2"/>
      <scheme val="minor"/>
    </font>
    <font>
      <b/>
      <i/>
      <sz val="12"/>
      <color theme="1"/>
      <name val="Calibri"/>
      <family val="2"/>
      <scheme val="minor"/>
    </font>
    <font>
      <b/>
      <sz val="12"/>
      <name val="Calibri"/>
      <family val="2"/>
      <scheme val="minor"/>
    </font>
    <font>
      <sz val="12"/>
      <name val="Calibri"/>
      <family val="2"/>
      <scheme val="minor"/>
    </font>
    <font>
      <i/>
      <sz val="12"/>
      <color rgb="FF0070C0"/>
      <name val="Calibri"/>
      <family val="2"/>
      <scheme val="minor"/>
    </font>
    <font>
      <sz val="12"/>
      <color rgb="FFFF0000"/>
      <name val="Calibri"/>
      <family val="2"/>
      <scheme val="minor"/>
    </font>
    <font>
      <sz val="11"/>
      <color theme="1"/>
      <name val="Calibri"/>
      <family val="2"/>
      <charset val="163"/>
      <scheme val="minor"/>
    </font>
    <font>
      <b/>
      <u/>
      <sz val="11"/>
      <name val="Calibri"/>
      <family val="2"/>
      <scheme val="minor"/>
    </font>
    <font>
      <sz val="11"/>
      <color theme="1"/>
      <name val="Calibri"/>
      <family val="2"/>
      <scheme val="minor"/>
    </font>
    <font>
      <sz val="12"/>
      <color rgb="FF002060"/>
      <name val="Calibri"/>
      <family val="2"/>
      <scheme val="minor"/>
    </font>
    <font>
      <sz val="9"/>
      <color indexed="8"/>
      <name val="Calibri"/>
      <family val="2"/>
      <scheme val="minor"/>
    </font>
    <font>
      <b/>
      <sz val="12"/>
      <color rgb="FF002060"/>
      <name val="Calibri"/>
      <family val="2"/>
      <scheme val="minor"/>
    </font>
    <font>
      <sz val="12"/>
      <color theme="1" tint="0.249977111117893"/>
      <name val="Calibri"/>
      <family val="2"/>
      <scheme val="minor"/>
    </font>
    <font>
      <sz val="12"/>
      <color theme="9" tint="-0.499984740745262"/>
      <name val="Calibri"/>
      <family val="2"/>
      <scheme val="minor"/>
    </font>
    <font>
      <b/>
      <sz val="12"/>
      <color theme="9" tint="-0.499984740745262"/>
      <name val="Calibri"/>
      <family val="2"/>
      <scheme val="minor"/>
    </font>
    <font>
      <b/>
      <sz val="12"/>
      <color theme="4"/>
      <name val="Calibri"/>
      <family val="2"/>
      <scheme val="minor"/>
    </font>
    <font>
      <i/>
      <sz val="12"/>
      <color theme="1"/>
      <name val="Calibri"/>
      <family val="2"/>
      <scheme val="minor"/>
    </font>
    <font>
      <b/>
      <sz val="12"/>
      <color rgb="FF000000"/>
      <name val="Calibri"/>
      <family val="2"/>
      <scheme val="minor"/>
    </font>
    <font>
      <i/>
      <sz val="12"/>
      <color rgb="FFFF0000"/>
      <name val="Calibri"/>
      <family val="2"/>
      <scheme val="minor"/>
    </font>
    <font>
      <b/>
      <sz val="12"/>
      <color rgb="FFC00000"/>
      <name val="Calibri"/>
      <family val="2"/>
      <scheme val="minor"/>
    </font>
    <font>
      <sz val="9"/>
      <color theme="1"/>
      <name val="Calibri"/>
      <family val="2"/>
      <scheme val="minor"/>
    </font>
    <font>
      <i/>
      <sz val="8"/>
      <color rgb="FFFF0000"/>
      <name val="Calibri"/>
      <family val="2"/>
      <scheme val="minor"/>
    </font>
    <font>
      <i/>
      <u/>
      <sz val="8"/>
      <color rgb="FFFF0000"/>
      <name val="Calibri"/>
      <family val="2"/>
      <scheme val="minor"/>
    </font>
    <font>
      <b/>
      <sz val="12"/>
      <color theme="0"/>
      <name val="Calibri"/>
      <family val="2"/>
    </font>
    <font>
      <sz val="12"/>
      <color theme="1"/>
      <name val="Calibri"/>
      <family val="2"/>
    </font>
    <font>
      <b/>
      <sz val="9"/>
      <name val="Tahoma"/>
      <family val="2"/>
    </font>
    <font>
      <sz val="9"/>
      <name val="Tahoma"/>
      <family val="2"/>
    </font>
    <font>
      <sz val="11"/>
      <color rgb="FF00B0F0"/>
      <name val="Calibri"/>
      <family val="2"/>
      <scheme val="minor"/>
    </font>
    <font>
      <b/>
      <sz val="11"/>
      <color rgb="FF00B0F0"/>
      <name val="Calibri"/>
      <family val="2"/>
      <scheme val="minor"/>
    </font>
    <font>
      <i/>
      <sz val="11"/>
      <color rgb="FF00B0F0"/>
      <name val="Calibri"/>
      <family val="2"/>
      <scheme val="minor"/>
    </font>
    <font>
      <b/>
      <i/>
      <sz val="11"/>
      <color rgb="FFFF0000"/>
      <name val="Calibri"/>
      <family val="2"/>
      <scheme val="minor"/>
    </font>
    <font>
      <b/>
      <sz val="11"/>
      <color rgb="FF169D13"/>
      <name val="Calibri"/>
      <family val="2"/>
      <scheme val="minor"/>
    </font>
    <font>
      <b/>
      <sz val="11"/>
      <name val="Calibri"/>
      <family val="2"/>
      <charset val="163"/>
      <scheme val="minor"/>
    </font>
    <font>
      <sz val="11"/>
      <name val="Calibri"/>
      <family val="2"/>
      <charset val="163"/>
      <scheme val="minor"/>
    </font>
    <font>
      <b/>
      <sz val="11"/>
      <color rgb="FF333333"/>
      <name val="Calibri"/>
      <family val="2"/>
      <charset val="163"/>
      <scheme val="minor"/>
    </font>
    <font>
      <sz val="11"/>
      <color rgb="FF333333"/>
      <name val="Calibri"/>
      <family val="2"/>
      <charset val="163"/>
      <scheme val="minor"/>
    </font>
    <font>
      <b/>
      <sz val="11"/>
      <color rgb="FF169D13"/>
      <name val="Calibri"/>
      <family val="2"/>
      <charset val="163"/>
      <scheme val="minor"/>
    </font>
    <font>
      <b/>
      <sz val="11"/>
      <color theme="9"/>
      <name val="Calibri"/>
      <family val="2"/>
      <charset val="163"/>
      <scheme val="minor"/>
    </font>
    <font>
      <b/>
      <sz val="11"/>
      <color theme="1"/>
      <name val="Calibri"/>
      <family val="2"/>
      <charset val="163"/>
      <scheme val="minor"/>
    </font>
    <font>
      <sz val="11"/>
      <color rgb="FF004E8A"/>
      <name val="Calibri"/>
      <family val="2"/>
      <charset val="163"/>
      <scheme val="minor"/>
    </font>
    <font>
      <sz val="11"/>
      <color rgb="FF5D5D5D"/>
      <name val="Calibri"/>
      <family val="2"/>
      <charset val="163"/>
      <scheme val="minor"/>
    </font>
    <font>
      <sz val="11"/>
      <color rgb="FF000000"/>
      <name val="Calibri"/>
      <family val="2"/>
      <charset val="163"/>
      <scheme val="minor"/>
    </font>
    <font>
      <sz val="11"/>
      <name val="Times New Roman"/>
      <family val="1"/>
    </font>
    <font>
      <b/>
      <sz val="9"/>
      <color indexed="81"/>
      <name val="Tahoma"/>
      <family val="2"/>
    </font>
    <font>
      <sz val="11"/>
      <name val="Times New Roman"/>
      <family val="1"/>
    </font>
    <font>
      <b/>
      <sz val="11"/>
      <color rgb="FF3F3F3F"/>
      <name val="Calibri"/>
      <family val="2"/>
      <scheme val="minor"/>
    </font>
    <font>
      <b/>
      <sz val="13"/>
      <color rgb="FF0070C0"/>
      <name val="Calibri"/>
      <family val="2"/>
      <scheme val="minor"/>
    </font>
    <font>
      <b/>
      <i/>
      <u/>
      <sz val="11"/>
      <name val="Calibri"/>
      <family val="2"/>
      <scheme val="minor"/>
    </font>
    <font>
      <sz val="10"/>
      <name val="Courier New"/>
      <family val="3"/>
    </font>
    <font>
      <b/>
      <sz val="11"/>
      <name val="Arial"/>
      <family val="2"/>
    </font>
    <font>
      <i/>
      <sz val="11"/>
      <color theme="2"/>
      <name val="Calibri"/>
      <family val="2"/>
      <scheme val="minor"/>
    </font>
    <font>
      <sz val="11"/>
      <color theme="9"/>
      <name val="Calibri"/>
      <family val="2"/>
      <scheme val="minor"/>
    </font>
    <font>
      <i/>
      <sz val="11"/>
      <color theme="9"/>
      <name val="Calibri"/>
      <family val="2"/>
      <scheme val="minor"/>
    </font>
    <font>
      <b/>
      <i/>
      <u/>
      <sz val="11"/>
      <color rgb="FF0070C0"/>
      <name val="Calibri"/>
      <family val="2"/>
      <scheme val="minor"/>
    </font>
    <font>
      <sz val="12"/>
      <color rgb="FF0070C0"/>
      <name val="Calibri"/>
      <family val="2"/>
      <scheme val="minor"/>
    </font>
    <font>
      <b/>
      <sz val="12"/>
      <color rgb="FF0070C0"/>
      <name val="Calibri"/>
      <family val="2"/>
      <scheme val="minor"/>
    </font>
    <font>
      <sz val="10"/>
      <color rgb="FF000000"/>
      <name val="Arial"/>
      <family val="2"/>
      <charset val="163"/>
    </font>
    <font>
      <b/>
      <sz val="12"/>
      <color theme="8" tint="-0.249977111117893"/>
      <name val="Calibri"/>
      <family val="2"/>
      <scheme val="minor"/>
    </font>
    <font>
      <sz val="12"/>
      <color theme="8" tint="-0.249977111117893"/>
      <name val="Calibri"/>
      <family val="2"/>
      <scheme val="minor"/>
    </font>
    <font>
      <sz val="12"/>
      <color theme="7"/>
      <name val="Calibri"/>
      <family val="2"/>
      <scheme val="minor"/>
    </font>
    <font>
      <sz val="12"/>
      <color theme="4" tint="-0.249977111117893"/>
      <name val="Calibri"/>
      <family val="2"/>
      <scheme val="minor"/>
    </font>
    <font>
      <i/>
      <sz val="12"/>
      <name val="Calibri"/>
      <family val="2"/>
      <scheme val="minor"/>
    </font>
    <font>
      <sz val="12"/>
      <color rgb="FF00B0F0"/>
      <name val="Calibri"/>
      <family val="2"/>
      <scheme val="minor"/>
    </font>
    <font>
      <b/>
      <sz val="11"/>
      <color rgb="FFC00000"/>
      <name val="Calibri"/>
      <family val="2"/>
      <scheme val="minor"/>
    </font>
    <font>
      <sz val="11"/>
      <color rgb="FFC00000"/>
      <name val="Calibri"/>
      <family val="2"/>
      <scheme val="minor"/>
    </font>
    <font>
      <i/>
      <sz val="11"/>
      <color rgb="FFC00000"/>
      <name val="Calibri"/>
      <family val="2"/>
      <scheme val="minor"/>
    </font>
    <font>
      <i/>
      <sz val="11"/>
      <name val="Calibri"/>
      <family val="2"/>
    </font>
    <font>
      <b/>
      <sz val="11"/>
      <name val="Calibri"/>
      <family val="2"/>
    </font>
    <font>
      <b/>
      <i/>
      <sz val="11"/>
      <name val="Calibri"/>
      <family val="2"/>
    </font>
    <font>
      <sz val="10"/>
      <color theme="1"/>
      <name val=".VnTime"/>
      <family val="2"/>
    </font>
    <font>
      <sz val="12"/>
      <name val=".VnTime"/>
      <family val="2"/>
    </font>
    <font>
      <b/>
      <sz val="12"/>
      <name val="Times New Roman"/>
      <family val="1"/>
    </font>
    <font>
      <b/>
      <sz val="12"/>
      <color theme="1"/>
      <name val="Times New Roman"/>
      <family val="1"/>
    </font>
    <font>
      <sz val="12"/>
      <color theme="1"/>
      <name val="Times New Roman"/>
      <family val="1"/>
    </font>
    <font>
      <sz val="12"/>
      <name val="Times New Roman"/>
      <family val="1"/>
    </font>
    <font>
      <sz val="9"/>
      <color indexed="81"/>
      <name val="Tahoma"/>
      <family val="2"/>
    </font>
    <font>
      <sz val="11"/>
      <name val="Calibri"/>
      <family val="2"/>
    </font>
    <font>
      <sz val="11"/>
      <color theme="0"/>
      <name val="Calibri"/>
      <family val="2"/>
      <charset val="163"/>
      <scheme val="minor"/>
    </font>
    <font>
      <b/>
      <sz val="11"/>
      <color theme="0"/>
      <name val="Calibri"/>
      <family val="2"/>
      <charset val="163"/>
      <scheme val="minor"/>
    </font>
    <font>
      <sz val="11"/>
      <color theme="8"/>
      <name val="Calibri"/>
      <family val="2"/>
      <charset val="163"/>
      <scheme val="minor"/>
    </font>
    <font>
      <b/>
      <sz val="11"/>
      <color theme="8"/>
      <name val="Calibri"/>
      <family val="2"/>
      <charset val="163"/>
      <scheme val="minor"/>
    </font>
    <font>
      <sz val="11"/>
      <color rgb="FF0070C0"/>
      <name val="Calibri"/>
      <family val="2"/>
      <charset val="163"/>
      <scheme val="minor"/>
    </font>
    <font>
      <b/>
      <sz val="11"/>
      <color rgb="FF0070C0"/>
      <name val="Calibri"/>
      <family val="2"/>
      <charset val="163"/>
      <scheme val="minor"/>
    </font>
    <font>
      <b/>
      <i/>
      <sz val="11"/>
      <color rgb="FF0070C0"/>
      <name val="Calibri"/>
      <family val="2"/>
      <scheme val="minor"/>
    </font>
    <font>
      <b/>
      <vertAlign val="subscript"/>
      <sz val="12"/>
      <color theme="1"/>
      <name val="Calibri"/>
      <family val="2"/>
      <scheme val="minor"/>
    </font>
    <font>
      <b/>
      <i/>
      <sz val="12"/>
      <color rgb="FF000000"/>
      <name val="Calibri"/>
      <family val="2"/>
      <scheme val="minor"/>
    </font>
    <font>
      <sz val="12"/>
      <color rgb="FF000000"/>
      <name val="Calibri"/>
      <family val="2"/>
      <scheme val="minor"/>
    </font>
    <font>
      <sz val="11"/>
      <color theme="7" tint="0.79998168889431442"/>
      <name val="Calibri"/>
      <family val="2"/>
      <scheme val="minor"/>
    </font>
    <font>
      <b/>
      <sz val="11"/>
      <color theme="7" tint="0.79998168889431442"/>
      <name val="Calibri"/>
      <family val="2"/>
      <scheme val="minor"/>
    </font>
    <font>
      <sz val="11"/>
      <color theme="1"/>
      <name val="Times New Roman"/>
      <family val="2"/>
    </font>
    <font>
      <b/>
      <strike/>
      <sz val="11"/>
      <color theme="1"/>
      <name val="Calibri"/>
      <family val="2"/>
      <scheme val="minor"/>
    </font>
    <font>
      <b/>
      <sz val="11"/>
      <color indexed="8"/>
      <name val="Calibri"/>
      <family val="2"/>
      <charset val="163"/>
      <scheme val="minor"/>
    </font>
    <font>
      <sz val="11"/>
      <color indexed="8"/>
      <name val="Calibri"/>
      <family val="2"/>
      <scheme val="minor"/>
    </font>
    <font>
      <b/>
      <sz val="11"/>
      <color indexed="8"/>
      <name val="Calibri"/>
      <family val="2"/>
      <scheme val="minor"/>
    </font>
  </fonts>
  <fills count="53">
    <fill>
      <patternFill patternType="none"/>
    </fill>
    <fill>
      <patternFill patternType="gray125"/>
    </fill>
    <fill>
      <patternFill patternType="solid">
        <fgColor theme="0" tint="-0.14999847407452621"/>
        <bgColor indexed="64"/>
      </patternFill>
    </fill>
    <fill>
      <patternFill patternType="solid">
        <fgColor theme="7" tint="-0.249977111117893"/>
        <bgColor indexed="64"/>
      </patternFill>
    </fill>
    <fill>
      <patternFill patternType="solid">
        <fgColor theme="0"/>
        <bgColor indexed="64"/>
      </patternFill>
    </fill>
    <fill>
      <patternFill patternType="solid">
        <fgColor rgb="FFFFFF00"/>
        <bgColor indexed="64"/>
      </patternFill>
    </fill>
    <fill>
      <patternFill patternType="solid">
        <fgColor theme="4" tint="0.59999389629810485"/>
        <bgColor indexed="64"/>
      </patternFill>
    </fill>
    <fill>
      <patternFill patternType="solid">
        <fgColor theme="0" tint="-0.34998626667073579"/>
        <bgColor indexed="64"/>
      </patternFill>
    </fill>
    <fill>
      <patternFill patternType="solid">
        <fgColor theme="0" tint="-0.34998626667073579"/>
        <bgColor rgb="FFE3E3E3"/>
      </patternFill>
    </fill>
    <fill>
      <patternFill patternType="solid">
        <fgColor theme="0" tint="-0.249977111117893"/>
        <bgColor indexed="64"/>
      </patternFill>
    </fill>
    <fill>
      <patternFill patternType="solid">
        <fgColor theme="0" tint="-0.249977111117893"/>
        <bgColor rgb="FFE3E3E3"/>
      </patternFill>
    </fill>
    <fill>
      <patternFill patternType="solid">
        <fgColor theme="9" tint="0.59999389629810485"/>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1" tint="0.499984740745262"/>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7"/>
        <bgColor indexed="64"/>
      </patternFill>
    </fill>
    <fill>
      <patternFill patternType="solid">
        <fgColor rgb="FFFF0000"/>
        <bgColor indexed="64"/>
      </patternFill>
    </fill>
    <fill>
      <patternFill patternType="solid">
        <fgColor theme="9" tint="0.79998168889431442"/>
        <bgColor indexed="64"/>
      </patternFill>
    </fill>
    <fill>
      <patternFill patternType="solid">
        <fgColor rgb="FFFFFFFF"/>
        <bgColor indexed="64"/>
      </patternFill>
    </fill>
    <fill>
      <patternFill patternType="solid">
        <fgColor theme="6" tint="0.59999389629810485"/>
        <bgColor indexed="64"/>
      </patternFill>
    </fill>
    <fill>
      <patternFill patternType="solid">
        <fgColor theme="0" tint="-0.499984740745262"/>
        <bgColor indexed="64"/>
      </patternFill>
    </fill>
    <fill>
      <patternFill patternType="solid">
        <fgColor theme="5" tint="0.39997558519241921"/>
        <bgColor indexed="64"/>
      </patternFill>
    </fill>
    <fill>
      <patternFill patternType="solid">
        <fgColor rgb="FFFFC000"/>
        <bgColor indexed="64"/>
      </patternFill>
    </fill>
    <fill>
      <patternFill patternType="solid">
        <fgColor theme="4" tint="-0.499984740745262"/>
        <bgColor indexed="64"/>
      </patternFill>
    </fill>
    <fill>
      <patternFill patternType="solid">
        <fgColor rgb="FFFCC5BC"/>
        <bgColor indexed="64"/>
      </patternFill>
    </fill>
    <fill>
      <patternFill patternType="solid">
        <fgColor theme="1" tint="0.34998626667073579"/>
        <bgColor rgb="FFE3E3E3"/>
      </patternFill>
    </fill>
    <fill>
      <patternFill patternType="solid">
        <fgColor theme="1" tint="0.34998626667073579"/>
        <bgColor indexed="64"/>
      </patternFill>
    </fill>
    <fill>
      <patternFill patternType="solid">
        <fgColor theme="0" tint="-0.499984740745262"/>
        <bgColor rgb="FFE3E3E3"/>
      </patternFill>
    </fill>
    <fill>
      <patternFill patternType="solid">
        <fgColor rgb="FFFEE6E2"/>
        <bgColor indexed="64"/>
      </patternFill>
    </fill>
    <fill>
      <patternFill patternType="solid">
        <fgColor theme="0" tint="-4.9989318521683403E-2"/>
        <bgColor indexed="64"/>
      </patternFill>
    </fill>
    <fill>
      <patternFill patternType="solid">
        <fgColor theme="4" tint="0.249977111117893"/>
        <bgColor indexed="64"/>
      </patternFill>
    </fill>
    <fill>
      <patternFill patternType="solid">
        <fgColor theme="9" tint="-0.249977111117893"/>
        <bgColor indexed="64"/>
      </patternFill>
    </fill>
    <fill>
      <patternFill patternType="solid">
        <fgColor theme="0" tint="-0.14990691854609822"/>
        <bgColor indexed="64"/>
      </patternFill>
    </fill>
    <fill>
      <patternFill patternType="solid">
        <fgColor theme="9" tint="0.79989013336588644"/>
        <bgColor indexed="64"/>
      </patternFill>
    </fill>
    <fill>
      <patternFill patternType="solid">
        <fgColor theme="9" tint="0.39988402966399123"/>
        <bgColor indexed="64"/>
      </patternFill>
    </fill>
    <fill>
      <patternFill patternType="solid">
        <fgColor theme="0"/>
        <bgColor rgb="FFFFFFFF"/>
      </patternFill>
    </fill>
    <fill>
      <patternFill patternType="solid">
        <fgColor rgb="FFF2F2F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0"/>
        <bgColor rgb="FFE3E3E3"/>
      </patternFill>
    </fill>
    <fill>
      <patternFill patternType="solid">
        <fgColor theme="0" tint="-0.249977111117893"/>
        <bgColor rgb="FFFFFFFF"/>
      </patternFill>
    </fill>
    <fill>
      <patternFill patternType="solid">
        <fgColor theme="0" tint="-0.34998626667073579"/>
        <bgColor rgb="FFFFFFFF"/>
      </patternFill>
    </fill>
    <fill>
      <patternFill patternType="solid">
        <fgColor rgb="FFFFC000"/>
        <bgColor rgb="FFE3E3E3"/>
      </patternFill>
    </fill>
    <fill>
      <patternFill patternType="solid">
        <fgColor theme="0" tint="-0.14999847407452621"/>
        <bgColor rgb="FFE3E3E3"/>
      </patternFill>
    </fill>
    <fill>
      <patternFill patternType="solid">
        <fgColor theme="8" tint="-0.249977111117893"/>
        <bgColor indexed="64"/>
      </patternFill>
    </fill>
    <fill>
      <patternFill patternType="solid">
        <fgColor theme="5" tint="-0.249977111117893"/>
        <bgColor indexed="64"/>
      </patternFill>
    </fill>
    <fill>
      <patternFill patternType="solid">
        <fgColor theme="0" tint="-4.9989318521683403E-2"/>
        <bgColor rgb="FFFFFFFF"/>
      </patternFill>
    </fill>
    <fill>
      <patternFill patternType="solid">
        <fgColor theme="0" tint="-0.14999847407452621"/>
        <bgColor rgb="FFFFFFFF"/>
      </patternFill>
    </fill>
    <fill>
      <patternFill patternType="solid">
        <fgColor theme="1" tint="0.14999847407452621"/>
        <bgColor indexed="64"/>
      </patternFill>
    </fill>
    <fill>
      <patternFill patternType="solid">
        <fgColor theme="0" tint="-0.1498764000366222"/>
        <bgColor indexed="64"/>
      </patternFill>
    </fill>
    <fill>
      <patternFill patternType="solid">
        <fgColor rgb="FFD9D9D9"/>
        <bgColor indexed="64"/>
      </patternFill>
    </fill>
  </fills>
  <borders count="10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right/>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6"/>
      </left>
      <right style="thin">
        <color theme="6"/>
      </right>
      <top style="thin">
        <color theme="6"/>
      </top>
      <bottom style="thin">
        <color theme="6"/>
      </bottom>
      <diagonal/>
    </border>
    <border>
      <left style="thin">
        <color theme="6"/>
      </left>
      <right style="thin">
        <color theme="6"/>
      </right>
      <top style="thin">
        <color theme="6"/>
      </top>
      <bottom/>
      <diagonal/>
    </border>
    <border>
      <left style="thin">
        <color theme="6"/>
      </left>
      <right style="thin">
        <color theme="6"/>
      </right>
      <top/>
      <bottom style="thin">
        <color theme="6"/>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style="thin">
        <color theme="6"/>
      </left>
      <right style="thin">
        <color theme="6"/>
      </right>
      <top/>
      <bottom/>
      <diagonal/>
    </border>
    <border>
      <left/>
      <right style="thin">
        <color indexed="64"/>
      </right>
      <top/>
      <bottom/>
      <diagonal/>
    </border>
    <border>
      <left style="thin">
        <color theme="6"/>
      </left>
      <right/>
      <top style="thin">
        <color theme="6"/>
      </top>
      <bottom style="thin">
        <color theme="6"/>
      </bottom>
      <diagonal/>
    </border>
    <border>
      <left/>
      <right style="thin">
        <color theme="6"/>
      </right>
      <top style="thin">
        <color theme="6"/>
      </top>
      <bottom style="thin">
        <color theme="6"/>
      </bottom>
      <diagonal/>
    </border>
    <border>
      <left/>
      <right/>
      <top style="thin">
        <color theme="6"/>
      </top>
      <bottom style="thin">
        <color theme="6"/>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3743705557422"/>
      </left>
      <right/>
      <top style="thin">
        <color theme="0" tint="-0.14993743705557422"/>
      </top>
      <bottom style="thin">
        <color theme="0" tint="-0.14993743705557422"/>
      </bottom>
      <diagonal/>
    </border>
    <border>
      <left style="thin">
        <color theme="0" tint="-0.14996795556505021"/>
      </left>
      <right style="thin">
        <color theme="0" tint="-0.14996795556505021"/>
      </right>
      <top/>
      <bottom style="thin">
        <color theme="0" tint="-0.14996795556505021"/>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34998626667073579"/>
      </right>
      <top/>
      <bottom/>
      <diagonal/>
    </border>
    <border>
      <left style="thin">
        <color theme="0" tint="-0.34998626667073579"/>
      </left>
      <right style="thin">
        <color theme="0" tint="-0.34998626667073579"/>
      </right>
      <top/>
      <bottom/>
      <diagonal/>
    </border>
    <border>
      <left style="thin">
        <color theme="0" tint="-0.34998626667073579"/>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theme="0" tint="-0.1498764000366222"/>
      </left>
      <right/>
      <top style="thin">
        <color theme="0" tint="-0.1498764000366222"/>
      </top>
      <bottom style="thin">
        <color theme="0" tint="-0.1498764000366222"/>
      </bottom>
      <diagonal/>
    </border>
    <border>
      <left/>
      <right/>
      <top style="thin">
        <color theme="0" tint="-0.1498764000366222"/>
      </top>
      <bottom style="thin">
        <color theme="0" tint="-0.1498764000366222"/>
      </bottom>
      <diagonal/>
    </border>
    <border>
      <left style="thin">
        <color theme="0" tint="-0.1498764000366222"/>
      </left>
      <right/>
      <top/>
      <bottom style="thin">
        <color theme="0" tint="-0.1498764000366222"/>
      </bottom>
      <diagonal/>
    </border>
    <border>
      <left/>
      <right/>
      <top/>
      <bottom style="thin">
        <color theme="0" tint="-0.1498764000366222"/>
      </bottom>
      <diagonal/>
    </border>
    <border>
      <left/>
      <right style="thin">
        <color theme="0" tint="-0.1498764000366222"/>
      </right>
      <top/>
      <bottom style="thin">
        <color theme="0" tint="-0.1498764000366222"/>
      </bottom>
      <diagonal/>
    </border>
    <border>
      <left style="thin">
        <color theme="0" tint="-0.1498764000366222"/>
      </left>
      <right style="thin">
        <color theme="0" tint="-0.1498764000366222"/>
      </right>
      <top/>
      <bottom/>
      <diagonal/>
    </border>
    <border>
      <left style="thin">
        <color theme="0" tint="-0.1498764000366222"/>
      </left>
      <right/>
      <top/>
      <bottom/>
      <diagonal/>
    </border>
    <border>
      <left/>
      <right style="thin">
        <color theme="0" tint="-0.1498764000366222"/>
      </right>
      <top style="thin">
        <color theme="0" tint="-0.1498764000366222"/>
      </top>
      <bottom style="thin">
        <color theme="0" tint="-0.1498764000366222"/>
      </bottom>
      <diagonal/>
    </border>
    <border>
      <left style="thin">
        <color theme="0" tint="-0.1498764000366222"/>
      </left>
      <right style="thin">
        <color theme="0" tint="-0.1498764000366222"/>
      </right>
      <top/>
      <bottom style="thin">
        <color theme="0" tint="-0.1498764000366222"/>
      </bottom>
      <diagonal/>
    </border>
    <border>
      <left/>
      <right/>
      <top style="thin">
        <color theme="0" tint="-0.1498764000366222"/>
      </top>
      <bottom/>
      <diagonal/>
    </border>
    <border>
      <left style="thin">
        <color auto="1"/>
      </left>
      <right style="thin">
        <color auto="1"/>
      </right>
      <top style="thin">
        <color auto="1"/>
      </top>
      <bottom style="thin">
        <color auto="1"/>
      </bottom>
      <diagonal/>
    </border>
    <border>
      <left/>
      <right/>
      <top style="thin">
        <color theme="0" tint="-0.14996795556505021"/>
      </top>
      <bottom style="thin">
        <color theme="0" tint="-0.14996795556505021"/>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3F3F3F"/>
      </left>
      <right style="thin">
        <color rgb="FF3F3F3F"/>
      </right>
      <top style="thin">
        <color rgb="FF3F3F3F"/>
      </top>
      <bottom style="thin">
        <color rgb="FF3F3F3F"/>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right style="thin">
        <color theme="0" tint="-0.14996795556505021"/>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3743705557422"/>
      </top>
      <bottom/>
      <diagonal/>
    </border>
    <border>
      <left style="thin">
        <color theme="0" tint="-0.14993743705557422"/>
      </left>
      <right style="thin">
        <color theme="0" tint="-0.14993743705557422"/>
      </right>
      <top/>
      <bottom style="thin">
        <color theme="0" tint="-0.14993743705557422"/>
      </bottom>
      <diagonal/>
    </border>
    <border>
      <left style="thin">
        <color theme="0" tint="-0.14996795556505021"/>
      </left>
      <right style="thin">
        <color theme="0" tint="-0.14996795556505021"/>
      </right>
      <top style="thin">
        <color theme="0" tint="-0.14996795556505021"/>
      </top>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8764000366222"/>
      </left>
      <right style="thin">
        <color theme="0" tint="-0.1498764000366222"/>
      </right>
      <top style="thin">
        <color theme="0" tint="-0.1498764000366222"/>
      </top>
      <bottom/>
      <diagonal/>
    </border>
    <border>
      <left style="thin">
        <color theme="0" tint="-0.1498764000366222"/>
      </left>
      <right/>
      <top style="thin">
        <color theme="0" tint="-0.1498764000366222"/>
      </top>
      <bottom/>
      <diagonal/>
    </border>
    <border>
      <left/>
      <right style="thin">
        <color theme="0" tint="-0.1498764000366222"/>
      </right>
      <top style="thin">
        <color theme="0" tint="-0.1498764000366222"/>
      </top>
      <bottom/>
      <diagonal/>
    </border>
    <border>
      <left style="thin">
        <color theme="0" tint="-0.14996795556505021"/>
      </left>
      <right/>
      <top style="thin">
        <color theme="0" tint="-0.14996795556505021"/>
      </top>
      <bottom style="thin">
        <color theme="0" tint="-0.14996795556505021"/>
      </bottom>
      <diagonal/>
    </border>
    <border>
      <left style="thin">
        <color theme="0" tint="-0.14999847407452621"/>
      </left>
      <right style="thin">
        <color theme="0" tint="-0.14999847407452621"/>
      </right>
      <top/>
      <bottom style="thin">
        <color theme="0" tint="-0.14999847407452621"/>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diagonal/>
    </border>
    <border>
      <left style="thin">
        <color theme="0" tint="-0.34998626667073579"/>
      </left>
      <right style="thin">
        <color theme="0" tint="-0.34998626667073579"/>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style="thin">
        <color theme="0" tint="-0.34998626667073579"/>
      </top>
      <bottom/>
      <diagonal/>
    </border>
    <border>
      <left/>
      <right/>
      <top style="thin">
        <color theme="0" tint="-0.34998626667073579"/>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style="thin">
        <color theme="0" tint="-0.249977111117893"/>
      </left>
      <right/>
      <top/>
      <bottom/>
      <diagonal/>
    </border>
    <border>
      <left style="thin">
        <color theme="0" tint="-0.34998626667073579"/>
      </left>
      <right/>
      <top style="thin">
        <color theme="0" tint="-0.249977111117893"/>
      </top>
      <bottom style="thin">
        <color theme="0" tint="-0.249977111117893"/>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style="thin">
        <color theme="0" tint="-0.249977111117893"/>
      </left>
      <right/>
      <top/>
      <bottom style="thin">
        <color theme="0" tint="-0.249977111117893"/>
      </bottom>
      <diagonal/>
    </border>
    <border>
      <left/>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top style="thin">
        <color theme="0" tint="-0.249977111117893"/>
      </top>
      <bottom/>
      <diagonal/>
    </border>
    <border>
      <left style="thin">
        <color theme="0" tint="-0.249977111117893"/>
      </left>
      <right style="thin">
        <color theme="0" tint="-0.249977111117893"/>
      </right>
      <top style="thin">
        <color theme="0" tint="-0.34998626667073579"/>
      </top>
      <bottom style="thin">
        <color theme="0" tint="-0.249977111117893"/>
      </bottom>
      <diagonal/>
    </border>
    <border>
      <left style="thin">
        <color theme="0" tint="-0.14993743705557422"/>
      </left>
      <right style="thin">
        <color theme="0" tint="-0.14996795556505021"/>
      </right>
      <top style="thin">
        <color theme="0" tint="-0.14996795556505021"/>
      </top>
      <bottom style="thin">
        <color theme="0" tint="-0.14996795556505021"/>
      </bottom>
      <diagonal/>
    </border>
    <border>
      <left style="thin">
        <color theme="0" tint="-0.249977111117893"/>
      </left>
      <right style="thin">
        <color theme="0" tint="-0.249977111117893"/>
      </right>
      <top style="thin">
        <color theme="0" tint="-0.34998626667073579"/>
      </top>
      <bottom/>
      <diagonal/>
    </border>
    <border>
      <left style="thin">
        <color theme="0" tint="-0.249977111117893"/>
      </left>
      <right/>
      <top style="thin">
        <color theme="0" tint="-0.34998626667073579"/>
      </top>
      <bottom/>
      <diagonal/>
    </border>
    <border>
      <left/>
      <right style="thin">
        <color theme="0" tint="-0.249977111117893"/>
      </right>
      <top style="thin">
        <color theme="0" tint="-0.249977111117893"/>
      </top>
      <bottom/>
      <diagonal/>
    </border>
    <border>
      <left/>
      <right/>
      <top/>
      <bottom style="double">
        <color indexed="64"/>
      </bottom>
      <diagonal/>
    </border>
    <border>
      <left/>
      <right/>
      <top/>
      <bottom style="thin">
        <color theme="1"/>
      </bottom>
      <diagonal/>
    </border>
    <border>
      <left/>
      <right/>
      <top style="double">
        <color indexed="64"/>
      </top>
      <bottom style="thin">
        <color indexed="64"/>
      </bottom>
      <diagonal/>
    </border>
  </borders>
  <cellStyleXfs count="55">
    <xf numFmtId="0" fontId="0" fillId="0" borderId="0"/>
    <xf numFmtId="43" fontId="7" fillId="0" borderId="0" applyFont="0" applyFill="0" applyBorder="0" applyAlignment="0" applyProtection="0"/>
    <xf numFmtId="9" fontId="7" fillId="0" borderId="0" applyFont="0" applyFill="0" applyBorder="0" applyAlignment="0" applyProtection="0"/>
    <xf numFmtId="0" fontId="11" fillId="0" borderId="0">
      <alignment vertical="top"/>
    </xf>
    <xf numFmtId="43" fontId="11" fillId="0" borderId="0" applyFont="0" applyFill="0" applyBorder="0" applyAlignment="0" applyProtection="0"/>
    <xf numFmtId="0" fontId="13" fillId="0" borderId="0" applyNumberFormat="0" applyFill="0" applyBorder="0" applyAlignment="0" applyProtection="0"/>
    <xf numFmtId="168" fontId="7" fillId="0" borderId="0" applyFont="0" applyFill="0" applyBorder="0" applyAlignment="0" applyProtection="0"/>
    <xf numFmtId="37" fontId="38" fillId="0" borderId="0"/>
    <xf numFmtId="43" fontId="38" fillId="0" borderId="0" applyFont="0" applyFill="0" applyBorder="0" applyAlignment="0" applyProtection="0"/>
    <xf numFmtId="0" fontId="39" fillId="0" borderId="0"/>
    <xf numFmtId="43" fontId="39" fillId="0" borderId="0" applyFont="0" applyFill="0" applyBorder="0" applyAlignment="0" applyProtection="0"/>
    <xf numFmtId="170" fontId="7" fillId="0" borderId="0" applyFont="0" applyFill="0" applyBorder="0" applyAlignment="0" applyProtection="0">
      <alignment vertical="center"/>
    </xf>
    <xf numFmtId="175"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xf numFmtId="9" fontId="39" fillId="0" borderId="0" applyFont="0" applyFill="0" applyBorder="0" applyAlignment="0" applyProtection="0"/>
    <xf numFmtId="0" fontId="52" fillId="0" borderId="0"/>
    <xf numFmtId="0" fontId="7" fillId="0" borderId="0"/>
    <xf numFmtId="43"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52" fillId="0" borderId="0"/>
    <xf numFmtId="0" fontId="54" fillId="0" borderId="0"/>
    <xf numFmtId="43" fontId="7" fillId="0" borderId="0" applyFont="0" applyFill="0" applyBorder="0" applyAlignment="0" applyProtection="0"/>
    <xf numFmtId="9" fontId="7" fillId="0" borderId="0" applyFont="0" applyFill="0" applyBorder="0" applyAlignment="0" applyProtection="0"/>
    <xf numFmtId="0" fontId="7" fillId="0" borderId="0"/>
    <xf numFmtId="179" fontId="7" fillId="0" borderId="0" applyFont="0" applyFill="0" applyBorder="0" applyAlignment="0" applyProtection="0"/>
    <xf numFmtId="43" fontId="88" fillId="0" borderId="0" applyFont="0" applyFill="0" applyBorder="0" applyAlignment="0" applyProtection="0"/>
    <xf numFmtId="0" fontId="88" fillId="0" borderId="0"/>
    <xf numFmtId="9" fontId="88" fillId="0" borderId="0" applyFont="0" applyFill="0" applyBorder="0" applyAlignment="0" applyProtection="0"/>
    <xf numFmtId="0" fontId="90" fillId="0" borderId="0"/>
    <xf numFmtId="0" fontId="91" fillId="38" borderId="60" applyNumberFormat="0" applyAlignment="0" applyProtection="0"/>
    <xf numFmtId="9" fontId="52" fillId="0" borderId="0" applyFont="0" applyFill="0" applyBorder="0" applyAlignment="0" applyProtection="0"/>
    <xf numFmtId="181" fontId="94" fillId="0" borderId="0"/>
    <xf numFmtId="0" fontId="95" fillId="0" borderId="0" applyNumberFormat="0" applyFill="0" applyBorder="0" applyAlignment="0" applyProtection="0"/>
    <xf numFmtId="43" fontId="52" fillId="0" borderId="0" applyFont="0" applyFill="0" applyBorder="0" applyAlignment="0" applyProtection="0"/>
    <xf numFmtId="44" fontId="52" fillId="0" borderId="0" applyFont="0" applyFill="0" applyBorder="0" applyAlignment="0" applyProtection="0"/>
    <xf numFmtId="0" fontId="52" fillId="0" borderId="0"/>
    <xf numFmtId="37" fontId="102" fillId="0" borderId="0"/>
    <xf numFmtId="0" fontId="52" fillId="0" borderId="0">
      <alignment vertical="center"/>
    </xf>
    <xf numFmtId="0" fontId="39" fillId="0" borderId="0"/>
    <xf numFmtId="0" fontId="7" fillId="0" borderId="0"/>
    <xf numFmtId="179" fontId="7" fillId="0" borderId="0" applyFont="0" applyFill="0" applyBorder="0" applyAlignment="0" applyProtection="0"/>
    <xf numFmtId="188" fontId="52" fillId="0" borderId="0" applyFont="0" applyFill="0" applyBorder="0" applyAlignment="0" applyProtection="0"/>
    <xf numFmtId="0" fontId="39" fillId="0" borderId="0"/>
    <xf numFmtId="0" fontId="115" fillId="0" borderId="0"/>
    <xf numFmtId="0" fontId="116" fillId="0" borderId="0"/>
    <xf numFmtId="0" fontId="39" fillId="0" borderId="0"/>
    <xf numFmtId="0" fontId="7" fillId="0" borderId="0"/>
    <xf numFmtId="9" fontId="39" fillId="0" borderId="0" applyFont="0" applyFill="0" applyBorder="0" applyAlignment="0" applyProtection="0"/>
    <xf numFmtId="0" fontId="135" fillId="0" borderId="0"/>
    <xf numFmtId="9" fontId="135" fillId="0" borderId="0" applyFont="0" applyFill="0" applyBorder="0" applyAlignment="0" applyProtection="0"/>
    <xf numFmtId="43" fontId="135" fillId="0" borderId="0" applyFont="0" applyFill="0" applyBorder="0" applyAlignment="0" applyProtection="0"/>
  </cellStyleXfs>
  <cellXfs count="2344">
    <xf numFmtId="0" fontId="0" fillId="0" borderId="0" xfId="0"/>
    <xf numFmtId="0" fontId="1" fillId="0" borderId="0" xfId="0" applyFont="1"/>
    <xf numFmtId="43" fontId="0" fillId="0" borderId="0" xfId="0" applyNumberFormat="1"/>
    <xf numFmtId="164" fontId="0" fillId="0" borderId="0" xfId="1" applyNumberFormat="1" applyFont="1"/>
    <xf numFmtId="164" fontId="1" fillId="0" borderId="0" xfId="1" applyNumberFormat="1" applyFont="1"/>
    <xf numFmtId="43" fontId="0" fillId="0" borderId="0" xfId="1" applyFont="1"/>
    <xf numFmtId="9" fontId="0" fillId="0" borderId="0" xfId="0" applyNumberFormat="1"/>
    <xf numFmtId="164" fontId="1" fillId="0" borderId="0" xfId="0" applyNumberFormat="1" applyFont="1"/>
    <xf numFmtId="0" fontId="4" fillId="0" borderId="0" xfId="0" applyFont="1" applyAlignment="1">
      <alignment horizontal="left" indent="1"/>
    </xf>
    <xf numFmtId="0" fontId="4" fillId="0" borderId="0" xfId="0" applyFont="1"/>
    <xf numFmtId="164" fontId="16" fillId="4" borderId="0" xfId="1" applyNumberFormat="1" applyFont="1" applyFill="1"/>
    <xf numFmtId="37" fontId="16" fillId="4" borderId="0" xfId="0" applyNumberFormat="1" applyFont="1" applyFill="1"/>
    <xf numFmtId="37" fontId="18" fillId="4" borderId="0" xfId="0" applyNumberFormat="1" applyFont="1" applyFill="1"/>
    <xf numFmtId="37" fontId="16" fillId="4" borderId="0" xfId="0" applyNumberFormat="1" applyFont="1" applyFill="1" applyAlignment="1">
      <alignment wrapText="1"/>
    </xf>
    <xf numFmtId="0" fontId="0" fillId="0" borderId="0" xfId="0" applyAlignment="1">
      <alignment horizontal="center"/>
    </xf>
    <xf numFmtId="43" fontId="4" fillId="0" borderId="0" xfId="1" applyFont="1"/>
    <xf numFmtId="0" fontId="0" fillId="0" borderId="0" xfId="0" applyAlignment="1">
      <alignment horizontal="left"/>
    </xf>
    <xf numFmtId="164" fontId="14" fillId="0" borderId="0" xfId="1" applyNumberFormat="1" applyFont="1" applyFill="1"/>
    <xf numFmtId="0" fontId="9" fillId="0" borderId="0" xfId="0" applyFont="1"/>
    <xf numFmtId="0" fontId="1" fillId="4" borderId="0" xfId="0" applyFont="1" applyFill="1" applyAlignment="1">
      <alignment horizontal="center" vertical="center"/>
    </xf>
    <xf numFmtId="43" fontId="1" fillId="0" borderId="0" xfId="1" applyFont="1" applyFill="1" applyBorder="1" applyAlignment="1">
      <alignment vertical="center" wrapText="1"/>
    </xf>
    <xf numFmtId="43" fontId="1" fillId="4" borderId="0" xfId="1" applyFont="1" applyFill="1" applyBorder="1" applyAlignment="1">
      <alignment vertical="center" wrapText="1"/>
    </xf>
    <xf numFmtId="0" fontId="20" fillId="0" borderId="0" xfId="0" quotePrefix="1" applyFont="1" applyAlignment="1">
      <alignment horizontal="center" vertical="center" wrapText="1"/>
    </xf>
    <xf numFmtId="0" fontId="3" fillId="14" borderId="0" xfId="0" applyFont="1" applyFill="1"/>
    <xf numFmtId="43" fontId="3" fillId="14" borderId="0" xfId="1" applyFont="1" applyFill="1" applyBorder="1" applyAlignment="1">
      <alignment vertical="center" wrapText="1"/>
    </xf>
    <xf numFmtId="9" fontId="0" fillId="0" borderId="0" xfId="2" applyFont="1"/>
    <xf numFmtId="164" fontId="3" fillId="14" borderId="0" xfId="1" applyNumberFormat="1" applyFont="1" applyFill="1"/>
    <xf numFmtId="43" fontId="1" fillId="4" borderId="0" xfId="1" applyFont="1" applyFill="1" applyBorder="1" applyAlignment="1">
      <alignment horizontal="right" vertical="center"/>
    </xf>
    <xf numFmtId="0" fontId="21" fillId="9" borderId="12" xfId="0" quotePrefix="1" applyFont="1" applyFill="1" applyBorder="1" applyAlignment="1">
      <alignment horizontal="center" vertical="center" wrapText="1"/>
    </xf>
    <xf numFmtId="0" fontId="21" fillId="9" borderId="13" xfId="0" quotePrefix="1" applyFont="1" applyFill="1" applyBorder="1" applyAlignment="1">
      <alignment horizontal="center" vertical="center" wrapText="1"/>
    </xf>
    <xf numFmtId="164" fontId="14" fillId="0" borderId="14" xfId="1" applyNumberFormat="1" applyFont="1" applyFill="1" applyBorder="1" applyAlignment="1">
      <alignment horizontal="right" vertical="center" wrapText="1"/>
    </xf>
    <xf numFmtId="43" fontId="1" fillId="0" borderId="14" xfId="1" applyFont="1" applyFill="1" applyBorder="1" applyAlignment="1">
      <alignment vertical="center" wrapText="1"/>
    </xf>
    <xf numFmtId="9" fontId="12" fillId="0" borderId="14" xfId="2" quotePrefix="1" applyFont="1" applyFill="1" applyBorder="1" applyAlignment="1">
      <alignment horizontal="right" vertical="center" wrapText="1"/>
    </xf>
    <xf numFmtId="43" fontId="1" fillId="4" borderId="14" xfId="1" applyFont="1" applyFill="1" applyBorder="1" applyAlignment="1">
      <alignment horizontal="center" vertical="center" wrapText="1"/>
    </xf>
    <xf numFmtId="9" fontId="21" fillId="0" borderId="14" xfId="2" quotePrefix="1" applyFont="1" applyFill="1" applyBorder="1" applyAlignment="1">
      <alignment horizontal="right" vertical="center" wrapText="1"/>
    </xf>
    <xf numFmtId="164" fontId="1" fillId="0" borderId="0" xfId="1" quotePrefix="1" applyNumberFormat="1" applyFont="1" applyFill="1" applyBorder="1" applyAlignment="1">
      <alignment horizontal="center" vertical="center" wrapText="1"/>
    </xf>
    <xf numFmtId="164" fontId="22" fillId="14" borderId="0" xfId="1" applyNumberFormat="1" applyFont="1" applyFill="1"/>
    <xf numFmtId="10" fontId="0" fillId="0" borderId="0" xfId="0" applyNumberFormat="1"/>
    <xf numFmtId="0" fontId="0" fillId="13" borderId="0" xfId="0" applyFill="1"/>
    <xf numFmtId="0" fontId="1" fillId="13" borderId="0" xfId="0" applyFont="1" applyFill="1"/>
    <xf numFmtId="9" fontId="23" fillId="13" borderId="0" xfId="0" applyNumberFormat="1" applyFont="1" applyFill="1"/>
    <xf numFmtId="9" fontId="1" fillId="13" borderId="0" xfId="0" applyNumberFormat="1" applyFont="1" applyFill="1"/>
    <xf numFmtId="0" fontId="3" fillId="0" borderId="0" xfId="0" applyFont="1"/>
    <xf numFmtId="43" fontId="3" fillId="0" borderId="0" xfId="1" applyFont="1" applyFill="1" applyBorder="1" applyAlignment="1">
      <alignment vertical="center" wrapText="1"/>
    </xf>
    <xf numFmtId="164" fontId="22" fillId="0" borderId="0" xfId="1" applyNumberFormat="1" applyFont="1" applyFill="1"/>
    <xf numFmtId="43" fontId="1" fillId="0" borderId="14" xfId="1" applyFont="1" applyFill="1" applyBorder="1" applyAlignment="1">
      <alignment horizontal="left" vertical="center" wrapText="1"/>
    </xf>
    <xf numFmtId="164" fontId="24" fillId="0" borderId="0" xfId="0" applyNumberFormat="1" applyFont="1"/>
    <xf numFmtId="0" fontId="24" fillId="0" borderId="0" xfId="0" applyFont="1"/>
    <xf numFmtId="0" fontId="24" fillId="0" borderId="0" xfId="0" applyFont="1" applyAlignment="1">
      <alignment horizontal="center"/>
    </xf>
    <xf numFmtId="164" fontId="24" fillId="0" borderId="0" xfId="1" applyNumberFormat="1" applyFont="1" applyAlignment="1">
      <alignment horizontal="center"/>
    </xf>
    <xf numFmtId="164" fontId="24" fillId="0" borderId="0" xfId="0" applyNumberFormat="1" applyFont="1" applyAlignment="1">
      <alignment horizontal="center"/>
    </xf>
    <xf numFmtId="9" fontId="24" fillId="0" borderId="0" xfId="0" applyNumberFormat="1" applyFont="1"/>
    <xf numFmtId="164" fontId="3" fillId="0" borderId="0" xfId="0" applyNumberFormat="1" applyFont="1" applyAlignment="1">
      <alignment horizontal="center"/>
    </xf>
    <xf numFmtId="9" fontId="24" fillId="0" borderId="0" xfId="2" applyFont="1"/>
    <xf numFmtId="0" fontId="1" fillId="13" borderId="0" xfId="0" applyFont="1" applyFill="1" applyAlignment="1">
      <alignment horizontal="right"/>
    </xf>
    <xf numFmtId="37" fontId="16" fillId="4" borderId="0" xfId="0" applyNumberFormat="1" applyFont="1" applyFill="1" applyAlignment="1">
      <alignment horizontal="center"/>
    </xf>
    <xf numFmtId="37" fontId="18" fillId="4" borderId="0" xfId="0" applyNumberFormat="1" applyFont="1" applyFill="1" applyAlignment="1">
      <alignment horizontal="center"/>
    </xf>
    <xf numFmtId="0" fontId="9" fillId="0" borderId="0" xfId="0" applyFont="1" applyAlignment="1">
      <alignment vertical="top"/>
    </xf>
    <xf numFmtId="0" fontId="10" fillId="0" borderId="0" xfId="0" applyFont="1"/>
    <xf numFmtId="0" fontId="28" fillId="0" borderId="0" xfId="0" applyFont="1"/>
    <xf numFmtId="0" fontId="12" fillId="0" borderId="0" xfId="0" applyFont="1"/>
    <xf numFmtId="0" fontId="4" fillId="0" borderId="10" xfId="0" applyFont="1" applyBorder="1" applyAlignment="1">
      <alignment horizontal="center"/>
    </xf>
    <xf numFmtId="43" fontId="0" fillId="0" borderId="9" xfId="1" applyFont="1" applyBorder="1"/>
    <xf numFmtId="43" fontId="1" fillId="0" borderId="0" xfId="1" applyFont="1"/>
    <xf numFmtId="0" fontId="31" fillId="0" borderId="0" xfId="0" applyFont="1" applyAlignment="1">
      <alignment vertical="top"/>
    </xf>
    <xf numFmtId="9" fontId="31" fillId="0" borderId="0" xfId="0" applyNumberFormat="1" applyFont="1" applyAlignment="1">
      <alignment vertical="top"/>
    </xf>
    <xf numFmtId="168" fontId="0" fillId="0" borderId="0" xfId="6" applyFont="1" applyFill="1" applyBorder="1" applyAlignment="1">
      <alignment vertical="center"/>
    </xf>
    <xf numFmtId="0" fontId="8" fillId="0" borderId="0" xfId="0" applyFont="1"/>
    <xf numFmtId="0" fontId="32" fillId="0" borderId="0" xfId="0" applyFont="1" applyAlignment="1">
      <alignment vertical="top"/>
    </xf>
    <xf numFmtId="43" fontId="9" fillId="0" borderId="0" xfId="1" applyFont="1" applyAlignment="1">
      <alignment vertical="top"/>
    </xf>
    <xf numFmtId="0" fontId="10" fillId="0" borderId="0" xfId="0" applyFont="1" applyAlignment="1">
      <alignment horizontal="center" vertical="center"/>
    </xf>
    <xf numFmtId="43" fontId="10" fillId="0" borderId="0" xfId="1" applyFont="1"/>
    <xf numFmtId="43" fontId="28" fillId="0" borderId="0" xfId="1" applyFont="1"/>
    <xf numFmtId="43" fontId="9" fillId="0" borderId="0" xfId="1" applyFont="1"/>
    <xf numFmtId="43" fontId="1" fillId="0" borderId="23" xfId="1" applyFont="1" applyFill="1" applyBorder="1" applyAlignment="1">
      <alignment horizontal="left" vertical="center" wrapText="1"/>
    </xf>
    <xf numFmtId="43" fontId="1" fillId="0" borderId="24" xfId="1" applyFont="1" applyFill="1" applyBorder="1" applyAlignment="1">
      <alignment horizontal="left" vertical="center" wrapText="1"/>
    </xf>
    <xf numFmtId="43" fontId="1" fillId="0" borderId="23" xfId="1" applyFont="1" applyFill="1" applyBorder="1" applyAlignment="1">
      <alignment horizontal="left" vertical="center"/>
    </xf>
    <xf numFmtId="0" fontId="3" fillId="14" borderId="0" xfId="0" applyFont="1" applyFill="1" applyAlignment="1">
      <alignment horizontal="right"/>
    </xf>
    <xf numFmtId="164" fontId="1" fillId="0" borderId="0" xfId="1" quotePrefix="1" applyNumberFormat="1" applyFont="1" applyFill="1" applyBorder="1" applyAlignment="1">
      <alignment horizontal="left" vertical="center" wrapText="1"/>
    </xf>
    <xf numFmtId="164" fontId="0" fillId="0" borderId="0" xfId="0" applyNumberFormat="1"/>
    <xf numFmtId="166" fontId="1" fillId="2" borderId="18" xfId="0" applyNumberFormat="1" applyFont="1" applyFill="1" applyBorder="1" applyAlignment="1">
      <alignment horizontal="center" vertical="center" wrapText="1"/>
    </xf>
    <xf numFmtId="0" fontId="1" fillId="2" borderId="18" xfId="0" applyFont="1" applyFill="1" applyBorder="1" applyAlignment="1">
      <alignment horizontal="center" vertical="center" wrapText="1"/>
    </xf>
    <xf numFmtId="164" fontId="21" fillId="4" borderId="18" xfId="1" applyNumberFormat="1" applyFont="1" applyFill="1" applyBorder="1" applyAlignment="1">
      <alignment horizontal="center" vertical="center" wrapText="1"/>
    </xf>
    <xf numFmtId="41" fontId="21" fillId="0" borderId="18" xfId="0" applyNumberFormat="1" applyFont="1" applyBorder="1" applyAlignment="1">
      <alignment horizontal="center" vertical="center" wrapText="1"/>
    </xf>
    <xf numFmtId="10" fontId="21" fillId="0" borderId="18" xfId="2" applyNumberFormat="1" applyFont="1" applyFill="1" applyBorder="1" applyAlignment="1">
      <alignment vertical="center"/>
    </xf>
    <xf numFmtId="10" fontId="21" fillId="0" borderId="18" xfId="2" applyNumberFormat="1" applyFont="1" applyFill="1" applyBorder="1" applyAlignment="1">
      <alignment horizontal="center" vertical="center" wrapText="1"/>
    </xf>
    <xf numFmtId="164" fontId="21" fillId="0" borderId="18" xfId="1" applyNumberFormat="1" applyFont="1" applyFill="1" applyBorder="1" applyAlignment="1">
      <alignment horizontal="center" vertical="center" wrapText="1"/>
    </xf>
    <xf numFmtId="43" fontId="21" fillId="0" borderId="18" xfId="1" applyFont="1" applyFill="1" applyBorder="1" applyAlignment="1">
      <alignment horizontal="center" vertical="center" wrapText="1"/>
    </xf>
    <xf numFmtId="43" fontId="21" fillId="0" borderId="18" xfId="1" applyFont="1" applyFill="1" applyBorder="1" applyAlignment="1">
      <alignment vertical="center"/>
    </xf>
    <xf numFmtId="0" fontId="1" fillId="2" borderId="18" xfId="0" applyFont="1" applyFill="1" applyBorder="1" applyAlignment="1">
      <alignment horizontal="left" vertical="center" wrapText="1"/>
    </xf>
    <xf numFmtId="164" fontId="12" fillId="2" borderId="18" xfId="1" applyNumberFormat="1" applyFont="1" applyFill="1" applyBorder="1" applyAlignment="1">
      <alignment vertical="center"/>
    </xf>
    <xf numFmtId="164" fontId="21" fillId="2" borderId="18" xfId="1" applyNumberFormat="1" applyFont="1" applyFill="1" applyBorder="1" applyAlignment="1">
      <alignment horizontal="center" vertical="center" wrapText="1"/>
    </xf>
    <xf numFmtId="164" fontId="21" fillId="2" borderId="18" xfId="1" applyNumberFormat="1" applyFont="1" applyFill="1" applyBorder="1" applyAlignment="1">
      <alignment vertical="center"/>
    </xf>
    <xf numFmtId="41" fontId="21" fillId="2" borderId="18" xfId="0" applyNumberFormat="1" applyFont="1" applyFill="1" applyBorder="1" applyAlignment="1">
      <alignment horizontal="center" vertical="center" wrapText="1"/>
    </xf>
    <xf numFmtId="10" fontId="21" fillId="2" borderId="18" xfId="2" applyNumberFormat="1" applyFont="1" applyFill="1" applyBorder="1" applyAlignment="1">
      <alignment vertical="center"/>
    </xf>
    <xf numFmtId="10" fontId="21" fillId="2" borderId="18" xfId="2" applyNumberFormat="1" applyFont="1" applyFill="1" applyBorder="1" applyAlignment="1">
      <alignment horizontal="center" vertical="center" wrapText="1"/>
    </xf>
    <xf numFmtId="43" fontId="21" fillId="2" borderId="18" xfId="1" applyFont="1" applyFill="1" applyBorder="1" applyAlignment="1">
      <alignment horizontal="center" vertical="center" wrapText="1"/>
    </xf>
    <xf numFmtId="43" fontId="21" fillId="2" borderId="18" xfId="1" applyFont="1" applyFill="1" applyBorder="1" applyAlignment="1">
      <alignment vertical="center"/>
    </xf>
    <xf numFmtId="3" fontId="21" fillId="0" borderId="18" xfId="0" applyNumberFormat="1" applyFont="1" applyBorder="1" applyAlignment="1">
      <alignment vertical="center"/>
    </xf>
    <xf numFmtId="164" fontId="12" fillId="0" borderId="18" xfId="1" applyNumberFormat="1" applyFont="1" applyFill="1" applyBorder="1" applyAlignment="1">
      <alignment horizontal="center" vertical="center" wrapText="1"/>
    </xf>
    <xf numFmtId="164" fontId="21" fillId="0" borderId="18" xfId="1" applyNumberFormat="1" applyFont="1" applyFill="1" applyBorder="1" applyAlignment="1">
      <alignment vertical="center"/>
    </xf>
    <xf numFmtId="41" fontId="12" fillId="0" borderId="18" xfId="1" applyNumberFormat="1" applyFont="1" applyFill="1" applyBorder="1" applyAlignment="1">
      <alignment horizontal="center" vertical="center" wrapText="1"/>
    </xf>
    <xf numFmtId="164" fontId="12" fillId="4" borderId="18" xfId="1" applyNumberFormat="1" applyFont="1" applyFill="1" applyBorder="1" applyAlignment="1">
      <alignment horizontal="center" vertical="center" wrapText="1"/>
    </xf>
    <xf numFmtId="0" fontId="21" fillId="2" borderId="18" xfId="0" applyFont="1" applyFill="1" applyBorder="1" applyAlignment="1">
      <alignment vertical="center" wrapText="1"/>
    </xf>
    <xf numFmtId="3" fontId="21" fillId="2" borderId="18" xfId="0" applyNumberFormat="1" applyFont="1" applyFill="1" applyBorder="1" applyAlignment="1">
      <alignment vertical="center"/>
    </xf>
    <xf numFmtId="41" fontId="21" fillId="2" borderId="18" xfId="1" applyNumberFormat="1" applyFont="1" applyFill="1" applyBorder="1" applyAlignment="1">
      <alignment horizontal="center" vertical="center" wrapText="1"/>
    </xf>
    <xf numFmtId="0" fontId="12" fillId="4" borderId="18" xfId="0" applyFont="1" applyFill="1" applyBorder="1" applyAlignment="1">
      <alignment vertical="center" wrapText="1"/>
    </xf>
    <xf numFmtId="3" fontId="12" fillId="0" borderId="18" xfId="0" applyNumberFormat="1" applyFont="1" applyBorder="1" applyAlignment="1">
      <alignment vertical="center"/>
    </xf>
    <xf numFmtId="164" fontId="12" fillId="0" borderId="18" xfId="1" applyNumberFormat="1" applyFont="1" applyFill="1" applyBorder="1" applyAlignment="1">
      <alignment vertical="center"/>
    </xf>
    <xf numFmtId="41" fontId="12" fillId="0" borderId="18" xfId="0" applyNumberFormat="1" applyFont="1" applyBorder="1" applyAlignment="1">
      <alignment horizontal="center" vertical="center" wrapText="1"/>
    </xf>
    <xf numFmtId="10" fontId="12" fillId="0" borderId="18" xfId="2" applyNumberFormat="1" applyFont="1" applyFill="1" applyBorder="1" applyAlignment="1">
      <alignment horizontal="center" vertical="center" wrapText="1"/>
    </xf>
    <xf numFmtId="43" fontId="12" fillId="0" borderId="18" xfId="1" applyFont="1" applyFill="1" applyBorder="1" applyAlignment="1">
      <alignment horizontal="center" vertical="center" wrapText="1"/>
    </xf>
    <xf numFmtId="43" fontId="12" fillId="0" borderId="18" xfId="1" applyFont="1" applyFill="1" applyBorder="1" applyAlignment="1">
      <alignment vertical="center"/>
    </xf>
    <xf numFmtId="10" fontId="21" fillId="2" borderId="18" xfId="2" applyNumberFormat="1" applyFont="1" applyFill="1" applyBorder="1" applyAlignment="1">
      <alignment horizontal="center" vertical="center"/>
    </xf>
    <xf numFmtId="0" fontId="13" fillId="0" borderId="0" xfId="5"/>
    <xf numFmtId="164" fontId="4" fillId="0" borderId="0" xfId="1" applyNumberFormat="1" applyFont="1"/>
    <xf numFmtId="164" fontId="1" fillId="0" borderId="0" xfId="1" applyNumberFormat="1" applyFont="1" applyBorder="1"/>
    <xf numFmtId="10" fontId="0" fillId="0" borderId="0" xfId="2" applyNumberFormat="1" applyFont="1"/>
    <xf numFmtId="164" fontId="18" fillId="4" borderId="0" xfId="1" applyNumberFormat="1" applyFont="1" applyFill="1"/>
    <xf numFmtId="164" fontId="16" fillId="4" borderId="0" xfId="1" applyNumberFormat="1" applyFont="1" applyFill="1" applyAlignment="1">
      <alignment wrapText="1"/>
    </xf>
    <xf numFmtId="0" fontId="1" fillId="0" borderId="0" xfId="0" applyFont="1" applyAlignment="1">
      <alignment horizontal="center"/>
    </xf>
    <xf numFmtId="0" fontId="1" fillId="0" borderId="18" xfId="0" applyFont="1" applyBorder="1" applyAlignment="1">
      <alignment horizontal="left" vertical="center" wrapText="1"/>
    </xf>
    <xf numFmtId="164" fontId="12" fillId="4" borderId="18" xfId="1" applyNumberFormat="1" applyFont="1" applyFill="1" applyBorder="1" applyAlignment="1">
      <alignment vertical="center"/>
    </xf>
    <xf numFmtId="164" fontId="21" fillId="4" borderId="18" xfId="1" applyNumberFormat="1" applyFont="1" applyFill="1" applyBorder="1" applyAlignment="1">
      <alignment vertical="center"/>
    </xf>
    <xf numFmtId="10" fontId="21" fillId="4" borderId="18" xfId="2" applyNumberFormat="1" applyFont="1" applyFill="1" applyBorder="1" applyAlignment="1">
      <alignment vertical="center"/>
    </xf>
    <xf numFmtId="43" fontId="21" fillId="0" borderId="18" xfId="1" applyFont="1" applyFill="1" applyBorder="1" applyAlignment="1">
      <alignment horizontal="left" vertical="center" wrapText="1"/>
    </xf>
    <xf numFmtId="43" fontId="21" fillId="2" borderId="18" xfId="1" applyFont="1" applyFill="1" applyBorder="1" applyAlignment="1">
      <alignment horizontal="left" vertical="center" wrapText="1"/>
    </xf>
    <xf numFmtId="43" fontId="12" fillId="0" borderId="18" xfId="1" applyFont="1" applyFill="1" applyBorder="1" applyAlignment="1">
      <alignment horizontal="left" vertical="center" wrapText="1"/>
    </xf>
    <xf numFmtId="0" fontId="10" fillId="0" borderId="0" xfId="0" applyFont="1" applyAlignment="1">
      <alignment horizontal="left"/>
    </xf>
    <xf numFmtId="0" fontId="0" fillId="4" borderId="0" xfId="0" applyFill="1"/>
    <xf numFmtId="9" fontId="12" fillId="4" borderId="0" xfId="2" quotePrefix="1" applyFont="1" applyFill="1" applyBorder="1" applyAlignment="1">
      <alignment horizontal="right" vertical="center" wrapText="1"/>
    </xf>
    <xf numFmtId="0" fontId="3" fillId="22" borderId="26" xfId="0" applyFont="1" applyFill="1" applyBorder="1" applyAlignment="1">
      <alignment horizontal="center" vertical="center"/>
    </xf>
    <xf numFmtId="164" fontId="29" fillId="0" borderId="0" xfId="1" applyNumberFormat="1" applyFont="1" applyAlignment="1">
      <alignment vertical="top"/>
    </xf>
    <xf numFmtId="0" fontId="0" fillId="0" borderId="7" xfId="0" applyBorder="1"/>
    <xf numFmtId="165" fontId="0" fillId="0" borderId="0" xfId="0" applyNumberFormat="1"/>
    <xf numFmtId="164" fontId="1" fillId="6" borderId="14" xfId="1" applyNumberFormat="1" applyFont="1" applyFill="1" applyBorder="1" applyAlignment="1">
      <alignment horizontal="right" vertical="center"/>
    </xf>
    <xf numFmtId="9" fontId="40" fillId="0" borderId="14" xfId="2" quotePrefix="1" applyFont="1" applyFill="1" applyBorder="1" applyAlignment="1">
      <alignment horizontal="right" vertical="center" wrapText="1"/>
    </xf>
    <xf numFmtId="9" fontId="24" fillId="4" borderId="0" xfId="2" quotePrefix="1" applyFont="1" applyFill="1" applyBorder="1" applyAlignment="1">
      <alignment horizontal="right" vertical="center" wrapText="1"/>
    </xf>
    <xf numFmtId="43" fontId="24" fillId="0" borderId="0" xfId="1" applyFont="1" applyFill="1" applyBorder="1" applyAlignment="1">
      <alignment vertical="center"/>
    </xf>
    <xf numFmtId="164" fontId="3" fillId="3" borderId="0" xfId="1" applyNumberFormat="1" applyFont="1" applyFill="1"/>
    <xf numFmtId="164" fontId="3" fillId="18" borderId="0" xfId="1" applyNumberFormat="1" applyFont="1" applyFill="1"/>
    <xf numFmtId="166" fontId="1" fillId="11" borderId="18" xfId="0" applyNumberFormat="1" applyFont="1" applyFill="1" applyBorder="1" applyAlignment="1">
      <alignment horizontal="center" vertical="center" wrapText="1"/>
    </xf>
    <xf numFmtId="0" fontId="21" fillId="11" borderId="18" xfId="0" applyFont="1" applyFill="1" applyBorder="1" applyAlignment="1">
      <alignment horizontal="center" vertical="center" wrapText="1"/>
    </xf>
    <xf numFmtId="166" fontId="1" fillId="7" borderId="18" xfId="0" applyNumberFormat="1" applyFont="1" applyFill="1" applyBorder="1" applyAlignment="1">
      <alignment horizontal="center" vertical="center" wrapText="1"/>
    </xf>
    <xf numFmtId="0" fontId="1" fillId="7" borderId="18" xfId="0" applyFont="1" applyFill="1" applyBorder="1" applyAlignment="1">
      <alignment horizontal="center" vertical="center" wrapText="1"/>
    </xf>
    <xf numFmtId="166" fontId="1" fillId="15" borderId="18" xfId="0" applyNumberFormat="1" applyFont="1" applyFill="1" applyBorder="1" applyAlignment="1">
      <alignment horizontal="center" vertical="center" wrapText="1"/>
    </xf>
    <xf numFmtId="0" fontId="1" fillId="15" borderId="18" xfId="0" applyFont="1" applyFill="1" applyBorder="1" applyAlignment="1">
      <alignment horizontal="center" vertical="center" wrapText="1"/>
    </xf>
    <xf numFmtId="43" fontId="1" fillId="11" borderId="18" xfId="1" applyFont="1" applyFill="1" applyBorder="1" applyAlignment="1">
      <alignment horizontal="center" vertical="center" wrapText="1"/>
    </xf>
    <xf numFmtId="0" fontId="1" fillId="11" borderId="18" xfId="0" applyFont="1" applyFill="1" applyBorder="1" applyAlignment="1">
      <alignment horizontal="center" vertical="center" wrapText="1"/>
    </xf>
    <xf numFmtId="9" fontId="12" fillId="4" borderId="18" xfId="2" applyFont="1" applyFill="1" applyBorder="1" applyAlignment="1">
      <alignment vertical="center"/>
    </xf>
    <xf numFmtId="1" fontId="0" fillId="0" borderId="0" xfId="0" applyNumberFormat="1"/>
    <xf numFmtId="164" fontId="16" fillId="4" borderId="0" xfId="1" applyNumberFormat="1" applyFont="1" applyFill="1" applyAlignment="1">
      <alignment horizontal="right"/>
    </xf>
    <xf numFmtId="9" fontId="12" fillId="0" borderId="0" xfId="0" applyNumberFormat="1" applyFont="1"/>
    <xf numFmtId="164" fontId="9" fillId="0" borderId="0" xfId="1" applyNumberFormat="1" applyFont="1"/>
    <xf numFmtId="0" fontId="21" fillId="0" borderId="18" xfId="0" applyFont="1" applyBorder="1" applyAlignment="1">
      <alignment vertical="center" wrapText="1"/>
    </xf>
    <xf numFmtId="43" fontId="9" fillId="0" borderId="0" xfId="1" applyFont="1" applyFill="1"/>
    <xf numFmtId="164" fontId="0" fillId="0" borderId="0" xfId="1" applyNumberFormat="1" applyFont="1" applyBorder="1"/>
    <xf numFmtId="164" fontId="7" fillId="0" borderId="0" xfId="1" applyNumberFormat="1" applyFont="1" applyBorder="1"/>
    <xf numFmtId="9" fontId="4" fillId="0" borderId="0" xfId="0" applyNumberFormat="1" applyFont="1"/>
    <xf numFmtId="164" fontId="0" fillId="0" borderId="0" xfId="1" applyNumberFormat="1" applyFont="1" applyFill="1" applyBorder="1"/>
    <xf numFmtId="0" fontId="21" fillId="0" borderId="0" xfId="0" applyFont="1"/>
    <xf numFmtId="173" fontId="43" fillId="0" borderId="0" xfId="11" applyNumberFormat="1" applyFont="1" applyBorder="1" applyAlignment="1"/>
    <xf numFmtId="173" fontId="43" fillId="0" borderId="0" xfId="11" applyNumberFormat="1" applyFont="1" applyFill="1" applyBorder="1" applyAlignment="1"/>
    <xf numFmtId="173" fontId="43" fillId="0" borderId="0" xfId="13" applyNumberFormat="1" applyFont="1" applyBorder="1" applyAlignment="1"/>
    <xf numFmtId="170" fontId="43" fillId="0" borderId="0" xfId="11" applyFont="1" applyBorder="1" applyAlignment="1"/>
    <xf numFmtId="170" fontId="51" fillId="0" borderId="0" xfId="11" applyFont="1" applyBorder="1" applyAlignment="1"/>
    <xf numFmtId="176" fontId="43" fillId="0" borderId="0" xfId="12" applyNumberFormat="1" applyFont="1" applyBorder="1" applyAlignment="1"/>
    <xf numFmtId="9" fontId="43" fillId="0" borderId="0" xfId="13" applyFont="1" applyBorder="1" applyAlignment="1"/>
    <xf numFmtId="167" fontId="1" fillId="0" borderId="0" xfId="1" quotePrefix="1" applyNumberFormat="1" applyFont="1" applyFill="1" applyBorder="1" applyAlignment="1">
      <alignment horizontal="center" vertical="center" wrapText="1"/>
    </xf>
    <xf numFmtId="0" fontId="7" fillId="0" borderId="30" xfId="27" applyBorder="1"/>
    <xf numFmtId="0" fontId="7" fillId="0" borderId="31" xfId="27" applyBorder="1"/>
    <xf numFmtId="0" fontId="7" fillId="0" borderId="32" xfId="27" applyBorder="1"/>
    <xf numFmtId="0" fontId="7" fillId="34" borderId="0" xfId="27" applyFill="1"/>
    <xf numFmtId="0" fontId="7" fillId="0" borderId="33" xfId="27" applyBorder="1"/>
    <xf numFmtId="0" fontId="3" fillId="22" borderId="34" xfId="27" applyFont="1" applyFill="1" applyBorder="1" applyAlignment="1">
      <alignment horizontal="left"/>
    </xf>
    <xf numFmtId="0" fontId="3" fillId="22" borderId="35" xfId="27" applyFont="1" applyFill="1" applyBorder="1"/>
    <xf numFmtId="0" fontId="3" fillId="22" borderId="36" xfId="27" applyFont="1" applyFill="1" applyBorder="1"/>
    <xf numFmtId="0" fontId="3" fillId="22" borderId="0" xfId="27" applyFont="1" applyFill="1"/>
    <xf numFmtId="0" fontId="24" fillId="22" borderId="0" xfId="27" applyFont="1" applyFill="1"/>
    <xf numFmtId="0" fontId="7" fillId="0" borderId="37" xfId="27" applyBorder="1"/>
    <xf numFmtId="0" fontId="7" fillId="0" borderId="34" xfId="27" applyBorder="1" applyAlignment="1">
      <alignment horizontal="left"/>
    </xf>
    <xf numFmtId="0" fontId="7" fillId="0" borderId="35" xfId="27" applyBorder="1"/>
    <xf numFmtId="0" fontId="7" fillId="0" borderId="36" xfId="27" applyBorder="1"/>
    <xf numFmtId="0" fontId="7" fillId="0" borderId="0" xfId="27"/>
    <xf numFmtId="0" fontId="7" fillId="0" borderId="34" xfId="27" applyBorder="1"/>
    <xf numFmtId="0" fontId="7" fillId="0" borderId="38" xfId="27" applyBorder="1"/>
    <xf numFmtId="0" fontId="7" fillId="0" borderId="39" xfId="27" applyBorder="1"/>
    <xf numFmtId="0" fontId="7" fillId="0" borderId="40" xfId="27" applyBorder="1"/>
    <xf numFmtId="0" fontId="7" fillId="0" borderId="41" xfId="27" applyBorder="1"/>
    <xf numFmtId="0" fontId="7" fillId="0" borderId="42" xfId="27" applyBorder="1"/>
    <xf numFmtId="0" fontId="7" fillId="0" borderId="43" xfId="27" applyBorder="1"/>
    <xf numFmtId="0" fontId="7" fillId="0" borderId="6" xfId="27" applyBorder="1"/>
    <xf numFmtId="0" fontId="7" fillId="22" borderId="0" xfId="27" applyFill="1"/>
    <xf numFmtId="0" fontId="7" fillId="0" borderId="22" xfId="27" applyBorder="1"/>
    <xf numFmtId="0" fontId="1" fillId="9" borderId="0" xfId="27" applyFont="1" applyFill="1" applyAlignment="1">
      <alignment horizontal="left"/>
    </xf>
    <xf numFmtId="0" fontId="1" fillId="9" borderId="0" xfId="27" applyFont="1" applyFill="1"/>
    <xf numFmtId="0" fontId="7" fillId="9" borderId="0" xfId="27" applyFill="1"/>
    <xf numFmtId="0" fontId="66" fillId="0" borderId="0" xfId="27" applyFont="1" applyAlignment="1">
      <alignment horizontal="right"/>
    </xf>
    <xf numFmtId="0" fontId="67" fillId="0" borderId="0" xfId="27" applyFont="1" applyAlignment="1">
      <alignment horizontal="right"/>
    </xf>
    <xf numFmtId="0" fontId="7" fillId="0" borderId="0" xfId="27" applyAlignment="1">
      <alignment horizontal="right"/>
    </xf>
    <xf numFmtId="0" fontId="7" fillId="9" borderId="0" xfId="27" applyFill="1" applyAlignment="1">
      <alignment horizontal="right"/>
    </xf>
    <xf numFmtId="0" fontId="67" fillId="0" borderId="0" xfId="27" applyFont="1" applyAlignment="1">
      <alignment horizontal="left"/>
    </xf>
    <xf numFmtId="0" fontId="68" fillId="0" borderId="0" xfId="27" applyFont="1" applyAlignment="1">
      <alignment horizontal="right"/>
    </xf>
    <xf numFmtId="0" fontId="7" fillId="0" borderId="5" xfId="27" applyBorder="1"/>
    <xf numFmtId="0" fontId="7" fillId="0" borderId="7" xfId="27" applyBorder="1"/>
    <xf numFmtId="0" fontId="7" fillId="0" borderId="4" xfId="27" applyBorder="1"/>
    <xf numFmtId="173" fontId="0" fillId="0" borderId="0" xfId="11" applyNumberFormat="1" applyFont="1" applyAlignment="1"/>
    <xf numFmtId="173" fontId="7" fillId="0" borderId="0" xfId="27" applyNumberFormat="1"/>
    <xf numFmtId="49" fontId="55" fillId="0" borderId="44" xfId="27" applyNumberFormat="1" applyFont="1" applyBorder="1" applyAlignment="1">
      <alignment horizontal="left"/>
    </xf>
    <xf numFmtId="49" fontId="55" fillId="0" borderId="0" xfId="27" applyNumberFormat="1" applyFont="1" applyAlignment="1">
      <alignment horizontal="left"/>
    </xf>
    <xf numFmtId="171" fontId="43" fillId="0" borderId="0" xfId="27" applyNumberFormat="1" applyFont="1"/>
    <xf numFmtId="172" fontId="43" fillId="0" borderId="0" xfId="27" applyNumberFormat="1" applyFont="1"/>
    <xf numFmtId="173" fontId="43" fillId="0" borderId="0" xfId="11" applyNumberFormat="1" applyFont="1" applyAlignment="1"/>
    <xf numFmtId="0" fontId="43" fillId="0" borderId="0" xfId="27" applyFont="1"/>
    <xf numFmtId="0" fontId="56" fillId="0" borderId="0" xfId="27" applyFont="1" applyAlignment="1">
      <alignment horizontal="left" vertical="center" readingOrder="1"/>
    </xf>
    <xf numFmtId="49" fontId="57" fillId="0" borderId="0" xfId="27" applyNumberFormat="1" applyFont="1"/>
    <xf numFmtId="49" fontId="44" fillId="25" borderId="45" xfId="27" applyNumberFormat="1" applyFont="1" applyFill="1" applyBorder="1"/>
    <xf numFmtId="173" fontId="44" fillId="25" borderId="45" xfId="11" applyNumberFormat="1" applyFont="1" applyFill="1" applyBorder="1" applyAlignment="1"/>
    <xf numFmtId="171" fontId="58" fillId="35" borderId="0" xfId="27" applyNumberFormat="1" applyFont="1" applyFill="1"/>
    <xf numFmtId="171" fontId="45" fillId="35" borderId="0" xfId="27" applyNumberFormat="1" applyFont="1" applyFill="1"/>
    <xf numFmtId="173" fontId="58" fillId="35" borderId="0" xfId="11" applyNumberFormat="1" applyFont="1" applyFill="1" applyBorder="1" applyAlignment="1"/>
    <xf numFmtId="173" fontId="59" fillId="36" borderId="0" xfId="11" applyNumberFormat="1" applyFont="1" applyFill="1" applyBorder="1" applyAlignment="1"/>
    <xf numFmtId="171" fontId="60" fillId="36" borderId="0" xfId="27" applyNumberFormat="1" applyFont="1" applyFill="1"/>
    <xf numFmtId="171" fontId="59" fillId="36" borderId="0" xfId="27" applyNumberFormat="1" applyFont="1" applyFill="1"/>
    <xf numFmtId="172" fontId="59" fillId="36" borderId="0" xfId="27" applyNumberFormat="1" applyFont="1" applyFill="1"/>
    <xf numFmtId="49" fontId="45" fillId="26" borderId="45" xfId="27" applyNumberFormat="1" applyFont="1" applyFill="1" applyBorder="1"/>
    <xf numFmtId="0" fontId="55" fillId="0" borderId="0" xfId="27" applyFont="1"/>
    <xf numFmtId="174" fontId="43" fillId="0" borderId="0" xfId="27" applyNumberFormat="1" applyFont="1"/>
    <xf numFmtId="49" fontId="44" fillId="27" borderId="29" xfId="27" applyNumberFormat="1" applyFont="1" applyFill="1" applyBorder="1" applyAlignment="1">
      <alignment vertical="center"/>
    </xf>
    <xf numFmtId="0" fontId="44" fillId="28" borderId="0" xfId="27" applyFont="1" applyFill="1" applyAlignment="1">
      <alignment vertical="center"/>
    </xf>
    <xf numFmtId="172" fontId="37" fillId="0" borderId="49" xfId="27" applyNumberFormat="1" applyFont="1" applyBorder="1"/>
    <xf numFmtId="172" fontId="37" fillId="0" borderId="50" xfId="27" applyNumberFormat="1" applyFont="1" applyBorder="1"/>
    <xf numFmtId="0" fontId="44" fillId="22" borderId="47" xfId="27" applyFont="1" applyFill="1" applyBorder="1" applyAlignment="1">
      <alignment vertical="center"/>
    </xf>
    <xf numFmtId="0" fontId="44" fillId="22" borderId="29" xfId="12" applyNumberFormat="1" applyFont="1" applyFill="1" applyBorder="1" applyAlignment="1">
      <alignment horizontal="right"/>
    </xf>
    <xf numFmtId="0" fontId="37" fillId="0" borderId="49" xfId="27" applyFont="1" applyBorder="1" applyAlignment="1">
      <alignment horizontal="right"/>
    </xf>
    <xf numFmtId="0" fontId="44" fillId="22" borderId="29" xfId="11" applyNumberFormat="1" applyFont="1" applyFill="1" applyBorder="1" applyAlignment="1">
      <alignment horizontal="right"/>
    </xf>
    <xf numFmtId="0" fontId="55" fillId="0" borderId="29" xfId="27" applyFont="1" applyBorder="1"/>
    <xf numFmtId="14" fontId="57" fillId="0" borderId="29" xfId="27" applyNumberFormat="1" applyFont="1" applyBorder="1" applyAlignment="1">
      <alignment horizontal="center" vertical="center" wrapText="1"/>
    </xf>
    <xf numFmtId="174" fontId="43" fillId="0" borderId="29" xfId="27" applyNumberFormat="1" applyFont="1" applyBorder="1"/>
    <xf numFmtId="174" fontId="43" fillId="0" borderId="44" xfId="27" applyNumberFormat="1" applyFont="1" applyBorder="1"/>
    <xf numFmtId="172" fontId="43" fillId="0" borderId="49" xfId="27" applyNumberFormat="1" applyFont="1" applyBorder="1"/>
    <xf numFmtId="173" fontId="37" fillId="0" borderId="29" xfId="11" applyNumberFormat="1" applyFont="1" applyBorder="1" applyAlignment="1"/>
    <xf numFmtId="173" fontId="43" fillId="0" borderId="29" xfId="11" applyNumberFormat="1" applyFont="1" applyBorder="1" applyAlignment="1">
      <alignment horizontal="center"/>
    </xf>
    <xf numFmtId="176" fontId="43" fillId="0" borderId="29" xfId="12" applyNumberFormat="1" applyFont="1" applyBorder="1" applyAlignment="1"/>
    <xf numFmtId="173" fontId="43" fillId="0" borderId="29" xfId="11" applyNumberFormat="1" applyFont="1" applyBorder="1" applyAlignment="1"/>
    <xf numFmtId="173" fontId="43" fillId="0" borderId="0" xfId="27" applyNumberFormat="1" applyFont="1"/>
    <xf numFmtId="173" fontId="43" fillId="0" borderId="29" xfId="11" applyNumberFormat="1" applyFont="1" applyFill="1" applyBorder="1" applyAlignment="1"/>
    <xf numFmtId="176" fontId="37" fillId="0" borderId="29" xfId="12" applyNumberFormat="1" applyFont="1" applyBorder="1" applyAlignment="1"/>
    <xf numFmtId="0" fontId="37" fillId="0" borderId="0" xfId="27" applyFont="1"/>
    <xf numFmtId="173" fontId="37" fillId="35" borderId="29" xfId="11" applyNumberFormat="1" applyFont="1" applyFill="1" applyBorder="1" applyAlignment="1"/>
    <xf numFmtId="176" fontId="37" fillId="35" borderId="29" xfId="12" applyNumberFormat="1" applyFont="1" applyFill="1" applyBorder="1" applyAlignment="1"/>
    <xf numFmtId="173" fontId="37" fillId="0" borderId="29" xfId="11" applyNumberFormat="1" applyFont="1" applyFill="1" applyBorder="1" applyAlignment="1"/>
    <xf numFmtId="173" fontId="37" fillId="0" borderId="44" xfId="11" applyNumberFormat="1" applyFont="1" applyBorder="1" applyAlignment="1"/>
    <xf numFmtId="173" fontId="63" fillId="0" borderId="29" xfId="11" applyNumberFormat="1" applyFont="1" applyBorder="1" applyAlignment="1"/>
    <xf numFmtId="0" fontId="55" fillId="0" borderId="0" xfId="27" applyFont="1" applyAlignment="1">
      <alignment horizontal="left"/>
    </xf>
    <xf numFmtId="173" fontId="70" fillId="0" borderId="0" xfId="11" applyNumberFormat="1" applyFont="1" applyBorder="1" applyAlignment="1"/>
    <xf numFmtId="49" fontId="44" fillId="25" borderId="0" xfId="27" applyNumberFormat="1" applyFont="1" applyFill="1"/>
    <xf numFmtId="0" fontId="64" fillId="0" borderId="0" xfId="27" applyFont="1"/>
    <xf numFmtId="49" fontId="44" fillId="0" borderId="0" xfId="27" applyNumberFormat="1" applyFont="1"/>
    <xf numFmtId="0" fontId="48" fillId="0" borderId="29" xfId="27" applyFont="1" applyBorder="1" applyAlignment="1">
      <alignment horizontal="left" vertical="center" readingOrder="1"/>
    </xf>
    <xf numFmtId="0" fontId="48" fillId="0" borderId="29" xfId="27" applyFont="1" applyBorder="1" applyAlignment="1">
      <alignment horizontal="center" vertical="center" readingOrder="1"/>
    </xf>
    <xf numFmtId="0" fontId="49" fillId="0" borderId="29" xfId="27" applyFont="1" applyBorder="1" applyAlignment="1">
      <alignment horizontal="left" vertical="center" readingOrder="1"/>
    </xf>
    <xf numFmtId="0" fontId="49" fillId="0" borderId="29" xfId="27" applyFont="1" applyBorder="1" applyAlignment="1">
      <alignment horizontal="center" vertical="center" readingOrder="1"/>
    </xf>
    <xf numFmtId="0" fontId="48" fillId="15" borderId="29" xfId="27" applyFont="1" applyFill="1" applyBorder="1" applyAlignment="1">
      <alignment horizontal="left" vertical="center" readingOrder="1"/>
    </xf>
    <xf numFmtId="0" fontId="48" fillId="15" borderId="29" xfId="27" applyFont="1" applyFill="1" applyBorder="1" applyAlignment="1">
      <alignment horizontal="center" vertical="center" readingOrder="1"/>
    </xf>
    <xf numFmtId="173" fontId="37" fillId="15" borderId="29" xfId="11" applyNumberFormat="1" applyFont="1" applyFill="1" applyBorder="1" applyAlignment="1"/>
    <xf numFmtId="174" fontId="37" fillId="0" borderId="49" xfId="27" applyNumberFormat="1" applyFont="1" applyBorder="1"/>
    <xf numFmtId="173" fontId="37" fillId="0" borderId="0" xfId="27" applyNumberFormat="1" applyFont="1"/>
    <xf numFmtId="176" fontId="43" fillId="0" borderId="0" xfId="13" applyNumberFormat="1" applyFont="1" applyAlignment="1"/>
    <xf numFmtId="10" fontId="43" fillId="0" borderId="0" xfId="13" applyNumberFormat="1" applyFont="1" applyAlignment="1"/>
    <xf numFmtId="170" fontId="43" fillId="0" borderId="0" xfId="11" applyFont="1" applyAlignment="1"/>
    <xf numFmtId="9" fontId="43" fillId="0" borderId="0" xfId="13" applyFont="1" applyAlignment="1"/>
    <xf numFmtId="165" fontId="43" fillId="0" borderId="0" xfId="13" applyNumberFormat="1" applyFont="1" applyAlignment="1"/>
    <xf numFmtId="9" fontId="7" fillId="0" borderId="0" xfId="27" applyNumberFormat="1"/>
    <xf numFmtId="0" fontId="1" fillId="0" borderId="0" xfId="27" applyFont="1"/>
    <xf numFmtId="173" fontId="1" fillId="0" borderId="0" xfId="27" applyNumberFormat="1" applyFont="1"/>
    <xf numFmtId="49" fontId="44" fillId="25" borderId="47" xfId="27" applyNumberFormat="1" applyFont="1" applyFill="1" applyBorder="1"/>
    <xf numFmtId="0" fontId="7" fillId="31" borderId="0" xfId="27" applyFill="1"/>
    <xf numFmtId="0" fontId="57" fillId="5" borderId="0" xfId="27" applyFont="1" applyFill="1"/>
    <xf numFmtId="49" fontId="44" fillId="27" borderId="52" xfId="27" applyNumberFormat="1" applyFont="1" applyFill="1" applyBorder="1" applyAlignment="1">
      <alignment vertical="center"/>
    </xf>
    <xf numFmtId="173" fontId="44" fillId="0" borderId="45" xfId="11" applyNumberFormat="1" applyFont="1" applyFill="1" applyBorder="1" applyAlignment="1">
      <alignment horizontal="center"/>
    </xf>
    <xf numFmtId="0" fontId="46" fillId="29" borderId="29" xfId="27" applyFont="1" applyFill="1" applyBorder="1" applyAlignment="1">
      <alignment vertical="center"/>
    </xf>
    <xf numFmtId="0" fontId="44" fillId="0" borderId="29" xfId="11" applyNumberFormat="1" applyFont="1" applyFill="1" applyBorder="1" applyAlignment="1">
      <alignment horizontal="right"/>
    </xf>
    <xf numFmtId="0" fontId="37" fillId="0" borderId="50" xfId="27" applyFont="1" applyBorder="1"/>
    <xf numFmtId="0" fontId="37" fillId="35" borderId="29" xfId="11" applyNumberFormat="1" applyFont="1" applyFill="1" applyBorder="1" applyAlignment="1">
      <alignment vertical="top" wrapText="1"/>
    </xf>
    <xf numFmtId="0" fontId="46" fillId="0" borderId="29" xfId="27" applyFont="1" applyBorder="1" applyAlignment="1">
      <alignment horizontal="left"/>
    </xf>
    <xf numFmtId="172" fontId="43" fillId="0" borderId="50" xfId="27" applyNumberFormat="1" applyFont="1" applyBorder="1"/>
    <xf numFmtId="0" fontId="50" fillId="0" borderId="29" xfId="27" applyFont="1" applyBorder="1"/>
    <xf numFmtId="9" fontId="50" fillId="0" borderId="29" xfId="13" applyFont="1" applyBorder="1" applyAlignment="1"/>
    <xf numFmtId="9" fontId="50" fillId="0" borderId="49" xfId="13" applyFont="1" applyBorder="1" applyAlignment="1"/>
    <xf numFmtId="9" fontId="50" fillId="0" borderId="49" xfId="13" applyFont="1" applyFill="1" applyBorder="1" applyAlignment="1"/>
    <xf numFmtId="9" fontId="50" fillId="0" borderId="50" xfId="13" applyFont="1" applyBorder="1" applyAlignment="1"/>
    <xf numFmtId="9" fontId="50" fillId="35" borderId="29" xfId="13" applyFont="1" applyFill="1" applyBorder="1" applyAlignment="1"/>
    <xf numFmtId="173" fontId="43" fillId="0" borderId="53" xfId="11" applyNumberFormat="1" applyFont="1" applyBorder="1" applyAlignment="1"/>
    <xf numFmtId="9" fontId="43" fillId="0" borderId="53" xfId="13" applyFont="1" applyBorder="1" applyAlignment="1"/>
    <xf numFmtId="0" fontId="48" fillId="0" borderId="47" xfId="27" applyFont="1" applyBorder="1" applyAlignment="1">
      <alignment horizontal="left" vertical="center" readingOrder="1"/>
    </xf>
    <xf numFmtId="0" fontId="48" fillId="0" borderId="47" xfId="27" applyFont="1" applyBorder="1" applyAlignment="1">
      <alignment horizontal="center" vertical="center" readingOrder="1"/>
    </xf>
    <xf numFmtId="173" fontId="43" fillId="0" borderId="47" xfId="11" applyNumberFormat="1" applyFont="1" applyBorder="1" applyAlignment="1"/>
    <xf numFmtId="0" fontId="44" fillId="22" borderId="29" xfId="27" applyFont="1" applyFill="1" applyBorder="1" applyAlignment="1">
      <alignment horizontal="left" vertical="center" readingOrder="1"/>
    </xf>
    <xf numFmtId="0" fontId="44" fillId="22" borderId="29" xfId="27" applyFont="1" applyFill="1" applyBorder="1" applyAlignment="1">
      <alignment horizontal="center" vertical="center" readingOrder="1"/>
    </xf>
    <xf numFmtId="173" fontId="43" fillId="0" borderId="0" xfId="13" applyNumberFormat="1" applyFont="1" applyFill="1" applyBorder="1" applyAlignment="1"/>
    <xf numFmtId="170" fontId="51" fillId="0" borderId="0" xfId="11" applyFont="1" applyFill="1" applyBorder="1" applyAlignment="1"/>
    <xf numFmtId="0" fontId="45" fillId="0" borderId="0" xfId="27" applyFont="1"/>
    <xf numFmtId="0" fontId="1" fillId="4" borderId="0" xfId="0" applyFont="1" applyFill="1"/>
    <xf numFmtId="0" fontId="1" fillId="4" borderId="0" xfId="0" applyFont="1" applyFill="1" applyAlignment="1">
      <alignment horizontal="left" vertical="top"/>
    </xf>
    <xf numFmtId="9" fontId="12" fillId="4" borderId="0" xfId="2" applyFont="1" applyFill="1" applyBorder="1"/>
    <xf numFmtId="164" fontId="7" fillId="4" borderId="0" xfId="1" applyNumberFormat="1" applyFont="1" applyFill="1" applyBorder="1"/>
    <xf numFmtId="164" fontId="0" fillId="4" borderId="0" xfId="1" applyNumberFormat="1" applyFont="1" applyFill="1" applyBorder="1"/>
    <xf numFmtId="43" fontId="21" fillId="4" borderId="0" xfId="1" applyFont="1" applyFill="1"/>
    <xf numFmtId="43" fontId="21" fillId="4" borderId="0" xfId="1" applyFont="1" applyFill="1" applyBorder="1"/>
    <xf numFmtId="43" fontId="12" fillId="4" borderId="0" xfId="1" applyFont="1" applyFill="1"/>
    <xf numFmtId="43" fontId="42" fillId="4" borderId="0" xfId="1" applyFont="1" applyFill="1"/>
    <xf numFmtId="165" fontId="0" fillId="0" borderId="0" xfId="2" applyNumberFormat="1" applyFont="1"/>
    <xf numFmtId="0" fontId="1" fillId="2" borderId="0" xfId="0" applyFont="1" applyFill="1"/>
    <xf numFmtId="0" fontId="12" fillId="0" borderId="0" xfId="0" applyFont="1" applyAlignment="1">
      <alignment horizontal="left" indent="1"/>
    </xf>
    <xf numFmtId="2" fontId="0" fillId="0" borderId="0" xfId="0" applyNumberFormat="1"/>
    <xf numFmtId="0" fontId="0" fillId="2" borderId="0" xfId="0" applyFill="1"/>
    <xf numFmtId="0" fontId="10" fillId="0" borderId="0" xfId="0" applyFont="1" applyAlignment="1">
      <alignment vertical="top"/>
    </xf>
    <xf numFmtId="0" fontId="9" fillId="0" borderId="0" xfId="0" applyFont="1" applyAlignment="1">
      <alignment horizontal="left" vertical="top"/>
    </xf>
    <xf numFmtId="10" fontId="12" fillId="0" borderId="18" xfId="2" applyNumberFormat="1" applyFont="1" applyFill="1" applyBorder="1" applyAlignment="1">
      <alignment vertical="center"/>
    </xf>
    <xf numFmtId="41" fontId="77" fillId="4" borderId="18" xfId="0" applyNumberFormat="1" applyFont="1" applyFill="1" applyBorder="1" applyAlignment="1">
      <alignment horizontal="center" vertical="center" wrapText="1"/>
    </xf>
    <xf numFmtId="0" fontId="78" fillId="0" borderId="56" xfId="0" applyFont="1" applyBorder="1"/>
    <xf numFmtId="0" fontId="79" fillId="20" borderId="56" xfId="5" applyFont="1" applyFill="1" applyBorder="1" applyAlignment="1">
      <alignment horizontal="left" vertical="top" wrapText="1"/>
    </xf>
    <xf numFmtId="0" fontId="9" fillId="0" borderId="56" xfId="0" applyFont="1" applyBorder="1"/>
    <xf numFmtId="3" fontId="80" fillId="0" borderId="56" xfId="0" applyNumberFormat="1" applyFont="1" applyBorder="1"/>
    <xf numFmtId="3" fontId="81" fillId="0" borderId="56" xfId="0" applyNumberFormat="1" applyFont="1" applyBorder="1"/>
    <xf numFmtId="41" fontId="82" fillId="4" borderId="19" xfId="0" applyNumberFormat="1" applyFont="1" applyFill="1" applyBorder="1" applyAlignment="1">
      <alignment horizontal="center" vertical="center" wrapText="1"/>
    </xf>
    <xf numFmtId="41" fontId="82" fillId="0" borderId="18" xfId="0" applyNumberFormat="1" applyFont="1" applyBorder="1" applyAlignment="1">
      <alignment horizontal="center" vertical="center" wrapText="1"/>
    </xf>
    <xf numFmtId="178" fontId="52" fillId="0" borderId="56" xfId="0" applyNumberFormat="1" applyFont="1" applyBorder="1"/>
    <xf numFmtId="164" fontId="79" fillId="0" borderId="56" xfId="1" applyNumberFormat="1" applyFont="1" applyBorder="1"/>
    <xf numFmtId="43" fontId="83" fillId="0" borderId="56" xfId="1" applyFont="1" applyBorder="1"/>
    <xf numFmtId="164" fontId="52" fillId="0" borderId="56" xfId="1" applyNumberFormat="1" applyFont="1" applyBorder="1"/>
    <xf numFmtId="164" fontId="83" fillId="0" borderId="56" xfId="1" applyNumberFormat="1" applyFont="1" applyBorder="1"/>
    <xf numFmtId="164" fontId="52" fillId="4" borderId="56" xfId="1" applyNumberFormat="1" applyFont="1" applyFill="1" applyBorder="1"/>
    <xf numFmtId="10" fontId="83" fillId="0" borderId="56" xfId="2" applyNumberFormat="1" applyFont="1" applyBorder="1"/>
    <xf numFmtId="43" fontId="83" fillId="0" borderId="56" xfId="1" applyFont="1" applyBorder="1" applyAlignment="1">
      <alignment horizontal="left"/>
    </xf>
    <xf numFmtId="43" fontId="78" fillId="0" borderId="18" xfId="1" applyFont="1" applyFill="1" applyBorder="1" applyAlignment="1">
      <alignment horizontal="left" vertical="center" wrapText="1"/>
    </xf>
    <xf numFmtId="0" fontId="79" fillId="0" borderId="56" xfId="0" applyFont="1" applyBorder="1"/>
    <xf numFmtId="0" fontId="28" fillId="0" borderId="56" xfId="0" applyFont="1" applyBorder="1"/>
    <xf numFmtId="164" fontId="79" fillId="4" borderId="56" xfId="1" applyNumberFormat="1" applyFont="1" applyFill="1" applyBorder="1"/>
    <xf numFmtId="0" fontId="79" fillId="0" borderId="56" xfId="5" applyFont="1" applyBorder="1"/>
    <xf numFmtId="164" fontId="79" fillId="20" borderId="56" xfId="1" applyNumberFormat="1" applyFont="1" applyFill="1" applyBorder="1" applyAlignment="1">
      <alignment vertical="center" wrapText="1"/>
    </xf>
    <xf numFmtId="164" fontId="81" fillId="20" borderId="56" xfId="1" applyNumberFormat="1" applyFont="1" applyFill="1" applyBorder="1" applyAlignment="1">
      <alignment vertical="center" wrapText="1"/>
    </xf>
    <xf numFmtId="164" fontId="79" fillId="20" borderId="56" xfId="1" applyNumberFormat="1" applyFont="1" applyFill="1" applyBorder="1" applyAlignment="1">
      <alignment vertical="top" wrapText="1"/>
    </xf>
    <xf numFmtId="164" fontId="79" fillId="20" borderId="56" xfId="1" applyNumberFormat="1" applyFont="1" applyFill="1" applyBorder="1" applyAlignment="1">
      <alignment horizontal="right" vertical="top" wrapText="1"/>
    </xf>
    <xf numFmtId="0" fontId="84" fillId="0" borderId="56" xfId="0" applyFont="1" applyBorder="1"/>
    <xf numFmtId="164" fontId="79" fillId="20" borderId="56" xfId="1" applyNumberFormat="1" applyFont="1" applyFill="1" applyBorder="1" applyAlignment="1">
      <alignment vertical="center"/>
    </xf>
    <xf numFmtId="164" fontId="85" fillId="20" borderId="56" xfId="1" applyNumberFormat="1" applyFont="1" applyFill="1" applyBorder="1" applyAlignment="1">
      <alignment vertical="center"/>
    </xf>
    <xf numFmtId="164" fontId="79" fillId="4" borderId="56" xfId="1" applyNumberFormat="1" applyFont="1" applyFill="1" applyBorder="1" applyAlignment="1">
      <alignment vertical="top" wrapText="1"/>
    </xf>
    <xf numFmtId="164" fontId="83" fillId="4" borderId="56" xfId="1" applyNumberFormat="1" applyFont="1" applyFill="1" applyBorder="1"/>
    <xf numFmtId="43" fontId="83" fillId="4" borderId="56" xfId="1" applyFont="1" applyFill="1" applyBorder="1"/>
    <xf numFmtId="164" fontId="79" fillId="4" borderId="56" xfId="1" applyNumberFormat="1" applyFont="1" applyFill="1" applyBorder="1" applyAlignment="1">
      <alignment horizontal="right" vertical="top" wrapText="1"/>
    </xf>
    <xf numFmtId="164" fontId="86" fillId="20" borderId="56" xfId="1" applyNumberFormat="1" applyFont="1" applyFill="1" applyBorder="1" applyAlignment="1">
      <alignment vertical="center" wrapText="1"/>
    </xf>
    <xf numFmtId="164" fontId="79" fillId="20" borderId="56" xfId="1" applyNumberFormat="1" applyFont="1" applyFill="1" applyBorder="1" applyAlignment="1">
      <alignment horizontal="center" vertical="top"/>
    </xf>
    <xf numFmtId="164" fontId="79" fillId="20" borderId="56" xfId="1" applyNumberFormat="1" applyFont="1" applyFill="1" applyBorder="1" applyAlignment="1">
      <alignment horizontal="left" vertical="top"/>
    </xf>
    <xf numFmtId="164" fontId="79" fillId="20" borderId="56" xfId="1" applyNumberFormat="1" applyFont="1" applyFill="1" applyBorder="1" applyAlignment="1">
      <alignment horizontal="right" vertical="top"/>
    </xf>
    <xf numFmtId="164" fontId="87" fillId="20" borderId="56" xfId="1" applyNumberFormat="1" applyFont="1" applyFill="1" applyBorder="1" applyAlignment="1">
      <alignment horizontal="right" vertical="top"/>
    </xf>
    <xf numFmtId="164" fontId="87" fillId="20" borderId="56" xfId="1" applyNumberFormat="1" applyFont="1" applyFill="1" applyBorder="1" applyAlignment="1">
      <alignment horizontal="right" vertical="top" wrapText="1"/>
    </xf>
    <xf numFmtId="0" fontId="80" fillId="0" borderId="56" xfId="0" applyFont="1" applyBorder="1"/>
    <xf numFmtId="164" fontId="79" fillId="20" borderId="56" xfId="1" applyNumberFormat="1" applyFont="1" applyFill="1" applyBorder="1" applyAlignment="1">
      <alignment horizontal="left" vertical="top" wrapText="1"/>
    </xf>
    <xf numFmtId="164" fontId="79" fillId="4" borderId="56" xfId="1" applyNumberFormat="1" applyFont="1" applyFill="1" applyBorder="1" applyAlignment="1">
      <alignment horizontal="left" vertical="top" wrapText="1"/>
    </xf>
    <xf numFmtId="164" fontId="87" fillId="4" borderId="56" xfId="1" applyNumberFormat="1" applyFont="1" applyFill="1" applyBorder="1" applyAlignment="1">
      <alignment horizontal="right" vertical="top" wrapText="1"/>
    </xf>
    <xf numFmtId="0" fontId="9" fillId="4" borderId="0" xfId="0" applyFont="1" applyFill="1"/>
    <xf numFmtId="0" fontId="13" fillId="4" borderId="0" xfId="5" applyFill="1" applyAlignment="1">
      <alignment vertical="top" wrapText="1"/>
    </xf>
    <xf numFmtId="0" fontId="13" fillId="4" borderId="0" xfId="5" applyFill="1" applyAlignment="1">
      <alignment horizontal="left" vertical="top" wrapText="1"/>
    </xf>
    <xf numFmtId="0" fontId="34" fillId="4" borderId="0" xfId="0" applyFont="1" applyFill="1" applyAlignment="1">
      <alignment horizontal="right" vertical="top" wrapText="1"/>
    </xf>
    <xf numFmtId="0" fontId="35" fillId="4" borderId="0" xfId="0" applyFont="1" applyFill="1" applyAlignment="1">
      <alignment horizontal="right" vertical="top" wrapText="1"/>
    </xf>
    <xf numFmtId="10" fontId="35" fillId="4" borderId="0" xfId="0" applyNumberFormat="1" applyFont="1" applyFill="1" applyAlignment="1">
      <alignment horizontal="right" vertical="top" wrapText="1"/>
    </xf>
    <xf numFmtId="10" fontId="34" fillId="4" borderId="0" xfId="0" applyNumberFormat="1" applyFont="1" applyFill="1" applyAlignment="1">
      <alignment horizontal="right" vertical="top" wrapText="1"/>
    </xf>
    <xf numFmtId="3" fontId="34" fillId="4" borderId="0" xfId="0" applyNumberFormat="1" applyFont="1" applyFill="1" applyAlignment="1">
      <alignment horizontal="right" vertical="top" wrapText="1"/>
    </xf>
    <xf numFmtId="0" fontId="36" fillId="4" borderId="0" xfId="0" applyFont="1" applyFill="1" applyAlignment="1">
      <alignment horizontal="right" vertical="top" wrapText="1"/>
    </xf>
    <xf numFmtId="10" fontId="36" fillId="4" borderId="0" xfId="0" applyNumberFormat="1" applyFont="1" applyFill="1" applyAlignment="1">
      <alignment horizontal="right" vertical="top" wrapText="1"/>
    </xf>
    <xf numFmtId="0" fontId="33" fillId="0" borderId="54" xfId="0" applyFont="1" applyBorder="1" applyAlignment="1">
      <alignment vertical="top"/>
    </xf>
    <xf numFmtId="0" fontId="31" fillId="0" borderId="54" xfId="0" applyFont="1" applyBorder="1" applyAlignment="1">
      <alignment vertical="top"/>
    </xf>
    <xf numFmtId="10" fontId="31" fillId="0" borderId="54" xfId="0" applyNumberFormat="1" applyFont="1" applyBorder="1" applyAlignment="1">
      <alignment vertical="top"/>
    </xf>
    <xf numFmtId="164" fontId="31" fillId="0" borderId="54" xfId="1" applyNumberFormat="1" applyFont="1" applyBorder="1" applyAlignment="1">
      <alignment vertical="top"/>
    </xf>
    <xf numFmtId="10" fontId="31" fillId="0" borderId="54" xfId="1" applyNumberFormat="1" applyFont="1" applyBorder="1" applyAlignment="1">
      <alignment vertical="top"/>
    </xf>
    <xf numFmtId="0" fontId="1" fillId="0" borderId="54" xfId="0" applyFont="1" applyBorder="1"/>
    <xf numFmtId="0" fontId="33" fillId="0" borderId="54" xfId="0" applyFont="1" applyBorder="1" applyAlignment="1">
      <alignment horizontal="center" vertical="top"/>
    </xf>
    <xf numFmtId="10" fontId="31" fillId="0" borderId="54" xfId="2" applyNumberFormat="1" applyFont="1" applyBorder="1" applyAlignment="1">
      <alignment vertical="top"/>
    </xf>
    <xf numFmtId="0" fontId="21" fillId="0" borderId="18" xfId="0" applyFont="1" applyBorder="1" applyAlignment="1">
      <alignment vertical="top" wrapText="1"/>
    </xf>
    <xf numFmtId="164" fontId="12" fillId="4" borderId="18" xfId="1" applyNumberFormat="1" applyFont="1" applyFill="1" applyBorder="1" applyAlignment="1">
      <alignment horizontal="center" vertical="top" wrapText="1"/>
    </xf>
    <xf numFmtId="164" fontId="12" fillId="0" borderId="18" xfId="1" applyNumberFormat="1" applyFont="1" applyFill="1" applyBorder="1" applyAlignment="1">
      <alignment horizontal="center" vertical="top" wrapText="1"/>
    </xf>
    <xf numFmtId="164" fontId="12" fillId="0" borderId="0" xfId="1" applyNumberFormat="1" applyFont="1"/>
    <xf numFmtId="164" fontId="12" fillId="4" borderId="0" xfId="1" applyNumberFormat="1" applyFont="1" applyFill="1"/>
    <xf numFmtId="3" fontId="0" fillId="0" borderId="0" xfId="0" applyNumberFormat="1"/>
    <xf numFmtId="9" fontId="21" fillId="4" borderId="0" xfId="2" applyFont="1" applyFill="1" applyBorder="1"/>
    <xf numFmtId="164" fontId="24" fillId="12" borderId="0" xfId="1" applyNumberFormat="1" applyFont="1" applyFill="1" applyAlignment="1">
      <alignment horizontal="center"/>
    </xf>
    <xf numFmtId="164" fontId="3" fillId="12" borderId="0" xfId="0" applyNumberFormat="1" applyFont="1" applyFill="1" applyAlignment="1">
      <alignment horizontal="center"/>
    </xf>
    <xf numFmtId="171" fontId="45" fillId="35" borderId="0" xfId="27" applyNumberFormat="1" applyFont="1" applyFill="1" applyAlignment="1">
      <alignment horizontal="center"/>
    </xf>
    <xf numFmtId="3" fontId="46" fillId="0" borderId="29" xfId="27" applyNumberFormat="1" applyFont="1" applyBorder="1" applyAlignment="1">
      <alignment vertical="center"/>
    </xf>
    <xf numFmtId="0" fontId="44" fillId="0" borderId="47" xfId="27" applyFont="1" applyBorder="1" applyAlignment="1">
      <alignment vertical="center"/>
    </xf>
    <xf numFmtId="0" fontId="44" fillId="0" borderId="29" xfId="12" applyNumberFormat="1" applyFont="1" applyFill="1" applyBorder="1" applyAlignment="1">
      <alignment horizontal="right"/>
    </xf>
    <xf numFmtId="0" fontId="44" fillId="0" borderId="44" xfId="12" applyNumberFormat="1" applyFont="1" applyFill="1" applyBorder="1" applyAlignment="1">
      <alignment horizontal="right"/>
    </xf>
    <xf numFmtId="173" fontId="69" fillId="0" borderId="29" xfId="11" applyNumberFormat="1" applyFont="1" applyFill="1" applyBorder="1" applyAlignment="1">
      <alignment horizontal="right"/>
    </xf>
    <xf numFmtId="0" fontId="61" fillId="0" borderId="29" xfId="11" applyNumberFormat="1" applyFont="1" applyFill="1" applyBorder="1" applyAlignment="1">
      <alignment horizontal="right"/>
    </xf>
    <xf numFmtId="0" fontId="45" fillId="0" borderId="29" xfId="11" applyNumberFormat="1" applyFont="1" applyFill="1" applyBorder="1" applyAlignment="1">
      <alignment horizontal="right"/>
    </xf>
    <xf numFmtId="0" fontId="43" fillId="0" borderId="0" xfId="27" applyFont="1" applyAlignment="1">
      <alignment horizontal="center"/>
    </xf>
    <xf numFmtId="3" fontId="46" fillId="29" borderId="29" xfId="27" applyNumberFormat="1" applyFont="1" applyFill="1" applyBorder="1" applyAlignment="1">
      <alignment horizontal="center" vertical="center"/>
    </xf>
    <xf numFmtId="0" fontId="44" fillId="22" borderId="47" xfId="27" applyFont="1" applyFill="1" applyBorder="1" applyAlignment="1">
      <alignment horizontal="center" vertical="center"/>
    </xf>
    <xf numFmtId="0" fontId="44" fillId="22" borderId="29" xfId="12" applyNumberFormat="1" applyFont="1" applyFill="1" applyBorder="1" applyAlignment="1">
      <alignment horizontal="center"/>
    </xf>
    <xf numFmtId="0" fontId="44" fillId="22" borderId="44" xfId="12" applyNumberFormat="1" applyFont="1" applyFill="1" applyBorder="1" applyAlignment="1">
      <alignment horizontal="center"/>
    </xf>
    <xf numFmtId="0" fontId="37" fillId="0" borderId="49" xfId="27" applyFont="1" applyBorder="1" applyAlignment="1">
      <alignment horizontal="center"/>
    </xf>
    <xf numFmtId="0" fontId="44" fillId="22" borderId="29" xfId="11" applyNumberFormat="1" applyFont="1" applyFill="1" applyBorder="1" applyAlignment="1">
      <alignment horizontal="center"/>
    </xf>
    <xf numFmtId="0" fontId="61" fillId="11" borderId="29" xfId="11" applyNumberFormat="1" applyFont="1" applyFill="1" applyBorder="1" applyAlignment="1">
      <alignment horizontal="center"/>
    </xf>
    <xf numFmtId="0" fontId="45" fillId="30" borderId="29" xfId="11" applyNumberFormat="1" applyFont="1" applyFill="1" applyBorder="1" applyAlignment="1">
      <alignment horizontal="center"/>
    </xf>
    <xf numFmtId="49" fontId="57" fillId="0" borderId="0" xfId="27" applyNumberFormat="1" applyFont="1" applyAlignment="1">
      <alignment horizontal="center"/>
    </xf>
    <xf numFmtId="0" fontId="55" fillId="0" borderId="0" xfId="27" applyFont="1" applyAlignment="1">
      <alignment horizontal="center"/>
    </xf>
    <xf numFmtId="0" fontId="44" fillId="28" borderId="0" xfId="27" applyFont="1" applyFill="1" applyAlignment="1">
      <alignment horizontal="center" vertical="center" wrapText="1"/>
    </xf>
    <xf numFmtId="0" fontId="44" fillId="22" borderId="47" xfId="27" applyFont="1" applyFill="1" applyBorder="1" applyAlignment="1">
      <alignment horizontal="center" vertical="center" wrapText="1"/>
    </xf>
    <xf numFmtId="49" fontId="44" fillId="25" borderId="44" xfId="27" applyNumberFormat="1" applyFont="1" applyFill="1" applyBorder="1" applyAlignment="1">
      <alignment horizontal="center"/>
    </xf>
    <xf numFmtId="49" fontId="44" fillId="25" borderId="45" xfId="27" applyNumberFormat="1" applyFont="1" applyFill="1" applyBorder="1" applyAlignment="1">
      <alignment horizontal="center"/>
    </xf>
    <xf numFmtId="3" fontId="44" fillId="25" borderId="0" xfId="27" applyNumberFormat="1" applyFont="1" applyFill="1" applyAlignment="1">
      <alignment horizontal="center"/>
    </xf>
    <xf numFmtId="173" fontId="44" fillId="25" borderId="45" xfId="11" applyNumberFormat="1" applyFont="1" applyFill="1" applyBorder="1" applyAlignment="1">
      <alignment horizontal="center"/>
    </xf>
    <xf numFmtId="171" fontId="58" fillId="35" borderId="0" xfId="27" applyNumberFormat="1" applyFont="1" applyFill="1" applyAlignment="1">
      <alignment horizontal="center"/>
    </xf>
    <xf numFmtId="173" fontId="58" fillId="35" borderId="0" xfId="11" applyNumberFormat="1" applyFont="1" applyFill="1" applyBorder="1" applyAlignment="1">
      <alignment horizontal="center"/>
    </xf>
    <xf numFmtId="173" fontId="59" fillId="36" borderId="0" xfId="11" applyNumberFormat="1" applyFont="1" applyFill="1" applyBorder="1" applyAlignment="1">
      <alignment horizontal="center"/>
    </xf>
    <xf numFmtId="171" fontId="60" fillId="36" borderId="0" xfId="27" applyNumberFormat="1" applyFont="1" applyFill="1" applyAlignment="1">
      <alignment horizontal="center"/>
    </xf>
    <xf numFmtId="171" fontId="59" fillId="36" borderId="0" xfId="27" applyNumberFormat="1" applyFont="1" applyFill="1" applyAlignment="1">
      <alignment horizontal="center"/>
    </xf>
    <xf numFmtId="172" fontId="59" fillId="36" borderId="0" xfId="27" applyNumberFormat="1" applyFont="1" applyFill="1" applyAlignment="1">
      <alignment horizontal="center"/>
    </xf>
    <xf numFmtId="49" fontId="45" fillId="26" borderId="45" xfId="27" applyNumberFormat="1" applyFont="1" applyFill="1" applyBorder="1" applyAlignment="1">
      <alignment horizontal="center"/>
    </xf>
    <xf numFmtId="0" fontId="55" fillId="0" borderId="44" xfId="27" applyFont="1" applyBorder="1" applyAlignment="1">
      <alignment horizontal="center"/>
    </xf>
    <xf numFmtId="174" fontId="43" fillId="0" borderId="0" xfId="27" applyNumberFormat="1" applyFont="1" applyAlignment="1">
      <alignment horizontal="center"/>
    </xf>
    <xf numFmtId="3" fontId="43" fillId="0" borderId="0" xfId="27" applyNumberFormat="1" applyFont="1" applyAlignment="1">
      <alignment horizontal="center"/>
    </xf>
    <xf numFmtId="172" fontId="43" fillId="0" borderId="0" xfId="27" applyNumberFormat="1" applyFont="1" applyAlignment="1">
      <alignment horizontal="center"/>
    </xf>
    <xf numFmtId="173" fontId="43" fillId="0" borderId="0" xfId="11" applyNumberFormat="1" applyFont="1" applyBorder="1" applyAlignment="1">
      <alignment horizontal="center"/>
    </xf>
    <xf numFmtId="173" fontId="43" fillId="0" borderId="0" xfId="11" applyNumberFormat="1" applyFont="1" applyAlignment="1">
      <alignment horizontal="center"/>
    </xf>
    <xf numFmtId="49" fontId="44" fillId="27" borderId="29" xfId="27" applyNumberFormat="1" applyFont="1" applyFill="1" applyBorder="1" applyAlignment="1">
      <alignment horizontal="center" vertical="center" wrapText="1"/>
    </xf>
    <xf numFmtId="172" fontId="37" fillId="0" borderId="49" xfId="27" applyNumberFormat="1" applyFont="1" applyBorder="1" applyAlignment="1">
      <alignment horizontal="center" wrapText="1"/>
    </xf>
    <xf numFmtId="0" fontId="43" fillId="0" borderId="0" xfId="27" applyFont="1" applyAlignment="1">
      <alignment horizontal="center" wrapText="1"/>
    </xf>
    <xf numFmtId="172" fontId="37" fillId="0" borderId="50" xfId="27" applyNumberFormat="1" applyFont="1" applyBorder="1" applyAlignment="1">
      <alignment horizontal="center" wrapText="1"/>
    </xf>
    <xf numFmtId="3" fontId="46" fillId="29" borderId="29" xfId="27" applyNumberFormat="1" applyFont="1" applyFill="1" applyBorder="1" applyAlignment="1">
      <alignment horizontal="center" vertical="center" wrapText="1"/>
    </xf>
    <xf numFmtId="0" fontId="44" fillId="22" borderId="29" xfId="12" applyNumberFormat="1" applyFont="1" applyFill="1" applyBorder="1" applyAlignment="1">
      <alignment horizontal="center" wrapText="1"/>
    </xf>
    <xf numFmtId="0" fontId="44" fillId="22" borderId="44" xfId="12" applyNumberFormat="1" applyFont="1" applyFill="1" applyBorder="1" applyAlignment="1">
      <alignment horizontal="center" wrapText="1"/>
    </xf>
    <xf numFmtId="0" fontId="37" fillId="0" borderId="49" xfId="27" applyFont="1" applyBorder="1" applyAlignment="1">
      <alignment horizontal="center" wrapText="1"/>
    </xf>
    <xf numFmtId="0" fontId="44" fillId="22" borderId="29" xfId="11" applyNumberFormat="1" applyFont="1" applyFill="1" applyBorder="1" applyAlignment="1">
      <alignment horizontal="center" wrapText="1"/>
    </xf>
    <xf numFmtId="0" fontId="61" fillId="11" borderId="29" xfId="11" applyNumberFormat="1" applyFont="1" applyFill="1" applyBorder="1" applyAlignment="1">
      <alignment horizontal="center" wrapText="1"/>
    </xf>
    <xf numFmtId="0" fontId="45" fillId="30" borderId="29" xfId="11" applyNumberFormat="1" applyFont="1" applyFill="1" applyBorder="1" applyAlignment="1">
      <alignment horizontal="center" wrapText="1"/>
    </xf>
    <xf numFmtId="0" fontId="43" fillId="4" borderId="29" xfId="27" applyFont="1" applyFill="1" applyBorder="1"/>
    <xf numFmtId="173" fontId="43" fillId="4" borderId="29" xfId="11" applyNumberFormat="1" applyFont="1" applyFill="1" applyBorder="1" applyAlignment="1"/>
    <xf numFmtId="173" fontId="43" fillId="4" borderId="0" xfId="27" applyNumberFormat="1" applyFont="1" applyFill="1"/>
    <xf numFmtId="0" fontId="43" fillId="4" borderId="0" xfId="27" applyFont="1" applyFill="1"/>
    <xf numFmtId="0" fontId="43" fillId="4" borderId="29" xfId="27" applyFont="1" applyFill="1" applyBorder="1" applyAlignment="1">
      <alignment horizontal="left"/>
    </xf>
    <xf numFmtId="173" fontId="37" fillId="4" borderId="29" xfId="11" applyNumberFormat="1" applyFont="1" applyFill="1" applyBorder="1" applyAlignment="1"/>
    <xf numFmtId="173" fontId="37" fillId="4" borderId="0" xfId="27" applyNumberFormat="1" applyFont="1" applyFill="1"/>
    <xf numFmtId="0" fontId="62" fillId="4" borderId="29" xfId="27" applyFont="1" applyFill="1" applyBorder="1"/>
    <xf numFmtId="0" fontId="43" fillId="37" borderId="29" xfId="27" applyFont="1" applyFill="1" applyBorder="1"/>
    <xf numFmtId="0" fontId="37" fillId="4" borderId="0" xfId="27" applyFont="1" applyFill="1"/>
    <xf numFmtId="0" fontId="62" fillId="37" borderId="29" xfId="27" applyFont="1" applyFill="1" applyBorder="1"/>
    <xf numFmtId="0" fontId="62" fillId="4" borderId="0" xfId="27" applyFont="1" applyFill="1"/>
    <xf numFmtId="0" fontId="48" fillId="4" borderId="29" xfId="27" applyFont="1" applyFill="1" applyBorder="1" applyAlignment="1">
      <alignment horizontal="left" vertical="center" readingOrder="1"/>
    </xf>
    <xf numFmtId="0" fontId="48" fillId="4" borderId="29" xfId="27" applyFont="1" applyFill="1" applyBorder="1" applyAlignment="1">
      <alignment horizontal="center" vertical="center" readingOrder="1"/>
    </xf>
    <xf numFmtId="0" fontId="49" fillId="4" borderId="29" xfId="27" applyFont="1" applyFill="1" applyBorder="1" applyAlignment="1">
      <alignment horizontal="left" vertical="center" readingOrder="1"/>
    </xf>
    <xf numFmtId="0" fontId="49" fillId="4" borderId="29" xfId="27" applyFont="1" applyFill="1" applyBorder="1" applyAlignment="1">
      <alignment horizontal="center" vertical="center" readingOrder="1"/>
    </xf>
    <xf numFmtId="173" fontId="43" fillId="4" borderId="0" xfId="11" applyNumberFormat="1" applyFont="1" applyFill="1" applyBorder="1" applyAlignment="1"/>
    <xf numFmtId="172" fontId="43" fillId="4" borderId="0" xfId="27" applyNumberFormat="1" applyFont="1" applyFill="1"/>
    <xf numFmtId="0" fontId="55" fillId="4" borderId="53" xfId="27" applyFont="1" applyFill="1" applyBorder="1"/>
    <xf numFmtId="173" fontId="43" fillId="4" borderId="53" xfId="11" applyNumberFormat="1" applyFont="1" applyFill="1" applyBorder="1" applyAlignment="1"/>
    <xf numFmtId="173" fontId="43" fillId="4" borderId="47" xfId="11" applyNumberFormat="1" applyFont="1" applyFill="1" applyBorder="1" applyAlignment="1"/>
    <xf numFmtId="0" fontId="48" fillId="4" borderId="0" xfId="27" applyFont="1" applyFill="1"/>
    <xf numFmtId="173" fontId="48" fillId="4" borderId="0" xfId="27" applyNumberFormat="1" applyFont="1" applyFill="1"/>
    <xf numFmtId="0" fontId="48" fillId="2" borderId="29" xfId="27" applyFont="1" applyFill="1" applyBorder="1" applyAlignment="1">
      <alignment horizontal="left" vertical="center" readingOrder="1"/>
    </xf>
    <xf numFmtId="0" fontId="48" fillId="2" borderId="29" xfId="27" applyFont="1" applyFill="1" applyBorder="1" applyAlignment="1">
      <alignment horizontal="center" vertical="center" readingOrder="1"/>
    </xf>
    <xf numFmtId="0" fontId="3" fillId="0" borderId="0" xfId="0" applyFont="1" applyAlignment="1">
      <alignment vertical="center"/>
    </xf>
    <xf numFmtId="0" fontId="21" fillId="0" borderId="0" xfId="0" applyFont="1" applyAlignment="1">
      <alignment vertical="center"/>
    </xf>
    <xf numFmtId="0" fontId="0" fillId="0" borderId="8" xfId="0" applyBorder="1"/>
    <xf numFmtId="0" fontId="3" fillId="0" borderId="8" xfId="0" applyFont="1" applyBorder="1" applyAlignment="1">
      <alignment vertical="center"/>
    </xf>
    <xf numFmtId="0" fontId="92" fillId="0" borderId="0" xfId="0" applyFont="1"/>
    <xf numFmtId="9" fontId="12" fillId="0" borderId="0" xfId="2" applyFont="1"/>
    <xf numFmtId="3" fontId="0" fillId="0" borderId="0" xfId="0" applyNumberFormat="1" applyProtection="1">
      <protection locked="0"/>
    </xf>
    <xf numFmtId="9" fontId="0" fillId="0" borderId="0" xfId="2" applyFont="1" applyProtection="1">
      <protection locked="0"/>
    </xf>
    <xf numFmtId="164" fontId="0" fillId="0" borderId="0" xfId="1" applyNumberFormat="1" applyFont="1" applyAlignment="1">
      <alignment horizontal="left" vertical="top"/>
    </xf>
    <xf numFmtId="3" fontId="12" fillId="0" borderId="0" xfId="0" applyNumberFormat="1" applyFont="1"/>
    <xf numFmtId="165" fontId="12" fillId="0" borderId="0" xfId="0" applyNumberFormat="1" applyFont="1"/>
    <xf numFmtId="0" fontId="30" fillId="0" borderId="0" xfId="0" applyFont="1"/>
    <xf numFmtId="43" fontId="1" fillId="0" borderId="0" xfId="0" applyNumberFormat="1" applyFont="1"/>
    <xf numFmtId="165" fontId="12" fillId="0" borderId="0" xfId="2" applyNumberFormat="1" applyFont="1"/>
    <xf numFmtId="0" fontId="4" fillId="0" borderId="0" xfId="0" applyFont="1" applyAlignment="1">
      <alignment horizontal="left" indent="3"/>
    </xf>
    <xf numFmtId="165" fontId="4" fillId="0" borderId="0" xfId="0" quotePrefix="1" applyNumberFormat="1" applyFont="1"/>
    <xf numFmtId="164" fontId="0" fillId="0" borderId="0" xfId="1" applyNumberFormat="1" applyFont="1" applyFill="1" applyBorder="1" applyAlignment="1">
      <alignment horizontal="center"/>
    </xf>
    <xf numFmtId="164" fontId="0" fillId="0" borderId="0" xfId="1" quotePrefix="1" applyNumberFormat="1" applyFont="1" applyFill="1" applyBorder="1"/>
    <xf numFmtId="164" fontId="12" fillId="0" borderId="0" xfId="1" applyNumberFormat="1" applyFont="1" applyFill="1" applyBorder="1"/>
    <xf numFmtId="164" fontId="4" fillId="0" borderId="0" xfId="1" applyNumberFormat="1" applyFont="1" applyFill="1" applyBorder="1"/>
    <xf numFmtId="9" fontId="0" fillId="0" borderId="0" xfId="0" quotePrefix="1" applyNumberFormat="1"/>
    <xf numFmtId="165" fontId="4" fillId="0" borderId="0" xfId="0" applyNumberFormat="1" applyFont="1"/>
    <xf numFmtId="10" fontId="12" fillId="0" borderId="0" xfId="0" applyNumberFormat="1" applyFont="1"/>
    <xf numFmtId="0" fontId="4" fillId="0" borderId="0" xfId="0" applyFont="1" applyAlignment="1">
      <alignment horizontal="center"/>
    </xf>
    <xf numFmtId="9" fontId="4" fillId="0" borderId="0" xfId="2" applyFont="1"/>
    <xf numFmtId="0" fontId="0" fillId="0" borderId="0" xfId="0" applyProtection="1">
      <protection locked="0"/>
    </xf>
    <xf numFmtId="9" fontId="0" fillId="0" borderId="0" xfId="0" applyNumberFormat="1" applyAlignment="1">
      <alignment horizontal="left" indent="1"/>
    </xf>
    <xf numFmtId="165" fontId="91" fillId="0" borderId="0" xfId="33" applyNumberFormat="1" applyFill="1" applyBorder="1"/>
    <xf numFmtId="180" fontId="0" fillId="0" borderId="0" xfId="0" applyNumberFormat="1"/>
    <xf numFmtId="0" fontId="4" fillId="0" borderId="0" xfId="0" applyFont="1" applyAlignment="1">
      <alignment vertical="center"/>
    </xf>
    <xf numFmtId="0" fontId="30" fillId="0" borderId="0" xfId="0" applyFont="1" applyAlignment="1">
      <alignment vertical="center"/>
    </xf>
    <xf numFmtId="9" fontId="30" fillId="0" borderId="0" xfId="0" applyNumberFormat="1" applyFont="1"/>
    <xf numFmtId="0" fontId="4" fillId="0" borderId="9" xfId="0" applyFont="1" applyBorder="1" applyAlignment="1">
      <alignment horizontal="center"/>
    </xf>
    <xf numFmtId="0" fontId="4" fillId="0" borderId="11" xfId="0" applyFont="1" applyBorder="1" applyAlignment="1">
      <alignment horizontal="center"/>
    </xf>
    <xf numFmtId="0" fontId="2" fillId="0" borderId="11" xfId="0" applyFont="1" applyBorder="1" applyAlignment="1">
      <alignment horizontal="center"/>
    </xf>
    <xf numFmtId="0" fontId="2" fillId="0" borderId="0" xfId="0" applyFont="1" applyAlignment="1">
      <alignment horizontal="center"/>
    </xf>
    <xf numFmtId="182" fontId="0" fillId="0" borderId="0" xfId="0" applyNumberFormat="1"/>
    <xf numFmtId="43" fontId="0" fillId="0" borderId="10" xfId="1" applyFont="1" applyBorder="1"/>
    <xf numFmtId="43" fontId="0" fillId="0" borderId="11" xfId="1" applyFont="1" applyBorder="1"/>
    <xf numFmtId="43" fontId="1" fillId="0" borderId="1" xfId="1" applyFont="1" applyBorder="1"/>
    <xf numFmtId="182" fontId="1" fillId="0" borderId="0" xfId="0" applyNumberFormat="1" applyFont="1"/>
    <xf numFmtId="185" fontId="0" fillId="0" borderId="0" xfId="0" applyNumberFormat="1"/>
    <xf numFmtId="43" fontId="12" fillId="0" borderId="0" xfId="1" applyFont="1" applyAlignment="1">
      <alignment horizontal="right"/>
    </xf>
    <xf numFmtId="0" fontId="12" fillId="4" borderId="0" xfId="0" applyFont="1" applyFill="1"/>
    <xf numFmtId="0" fontId="30" fillId="4" borderId="0" xfId="0" applyFont="1" applyFill="1"/>
    <xf numFmtId="9" fontId="30" fillId="4" borderId="0" xfId="0" applyNumberFormat="1" applyFont="1" applyFill="1"/>
    <xf numFmtId="2" fontId="1" fillId="0" borderId="0" xfId="0" applyNumberFormat="1" applyFont="1"/>
    <xf numFmtId="2" fontId="1" fillId="0" borderId="42" xfId="0" applyNumberFormat="1" applyFont="1" applyBorder="1"/>
    <xf numFmtId="182" fontId="1" fillId="0" borderId="42" xfId="0" applyNumberFormat="1" applyFont="1" applyBorder="1"/>
    <xf numFmtId="183" fontId="0" fillId="0" borderId="0" xfId="0" applyNumberFormat="1"/>
    <xf numFmtId="0" fontId="97" fillId="0" borderId="0" xfId="0" applyFont="1"/>
    <xf numFmtId="0" fontId="98" fillId="0" borderId="0" xfId="0" applyFont="1"/>
    <xf numFmtId="164" fontId="30" fillId="0" borderId="0" xfId="1" applyNumberFormat="1" applyFont="1" applyFill="1" applyBorder="1"/>
    <xf numFmtId="164" fontId="1" fillId="0" borderId="0" xfId="1" applyNumberFormat="1" applyFont="1" applyBorder="1" applyAlignment="1">
      <alignment vertical="center"/>
    </xf>
    <xf numFmtId="164" fontId="0" fillId="0" borderId="0" xfId="1" applyNumberFormat="1" applyFont="1" applyBorder="1" applyAlignment="1">
      <alignment horizontal="right" vertical="center"/>
    </xf>
    <xf numFmtId="9" fontId="0" fillId="0" borderId="0" xfId="2" applyFont="1" applyBorder="1" applyAlignment="1">
      <alignment horizontal="right" vertical="center"/>
    </xf>
    <xf numFmtId="164" fontId="7" fillId="4" borderId="0" xfId="1" applyNumberFormat="1" applyFont="1" applyFill="1" applyBorder="1" applyAlignment="1">
      <alignment horizontal="right" vertical="center"/>
    </xf>
    <xf numFmtId="9" fontId="7" fillId="4" borderId="0" xfId="2" applyFont="1" applyFill="1" applyBorder="1" applyAlignment="1">
      <alignment horizontal="right" vertical="center"/>
    </xf>
    <xf numFmtId="164" fontId="0" fillId="4" borderId="0" xfId="1" applyNumberFormat="1" applyFont="1" applyFill="1" applyBorder="1" applyAlignment="1">
      <alignment horizontal="right" vertical="center"/>
    </xf>
    <xf numFmtId="9" fontId="0" fillId="4" borderId="0" xfId="2" applyFont="1" applyFill="1" applyBorder="1" applyAlignment="1">
      <alignment horizontal="right" vertical="center"/>
    </xf>
    <xf numFmtId="164" fontId="1" fillId="4" borderId="0" xfId="1" applyNumberFormat="1" applyFont="1" applyFill="1" applyBorder="1"/>
    <xf numFmtId="164" fontId="1" fillId="4" borderId="0" xfId="1" applyNumberFormat="1" applyFont="1" applyFill="1" applyBorder="1" applyAlignment="1">
      <alignment horizontal="right" vertical="center"/>
    </xf>
    <xf numFmtId="9" fontId="1" fillId="4" borderId="0" xfId="2" applyFont="1" applyFill="1" applyBorder="1" applyAlignment="1">
      <alignment horizontal="right" vertical="center"/>
    </xf>
    <xf numFmtId="164" fontId="2" fillId="4" borderId="0" xfId="1" applyNumberFormat="1" applyFont="1" applyFill="1" applyBorder="1" applyAlignment="1">
      <alignment horizontal="right" vertical="center"/>
    </xf>
    <xf numFmtId="165" fontId="2" fillId="4" borderId="0" xfId="2" applyNumberFormat="1" applyFont="1" applyFill="1" applyBorder="1" applyAlignment="1">
      <alignment horizontal="right" vertical="center"/>
    </xf>
    <xf numFmtId="164" fontId="2" fillId="4" borderId="0" xfId="1" applyNumberFormat="1" applyFont="1" applyFill="1" applyBorder="1"/>
    <xf numFmtId="164" fontId="4" fillId="4" borderId="0" xfId="1" applyNumberFormat="1" applyFont="1" applyFill="1" applyBorder="1"/>
    <xf numFmtId="164" fontId="4" fillId="4" borderId="0" xfId="1" applyNumberFormat="1" applyFont="1" applyFill="1" applyBorder="1" applyAlignment="1">
      <alignment horizontal="right" vertical="center"/>
    </xf>
    <xf numFmtId="165" fontId="4" fillId="4" borderId="0" xfId="2" applyNumberFormat="1" applyFont="1" applyFill="1" applyBorder="1" applyAlignment="1">
      <alignment horizontal="right" vertical="center"/>
    </xf>
    <xf numFmtId="43" fontId="2" fillId="4" borderId="0" xfId="1" applyFont="1" applyFill="1" applyBorder="1" applyAlignment="1">
      <alignment horizontal="right" vertical="center"/>
    </xf>
    <xf numFmtId="164" fontId="3" fillId="4" borderId="0" xfId="2" applyNumberFormat="1" applyFont="1" applyFill="1" applyBorder="1" applyAlignment="1">
      <alignment horizontal="right" vertical="center"/>
    </xf>
    <xf numFmtId="164" fontId="1" fillId="4" borderId="0" xfId="2" applyNumberFormat="1" applyFont="1" applyFill="1" applyBorder="1" applyAlignment="1">
      <alignment horizontal="right" vertical="center"/>
    </xf>
    <xf numFmtId="164" fontId="1" fillId="4" borderId="0" xfId="2" applyNumberFormat="1" applyFont="1" applyFill="1" applyBorder="1"/>
    <xf numFmtId="0" fontId="1" fillId="4" borderId="0" xfId="1" applyNumberFormat="1" applyFont="1" applyFill="1" applyBorder="1"/>
    <xf numFmtId="0" fontId="1" fillId="4" borderId="0" xfId="1" applyNumberFormat="1" applyFont="1" applyFill="1" applyBorder="1" applyAlignment="1">
      <alignment horizontal="right" vertical="center"/>
    </xf>
    <xf numFmtId="164" fontId="3" fillId="4" borderId="0" xfId="2" applyNumberFormat="1" applyFont="1" applyFill="1" applyBorder="1"/>
    <xf numFmtId="164" fontId="74" fillId="4" borderId="0" xfId="2" applyNumberFormat="1" applyFont="1" applyFill="1" applyBorder="1" applyAlignment="1">
      <alignment horizontal="right" vertical="center"/>
    </xf>
    <xf numFmtId="164" fontId="74" fillId="4" borderId="0" xfId="2" applyNumberFormat="1" applyFont="1" applyFill="1" applyBorder="1"/>
    <xf numFmtId="0" fontId="1" fillId="4" borderId="0" xfId="2" applyNumberFormat="1" applyFont="1" applyFill="1" applyBorder="1"/>
    <xf numFmtId="0" fontId="1" fillId="4" borderId="0" xfId="2" applyNumberFormat="1" applyFont="1" applyFill="1" applyBorder="1" applyAlignment="1">
      <alignment horizontal="right" vertical="center"/>
    </xf>
    <xf numFmtId="9" fontId="0" fillId="4" borderId="0" xfId="2" applyFont="1" applyFill="1" applyBorder="1"/>
    <xf numFmtId="9" fontId="73" fillId="4" borderId="0" xfId="2" applyFont="1" applyFill="1" applyBorder="1"/>
    <xf numFmtId="9" fontId="73" fillId="4" borderId="0" xfId="2" applyFont="1" applyFill="1" applyBorder="1" applyAlignment="1">
      <alignment horizontal="right" vertical="center"/>
    </xf>
    <xf numFmtId="0" fontId="0" fillId="0" borderId="0" xfId="0" applyAlignment="1">
      <alignment horizontal="right" vertical="center"/>
    </xf>
    <xf numFmtId="0" fontId="0" fillId="0" borderId="0" xfId="0" applyAlignment="1">
      <alignment wrapText="1"/>
    </xf>
    <xf numFmtId="0" fontId="1" fillId="4" borderId="0" xfId="1" applyNumberFormat="1" applyFont="1" applyFill="1" applyBorder="1" applyAlignment="1">
      <alignment wrapText="1"/>
    </xf>
    <xf numFmtId="164" fontId="1" fillId="4" borderId="0" xfId="1" applyNumberFormat="1" applyFont="1" applyFill="1" applyBorder="1" applyAlignment="1">
      <alignment wrapText="1"/>
    </xf>
    <xf numFmtId="164" fontId="0" fillId="4" borderId="0" xfId="1" applyNumberFormat="1" applyFont="1" applyFill="1" applyBorder="1" applyAlignment="1">
      <alignment wrapText="1"/>
    </xf>
    <xf numFmtId="164" fontId="2" fillId="0" borderId="0" xfId="1" applyNumberFormat="1" applyFont="1" applyBorder="1"/>
    <xf numFmtId="0" fontId="2" fillId="0" borderId="0" xfId="0" applyFont="1"/>
    <xf numFmtId="164" fontId="0" fillId="2" borderId="0" xfId="1" applyNumberFormat="1" applyFont="1" applyFill="1" applyBorder="1" applyAlignment="1">
      <alignment horizontal="right" vertical="center"/>
    </xf>
    <xf numFmtId="9" fontId="0" fillId="2" borderId="0" xfId="2" applyFont="1" applyFill="1" applyBorder="1" applyAlignment="1">
      <alignment horizontal="right" vertical="center"/>
    </xf>
    <xf numFmtId="0" fontId="12" fillId="0" borderId="0" xfId="0" applyFont="1" applyAlignment="1">
      <alignment horizontal="center"/>
    </xf>
    <xf numFmtId="164" fontId="4" fillId="0" borderId="0" xfId="1" applyNumberFormat="1" applyFont="1" applyBorder="1"/>
    <xf numFmtId="9" fontId="0" fillId="0" borderId="0" xfId="0" applyNumberFormat="1" applyAlignment="1">
      <alignment horizontal="right" vertical="center"/>
    </xf>
    <xf numFmtId="164" fontId="4" fillId="0" borderId="0" xfId="1" applyNumberFormat="1" applyFont="1" applyBorder="1" applyAlignment="1">
      <alignment vertical="center"/>
    </xf>
    <xf numFmtId="164" fontId="0" fillId="0" borderId="0" xfId="1" applyNumberFormat="1" applyFont="1" applyBorder="1" applyAlignment="1">
      <alignment vertical="center"/>
    </xf>
    <xf numFmtId="0" fontId="1" fillId="0" borderId="0" xfId="0" applyFont="1" applyAlignment="1">
      <alignment vertical="center"/>
    </xf>
    <xf numFmtId="0" fontId="0" fillId="0" borderId="0" xfId="0" applyAlignment="1">
      <alignment vertical="center" wrapText="1"/>
    </xf>
    <xf numFmtId="0" fontId="0" fillId="0" borderId="0" xfId="0" applyAlignment="1">
      <alignment vertical="center"/>
    </xf>
    <xf numFmtId="164" fontId="3" fillId="22" borderId="0" xfId="1" applyNumberFormat="1" applyFont="1" applyFill="1" applyBorder="1" applyAlignment="1">
      <alignment horizontal="right" vertical="center"/>
    </xf>
    <xf numFmtId="9" fontId="3" fillId="22" borderId="0" xfId="2" applyFont="1" applyFill="1" applyBorder="1" applyAlignment="1">
      <alignment horizontal="right" vertical="center"/>
    </xf>
    <xf numFmtId="0" fontId="96" fillId="23" borderId="0" xfId="0" applyFont="1" applyFill="1" applyAlignment="1">
      <alignment horizontal="left"/>
    </xf>
    <xf numFmtId="3" fontId="4" fillId="0" borderId="0" xfId="0" applyNumberFormat="1" applyFont="1" applyAlignment="1">
      <alignment horizontal="left" indent="1"/>
    </xf>
    <xf numFmtId="3" fontId="4" fillId="0" borderId="0" xfId="0" applyNumberFormat="1" applyFont="1"/>
    <xf numFmtId="3" fontId="2" fillId="0" borderId="0" xfId="0" applyNumberFormat="1" applyFont="1" applyAlignment="1">
      <alignment horizontal="left"/>
    </xf>
    <xf numFmtId="3" fontId="4" fillId="0" borderId="0" xfId="0" applyNumberFormat="1" applyFont="1" applyAlignment="1">
      <alignment horizontal="left"/>
    </xf>
    <xf numFmtId="0" fontId="3" fillId="22" borderId="0" xfId="0" applyFont="1" applyFill="1" applyAlignment="1">
      <alignment vertical="center"/>
    </xf>
    <xf numFmtId="0" fontId="1" fillId="9" borderId="0" xfId="0" applyFont="1" applyFill="1" applyAlignment="1">
      <alignment vertical="center"/>
    </xf>
    <xf numFmtId="0" fontId="0" fillId="9" borderId="0" xfId="0" applyFill="1" applyAlignment="1">
      <alignment vertical="center" wrapText="1"/>
    </xf>
    <xf numFmtId="9" fontId="73" fillId="9" borderId="0" xfId="0" applyNumberFormat="1" applyFont="1" applyFill="1" applyAlignment="1">
      <alignment horizontal="right" vertical="center"/>
    </xf>
    <xf numFmtId="9" fontId="73" fillId="4" borderId="0" xfId="0" applyNumberFormat="1" applyFont="1" applyFill="1" applyAlignment="1">
      <alignment horizontal="right" vertical="center"/>
    </xf>
    <xf numFmtId="164" fontId="0" fillId="0" borderId="0" xfId="1" applyNumberFormat="1" applyFont="1" applyBorder="1" applyAlignment="1">
      <alignment vertical="center" wrapText="1"/>
    </xf>
    <xf numFmtId="3" fontId="0" fillId="0" borderId="0" xfId="0" applyNumberFormat="1" applyAlignment="1">
      <alignment horizontal="right" vertical="center"/>
    </xf>
    <xf numFmtId="0" fontId="0" fillId="9" borderId="0" xfId="0" applyFill="1" applyAlignment="1">
      <alignment vertical="center"/>
    </xf>
    <xf numFmtId="0" fontId="0" fillId="9" borderId="0" xfId="0" applyFill="1" applyAlignment="1">
      <alignment horizontal="right" vertical="center"/>
    </xf>
    <xf numFmtId="164" fontId="0" fillId="9" borderId="0" xfId="1" applyNumberFormat="1" applyFont="1" applyFill="1" applyBorder="1" applyAlignment="1">
      <alignment horizontal="right" vertical="center"/>
    </xf>
    <xf numFmtId="9" fontId="0" fillId="9" borderId="0" xfId="2" applyFont="1" applyFill="1" applyBorder="1" applyAlignment="1">
      <alignment horizontal="right" vertical="center"/>
    </xf>
    <xf numFmtId="167" fontId="0" fillId="0" borderId="0" xfId="1" applyNumberFormat="1" applyFont="1" applyBorder="1" applyAlignment="1">
      <alignment vertical="center"/>
    </xf>
    <xf numFmtId="9" fontId="73" fillId="0" borderId="0" xfId="0" applyNumberFormat="1" applyFont="1" applyAlignment="1">
      <alignment horizontal="right" vertical="center"/>
    </xf>
    <xf numFmtId="0" fontId="1" fillId="0" borderId="0" xfId="0" applyFont="1" applyAlignment="1">
      <alignment vertical="center" wrapText="1"/>
    </xf>
    <xf numFmtId="0" fontId="17" fillId="0" borderId="0" xfId="0" applyFont="1" applyAlignment="1">
      <alignment horizontal="left" vertical="center" wrapText="1"/>
    </xf>
    <xf numFmtId="0" fontId="3" fillId="22" borderId="0" xfId="0" applyFont="1" applyFill="1"/>
    <xf numFmtId="0" fontId="3" fillId="22" borderId="0" xfId="0" applyFont="1" applyFill="1" applyAlignment="1">
      <alignment horizontal="right" vertical="center"/>
    </xf>
    <xf numFmtId="0" fontId="1" fillId="31" borderId="0" xfId="0" applyFont="1" applyFill="1" applyAlignment="1">
      <alignment vertical="center"/>
    </xf>
    <xf numFmtId="0" fontId="0" fillId="2" borderId="0" xfId="0" applyFill="1" applyAlignment="1">
      <alignment wrapText="1"/>
    </xf>
    <xf numFmtId="0" fontId="0" fillId="2" borderId="0" xfId="0" applyFill="1" applyAlignment="1">
      <alignment horizontal="right" vertical="center"/>
    </xf>
    <xf numFmtId="0" fontId="1" fillId="0" borderId="0" xfId="0" applyFont="1" applyAlignment="1">
      <alignment horizontal="right" vertical="center"/>
    </xf>
    <xf numFmtId="0" fontId="3" fillId="22" borderId="0" xfId="0" applyFont="1" applyFill="1" applyAlignment="1">
      <alignment vertical="center" wrapText="1"/>
    </xf>
    <xf numFmtId="0" fontId="3" fillId="33" borderId="0" xfId="0" applyFont="1" applyFill="1" applyAlignment="1">
      <alignment horizontal="center" vertical="center"/>
    </xf>
    <xf numFmtId="0" fontId="1" fillId="31" borderId="0" xfId="0" applyFont="1" applyFill="1" applyAlignment="1">
      <alignment vertical="center" wrapText="1"/>
    </xf>
    <xf numFmtId="164" fontId="1" fillId="31" borderId="0" xfId="0" applyNumberFormat="1" applyFont="1" applyFill="1" applyAlignment="1">
      <alignment horizontal="right" vertical="center"/>
    </xf>
    <xf numFmtId="164" fontId="1" fillId="4" borderId="0" xfId="0" applyNumberFormat="1" applyFont="1" applyFill="1" applyAlignment="1">
      <alignment horizontal="right" vertical="center"/>
    </xf>
    <xf numFmtId="164" fontId="21" fillId="31" borderId="0" xfId="2" applyNumberFormat="1" applyFont="1" applyFill="1" applyBorder="1" applyAlignment="1">
      <alignment horizontal="right" vertical="center"/>
    </xf>
    <xf numFmtId="164" fontId="4" fillId="0" borderId="0" xfId="1" applyNumberFormat="1" applyFont="1" applyBorder="1" applyAlignment="1">
      <alignment wrapText="1"/>
    </xf>
    <xf numFmtId="0" fontId="4" fillId="0" borderId="0" xfId="0" applyFont="1" applyAlignment="1">
      <alignment wrapText="1"/>
    </xf>
    <xf numFmtId="164" fontId="2" fillId="0" borderId="0" xfId="1" applyNumberFormat="1" applyFont="1" applyBorder="1" applyAlignment="1">
      <alignment wrapText="1"/>
    </xf>
    <xf numFmtId="164" fontId="2" fillId="0" borderId="0" xfId="1" applyNumberFormat="1" applyFont="1" applyBorder="1" applyAlignment="1">
      <alignment horizontal="right" vertical="center"/>
    </xf>
    <xf numFmtId="164" fontId="0" fillId="0" borderId="0" xfId="0" applyNumberFormat="1" applyAlignment="1">
      <alignment horizontal="right" vertical="center"/>
    </xf>
    <xf numFmtId="0" fontId="0" fillId="4" borderId="0" xfId="0" applyFill="1" applyAlignment="1">
      <alignment wrapText="1"/>
    </xf>
    <xf numFmtId="0" fontId="0" fillId="4" borderId="0" xfId="0" applyFill="1" applyAlignment="1">
      <alignment horizontal="right" vertical="center"/>
    </xf>
    <xf numFmtId="0" fontId="1" fillId="4" borderId="0" xfId="0" applyFont="1" applyFill="1" applyAlignment="1">
      <alignment wrapText="1"/>
    </xf>
    <xf numFmtId="0" fontId="1" fillId="4" borderId="0" xfId="0" applyFont="1" applyFill="1" applyAlignment="1">
      <alignment horizontal="right" vertical="center"/>
    </xf>
    <xf numFmtId="164" fontId="0" fillId="4" borderId="0" xfId="0" applyNumberFormat="1" applyFill="1" applyAlignment="1">
      <alignment horizontal="right" vertical="center"/>
    </xf>
    <xf numFmtId="0" fontId="2" fillId="4" borderId="0" xfId="0" applyFont="1" applyFill="1"/>
    <xf numFmtId="0" fontId="2" fillId="4" borderId="0" xfId="0" applyFont="1" applyFill="1" applyAlignment="1">
      <alignment wrapText="1"/>
    </xf>
    <xf numFmtId="0" fontId="2" fillId="4" borderId="0" xfId="0" applyFont="1" applyFill="1" applyAlignment="1">
      <alignment horizontal="right" vertical="center"/>
    </xf>
    <xf numFmtId="0" fontId="4" fillId="4" borderId="0" xfId="0" applyFont="1" applyFill="1"/>
    <xf numFmtId="0" fontId="4" fillId="4" borderId="0" xfId="0" applyFont="1" applyFill="1" applyAlignment="1">
      <alignment wrapText="1"/>
    </xf>
    <xf numFmtId="0" fontId="4" fillId="4" borderId="0" xfId="0" applyFont="1" applyFill="1" applyAlignment="1">
      <alignment horizontal="right" vertical="center"/>
    </xf>
    <xf numFmtId="0" fontId="3" fillId="4" borderId="0" xfId="0" applyFont="1" applyFill="1"/>
    <xf numFmtId="0" fontId="3" fillId="4" borderId="0" xfId="0" applyFont="1" applyFill="1" applyAlignment="1">
      <alignment wrapText="1"/>
    </xf>
    <xf numFmtId="0" fontId="3" fillId="4" borderId="0" xfId="0" applyFont="1" applyFill="1" applyAlignment="1">
      <alignment horizontal="right" vertical="center"/>
    </xf>
    <xf numFmtId="164" fontId="1" fillId="4" borderId="0" xfId="0" applyNumberFormat="1" applyFont="1" applyFill="1"/>
    <xf numFmtId="0" fontId="1" fillId="4" borderId="0" xfId="0" applyFont="1" applyFill="1" applyAlignment="1">
      <alignment horizontal="center" wrapText="1"/>
    </xf>
    <xf numFmtId="0" fontId="1" fillId="4" borderId="0" xfId="0" applyFont="1" applyFill="1" applyAlignment="1">
      <alignment horizontal="left"/>
    </xf>
    <xf numFmtId="0" fontId="74" fillId="4" borderId="0" xfId="0" applyFont="1" applyFill="1" applyAlignment="1">
      <alignment horizontal="left"/>
    </xf>
    <xf numFmtId="0" fontId="74" fillId="4" borderId="0" xfId="0" applyFont="1" applyFill="1" applyAlignment="1">
      <alignment horizontal="left" wrapText="1"/>
    </xf>
    <xf numFmtId="0" fontId="74" fillId="4" borderId="0" xfId="0" applyFont="1" applyFill="1" applyAlignment="1">
      <alignment horizontal="right" vertical="center"/>
    </xf>
    <xf numFmtId="0" fontId="74" fillId="4" borderId="0" xfId="0" applyFont="1" applyFill="1"/>
    <xf numFmtId="164" fontId="74" fillId="4" borderId="0" xfId="0" applyNumberFormat="1" applyFont="1" applyFill="1"/>
    <xf numFmtId="164" fontId="1" fillId="4" borderId="0" xfId="0" applyNumberFormat="1" applyFont="1" applyFill="1" applyAlignment="1">
      <alignment wrapText="1"/>
    </xf>
    <xf numFmtId="164" fontId="0" fillId="4" borderId="0" xfId="0" applyNumberFormat="1" applyFill="1" applyAlignment="1">
      <alignment wrapText="1"/>
    </xf>
    <xf numFmtId="164" fontId="0" fillId="4" borderId="0" xfId="0" applyNumberFormat="1" applyFill="1"/>
    <xf numFmtId="0" fontId="1" fillId="31" borderId="0" xfId="0" applyFont="1" applyFill="1"/>
    <xf numFmtId="0" fontId="0" fillId="31" borderId="0" xfId="0" applyFill="1"/>
    <xf numFmtId="0" fontId="0" fillId="31" borderId="0" xfId="0" applyFill="1" applyAlignment="1">
      <alignment wrapText="1"/>
    </xf>
    <xf numFmtId="0" fontId="1" fillId="31" borderId="0" xfId="0" applyFont="1" applyFill="1" applyAlignment="1">
      <alignment horizontal="right" vertical="center"/>
    </xf>
    <xf numFmtId="164" fontId="1" fillId="31" borderId="0" xfId="1" applyNumberFormat="1" applyFont="1" applyFill="1" applyBorder="1" applyAlignment="1">
      <alignment horizontal="right" vertical="center"/>
    </xf>
    <xf numFmtId="164" fontId="1" fillId="0" borderId="0" xfId="1" applyNumberFormat="1" applyFont="1" applyBorder="1" applyAlignment="1">
      <alignment wrapText="1"/>
    </xf>
    <xf numFmtId="164" fontId="1" fillId="0" borderId="0" xfId="1" applyNumberFormat="1" applyFont="1" applyBorder="1" applyAlignment="1">
      <alignment horizontal="right" vertical="center"/>
    </xf>
    <xf numFmtId="164" fontId="7" fillId="0" borderId="0" xfId="1" applyNumberFormat="1" applyFont="1" applyBorder="1" applyAlignment="1">
      <alignment wrapText="1"/>
    </xf>
    <xf numFmtId="164" fontId="73" fillId="0" borderId="0" xfId="1" applyNumberFormat="1" applyFont="1" applyBorder="1"/>
    <xf numFmtId="0" fontId="1" fillId="0" borderId="0" xfId="0" applyFont="1" applyAlignment="1">
      <alignment wrapText="1"/>
    </xf>
    <xf numFmtId="3" fontId="0" fillId="4" borderId="0" xfId="0" applyNumberFormat="1" applyFill="1"/>
    <xf numFmtId="9" fontId="1" fillId="4" borderId="0" xfId="2" applyFont="1" applyFill="1" applyBorder="1"/>
    <xf numFmtId="3" fontId="1" fillId="31" borderId="0" xfId="0" applyNumberFormat="1" applyFont="1" applyFill="1" applyAlignment="1">
      <alignment horizontal="left"/>
    </xf>
    <xf numFmtId="0" fontId="2" fillId="4" borderId="0" xfId="0" applyFont="1" applyFill="1" applyAlignment="1">
      <alignment vertical="center"/>
    </xf>
    <xf numFmtId="164" fontId="1" fillId="4" borderId="0" xfId="1" applyNumberFormat="1" applyFont="1" applyFill="1" applyBorder="1" applyAlignment="1">
      <alignment horizontal="left" indent="1"/>
    </xf>
    <xf numFmtId="3" fontId="1" fillId="4" borderId="0" xfId="0" applyNumberFormat="1" applyFont="1" applyFill="1" applyAlignment="1">
      <alignment horizontal="left"/>
    </xf>
    <xf numFmtId="0" fontId="20" fillId="22" borderId="0" xfId="0" applyFont="1" applyFill="1"/>
    <xf numFmtId="0" fontId="2" fillId="9" borderId="0" xfId="0" applyFont="1" applyFill="1"/>
    <xf numFmtId="0" fontId="24" fillId="4" borderId="0" xfId="0" applyFont="1" applyFill="1"/>
    <xf numFmtId="164" fontId="3" fillId="4" borderId="0" xfId="1" applyNumberFormat="1" applyFont="1" applyFill="1" applyBorder="1" applyAlignment="1">
      <alignment horizontal="left" indent="1"/>
    </xf>
    <xf numFmtId="43" fontId="20" fillId="22" borderId="0" xfId="1" applyFont="1" applyFill="1" applyBorder="1" applyAlignment="1"/>
    <xf numFmtId="43" fontId="1" fillId="31" borderId="0" xfId="1" applyFont="1" applyFill="1" applyBorder="1" applyAlignment="1">
      <alignment horizontal="left" indent="1"/>
    </xf>
    <xf numFmtId="43" fontId="2" fillId="0" borderId="0" xfId="1" applyFont="1" applyBorder="1" applyAlignment="1">
      <alignment horizontal="left" indent="1"/>
    </xf>
    <xf numFmtId="43" fontId="4" fillId="0" borderId="0" xfId="1" applyFont="1" applyBorder="1" applyAlignment="1">
      <alignment horizontal="left" indent="1"/>
    </xf>
    <xf numFmtId="43" fontId="2" fillId="4" borderId="0" xfId="1" applyFont="1" applyFill="1" applyBorder="1" applyAlignment="1">
      <alignment horizontal="left" indent="1"/>
    </xf>
    <xf numFmtId="43" fontId="4" fillId="0" borderId="0" xfId="1" applyFont="1" applyBorder="1" applyAlignment="1">
      <alignment horizontal="left" indent="2"/>
    </xf>
    <xf numFmtId="43" fontId="0" fillId="0" borderId="0" xfId="1" applyFont="1" applyBorder="1"/>
    <xf numFmtId="164" fontId="4" fillId="0" borderId="0" xfId="1" applyNumberFormat="1" applyFont="1" applyBorder="1" applyAlignment="1">
      <alignment vertical="center" wrapText="1"/>
    </xf>
    <xf numFmtId="3" fontId="4" fillId="0" borderId="0" xfId="0" applyNumberFormat="1" applyFont="1" applyAlignment="1">
      <alignment horizontal="right" vertical="center"/>
    </xf>
    <xf numFmtId="164" fontId="75" fillId="0" borderId="0" xfId="1" applyNumberFormat="1" applyFont="1" applyBorder="1"/>
    <xf numFmtId="164" fontId="7" fillId="0" borderId="0" xfId="1" applyNumberFormat="1" applyFont="1" applyBorder="1" applyAlignment="1">
      <alignment horizontal="right" vertical="center"/>
    </xf>
    <xf numFmtId="164" fontId="4" fillId="0" borderId="0" xfId="1" applyNumberFormat="1" applyFont="1" applyBorder="1" applyAlignment="1">
      <alignment horizontal="right" vertical="center"/>
    </xf>
    <xf numFmtId="9" fontId="75" fillId="0" borderId="0" xfId="2" applyFont="1" applyBorder="1"/>
    <xf numFmtId="9" fontId="7" fillId="0" borderId="0" xfId="2" applyFont="1" applyBorder="1" applyAlignment="1">
      <alignment horizontal="right" vertical="center"/>
    </xf>
    <xf numFmtId="9" fontId="4" fillId="0" borderId="0" xfId="0" applyNumberFormat="1" applyFont="1" applyAlignment="1">
      <alignment horizontal="right" vertical="center"/>
    </xf>
    <xf numFmtId="43" fontId="2" fillId="9" borderId="0" xfId="1" applyFont="1" applyFill="1" applyBorder="1" applyAlignment="1">
      <alignment horizontal="left" indent="2"/>
    </xf>
    <xf numFmtId="0" fontId="21" fillId="2" borderId="0" xfId="0" applyFont="1" applyFill="1" applyAlignment="1">
      <alignment horizontal="center" vertical="center" wrapText="1"/>
    </xf>
    <xf numFmtId="43" fontId="21" fillId="0" borderId="0" xfId="1" applyFont="1" applyBorder="1"/>
    <xf numFmtId="43" fontId="21" fillId="0" borderId="0" xfId="1" applyFont="1"/>
    <xf numFmtId="43" fontId="12" fillId="0" borderId="0" xfId="1" applyFont="1"/>
    <xf numFmtId="43" fontId="30" fillId="0" borderId="0" xfId="1" applyFont="1" applyBorder="1"/>
    <xf numFmtId="43" fontId="30" fillId="0" borderId="0" xfId="1" applyFont="1"/>
    <xf numFmtId="43" fontId="30" fillId="0" borderId="0" xfId="1" applyFont="1" applyAlignment="1">
      <alignment horizontal="right"/>
    </xf>
    <xf numFmtId="43" fontId="12" fillId="0" borderId="0" xfId="0" applyNumberFormat="1" applyFont="1"/>
    <xf numFmtId="0" fontId="21" fillId="0" borderId="0" xfId="0" applyFont="1" applyAlignment="1">
      <alignment horizontal="center" vertical="center" wrapText="1"/>
    </xf>
    <xf numFmtId="165" fontId="30" fillId="0" borderId="0" xfId="2" applyNumberFormat="1" applyFont="1"/>
    <xf numFmtId="43" fontId="30" fillId="0" borderId="0" xfId="1" applyFont="1" applyFill="1" applyBorder="1"/>
    <xf numFmtId="9" fontId="30" fillId="0" borderId="0" xfId="2" applyFont="1"/>
    <xf numFmtId="43" fontId="30" fillId="0" borderId="0" xfId="0" applyNumberFormat="1" applyFont="1"/>
    <xf numFmtId="0" fontId="30" fillId="0" borderId="0" xfId="0" applyFont="1" applyAlignment="1">
      <alignment horizontal="left" indent="1"/>
    </xf>
    <xf numFmtId="0" fontId="30" fillId="0" borderId="0" xfId="0" applyFont="1" applyAlignment="1">
      <alignment horizontal="right"/>
    </xf>
    <xf numFmtId="43" fontId="30" fillId="0" borderId="0" xfId="0" applyNumberFormat="1" applyFont="1" applyAlignment="1">
      <alignment horizontal="right"/>
    </xf>
    <xf numFmtId="0" fontId="21" fillId="4" borderId="0" xfId="0" applyFont="1" applyFill="1" applyAlignment="1">
      <alignment horizontal="center" vertical="center"/>
    </xf>
    <xf numFmtId="0" fontId="21" fillId="4" borderId="0" xfId="0" applyFont="1" applyFill="1" applyAlignment="1">
      <alignment horizontal="center" vertical="center" wrapText="1"/>
    </xf>
    <xf numFmtId="184" fontId="0" fillId="4" borderId="0" xfId="0" applyNumberFormat="1" applyFill="1"/>
    <xf numFmtId="182" fontId="0" fillId="4" borderId="0" xfId="0" applyNumberFormat="1" applyFill="1"/>
    <xf numFmtId="184" fontId="1" fillId="4" borderId="0" xfId="0" applyNumberFormat="1" applyFont="1" applyFill="1"/>
    <xf numFmtId="0" fontId="1" fillId="39" borderId="0" xfId="0" applyFont="1" applyFill="1"/>
    <xf numFmtId="0" fontId="1" fillId="39" borderId="0" xfId="0" applyFont="1" applyFill="1" applyAlignment="1">
      <alignment wrapText="1"/>
    </xf>
    <xf numFmtId="164" fontId="1" fillId="39" borderId="0" xfId="0" applyNumberFormat="1" applyFont="1" applyFill="1" applyAlignment="1">
      <alignment horizontal="right" vertical="center"/>
    </xf>
    <xf numFmtId="164" fontId="1" fillId="39" borderId="0" xfId="1" applyNumberFormat="1" applyFont="1" applyFill="1" applyBorder="1" applyAlignment="1">
      <alignment horizontal="right" vertical="center"/>
    </xf>
    <xf numFmtId="0" fontId="23" fillId="0" borderId="0" xfId="0" applyFont="1"/>
    <xf numFmtId="0" fontId="30" fillId="0" borderId="0" xfId="0" quotePrefix="1" applyFont="1" applyAlignment="1">
      <alignment vertical="center"/>
    </xf>
    <xf numFmtId="0" fontId="42" fillId="0" borderId="0" xfId="0" applyFont="1"/>
    <xf numFmtId="3" fontId="1" fillId="0" borderId="0" xfId="0" applyNumberFormat="1" applyFont="1"/>
    <xf numFmtId="0" fontId="21" fillId="4" borderId="0" xfId="0" applyFont="1" applyFill="1" applyAlignment="1">
      <alignment vertical="center"/>
    </xf>
    <xf numFmtId="0" fontId="21" fillId="4" borderId="0" xfId="0" applyFont="1" applyFill="1"/>
    <xf numFmtId="167" fontId="30" fillId="4" borderId="0" xfId="1" applyNumberFormat="1" applyFont="1" applyFill="1"/>
    <xf numFmtId="164" fontId="21" fillId="4" borderId="0" xfId="1" applyNumberFormat="1" applyFont="1" applyFill="1" applyBorder="1" applyAlignment="1">
      <alignment horizontal="center" vertical="center"/>
    </xf>
    <xf numFmtId="164" fontId="21" fillId="4" borderId="0" xfId="0" applyNumberFormat="1" applyFont="1" applyFill="1" applyAlignment="1">
      <alignment horizontal="center" vertical="center"/>
    </xf>
    <xf numFmtId="176" fontId="100" fillId="0" borderId="29" xfId="12" applyNumberFormat="1" applyFont="1" applyBorder="1" applyAlignment="1"/>
    <xf numFmtId="173" fontId="100" fillId="0" borderId="29" xfId="11" applyNumberFormat="1" applyFont="1" applyBorder="1" applyAlignment="1"/>
    <xf numFmtId="172" fontId="100" fillId="0" borderId="49" xfId="27" applyNumberFormat="1" applyFont="1" applyBorder="1"/>
    <xf numFmtId="0" fontId="100" fillId="0" borderId="0" xfId="27" applyFont="1"/>
    <xf numFmtId="173" fontId="100" fillId="0" borderId="0" xfId="27" applyNumberFormat="1" applyFont="1"/>
    <xf numFmtId="173" fontId="100" fillId="0" borderId="29" xfId="11" applyNumberFormat="1" applyFont="1" applyFill="1" applyBorder="1" applyAlignment="1"/>
    <xf numFmtId="0" fontId="100" fillId="0" borderId="29" xfId="27" applyFont="1" applyBorder="1" applyAlignment="1">
      <alignment horizontal="left" vertical="center" readingOrder="1"/>
    </xf>
    <xf numFmtId="0" fontId="100" fillId="0" borderId="29" xfId="27" applyFont="1" applyBorder="1" applyAlignment="1">
      <alignment horizontal="center" vertical="center" readingOrder="1"/>
    </xf>
    <xf numFmtId="0" fontId="100" fillId="0" borderId="0" xfId="27" applyFont="1" applyAlignment="1">
      <alignment vertical="center"/>
    </xf>
    <xf numFmtId="176" fontId="100" fillId="0" borderId="29" xfId="12" applyNumberFormat="1" applyFont="1" applyBorder="1" applyAlignment="1">
      <alignment vertical="center"/>
    </xf>
    <xf numFmtId="172" fontId="100" fillId="0" borderId="49" xfId="27" applyNumberFormat="1" applyFont="1" applyBorder="1" applyAlignment="1">
      <alignment vertical="center"/>
    </xf>
    <xf numFmtId="173" fontId="100" fillId="0" borderId="29" xfId="11" applyNumberFormat="1" applyFont="1" applyBorder="1" applyAlignment="1">
      <alignment vertical="center"/>
    </xf>
    <xf numFmtId="173" fontId="100" fillId="0" borderId="29" xfId="11" applyNumberFormat="1" applyFont="1" applyFill="1" applyBorder="1" applyAlignment="1">
      <alignment vertical="center"/>
    </xf>
    <xf numFmtId="176" fontId="37" fillId="0" borderId="29" xfId="12" applyNumberFormat="1" applyFont="1" applyFill="1" applyBorder="1" applyAlignment="1"/>
    <xf numFmtId="3" fontId="23" fillId="0" borderId="0" xfId="27" applyNumberFormat="1" applyFont="1"/>
    <xf numFmtId="171" fontId="43" fillId="0" borderId="0" xfId="27" applyNumberFormat="1" applyFont="1" applyAlignment="1">
      <alignment horizontal="right"/>
    </xf>
    <xf numFmtId="3" fontId="43" fillId="0" borderId="0" xfId="27" applyNumberFormat="1" applyFont="1" applyAlignment="1">
      <alignment horizontal="right"/>
    </xf>
    <xf numFmtId="176" fontId="43" fillId="0" borderId="0" xfId="12" applyNumberFormat="1" applyFont="1" applyBorder="1" applyAlignment="1">
      <alignment horizontal="right"/>
    </xf>
    <xf numFmtId="49" fontId="44" fillId="25" borderId="44" xfId="27" applyNumberFormat="1" applyFont="1" applyFill="1" applyBorder="1" applyAlignment="1">
      <alignment horizontal="right"/>
    </xf>
    <xf numFmtId="49" fontId="44" fillId="25" borderId="45" xfId="27" applyNumberFormat="1" applyFont="1" applyFill="1" applyBorder="1" applyAlignment="1">
      <alignment horizontal="right"/>
    </xf>
    <xf numFmtId="3" fontId="44" fillId="25" borderId="0" xfId="27" applyNumberFormat="1" applyFont="1" applyFill="1" applyAlignment="1">
      <alignment horizontal="right"/>
    </xf>
    <xf numFmtId="0" fontId="44" fillId="22" borderId="44" xfId="12" applyNumberFormat="1" applyFont="1" applyFill="1" applyBorder="1" applyAlignment="1">
      <alignment horizontal="right"/>
    </xf>
    <xf numFmtId="173" fontId="37" fillId="0" borderId="29" xfId="11" applyNumberFormat="1" applyFont="1" applyBorder="1" applyAlignment="1">
      <alignment horizontal="right"/>
    </xf>
    <xf numFmtId="173" fontId="37" fillId="0" borderId="44" xfId="11" applyNumberFormat="1" applyFont="1" applyBorder="1" applyAlignment="1">
      <alignment horizontal="right"/>
    </xf>
    <xf numFmtId="176" fontId="100" fillId="0" borderId="29" xfId="12" applyNumberFormat="1" applyFont="1" applyBorder="1" applyAlignment="1">
      <alignment horizontal="right"/>
    </xf>
    <xf numFmtId="176" fontId="100" fillId="0" borderId="44" xfId="12" applyNumberFormat="1" applyFont="1" applyBorder="1" applyAlignment="1">
      <alignment horizontal="right"/>
    </xf>
    <xf numFmtId="176" fontId="100" fillId="0" borderId="29" xfId="12" applyNumberFormat="1" applyFont="1" applyBorder="1" applyAlignment="1">
      <alignment horizontal="right" vertical="center"/>
    </xf>
    <xf numFmtId="176" fontId="100" fillId="0" borderId="44" xfId="12" applyNumberFormat="1" applyFont="1" applyBorder="1" applyAlignment="1">
      <alignment horizontal="right" vertical="center"/>
    </xf>
    <xf numFmtId="176" fontId="37" fillId="0" borderId="29" xfId="12" applyNumberFormat="1" applyFont="1" applyBorder="1" applyAlignment="1">
      <alignment horizontal="right"/>
    </xf>
    <xf numFmtId="176" fontId="37" fillId="0" borderId="44" xfId="12" applyNumberFormat="1" applyFont="1" applyBorder="1" applyAlignment="1">
      <alignment horizontal="right"/>
    </xf>
    <xf numFmtId="176" fontId="43" fillId="0" borderId="29" xfId="12" applyNumberFormat="1" applyFont="1" applyBorder="1" applyAlignment="1">
      <alignment horizontal="right"/>
    </xf>
    <xf numFmtId="176" fontId="43" fillId="0" borderId="44" xfId="12" applyNumberFormat="1" applyFont="1" applyBorder="1" applyAlignment="1">
      <alignment horizontal="right"/>
    </xf>
    <xf numFmtId="173" fontId="37" fillId="15" borderId="29" xfId="11" applyNumberFormat="1" applyFont="1" applyFill="1" applyBorder="1" applyAlignment="1">
      <alignment horizontal="right"/>
    </xf>
    <xf numFmtId="173" fontId="37" fillId="15" borderId="44" xfId="11" applyNumberFormat="1" applyFont="1" applyFill="1" applyBorder="1" applyAlignment="1">
      <alignment horizontal="right"/>
    </xf>
    <xf numFmtId="174" fontId="43" fillId="0" borderId="0" xfId="27" applyNumberFormat="1" applyFont="1" applyAlignment="1">
      <alignment horizontal="right"/>
    </xf>
    <xf numFmtId="176" fontId="43" fillId="0" borderId="0" xfId="13" applyNumberFormat="1" applyFont="1" applyAlignment="1">
      <alignment horizontal="right"/>
    </xf>
    <xf numFmtId="10" fontId="43" fillId="0" borderId="0" xfId="13" applyNumberFormat="1" applyFont="1" applyAlignment="1">
      <alignment horizontal="right"/>
    </xf>
    <xf numFmtId="0" fontId="43" fillId="0" borderId="0" xfId="27" applyFont="1" applyAlignment="1">
      <alignment horizontal="right"/>
    </xf>
    <xf numFmtId="0" fontId="1" fillId="0" borderId="0" xfId="27" applyFont="1" applyAlignment="1">
      <alignment horizontal="right"/>
    </xf>
    <xf numFmtId="173" fontId="1" fillId="0" borderId="0" xfId="27" applyNumberFormat="1" applyFont="1" applyAlignment="1">
      <alignment horizontal="right"/>
    </xf>
    <xf numFmtId="176" fontId="7" fillId="0" borderId="0" xfId="27" applyNumberFormat="1" applyAlignment="1">
      <alignment horizontal="right"/>
    </xf>
    <xf numFmtId="0" fontId="0" fillId="0" borderId="0" xfId="0" applyAlignment="1">
      <alignment horizontal="center" vertical="center"/>
    </xf>
    <xf numFmtId="173" fontId="103" fillId="0" borderId="29" xfId="11" applyNumberFormat="1" applyFont="1" applyBorder="1" applyAlignment="1"/>
    <xf numFmtId="0" fontId="104" fillId="0" borderId="0" xfId="27" applyFont="1"/>
    <xf numFmtId="0" fontId="104" fillId="0" borderId="29" xfId="27" applyFont="1" applyBorder="1" applyAlignment="1">
      <alignment horizontal="left" vertical="center" readingOrder="1"/>
    </xf>
    <xf numFmtId="0" fontId="104" fillId="0" borderId="29" xfId="27" applyFont="1" applyBorder="1" applyAlignment="1">
      <alignment horizontal="center" vertical="center" readingOrder="1"/>
    </xf>
    <xf numFmtId="176" fontId="104" fillId="0" borderId="29" xfId="12" applyNumberFormat="1" applyFont="1" applyBorder="1" applyAlignment="1">
      <alignment horizontal="right"/>
    </xf>
    <xf numFmtId="176" fontId="104" fillId="0" borderId="44" xfId="12" applyNumberFormat="1" applyFont="1" applyBorder="1" applyAlignment="1">
      <alignment horizontal="right"/>
    </xf>
    <xf numFmtId="172" fontId="104" fillId="0" borderId="49" xfId="27" applyNumberFormat="1" applyFont="1" applyBorder="1"/>
    <xf numFmtId="173" fontId="104" fillId="0" borderId="29" xfId="11" applyNumberFormat="1" applyFont="1" applyBorder="1" applyAlignment="1"/>
    <xf numFmtId="176" fontId="104" fillId="0" borderId="29" xfId="12" applyNumberFormat="1" applyFont="1" applyBorder="1" applyAlignment="1"/>
    <xf numFmtId="173" fontId="104" fillId="0" borderId="29" xfId="11" applyNumberFormat="1" applyFont="1" applyFill="1" applyBorder="1" applyAlignment="1"/>
    <xf numFmtId="173" fontId="104" fillId="0" borderId="0" xfId="27" applyNumberFormat="1" applyFont="1"/>
    <xf numFmtId="173" fontId="105" fillId="0" borderId="29" xfId="11" applyNumberFormat="1" applyFont="1" applyBorder="1" applyAlignment="1"/>
    <xf numFmtId="0" fontId="12" fillId="4" borderId="0" xfId="27" applyFont="1" applyFill="1" applyAlignment="1">
      <alignment horizontal="center"/>
    </xf>
    <xf numFmtId="49" fontId="7" fillId="4" borderId="0" xfId="27" applyNumberFormat="1" applyFill="1" applyAlignment="1">
      <alignment horizontal="center"/>
    </xf>
    <xf numFmtId="49" fontId="12" fillId="4" borderId="0" xfId="27" applyNumberFormat="1" applyFont="1" applyFill="1" applyAlignment="1">
      <alignment horizontal="center"/>
    </xf>
    <xf numFmtId="41" fontId="12" fillId="4" borderId="0" xfId="11" applyNumberFormat="1" applyFont="1" applyFill="1" applyAlignment="1"/>
    <xf numFmtId="41" fontId="7" fillId="4" borderId="0" xfId="27" applyNumberFormat="1" applyFill="1"/>
    <xf numFmtId="0" fontId="7" fillId="4" borderId="0" xfId="27" applyFill="1" applyAlignment="1">
      <alignment horizontal="center"/>
    </xf>
    <xf numFmtId="0" fontId="8" fillId="4" borderId="0" xfId="27" applyFont="1" applyFill="1" applyAlignment="1">
      <alignment horizontal="center"/>
    </xf>
    <xf numFmtId="41" fontId="7" fillId="4" borderId="0" xfId="11" applyNumberFormat="1" applyFont="1" applyFill="1" applyAlignment="1"/>
    <xf numFmtId="41" fontId="7" fillId="4" borderId="0" xfId="11" applyNumberFormat="1" applyFont="1" applyFill="1" applyBorder="1" applyAlignment="1"/>
    <xf numFmtId="0" fontId="12" fillId="4" borderId="0" xfId="27" applyFont="1" applyFill="1"/>
    <xf numFmtId="0" fontId="100" fillId="41" borderId="29" xfId="27" applyFont="1" applyFill="1" applyBorder="1"/>
    <xf numFmtId="0" fontId="100" fillId="41" borderId="29" xfId="27" applyFont="1" applyFill="1" applyBorder="1" applyAlignment="1">
      <alignment horizontal="center"/>
    </xf>
    <xf numFmtId="3" fontId="100" fillId="41" borderId="0" xfId="27" applyNumberFormat="1" applyFont="1" applyFill="1"/>
    <xf numFmtId="176" fontId="100" fillId="41" borderId="29" xfId="12" applyNumberFormat="1" applyFont="1" applyFill="1" applyBorder="1" applyAlignment="1"/>
    <xf numFmtId="176" fontId="100" fillId="41" borderId="44" xfId="12" applyNumberFormat="1" applyFont="1" applyFill="1" applyBorder="1" applyAlignment="1"/>
    <xf numFmtId="172" fontId="100" fillId="4" borderId="49" xfId="27" applyNumberFormat="1" applyFont="1" applyFill="1" applyBorder="1"/>
    <xf numFmtId="173" fontId="100" fillId="41" borderId="29" xfId="11" applyNumberFormat="1" applyFont="1" applyFill="1" applyBorder="1" applyAlignment="1"/>
    <xf numFmtId="173" fontId="100" fillId="4" borderId="29" xfId="11" applyNumberFormat="1" applyFont="1" applyFill="1" applyBorder="1" applyAlignment="1"/>
    <xf numFmtId="0" fontId="100" fillId="4" borderId="0" xfId="27" applyFont="1" applyFill="1"/>
    <xf numFmtId="173" fontId="100" fillId="4" borderId="0" xfId="27" applyNumberFormat="1" applyFont="1" applyFill="1"/>
    <xf numFmtId="0" fontId="43" fillId="4" borderId="29" xfId="27" applyFont="1" applyFill="1" applyBorder="1" applyAlignment="1">
      <alignment horizontal="center"/>
    </xf>
    <xf numFmtId="176" fontId="100" fillId="4" borderId="29" xfId="12" applyNumberFormat="1" applyFont="1" applyFill="1" applyBorder="1" applyAlignment="1"/>
    <xf numFmtId="176" fontId="100" fillId="4" borderId="44" xfId="12" applyNumberFormat="1" applyFont="1" applyFill="1" applyBorder="1" applyAlignment="1"/>
    <xf numFmtId="172" fontId="43" fillId="4" borderId="49" xfId="27" applyNumberFormat="1" applyFont="1" applyFill="1" applyBorder="1"/>
    <xf numFmtId="0" fontId="37" fillId="41" borderId="29" xfId="27" applyFont="1" applyFill="1" applyBorder="1"/>
    <xf numFmtId="0" fontId="37" fillId="41" borderId="29" xfId="27" applyFont="1" applyFill="1" applyBorder="1" applyAlignment="1">
      <alignment horizontal="center"/>
    </xf>
    <xf numFmtId="173" fontId="37" fillId="41" borderId="29" xfId="11" applyNumberFormat="1" applyFont="1" applyFill="1" applyBorder="1" applyAlignment="1"/>
    <xf numFmtId="176" fontId="37" fillId="41" borderId="29" xfId="12" applyNumberFormat="1" applyFont="1" applyFill="1" applyBorder="1" applyAlignment="1"/>
    <xf numFmtId="176" fontId="37" fillId="41" borderId="44" xfId="12" applyNumberFormat="1" applyFont="1" applyFill="1" applyBorder="1" applyAlignment="1"/>
    <xf numFmtId="172" fontId="37" fillId="4" borderId="49" xfId="27" applyNumberFormat="1" applyFont="1" applyFill="1" applyBorder="1"/>
    <xf numFmtId="176" fontId="37" fillId="4" borderId="29" xfId="12" applyNumberFormat="1" applyFont="1" applyFill="1" applyBorder="1" applyAlignment="1"/>
    <xf numFmtId="0" fontId="100" fillId="4" borderId="29" xfId="27" applyFont="1" applyFill="1" applyBorder="1" applyAlignment="1">
      <alignment horizontal="left"/>
    </xf>
    <xf numFmtId="0" fontId="100" fillId="4" borderId="29" xfId="27" applyFont="1" applyFill="1" applyBorder="1" applyAlignment="1">
      <alignment horizontal="center"/>
    </xf>
    <xf numFmtId="3" fontId="100" fillId="4" borderId="0" xfId="27" applyNumberFormat="1" applyFont="1" applyFill="1"/>
    <xf numFmtId="173" fontId="106" fillId="4" borderId="29" xfId="11" applyNumberFormat="1" applyFont="1" applyFill="1" applyBorder="1" applyAlignment="1"/>
    <xf numFmtId="0" fontId="47" fillId="41" borderId="29" xfId="27" applyFont="1" applyFill="1" applyBorder="1" applyAlignment="1">
      <alignment horizontal="left"/>
    </xf>
    <xf numFmtId="173" fontId="37" fillId="41" borderId="44" xfId="11" applyNumberFormat="1" applyFont="1" applyFill="1" applyBorder="1" applyAlignment="1"/>
    <xf numFmtId="0" fontId="100" fillId="4" borderId="29" xfId="27" applyFont="1" applyFill="1" applyBorder="1"/>
    <xf numFmtId="176" fontId="43" fillId="4" borderId="29" xfId="12" applyNumberFormat="1" applyFont="1" applyFill="1" applyBorder="1" applyAlignment="1"/>
    <xf numFmtId="176" fontId="43" fillId="4" borderId="44" xfId="12" applyNumberFormat="1" applyFont="1" applyFill="1" applyBorder="1" applyAlignment="1"/>
    <xf numFmtId="0" fontId="47" fillId="4" borderId="29" xfId="27" applyFont="1" applyFill="1" applyBorder="1"/>
    <xf numFmtId="0" fontId="47" fillId="41" borderId="29" xfId="27" applyFont="1" applyFill="1" applyBorder="1"/>
    <xf numFmtId="0" fontId="100" fillId="37" borderId="29" xfId="27" applyFont="1" applyFill="1" applyBorder="1"/>
    <xf numFmtId="0" fontId="47" fillId="37" borderId="29" xfId="27" applyFont="1" applyFill="1" applyBorder="1"/>
    <xf numFmtId="0" fontId="37" fillId="4" borderId="29" xfId="27" applyFont="1" applyFill="1" applyBorder="1" applyAlignment="1">
      <alignment horizontal="center"/>
    </xf>
    <xf numFmtId="173" fontId="37" fillId="4" borderId="44" xfId="11" applyNumberFormat="1" applyFont="1" applyFill="1" applyBorder="1" applyAlignment="1"/>
    <xf numFmtId="0" fontId="43" fillId="41" borderId="29" xfId="27" applyFont="1" applyFill="1" applyBorder="1"/>
    <xf numFmtId="0" fontId="43" fillId="41" borderId="29" xfId="27" applyFont="1" applyFill="1" applyBorder="1" applyAlignment="1">
      <alignment horizontal="center"/>
    </xf>
    <xf numFmtId="176" fontId="43" fillId="41" borderId="29" xfId="12" applyNumberFormat="1" applyFont="1" applyFill="1" applyBorder="1" applyAlignment="1"/>
    <xf numFmtId="176" fontId="43" fillId="41" borderId="44" xfId="12" applyNumberFormat="1" applyFont="1" applyFill="1" applyBorder="1" applyAlignment="1"/>
    <xf numFmtId="173" fontId="43" fillId="41" borderId="29" xfId="11" applyNumberFormat="1" applyFont="1" applyFill="1" applyBorder="1" applyAlignment="1"/>
    <xf numFmtId="172" fontId="63" fillId="4" borderId="49" xfId="27" applyNumberFormat="1" applyFont="1" applyFill="1" applyBorder="1"/>
    <xf numFmtId="0" fontId="43" fillId="41" borderId="29" xfId="27" applyFont="1" applyFill="1" applyBorder="1" applyAlignment="1">
      <alignment horizontal="left"/>
    </xf>
    <xf numFmtId="9" fontId="43" fillId="4" borderId="29" xfId="13" applyFont="1" applyFill="1" applyBorder="1" applyAlignment="1"/>
    <xf numFmtId="9" fontId="43" fillId="4" borderId="44" xfId="13" applyFont="1" applyFill="1" applyBorder="1" applyAlignment="1"/>
    <xf numFmtId="9" fontId="43" fillId="4" borderId="0" xfId="13" applyFont="1" applyFill="1" applyBorder="1" applyAlignment="1"/>
    <xf numFmtId="9" fontId="43" fillId="4" borderId="49" xfId="13" applyFont="1" applyFill="1" applyBorder="1" applyAlignment="1"/>
    <xf numFmtId="0" fontId="101" fillId="41" borderId="29" xfId="27" applyFont="1" applyFill="1" applyBorder="1"/>
    <xf numFmtId="0" fontId="101" fillId="41" borderId="29" xfId="27" applyFont="1" applyFill="1" applyBorder="1" applyAlignment="1">
      <alignment horizontal="center"/>
    </xf>
    <xf numFmtId="3" fontId="101" fillId="41" borderId="0" xfId="27" applyNumberFormat="1" applyFont="1" applyFill="1"/>
    <xf numFmtId="176" fontId="101" fillId="41" borderId="29" xfId="12" applyNumberFormat="1" applyFont="1" applyFill="1" applyBorder="1" applyAlignment="1"/>
    <xf numFmtId="176" fontId="101" fillId="41" borderId="44" xfId="12" applyNumberFormat="1" applyFont="1" applyFill="1" applyBorder="1" applyAlignment="1"/>
    <xf numFmtId="172" fontId="101" fillId="4" borderId="49" xfId="27" applyNumberFormat="1" applyFont="1" applyFill="1" applyBorder="1"/>
    <xf numFmtId="173" fontId="101" fillId="41" borderId="29" xfId="11" applyNumberFormat="1" applyFont="1" applyFill="1" applyBorder="1" applyAlignment="1"/>
    <xf numFmtId="173" fontId="101" fillId="4" borderId="29" xfId="11" applyNumberFormat="1" applyFont="1" applyFill="1" applyBorder="1" applyAlignment="1"/>
    <xf numFmtId="0" fontId="101" fillId="4" borderId="0" xfId="27" applyFont="1" applyFill="1"/>
    <xf numFmtId="173" fontId="101" fillId="4" borderId="0" xfId="27" applyNumberFormat="1" applyFont="1" applyFill="1"/>
    <xf numFmtId="0" fontId="37" fillId="42" borderId="29" xfId="27" applyFont="1" applyFill="1" applyBorder="1"/>
    <xf numFmtId="0" fontId="37" fillId="9" borderId="29" xfId="27" applyFont="1" applyFill="1" applyBorder="1" applyAlignment="1">
      <alignment horizontal="center"/>
    </xf>
    <xf numFmtId="173" fontId="63" fillId="9" borderId="29" xfId="11" applyNumberFormat="1" applyFont="1" applyFill="1" applyBorder="1" applyAlignment="1"/>
    <xf numFmtId="173" fontId="63" fillId="9" borderId="44" xfId="11" applyNumberFormat="1" applyFont="1" applyFill="1" applyBorder="1" applyAlignment="1"/>
    <xf numFmtId="173" fontId="63" fillId="42" borderId="29" xfId="11" applyNumberFormat="1" applyFont="1" applyFill="1" applyBorder="1" applyAlignment="1"/>
    <xf numFmtId="173" fontId="48" fillId="42" borderId="29" xfId="11" applyNumberFormat="1" applyFont="1" applyFill="1" applyBorder="1" applyAlignment="1"/>
    <xf numFmtId="173" fontId="37" fillId="9" borderId="29" xfId="11" applyNumberFormat="1" applyFont="1" applyFill="1" applyBorder="1" applyAlignment="1"/>
    <xf numFmtId="0" fontId="48" fillId="9" borderId="29" xfId="27" applyFont="1" applyFill="1" applyBorder="1" applyAlignment="1">
      <alignment horizontal="left" vertical="center" readingOrder="1"/>
    </xf>
    <xf numFmtId="0" fontId="48" fillId="9" borderId="29" xfId="27" applyFont="1" applyFill="1" applyBorder="1" applyAlignment="1">
      <alignment horizontal="center" vertical="center" readingOrder="1"/>
    </xf>
    <xf numFmtId="173" fontId="37" fillId="9" borderId="29" xfId="11" applyNumberFormat="1" applyFont="1" applyFill="1" applyBorder="1" applyAlignment="1">
      <alignment horizontal="right"/>
    </xf>
    <xf numFmtId="173" fontId="37" fillId="9" borderId="44" xfId="11" applyNumberFormat="1" applyFont="1" applyFill="1" applyBorder="1" applyAlignment="1">
      <alignment horizontal="right"/>
    </xf>
    <xf numFmtId="176" fontId="37" fillId="19" borderId="29" xfId="12" applyNumberFormat="1" applyFont="1" applyFill="1" applyBorder="1" applyAlignment="1"/>
    <xf numFmtId="173" fontId="37" fillId="19" borderId="29" xfId="11" applyNumberFormat="1" applyFont="1" applyFill="1" applyBorder="1" applyAlignment="1"/>
    <xf numFmtId="173" fontId="37" fillId="11" borderId="29" xfId="11" applyNumberFormat="1" applyFont="1" applyFill="1" applyBorder="1" applyAlignment="1"/>
    <xf numFmtId="176" fontId="37" fillId="11" borderId="29" xfId="12" applyNumberFormat="1" applyFont="1" applyFill="1" applyBorder="1" applyAlignment="1"/>
    <xf numFmtId="0" fontId="55" fillId="4" borderId="0" xfId="27" applyFont="1" applyFill="1"/>
    <xf numFmtId="173" fontId="43" fillId="4" borderId="0" xfId="11" applyNumberFormat="1" applyFont="1" applyFill="1" applyBorder="1" applyAlignment="1">
      <alignment horizontal="right"/>
    </xf>
    <xf numFmtId="43" fontId="43" fillId="4" borderId="29" xfId="1" applyFont="1" applyFill="1" applyBorder="1" applyAlignment="1"/>
    <xf numFmtId="43" fontId="62" fillId="4" borderId="29" xfId="1" applyFont="1" applyFill="1" applyBorder="1" applyAlignment="1"/>
    <xf numFmtId="43" fontId="37" fillId="0" borderId="49" xfId="1" applyFont="1" applyBorder="1" applyAlignment="1"/>
    <xf numFmtId="43" fontId="37" fillId="0" borderId="50" xfId="1" applyFont="1" applyBorder="1" applyAlignment="1"/>
    <xf numFmtId="43" fontId="37" fillId="0" borderId="0" xfId="1" applyFont="1"/>
    <xf numFmtId="43" fontId="43" fillId="4" borderId="49" xfId="1" applyFont="1" applyFill="1" applyBorder="1" applyAlignment="1"/>
    <xf numFmtId="43" fontId="43" fillId="4" borderId="50" xfId="1" applyFont="1" applyFill="1" applyBorder="1" applyAlignment="1"/>
    <xf numFmtId="43" fontId="43" fillId="4" borderId="0" xfId="1" applyFont="1" applyFill="1"/>
    <xf numFmtId="43" fontId="43" fillId="0" borderId="0" xfId="1" applyFont="1"/>
    <xf numFmtId="43" fontId="37" fillId="0" borderId="49" xfId="1" applyFont="1" applyFill="1" applyBorder="1" applyAlignment="1"/>
    <xf numFmtId="43" fontId="62" fillId="4" borderId="49" xfId="1" applyFont="1" applyFill="1" applyBorder="1" applyAlignment="1"/>
    <xf numFmtId="43" fontId="62" fillId="4" borderId="50" xfId="1" applyFont="1" applyFill="1" applyBorder="1" applyAlignment="1"/>
    <xf numFmtId="43" fontId="62" fillId="4" borderId="0" xfId="1" applyFont="1" applyFill="1"/>
    <xf numFmtId="0" fontId="37" fillId="4" borderId="29" xfId="27" applyFont="1" applyFill="1" applyBorder="1"/>
    <xf numFmtId="43" fontId="37" fillId="4" borderId="29" xfId="1" applyFont="1" applyFill="1" applyBorder="1" applyAlignment="1"/>
    <xf numFmtId="43" fontId="37" fillId="4" borderId="49" xfId="1" applyFont="1" applyFill="1" applyBorder="1" applyAlignment="1"/>
    <xf numFmtId="43" fontId="37" fillId="4" borderId="50" xfId="1" applyFont="1" applyFill="1" applyBorder="1" applyAlignment="1"/>
    <xf numFmtId="43" fontId="37" fillId="4" borderId="0" xfId="1" applyFont="1" applyFill="1"/>
    <xf numFmtId="43" fontId="47" fillId="4" borderId="49" xfId="1" applyFont="1" applyFill="1" applyBorder="1" applyAlignment="1"/>
    <xf numFmtId="43" fontId="47" fillId="4" borderId="50" xfId="1" applyFont="1" applyFill="1" applyBorder="1" applyAlignment="1"/>
    <xf numFmtId="43" fontId="47" fillId="4" borderId="29" xfId="1" applyFont="1" applyFill="1" applyBorder="1" applyAlignment="1"/>
    <xf numFmtId="43" fontId="47" fillId="4" borderId="0" xfId="1" applyFont="1" applyFill="1"/>
    <xf numFmtId="0" fontId="47" fillId="4" borderId="0" xfId="27" applyFont="1" applyFill="1"/>
    <xf numFmtId="0" fontId="62" fillId="4" borderId="29" xfId="27" applyFont="1" applyFill="1" applyBorder="1" applyAlignment="1">
      <alignment horizontal="left"/>
    </xf>
    <xf numFmtId="43" fontId="43" fillId="4" borderId="49" xfId="1" applyFont="1" applyFill="1" applyBorder="1" applyAlignment="1">
      <alignment horizontal="right"/>
    </xf>
    <xf numFmtId="43" fontId="43" fillId="4" borderId="50" xfId="1" applyFont="1" applyFill="1" applyBorder="1" applyAlignment="1">
      <alignment horizontal="right"/>
    </xf>
    <xf numFmtId="43" fontId="43" fillId="4" borderId="29" xfId="1" applyFont="1" applyFill="1" applyBorder="1" applyAlignment="1">
      <alignment horizontal="right"/>
    </xf>
    <xf numFmtId="0" fontId="47" fillId="43" borderId="29" xfId="27" applyFont="1" applyFill="1" applyBorder="1"/>
    <xf numFmtId="0" fontId="47" fillId="7" borderId="29" xfId="27" applyFont="1" applyFill="1" applyBorder="1"/>
    <xf numFmtId="43" fontId="37" fillId="7" borderId="29" xfId="1" applyFont="1" applyFill="1" applyBorder="1" applyAlignment="1"/>
    <xf numFmtId="43" fontId="47" fillId="7" borderId="29" xfId="1" applyFont="1" applyFill="1" applyBorder="1" applyAlignment="1"/>
    <xf numFmtId="0" fontId="48" fillId="24" borderId="47" xfId="27" applyFont="1" applyFill="1" applyBorder="1" applyAlignment="1">
      <alignment horizontal="left" vertical="center" readingOrder="1"/>
    </xf>
    <xf numFmtId="0" fontId="48" fillId="24" borderId="47" xfId="27" applyFont="1" applyFill="1" applyBorder="1" applyAlignment="1">
      <alignment horizontal="center" vertical="center" readingOrder="1"/>
    </xf>
    <xf numFmtId="49" fontId="3" fillId="29" borderId="26" xfId="0" applyNumberFormat="1" applyFont="1" applyFill="1" applyBorder="1" applyAlignment="1">
      <alignment horizontal="center" vertical="center"/>
    </xf>
    <xf numFmtId="43" fontId="3" fillId="22" borderId="26" xfId="1" quotePrefix="1" applyFont="1" applyFill="1" applyBorder="1" applyAlignment="1">
      <alignment horizontal="center" vertical="center" wrapText="1"/>
    </xf>
    <xf numFmtId="49" fontId="3" fillId="29" borderId="61" xfId="0" applyNumberFormat="1" applyFont="1" applyFill="1" applyBorder="1" applyAlignment="1">
      <alignment horizontal="center" vertical="center"/>
    </xf>
    <xf numFmtId="167" fontId="3" fillId="22" borderId="61" xfId="1" quotePrefix="1" applyNumberFormat="1" applyFont="1" applyFill="1" applyBorder="1" applyAlignment="1">
      <alignment horizontal="center" vertical="center" wrapText="1"/>
    </xf>
    <xf numFmtId="43" fontId="3" fillId="22" borderId="61" xfId="1" quotePrefix="1" applyFont="1" applyFill="1" applyBorder="1" applyAlignment="1">
      <alignment horizontal="center" vertical="center" wrapText="1"/>
    </xf>
    <xf numFmtId="43" fontId="0" fillId="0" borderId="0" xfId="1" applyFont="1" applyFill="1" applyAlignment="1">
      <alignment horizontal="right" vertical="center"/>
    </xf>
    <xf numFmtId="164" fontId="0" fillId="0" borderId="0" xfId="1" applyNumberFormat="1" applyFont="1" applyFill="1" applyAlignment="1">
      <alignment horizontal="right" vertical="center"/>
    </xf>
    <xf numFmtId="43" fontId="0" fillId="0" borderId="0" xfId="1" applyFont="1" applyBorder="1" applyAlignment="1">
      <alignment horizontal="right" vertical="center"/>
    </xf>
    <xf numFmtId="0" fontId="2" fillId="0" borderId="0" xfId="0" applyFont="1" applyAlignment="1">
      <alignment horizontal="right" vertical="center"/>
    </xf>
    <xf numFmtId="0" fontId="3" fillId="22" borderId="61" xfId="0" applyFont="1" applyFill="1" applyBorder="1" applyAlignment="1">
      <alignment horizontal="center" vertical="center"/>
    </xf>
    <xf numFmtId="0" fontId="3" fillId="22" borderId="61" xfId="1" applyNumberFormat="1" applyFont="1" applyFill="1" applyBorder="1" applyAlignment="1">
      <alignment horizontal="center" vertical="center"/>
    </xf>
    <xf numFmtId="164" fontId="3" fillId="22" borderId="61" xfId="1" applyNumberFormat="1" applyFont="1" applyFill="1" applyBorder="1" applyAlignment="1">
      <alignment horizontal="right" vertical="center"/>
    </xf>
    <xf numFmtId="0" fontId="3" fillId="22" borderId="61" xfId="0" applyFont="1" applyFill="1" applyBorder="1" applyAlignment="1">
      <alignment horizontal="right" vertical="center"/>
    </xf>
    <xf numFmtId="0" fontId="3" fillId="22" borderId="61" xfId="11" applyNumberFormat="1" applyFont="1" applyFill="1" applyBorder="1" applyAlignment="1">
      <alignment vertical="center" wrapText="1"/>
    </xf>
    <xf numFmtId="164" fontId="3" fillId="22" borderId="61" xfId="1" applyNumberFormat="1" applyFont="1" applyFill="1" applyBorder="1" applyAlignment="1">
      <alignment vertical="center" wrapText="1"/>
    </xf>
    <xf numFmtId="164" fontId="3" fillId="22" borderId="61" xfId="11" applyNumberFormat="1" applyFont="1" applyFill="1" applyBorder="1" applyAlignment="1">
      <alignment vertical="center" wrapText="1"/>
    </xf>
    <xf numFmtId="164" fontId="1" fillId="0" borderId="0" xfId="0" applyNumberFormat="1" applyFont="1" applyAlignment="1">
      <alignment horizontal="right" vertical="center"/>
    </xf>
    <xf numFmtId="164" fontId="1" fillId="0" borderId="26" xfId="1" applyNumberFormat="1" applyFont="1" applyFill="1" applyBorder="1" applyAlignment="1">
      <alignment horizontal="center" vertical="center"/>
    </xf>
    <xf numFmtId="164" fontId="1" fillId="0" borderId="26" xfId="1" applyNumberFormat="1" applyFont="1" applyFill="1" applyBorder="1" applyAlignment="1">
      <alignment horizontal="left" vertical="center" wrapText="1"/>
    </xf>
    <xf numFmtId="0" fontId="12" fillId="0" borderId="0" xfId="0" applyFont="1" applyAlignment="1">
      <alignment horizontal="right" vertical="center"/>
    </xf>
    <xf numFmtId="0" fontId="4" fillId="0" borderId="0" xfId="0" applyFont="1" applyAlignment="1">
      <alignment horizontal="right" vertical="center"/>
    </xf>
    <xf numFmtId="164" fontId="4" fillId="0" borderId="26" xfId="1" quotePrefix="1" applyNumberFormat="1" applyFont="1" applyFill="1" applyBorder="1" applyAlignment="1">
      <alignment horizontal="left" vertical="center" wrapText="1"/>
    </xf>
    <xf numFmtId="164" fontId="4" fillId="0" borderId="26" xfId="1" quotePrefix="1" applyNumberFormat="1" applyFont="1" applyFill="1" applyBorder="1" applyAlignment="1">
      <alignment horizontal="center" vertical="center"/>
    </xf>
    <xf numFmtId="164" fontId="7" fillId="0" borderId="26" xfId="1" applyNumberFormat="1" applyFont="1" applyFill="1" applyBorder="1" applyAlignment="1">
      <alignment horizontal="left" vertical="center" wrapText="1"/>
    </xf>
    <xf numFmtId="164" fontId="7" fillId="0" borderId="26" xfId="1" applyNumberFormat="1" applyFont="1" applyFill="1" applyBorder="1" applyAlignment="1">
      <alignment horizontal="center" vertical="center"/>
    </xf>
    <xf numFmtId="0" fontId="0" fillId="0" borderId="0" xfId="0" applyAlignment="1">
      <alignment horizontal="right" vertical="center" wrapText="1"/>
    </xf>
    <xf numFmtId="167" fontId="0" fillId="0" borderId="0" xfId="1" applyNumberFormat="1" applyFont="1" applyAlignment="1">
      <alignment horizontal="center" vertical="center"/>
    </xf>
    <xf numFmtId="164" fontId="0" fillId="0" borderId="0" xfId="1" applyNumberFormat="1" applyFont="1" applyAlignment="1">
      <alignment horizontal="center" vertical="center"/>
    </xf>
    <xf numFmtId="43" fontId="0" fillId="0" borderId="0" xfId="1" applyFont="1" applyAlignment="1">
      <alignment horizontal="right" vertical="center"/>
    </xf>
    <xf numFmtId="164" fontId="0" fillId="0" borderId="0" xfId="1" applyNumberFormat="1" applyFont="1" applyAlignment="1">
      <alignment horizontal="right" vertical="center"/>
    </xf>
    <xf numFmtId="0" fontId="3" fillId="22" borderId="26" xfId="11" applyNumberFormat="1" applyFont="1" applyFill="1" applyBorder="1" applyAlignment="1">
      <alignment vertical="center" wrapText="1"/>
    </xf>
    <xf numFmtId="164" fontId="3" fillId="22" borderId="26" xfId="1" applyNumberFormat="1" applyFont="1" applyFill="1" applyBorder="1" applyAlignment="1">
      <alignment vertical="center" wrapText="1"/>
    </xf>
    <xf numFmtId="164" fontId="3" fillId="22" borderId="26" xfId="11" applyNumberFormat="1" applyFont="1" applyFill="1" applyBorder="1" applyAlignment="1">
      <alignment vertical="center" wrapText="1"/>
    </xf>
    <xf numFmtId="167" fontId="0" fillId="0" borderId="0" xfId="1" applyNumberFormat="1" applyFont="1" applyAlignment="1">
      <alignment horizontal="right" vertical="center"/>
    </xf>
    <xf numFmtId="177" fontId="0" fillId="0" borderId="0" xfId="0" applyNumberFormat="1" applyAlignment="1">
      <alignment horizontal="center" vertical="center"/>
    </xf>
    <xf numFmtId="164" fontId="0" fillId="0" borderId="0" xfId="0" applyNumberFormat="1" applyAlignment="1">
      <alignment horizontal="center" vertical="center"/>
    </xf>
    <xf numFmtId="0" fontId="12" fillId="4" borderId="0" xfId="0" applyFont="1" applyFill="1" applyAlignment="1">
      <alignment horizontal="right" vertical="center"/>
    </xf>
    <xf numFmtId="0" fontId="0" fillId="4" borderId="0" xfId="0" applyFill="1" applyAlignment="1">
      <alignment horizontal="center" vertical="center"/>
    </xf>
    <xf numFmtId="0" fontId="0" fillId="4" borderId="0" xfId="0" applyFill="1" applyAlignment="1">
      <alignment horizontal="right" vertical="center" wrapText="1"/>
    </xf>
    <xf numFmtId="167" fontId="0" fillId="4" borderId="0" xfId="1" applyNumberFormat="1" applyFont="1" applyFill="1" applyAlignment="1">
      <alignment horizontal="center" vertical="center"/>
    </xf>
    <xf numFmtId="164" fontId="0" fillId="4" borderId="0" xfId="1" applyNumberFormat="1" applyFont="1" applyFill="1" applyAlignment="1">
      <alignment horizontal="center" vertical="center"/>
    </xf>
    <xf numFmtId="43" fontId="0" fillId="4" borderId="0" xfId="1" applyFont="1" applyFill="1" applyAlignment="1">
      <alignment horizontal="right" vertical="center"/>
    </xf>
    <xf numFmtId="164" fontId="0" fillId="4" borderId="0" xfId="1" applyNumberFormat="1" applyFont="1" applyFill="1" applyAlignment="1">
      <alignment horizontal="right" vertical="center"/>
    </xf>
    <xf numFmtId="164" fontId="1" fillId="4" borderId="0" xfId="1" applyNumberFormat="1" applyFont="1" applyFill="1" applyBorder="1" applyAlignment="1">
      <alignment vertical="center"/>
    </xf>
    <xf numFmtId="164" fontId="0" fillId="4" borderId="0" xfId="1" applyNumberFormat="1" applyFont="1" applyFill="1" applyBorder="1" applyAlignment="1">
      <alignment vertical="center"/>
    </xf>
    <xf numFmtId="164" fontId="3" fillId="22" borderId="26" xfId="1" quotePrefix="1" applyNumberFormat="1" applyFont="1" applyFill="1" applyBorder="1" applyAlignment="1">
      <alignment horizontal="center" vertical="center" wrapText="1"/>
    </xf>
    <xf numFmtId="167" fontId="3" fillId="22" borderId="26" xfId="1" applyNumberFormat="1" applyFont="1" applyFill="1" applyBorder="1" applyAlignment="1">
      <alignment horizontal="center" vertical="center"/>
    </xf>
    <xf numFmtId="0" fontId="3" fillId="22" borderId="26" xfId="1" applyNumberFormat="1" applyFont="1" applyFill="1" applyBorder="1" applyAlignment="1">
      <alignment horizontal="center" vertical="center"/>
    </xf>
    <xf numFmtId="164" fontId="3" fillId="22" borderId="26" xfId="1" applyNumberFormat="1" applyFont="1" applyFill="1" applyBorder="1" applyAlignment="1">
      <alignment horizontal="right" vertical="center"/>
    </xf>
    <xf numFmtId="0" fontId="3" fillId="22" borderId="26" xfId="0" applyFont="1" applyFill="1" applyBorder="1" applyAlignment="1">
      <alignment horizontal="right" vertical="center"/>
    </xf>
    <xf numFmtId="164" fontId="7" fillId="4" borderId="0" xfId="1" applyNumberFormat="1" applyFont="1" applyFill="1" applyBorder="1" applyAlignment="1">
      <alignment vertical="center"/>
    </xf>
    <xf numFmtId="0" fontId="1" fillId="4" borderId="0" xfId="0" applyFont="1" applyFill="1" applyAlignment="1">
      <alignment vertical="center" wrapText="1"/>
    </xf>
    <xf numFmtId="164" fontId="1" fillId="41" borderId="0" xfId="1" applyNumberFormat="1" applyFont="1" applyFill="1" applyBorder="1" applyAlignment="1">
      <alignment vertical="center"/>
    </xf>
    <xf numFmtId="167" fontId="1" fillId="41" borderId="0" xfId="1" applyNumberFormat="1" applyFont="1" applyFill="1" applyBorder="1" applyAlignment="1">
      <alignment vertical="center"/>
    </xf>
    <xf numFmtId="43" fontId="1" fillId="41" borderId="0" xfId="1" applyFont="1" applyFill="1" applyBorder="1" applyAlignment="1">
      <alignment vertical="center"/>
    </xf>
    <xf numFmtId="0" fontId="3" fillId="25" borderId="0" xfId="0" applyFont="1" applyFill="1" applyAlignment="1">
      <alignment vertical="center" wrapText="1"/>
    </xf>
    <xf numFmtId="0" fontId="3" fillId="25" borderId="0" xfId="0" applyFont="1" applyFill="1" applyAlignment="1">
      <alignment vertical="center"/>
    </xf>
    <xf numFmtId="164" fontId="21" fillId="24" borderId="26" xfId="1" quotePrefix="1" applyNumberFormat="1" applyFont="1" applyFill="1" applyBorder="1" applyAlignment="1">
      <alignment horizontal="left" vertical="center" wrapText="1"/>
    </xf>
    <xf numFmtId="9" fontId="1" fillId="24" borderId="0" xfId="2" quotePrefix="1" applyFont="1" applyFill="1" applyBorder="1" applyAlignment="1">
      <alignment horizontal="left" vertical="center" wrapText="1"/>
    </xf>
    <xf numFmtId="164" fontId="1" fillId="8" borderId="0" xfId="1" applyNumberFormat="1" applyFont="1" applyFill="1" applyBorder="1" applyAlignment="1">
      <alignment vertical="center"/>
    </xf>
    <xf numFmtId="0" fontId="3" fillId="22" borderId="29" xfId="11" applyNumberFormat="1" applyFont="1" applyFill="1" applyBorder="1" applyAlignment="1">
      <alignment vertical="center" wrapText="1"/>
    </xf>
    <xf numFmtId="49" fontId="1" fillId="9" borderId="29" xfId="0" applyNumberFormat="1" applyFont="1" applyFill="1" applyBorder="1" applyAlignment="1">
      <alignment horizontal="center" vertical="center"/>
    </xf>
    <xf numFmtId="49" fontId="1" fillId="9" borderId="29" xfId="0" applyNumberFormat="1" applyFont="1" applyFill="1" applyBorder="1" applyAlignment="1">
      <alignment vertical="center" wrapText="1"/>
    </xf>
    <xf numFmtId="49" fontId="1" fillId="4" borderId="29" xfId="0" applyNumberFormat="1" applyFont="1" applyFill="1" applyBorder="1" applyAlignment="1">
      <alignment horizontal="center" vertical="center"/>
    </xf>
    <xf numFmtId="49" fontId="1" fillId="4" borderId="29" xfId="0" applyNumberFormat="1" applyFont="1" applyFill="1" applyBorder="1" applyAlignment="1">
      <alignment vertical="center" wrapText="1"/>
    </xf>
    <xf numFmtId="49" fontId="0" fillId="4" borderId="29" xfId="0" quotePrefix="1" applyNumberFormat="1" applyFill="1" applyBorder="1" applyAlignment="1">
      <alignment horizontal="center" vertical="center"/>
    </xf>
    <xf numFmtId="0" fontId="12" fillId="0" borderId="29" xfId="9" applyFont="1" applyBorder="1" applyAlignment="1">
      <alignment horizontal="left" vertical="center" wrapText="1" readingOrder="1"/>
    </xf>
    <xf numFmtId="49" fontId="0" fillId="4" borderId="29" xfId="0" applyNumberFormat="1" applyFill="1" applyBorder="1" applyAlignment="1">
      <alignment horizontal="center" vertical="center"/>
    </xf>
    <xf numFmtId="49" fontId="12" fillId="4" borderId="29" xfId="0" quotePrefix="1" applyNumberFormat="1" applyFont="1" applyFill="1" applyBorder="1" applyAlignment="1">
      <alignment horizontal="center" vertical="center"/>
    </xf>
    <xf numFmtId="49" fontId="0" fillId="4" borderId="29" xfId="0" applyNumberFormat="1" applyFill="1" applyBorder="1" applyAlignment="1">
      <alignment vertical="center" wrapText="1"/>
    </xf>
    <xf numFmtId="49" fontId="12" fillId="0" borderId="29" xfId="0" applyNumberFormat="1" applyFont="1" applyBorder="1" applyAlignment="1">
      <alignment vertical="center" wrapText="1"/>
    </xf>
    <xf numFmtId="49" fontId="4" fillId="4" borderId="29" xfId="0" quotePrefix="1" applyNumberFormat="1" applyFont="1" applyFill="1" applyBorder="1" applyAlignment="1">
      <alignment horizontal="center" vertical="center"/>
    </xf>
    <xf numFmtId="49" fontId="4" fillId="4" borderId="29" xfId="0" applyNumberFormat="1" applyFont="1" applyFill="1" applyBorder="1" applyAlignment="1">
      <alignment vertical="center" wrapText="1"/>
    </xf>
    <xf numFmtId="43" fontId="7" fillId="4" borderId="29" xfId="1" applyFont="1" applyFill="1" applyBorder="1" applyAlignment="1">
      <alignment vertical="center"/>
    </xf>
    <xf numFmtId="49" fontId="4" fillId="4" borderId="29" xfId="0" applyNumberFormat="1" applyFont="1" applyFill="1" applyBorder="1" applyAlignment="1">
      <alignment horizontal="center" vertical="center"/>
    </xf>
    <xf numFmtId="0" fontId="44" fillId="0" borderId="0" xfId="27" applyFont="1"/>
    <xf numFmtId="173" fontId="44" fillId="0" borderId="0" xfId="27" applyNumberFormat="1" applyFont="1"/>
    <xf numFmtId="0" fontId="48" fillId="15" borderId="68" xfId="27" applyFont="1" applyFill="1" applyBorder="1" applyAlignment="1">
      <alignment horizontal="left" vertical="center" readingOrder="1"/>
    </xf>
    <xf numFmtId="0" fontId="48" fillId="15" borderId="68" xfId="27" applyFont="1" applyFill="1" applyBorder="1" applyAlignment="1">
      <alignment horizontal="center" vertical="center" readingOrder="1"/>
    </xf>
    <xf numFmtId="173" fontId="37" fillId="15" borderId="68" xfId="11" applyNumberFormat="1" applyFont="1" applyFill="1" applyBorder="1" applyAlignment="1">
      <alignment horizontal="right"/>
    </xf>
    <xf numFmtId="173" fontId="37" fillId="15" borderId="69" xfId="11" applyNumberFormat="1" applyFont="1" applyFill="1" applyBorder="1" applyAlignment="1">
      <alignment horizontal="right"/>
    </xf>
    <xf numFmtId="173" fontId="37" fillId="15" borderId="68" xfId="11" applyNumberFormat="1" applyFont="1" applyFill="1" applyBorder="1" applyAlignment="1"/>
    <xf numFmtId="173" fontId="37" fillId="0" borderId="0" xfId="11" applyNumberFormat="1" applyFont="1" applyBorder="1" applyAlignment="1"/>
    <xf numFmtId="0" fontId="48" fillId="9" borderId="52" xfId="27" applyFont="1" applyFill="1" applyBorder="1" applyAlignment="1">
      <alignment horizontal="left" vertical="center" readingOrder="1"/>
    </xf>
    <xf numFmtId="0" fontId="48" fillId="9" borderId="52" xfId="27" applyFont="1" applyFill="1" applyBorder="1" applyAlignment="1">
      <alignment horizontal="center" vertical="center" readingOrder="1"/>
    </xf>
    <xf numFmtId="173" fontId="37" fillId="9" borderId="52" xfId="11" applyNumberFormat="1" applyFont="1" applyFill="1" applyBorder="1" applyAlignment="1">
      <alignment horizontal="right"/>
    </xf>
    <xf numFmtId="173" fontId="37" fillId="9" borderId="46" xfId="11" applyNumberFormat="1" applyFont="1" applyFill="1" applyBorder="1" applyAlignment="1">
      <alignment horizontal="right"/>
    </xf>
    <xf numFmtId="173" fontId="37" fillId="9" borderId="52" xfId="11" applyNumberFormat="1" applyFont="1" applyFill="1" applyBorder="1" applyAlignment="1"/>
    <xf numFmtId="173" fontId="37" fillId="35" borderId="52" xfId="11" applyNumberFormat="1" applyFont="1" applyFill="1" applyBorder="1" applyAlignment="1"/>
    <xf numFmtId="0" fontId="48" fillId="0" borderId="0" xfId="27" applyFont="1" applyAlignment="1">
      <alignment horizontal="left" vertical="center" readingOrder="1"/>
    </xf>
    <xf numFmtId="0" fontId="48" fillId="0" borderId="0" xfId="27" applyFont="1" applyAlignment="1">
      <alignment horizontal="center" vertical="center" readingOrder="1"/>
    </xf>
    <xf numFmtId="172" fontId="37" fillId="9" borderId="49" xfId="27" applyNumberFormat="1" applyFont="1" applyFill="1" applyBorder="1"/>
    <xf numFmtId="0" fontId="37" fillId="9" borderId="0" xfId="27" applyFont="1" applyFill="1"/>
    <xf numFmtId="0" fontId="24" fillId="22" borderId="29" xfId="0" applyFont="1" applyFill="1" applyBorder="1" applyAlignment="1">
      <alignment horizontal="center" vertical="center"/>
    </xf>
    <xf numFmtId="0" fontId="3" fillId="29" borderId="29" xfId="0" applyFont="1" applyFill="1" applyBorder="1" applyAlignment="1">
      <alignment vertical="center" wrapText="1"/>
    </xf>
    <xf numFmtId="43" fontId="48" fillId="2" borderId="29" xfId="1" applyFont="1" applyFill="1" applyBorder="1" applyAlignment="1"/>
    <xf numFmtId="43" fontId="48" fillId="4" borderId="0" xfId="1" applyFont="1" applyFill="1"/>
    <xf numFmtId="43" fontId="48" fillId="4" borderId="49" xfId="1" applyFont="1" applyFill="1" applyBorder="1" applyAlignment="1"/>
    <xf numFmtId="43" fontId="48" fillId="4" borderId="50" xfId="1" applyFont="1" applyFill="1" applyBorder="1" applyAlignment="1"/>
    <xf numFmtId="43" fontId="43" fillId="4" borderId="0" xfId="1" applyFont="1" applyFill="1" applyBorder="1" applyAlignment="1"/>
    <xf numFmtId="43" fontId="37" fillId="4" borderId="0" xfId="1" applyFont="1" applyFill="1" applyBorder="1" applyAlignment="1"/>
    <xf numFmtId="43" fontId="44" fillId="22" borderId="29" xfId="1" applyFont="1" applyFill="1" applyBorder="1" applyAlignment="1"/>
    <xf numFmtId="0" fontId="3" fillId="22" borderId="29" xfId="0" applyFont="1" applyFill="1" applyBorder="1" applyAlignment="1">
      <alignment horizontal="center" vertical="center" wrapText="1"/>
    </xf>
    <xf numFmtId="43" fontId="44" fillId="0" borderId="49" xfId="1" applyFont="1" applyBorder="1" applyAlignment="1"/>
    <xf numFmtId="43" fontId="44" fillId="0" borderId="50" xfId="1" applyFont="1" applyBorder="1" applyAlignment="1"/>
    <xf numFmtId="43" fontId="44" fillId="0" borderId="0" xfId="1" applyFont="1"/>
    <xf numFmtId="43" fontId="43" fillId="0" borderId="0" xfId="1" applyFont="1" applyFill="1" applyBorder="1" applyAlignment="1"/>
    <xf numFmtId="173" fontId="62" fillId="4" borderId="0" xfId="27" applyNumberFormat="1" applyFont="1" applyFill="1"/>
    <xf numFmtId="49" fontId="3" fillId="29" borderId="29" xfId="0" applyNumberFormat="1" applyFont="1" applyFill="1" applyBorder="1" applyAlignment="1">
      <alignment vertical="center" wrapText="1"/>
    </xf>
    <xf numFmtId="9" fontId="0" fillId="4" borderId="0" xfId="0" applyNumberFormat="1" applyFill="1" applyAlignment="1">
      <alignment horizontal="right" vertical="center"/>
    </xf>
    <xf numFmtId="43" fontId="1" fillId="0" borderId="28" xfId="1" applyFont="1" applyFill="1" applyBorder="1" applyAlignment="1">
      <alignment horizontal="center" vertical="center"/>
    </xf>
    <xf numFmtId="43" fontId="4" fillId="0" borderId="26" xfId="1" applyFont="1" applyFill="1" applyBorder="1" applyAlignment="1">
      <alignment vertical="center"/>
    </xf>
    <xf numFmtId="43" fontId="7" fillId="0" borderId="26" xfId="1" applyFont="1" applyFill="1" applyBorder="1" applyAlignment="1">
      <alignment vertical="center"/>
    </xf>
    <xf numFmtId="43" fontId="1" fillId="9" borderId="26" xfId="1" applyFont="1" applyFill="1" applyBorder="1" applyAlignment="1">
      <alignment horizontal="center" vertical="center"/>
    </xf>
    <xf numFmtId="43" fontId="1" fillId="9" borderId="26" xfId="1" applyFont="1" applyFill="1" applyBorder="1" applyAlignment="1">
      <alignment vertical="center"/>
    </xf>
    <xf numFmtId="167" fontId="3" fillId="40" borderId="61" xfId="1" quotePrefix="1" applyNumberFormat="1" applyFont="1" applyFill="1" applyBorder="1" applyAlignment="1">
      <alignment horizontal="center" vertical="center" wrapText="1"/>
    </xf>
    <xf numFmtId="43" fontId="1" fillId="9" borderId="26" xfId="1" applyFont="1" applyFill="1" applyBorder="1" applyAlignment="1">
      <alignment vertical="center" wrapText="1"/>
    </xf>
    <xf numFmtId="43" fontId="1" fillId="4" borderId="0" xfId="1" applyFont="1" applyFill="1" applyBorder="1" applyAlignment="1">
      <alignment vertical="center"/>
    </xf>
    <xf numFmtId="43" fontId="1" fillId="0" borderId="0" xfId="1" applyFont="1" applyAlignment="1">
      <alignment horizontal="right" vertical="center"/>
    </xf>
    <xf numFmtId="43" fontId="1" fillId="4" borderId="26" xfId="1" applyFont="1" applyFill="1" applyBorder="1" applyAlignment="1">
      <alignment horizontal="center" vertical="center"/>
    </xf>
    <xf numFmtId="43" fontId="1" fillId="4" borderId="26" xfId="1" applyFont="1" applyFill="1" applyBorder="1" applyAlignment="1">
      <alignment vertical="center" wrapText="1"/>
    </xf>
    <xf numFmtId="43" fontId="21" fillId="0" borderId="26" xfId="1" applyFont="1" applyBorder="1" applyAlignment="1">
      <alignment horizontal="center" vertical="center" readingOrder="1"/>
    </xf>
    <xf numFmtId="43" fontId="1" fillId="4" borderId="26" xfId="1" applyFont="1" applyFill="1" applyBorder="1" applyAlignment="1">
      <alignment vertical="center"/>
    </xf>
    <xf numFmtId="43" fontId="12" fillId="0" borderId="26" xfId="1" applyFont="1" applyBorder="1" applyAlignment="1">
      <alignment horizontal="center" vertical="center" readingOrder="1"/>
    </xf>
    <xf numFmtId="43" fontId="7" fillId="4" borderId="26" xfId="1" applyFont="1" applyFill="1" applyBorder="1" applyAlignment="1">
      <alignment vertical="center"/>
    </xf>
    <xf numFmtId="43" fontId="0" fillId="4" borderId="26" xfId="1" applyFont="1" applyFill="1" applyBorder="1" applyAlignment="1">
      <alignment vertical="center" wrapText="1"/>
    </xf>
    <xf numFmtId="43" fontId="0" fillId="4" borderId="26" xfId="1" quotePrefix="1" applyFont="1" applyFill="1" applyBorder="1" applyAlignment="1">
      <alignment horizontal="center" vertical="center"/>
    </xf>
    <xf numFmtId="43" fontId="21" fillId="9" borderId="26" xfId="1" applyFont="1" applyFill="1" applyBorder="1" applyAlignment="1">
      <alignment horizontal="center" vertical="center" readingOrder="1"/>
    </xf>
    <xf numFmtId="43" fontId="7" fillId="4" borderId="0" xfId="1" applyFont="1" applyFill="1" applyBorder="1" applyAlignment="1">
      <alignment vertical="center"/>
    </xf>
    <xf numFmtId="43" fontId="4" fillId="4" borderId="26" xfId="1" applyFont="1" applyFill="1" applyBorder="1" applyAlignment="1">
      <alignment horizontal="center" vertical="center"/>
    </xf>
    <xf numFmtId="43" fontId="4" fillId="4" borderId="26" xfId="1" applyFont="1" applyFill="1" applyBorder="1" applyAlignment="1">
      <alignment vertical="center" wrapText="1"/>
    </xf>
    <xf numFmtId="43" fontId="30" fillId="0" borderId="26" xfId="1" applyFont="1" applyBorder="1" applyAlignment="1">
      <alignment horizontal="center" vertical="center" readingOrder="1"/>
    </xf>
    <xf numFmtId="43" fontId="4" fillId="0" borderId="0" xfId="1" applyFont="1" applyAlignment="1">
      <alignment horizontal="right" vertical="center"/>
    </xf>
    <xf numFmtId="43" fontId="3" fillId="22" borderId="26" xfId="1" applyFont="1" applyFill="1" applyBorder="1" applyAlignment="1">
      <alignment horizontal="center" vertical="center"/>
    </xf>
    <xf numFmtId="43" fontId="3" fillId="29" borderId="26" xfId="1" applyFont="1" applyFill="1" applyBorder="1" applyAlignment="1">
      <alignment vertical="center" wrapText="1"/>
    </xf>
    <xf numFmtId="43" fontId="3" fillId="22" borderId="26" xfId="1" applyFont="1" applyFill="1" applyBorder="1" applyAlignment="1">
      <alignment horizontal="center" vertical="center" readingOrder="1"/>
    </xf>
    <xf numFmtId="43" fontId="3" fillId="22" borderId="26" xfId="1" applyFont="1" applyFill="1" applyBorder="1" applyAlignment="1">
      <alignment vertical="center"/>
    </xf>
    <xf numFmtId="43" fontId="7" fillId="10" borderId="0" xfId="1" applyFont="1" applyFill="1" applyBorder="1" applyAlignment="1">
      <alignment vertical="center"/>
    </xf>
    <xf numFmtId="43" fontId="21" fillId="9" borderId="29" xfId="1" applyFont="1" applyFill="1" applyBorder="1" applyAlignment="1">
      <alignment horizontal="center" vertical="center" readingOrder="1"/>
    </xf>
    <xf numFmtId="43" fontId="1" fillId="9" borderId="29" xfId="1" applyFont="1" applyFill="1" applyBorder="1" applyAlignment="1">
      <alignment vertical="center"/>
    </xf>
    <xf numFmtId="43" fontId="21" fillId="0" borderId="29" xfId="1" applyFont="1" applyBorder="1" applyAlignment="1">
      <alignment horizontal="center" vertical="center" readingOrder="1"/>
    </xf>
    <xf numFmtId="43" fontId="1" fillId="4" borderId="29" xfId="1" applyFont="1" applyFill="1" applyBorder="1" applyAlignment="1">
      <alignment vertical="center"/>
    </xf>
    <xf numFmtId="43" fontId="12" fillId="0" borderId="29" xfId="1" applyFont="1" applyBorder="1" applyAlignment="1">
      <alignment horizontal="center" vertical="center" readingOrder="1"/>
    </xf>
    <xf numFmtId="43" fontId="4" fillId="4" borderId="29" xfId="1" applyFont="1" applyFill="1" applyBorder="1" applyAlignment="1">
      <alignment vertical="center"/>
    </xf>
    <xf numFmtId="43" fontId="3" fillId="22" borderId="29" xfId="1" applyFont="1" applyFill="1" applyBorder="1" applyAlignment="1">
      <alignment horizontal="center" vertical="center" readingOrder="1"/>
    </xf>
    <xf numFmtId="43" fontId="3" fillId="22" borderId="29" xfId="1" applyFont="1" applyFill="1" applyBorder="1" applyAlignment="1">
      <alignment vertical="center"/>
    </xf>
    <xf numFmtId="164" fontId="1" fillId="4" borderId="0" xfId="1" applyNumberFormat="1" applyFont="1" applyFill="1" applyAlignment="1">
      <alignment horizontal="right" vertical="center"/>
    </xf>
    <xf numFmtId="43" fontId="44" fillId="0" borderId="49" xfId="1" applyFont="1" applyFill="1" applyBorder="1" applyAlignment="1"/>
    <xf numFmtId="43" fontId="55" fillId="0" borderId="0" xfId="1" applyFont="1"/>
    <xf numFmtId="0" fontId="107" fillId="4" borderId="29" xfId="27" applyFont="1" applyFill="1" applyBorder="1" applyAlignment="1">
      <alignment horizontal="left" vertical="center" readingOrder="1"/>
    </xf>
    <xf numFmtId="0" fontId="107" fillId="4" borderId="29" xfId="27" applyFont="1" applyFill="1" applyBorder="1" applyAlignment="1">
      <alignment horizontal="center" vertical="center" readingOrder="1"/>
    </xf>
    <xf numFmtId="173" fontId="47" fillId="4" borderId="0" xfId="27" applyNumberFormat="1" applyFont="1" applyFill="1"/>
    <xf numFmtId="43" fontId="62" fillId="4" borderId="0" xfId="1" applyFont="1" applyFill="1" applyBorder="1" applyAlignment="1"/>
    <xf numFmtId="0" fontId="108" fillId="0" borderId="0" xfId="27" applyFont="1"/>
    <xf numFmtId="0" fontId="108" fillId="0" borderId="29" xfId="27" applyFont="1" applyBorder="1" applyAlignment="1">
      <alignment horizontal="left" vertical="center" readingOrder="1"/>
    </xf>
    <xf numFmtId="0" fontId="108" fillId="0" borderId="29" xfId="27" applyFont="1" applyBorder="1" applyAlignment="1">
      <alignment horizontal="center" vertical="center" readingOrder="1"/>
    </xf>
    <xf numFmtId="176" fontId="108" fillId="0" borderId="29" xfId="12" applyNumberFormat="1" applyFont="1" applyBorder="1" applyAlignment="1">
      <alignment horizontal="right"/>
    </xf>
    <xf numFmtId="176" fontId="108" fillId="0" borderId="44" xfId="12" applyNumberFormat="1" applyFont="1" applyBorder="1" applyAlignment="1">
      <alignment horizontal="right"/>
    </xf>
    <xf numFmtId="172" fontId="108" fillId="0" borderId="49" xfId="27" applyNumberFormat="1" applyFont="1" applyBorder="1"/>
    <xf numFmtId="173" fontId="108" fillId="0" borderId="29" xfId="11" applyNumberFormat="1" applyFont="1" applyBorder="1" applyAlignment="1"/>
    <xf numFmtId="176" fontId="108" fillId="0" borderId="29" xfId="12" applyNumberFormat="1" applyFont="1" applyBorder="1" applyAlignment="1"/>
    <xf numFmtId="173" fontId="108" fillId="0" borderId="29" xfId="11" applyNumberFormat="1" applyFont="1" applyFill="1" applyBorder="1" applyAlignment="1"/>
    <xf numFmtId="173" fontId="108" fillId="0" borderId="0" xfId="27" applyNumberFormat="1" applyFont="1"/>
    <xf numFmtId="43" fontId="4" fillId="4" borderId="26" xfId="1" applyFont="1" applyFill="1" applyBorder="1" applyAlignment="1">
      <alignment vertical="center"/>
    </xf>
    <xf numFmtId="43" fontId="21" fillId="4" borderId="26" xfId="1" applyFont="1" applyFill="1" applyBorder="1" applyAlignment="1">
      <alignment vertical="center"/>
    </xf>
    <xf numFmtId="43" fontId="12" fillId="4" borderId="26" xfId="1" applyFont="1" applyFill="1" applyBorder="1" applyAlignment="1">
      <alignment vertical="center"/>
    </xf>
    <xf numFmtId="43" fontId="30" fillId="4" borderId="26" xfId="1" applyFont="1" applyFill="1" applyBorder="1" applyAlignment="1">
      <alignment vertical="center"/>
    </xf>
    <xf numFmtId="43" fontId="12" fillId="4" borderId="29" xfId="1" applyFont="1" applyFill="1" applyBorder="1" applyAlignment="1">
      <alignment vertical="center"/>
    </xf>
    <xf numFmtId="43" fontId="21" fillId="4" borderId="29" xfId="1" applyFont="1" applyFill="1" applyBorder="1" applyAlignment="1">
      <alignment vertical="center"/>
    </xf>
    <xf numFmtId="43" fontId="30" fillId="4" borderId="29" xfId="1" applyFont="1" applyFill="1" applyBorder="1" applyAlignment="1">
      <alignment vertical="center"/>
    </xf>
    <xf numFmtId="164" fontId="7" fillId="4" borderId="0" xfId="1" applyNumberFormat="1" applyFont="1" applyFill="1" applyAlignment="1">
      <alignment horizontal="right" vertical="center"/>
    </xf>
    <xf numFmtId="164" fontId="4" fillId="4" borderId="0" xfId="1" applyNumberFormat="1" applyFont="1" applyFill="1" applyAlignment="1">
      <alignment horizontal="right" vertical="center"/>
    </xf>
    <xf numFmtId="43" fontId="30" fillId="0" borderId="29" xfId="1" applyFont="1" applyBorder="1" applyAlignment="1">
      <alignment horizontal="center" vertical="center" readingOrder="1"/>
    </xf>
    <xf numFmtId="173" fontId="37" fillId="24" borderId="68" xfId="11" applyNumberFormat="1" applyFont="1" applyFill="1" applyBorder="1" applyAlignment="1"/>
    <xf numFmtId="43" fontId="7" fillId="4" borderId="26" xfId="1" quotePrefix="1" applyFont="1" applyFill="1" applyBorder="1" applyAlignment="1">
      <alignment horizontal="center" vertical="center"/>
    </xf>
    <xf numFmtId="43" fontId="7" fillId="4" borderId="26" xfId="1" applyFont="1" applyFill="1" applyBorder="1" applyAlignment="1">
      <alignment vertical="center" wrapText="1"/>
    </xf>
    <xf numFmtId="43" fontId="7" fillId="0" borderId="0" xfId="1" applyFont="1" applyAlignment="1">
      <alignment horizontal="right" vertical="center"/>
    </xf>
    <xf numFmtId="43" fontId="7" fillId="4" borderId="26" xfId="1" applyFont="1" applyFill="1" applyBorder="1" applyAlignment="1">
      <alignment horizontal="center" vertical="center"/>
    </xf>
    <xf numFmtId="43" fontId="7" fillId="0" borderId="26" xfId="1" applyFont="1" applyBorder="1" applyAlignment="1">
      <alignment vertical="center" wrapText="1"/>
    </xf>
    <xf numFmtId="43" fontId="7" fillId="0" borderId="28" xfId="1" applyFont="1" applyFill="1" applyBorder="1" applyAlignment="1">
      <alignment horizontal="center" vertical="center"/>
    </xf>
    <xf numFmtId="43" fontId="7" fillId="0" borderId="28" xfId="1" applyFont="1" applyFill="1" applyBorder="1" applyAlignment="1">
      <alignment vertical="center"/>
    </xf>
    <xf numFmtId="164" fontId="7" fillId="0" borderId="26" xfId="1" applyNumberFormat="1" applyFont="1" applyBorder="1" applyAlignment="1">
      <alignment horizontal="left" vertical="center" wrapText="1"/>
    </xf>
    <xf numFmtId="164" fontId="7" fillId="0" borderId="26" xfId="1" applyNumberFormat="1" applyFont="1" applyBorder="1" applyAlignment="1">
      <alignment horizontal="center" vertical="center"/>
    </xf>
    <xf numFmtId="43" fontId="7" fillId="0" borderId="26" xfId="1" applyFont="1" applyBorder="1" applyAlignment="1">
      <alignment vertical="center"/>
    </xf>
    <xf numFmtId="164" fontId="2" fillId="4" borderId="0" xfId="1" applyNumberFormat="1" applyFont="1" applyFill="1" applyAlignment="1">
      <alignment horizontal="right" vertical="center"/>
    </xf>
    <xf numFmtId="43" fontId="4" fillId="0" borderId="28" xfId="1" applyFont="1" applyFill="1" applyBorder="1" applyAlignment="1">
      <alignment horizontal="center" vertical="center"/>
    </xf>
    <xf numFmtId="164" fontId="4" fillId="0" borderId="0" xfId="0" applyNumberFormat="1" applyFont="1" applyAlignment="1">
      <alignment horizontal="right" vertical="center"/>
    </xf>
    <xf numFmtId="164" fontId="1" fillId="7" borderId="26" xfId="1" applyNumberFormat="1" applyFont="1" applyFill="1" applyBorder="1" applyAlignment="1">
      <alignment horizontal="left" vertical="center" wrapText="1"/>
    </xf>
    <xf numFmtId="164" fontId="1" fillId="7" borderId="26" xfId="1" applyNumberFormat="1" applyFont="1" applyFill="1" applyBorder="1" applyAlignment="1">
      <alignment horizontal="center" vertical="center"/>
    </xf>
    <xf numFmtId="43" fontId="1" fillId="7" borderId="28" xfId="1" applyFont="1" applyFill="1" applyBorder="1" applyAlignment="1">
      <alignment horizontal="center" vertical="center"/>
    </xf>
    <xf numFmtId="164" fontId="1" fillId="31" borderId="28" xfId="1" applyNumberFormat="1" applyFont="1" applyFill="1" applyBorder="1" applyAlignment="1">
      <alignment horizontal="left" vertical="center" wrapText="1"/>
    </xf>
    <xf numFmtId="164" fontId="1" fillId="31" borderId="28" xfId="1" applyNumberFormat="1" applyFont="1" applyFill="1" applyBorder="1" applyAlignment="1">
      <alignment horizontal="center" vertical="center"/>
    </xf>
    <xf numFmtId="43" fontId="1" fillId="31" borderId="28" xfId="1" applyFont="1" applyFill="1" applyBorder="1" applyAlignment="1">
      <alignment horizontal="center" vertical="center"/>
    </xf>
    <xf numFmtId="43" fontId="1" fillId="31" borderId="28" xfId="1" applyFont="1" applyFill="1" applyBorder="1" applyAlignment="1">
      <alignment vertical="center"/>
    </xf>
    <xf numFmtId="164" fontId="1" fillId="31" borderId="26" xfId="1" applyNumberFormat="1" applyFont="1" applyFill="1" applyBorder="1" applyAlignment="1">
      <alignment horizontal="left" vertical="center" wrapText="1"/>
    </xf>
    <xf numFmtId="164" fontId="1" fillId="31" borderId="26" xfId="1" applyNumberFormat="1" applyFont="1" applyFill="1" applyBorder="1" applyAlignment="1">
      <alignment horizontal="center" vertical="center"/>
    </xf>
    <xf numFmtId="164" fontId="12" fillId="31" borderId="26" xfId="1" applyNumberFormat="1" applyFont="1" applyFill="1" applyBorder="1" applyAlignment="1">
      <alignment horizontal="left" vertical="center" wrapText="1"/>
    </xf>
    <xf numFmtId="164" fontId="12" fillId="31" borderId="26" xfId="1" applyNumberFormat="1" applyFont="1" applyFill="1" applyBorder="1" applyAlignment="1">
      <alignment horizontal="center" vertical="center"/>
    </xf>
    <xf numFmtId="43" fontId="7" fillId="31" borderId="28" xfId="1" applyFont="1" applyFill="1" applyBorder="1" applyAlignment="1">
      <alignment horizontal="center" vertical="center"/>
    </xf>
    <xf numFmtId="43" fontId="12" fillId="31" borderId="26" xfId="1" applyFont="1" applyFill="1" applyBorder="1" applyAlignment="1">
      <alignment vertical="center"/>
    </xf>
    <xf numFmtId="43" fontId="7" fillId="31" borderId="26" xfId="1" applyFont="1" applyFill="1" applyBorder="1" applyAlignment="1">
      <alignment vertical="center"/>
    </xf>
    <xf numFmtId="164" fontId="7" fillId="31" borderId="26" xfId="1" applyNumberFormat="1" applyFont="1" applyFill="1" applyBorder="1" applyAlignment="1">
      <alignment horizontal="left" vertical="center" wrapText="1"/>
    </xf>
    <xf numFmtId="164" fontId="7" fillId="31" borderId="26" xfId="1" applyNumberFormat="1" applyFont="1" applyFill="1" applyBorder="1" applyAlignment="1">
      <alignment horizontal="center" vertical="center"/>
    </xf>
    <xf numFmtId="167" fontId="109" fillId="40" borderId="61" xfId="1" quotePrefix="1" applyNumberFormat="1" applyFont="1" applyFill="1" applyBorder="1" applyAlignment="1">
      <alignment horizontal="center" vertical="center" wrapText="1"/>
    </xf>
    <xf numFmtId="43" fontId="109" fillId="31" borderId="28" xfId="1" applyFont="1" applyFill="1" applyBorder="1" applyAlignment="1">
      <alignment vertical="center"/>
    </xf>
    <xf numFmtId="43" fontId="110" fillId="0" borderId="26" xfId="1" applyFont="1" applyFill="1" applyBorder="1" applyAlignment="1">
      <alignment vertical="center"/>
    </xf>
    <xf numFmtId="43" fontId="109" fillId="31" borderId="28" xfId="1" applyFont="1" applyFill="1" applyBorder="1" applyAlignment="1">
      <alignment horizontal="center" vertical="center"/>
    </xf>
    <xf numFmtId="43" fontId="110" fillId="31" borderId="26" xfId="1" applyFont="1" applyFill="1" applyBorder="1" applyAlignment="1">
      <alignment vertical="center"/>
    </xf>
    <xf numFmtId="43" fontId="111" fillId="0" borderId="26" xfId="1" applyFont="1" applyFill="1" applyBorder="1" applyAlignment="1">
      <alignment vertical="center"/>
    </xf>
    <xf numFmtId="43" fontId="109" fillId="0" borderId="28" xfId="1" applyFont="1" applyFill="1" applyBorder="1" applyAlignment="1">
      <alignment horizontal="center" vertical="center"/>
    </xf>
    <xf numFmtId="43" fontId="109" fillId="7" borderId="28" xfId="1" applyFont="1" applyFill="1" applyBorder="1" applyAlignment="1">
      <alignment horizontal="center" vertical="center"/>
    </xf>
    <xf numFmtId="164" fontId="109" fillId="40" borderId="26" xfId="11" applyNumberFormat="1" applyFont="1" applyFill="1" applyBorder="1" applyAlignment="1">
      <alignment vertical="center" wrapText="1"/>
    </xf>
    <xf numFmtId="43" fontId="109" fillId="9" borderId="26" xfId="1" applyFont="1" applyFill="1" applyBorder="1" applyAlignment="1">
      <alignment vertical="center"/>
    </xf>
    <xf numFmtId="43" fontId="109" fillId="4" borderId="26" xfId="1" applyFont="1" applyFill="1" applyBorder="1" applyAlignment="1">
      <alignment vertical="center"/>
    </xf>
    <xf numFmtId="43" fontId="110" fillId="4" borderId="26" xfId="1" applyFont="1" applyFill="1" applyBorder="1" applyAlignment="1">
      <alignment vertical="center"/>
    </xf>
    <xf numFmtId="43" fontId="111" fillId="4" borderId="26" xfId="1" applyFont="1" applyFill="1" applyBorder="1" applyAlignment="1">
      <alignment vertical="center"/>
    </xf>
    <xf numFmtId="43" fontId="109" fillId="22" borderId="26" xfId="1" applyFont="1" applyFill="1" applyBorder="1" applyAlignment="1">
      <alignment vertical="center"/>
    </xf>
    <xf numFmtId="43" fontId="109" fillId="9" borderId="29" xfId="1" applyFont="1" applyFill="1" applyBorder="1" applyAlignment="1">
      <alignment vertical="center"/>
    </xf>
    <xf numFmtId="43" fontId="109" fillId="4" borderId="29" xfId="1" applyFont="1" applyFill="1" applyBorder="1" applyAlignment="1">
      <alignment vertical="center"/>
    </xf>
    <xf numFmtId="43" fontId="110" fillId="4" borderId="29" xfId="1" applyFont="1" applyFill="1" applyBorder="1" applyAlignment="1">
      <alignment vertical="center"/>
    </xf>
    <xf numFmtId="43" fontId="111" fillId="4" borderId="29" xfId="1" applyFont="1" applyFill="1" applyBorder="1" applyAlignment="1">
      <alignment vertical="center"/>
    </xf>
    <xf numFmtId="43" fontId="109" fillId="22" borderId="29" xfId="1" applyFont="1" applyFill="1" applyBorder="1" applyAlignment="1">
      <alignment vertical="center"/>
    </xf>
    <xf numFmtId="0" fontId="109" fillId="40" borderId="29" xfId="11" applyNumberFormat="1" applyFont="1" applyFill="1" applyBorder="1" applyAlignment="1">
      <alignment vertical="center" wrapText="1"/>
    </xf>
    <xf numFmtId="0" fontId="3" fillId="40" borderId="29" xfId="11" applyNumberFormat="1" applyFont="1" applyFill="1" applyBorder="1" applyAlignment="1">
      <alignment vertical="center" wrapText="1"/>
    </xf>
    <xf numFmtId="0" fontId="21" fillId="4" borderId="0" xfId="0" applyFont="1" applyFill="1" applyAlignment="1">
      <alignment horizontal="center"/>
    </xf>
    <xf numFmtId="0" fontId="12" fillId="4" borderId="0" xfId="0" applyFont="1" applyFill="1" applyAlignment="1">
      <alignment horizontal="center"/>
    </xf>
    <xf numFmtId="43" fontId="12" fillId="4" borderId="0" xfId="0" applyNumberFormat="1" applyFont="1" applyFill="1"/>
    <xf numFmtId="0" fontId="93" fillId="4" borderId="0" xfId="0" applyFont="1" applyFill="1"/>
    <xf numFmtId="49" fontId="93" fillId="4" borderId="0" xfId="0" applyNumberFormat="1" applyFont="1" applyFill="1" applyAlignment="1">
      <alignment horizontal="center"/>
    </xf>
    <xf numFmtId="164" fontId="8" fillId="4" borderId="0" xfId="1" applyNumberFormat="1" applyFont="1" applyFill="1" applyAlignment="1">
      <alignment horizontal="right" vertical="center"/>
    </xf>
    <xf numFmtId="0" fontId="8" fillId="4" borderId="0" xfId="0" applyFont="1" applyFill="1" applyAlignment="1">
      <alignment horizontal="right" vertical="center"/>
    </xf>
    <xf numFmtId="0" fontId="8" fillId="4" borderId="0" xfId="0" applyFont="1" applyFill="1" applyAlignment="1">
      <alignment horizontal="right" vertical="center" wrapText="1"/>
    </xf>
    <xf numFmtId="0" fontId="8" fillId="4" borderId="0" xfId="0" applyFont="1" applyFill="1" applyAlignment="1">
      <alignment horizontal="center" vertical="center"/>
    </xf>
    <xf numFmtId="43" fontId="14" fillId="4" borderId="0" xfId="1" applyFont="1" applyFill="1" applyAlignment="1">
      <alignment vertical="center"/>
    </xf>
    <xf numFmtId="167" fontId="14" fillId="4" borderId="0" xfId="1" applyNumberFormat="1" applyFont="1" applyFill="1" applyAlignment="1">
      <alignment vertical="center"/>
    </xf>
    <xf numFmtId="0" fontId="21" fillId="5" borderId="0" xfId="0" applyFont="1" applyFill="1"/>
    <xf numFmtId="0" fontId="21" fillId="0" borderId="0" xfId="0" applyFont="1" applyAlignment="1">
      <alignment horizontal="right"/>
    </xf>
    <xf numFmtId="0" fontId="12" fillId="0" borderId="0" xfId="0" quotePrefix="1" applyFont="1"/>
    <xf numFmtId="0" fontId="12" fillId="21" borderId="0" xfId="0" quotePrefix="1" applyFont="1" applyFill="1"/>
    <xf numFmtId="2" fontId="112" fillId="0" borderId="0" xfId="0" applyNumberFormat="1" applyFont="1" applyAlignment="1">
      <alignment horizontal="left" indent="1"/>
    </xf>
    <xf numFmtId="0" fontId="113" fillId="0" borderId="0" xfId="0" applyFont="1"/>
    <xf numFmtId="2" fontId="113" fillId="0" borderId="0" xfId="0" applyNumberFormat="1" applyFont="1" applyAlignment="1">
      <alignment horizontal="left" indent="1"/>
    </xf>
    <xf numFmtId="43" fontId="30" fillId="4" borderId="0" xfId="1" applyFont="1" applyFill="1"/>
    <xf numFmtId="2" fontId="42" fillId="0" borderId="0" xfId="0" applyNumberFormat="1" applyFont="1" applyAlignment="1">
      <alignment horizontal="left" indent="1"/>
    </xf>
    <xf numFmtId="2" fontId="30" fillId="0" borderId="0" xfId="0" applyNumberFormat="1" applyFont="1" applyAlignment="1">
      <alignment horizontal="left" indent="1"/>
    </xf>
    <xf numFmtId="2" fontId="30" fillId="0" borderId="0" xfId="0" applyNumberFormat="1" applyFont="1" applyAlignment="1">
      <alignment horizontal="left" indent="2"/>
    </xf>
    <xf numFmtId="0" fontId="21" fillId="24" borderId="0" xfId="0" applyFont="1" applyFill="1"/>
    <xf numFmtId="0" fontId="21" fillId="4" borderId="0" xfId="0" applyFont="1" applyFill="1" applyAlignment="1">
      <alignment horizontal="right" vertical="center"/>
    </xf>
    <xf numFmtId="0" fontId="1" fillId="4" borderId="0" xfId="0" applyFont="1" applyFill="1" applyAlignment="1">
      <alignment horizontal="center"/>
    </xf>
    <xf numFmtId="0" fontId="0" fillId="4" borderId="0" xfId="0" applyFill="1" applyAlignment="1">
      <alignment horizontal="right"/>
    </xf>
    <xf numFmtId="0" fontId="0" fillId="4" borderId="0" xfId="0" applyFill="1" applyAlignment="1">
      <alignment horizontal="center"/>
    </xf>
    <xf numFmtId="0" fontId="25" fillId="4" borderId="0" xfId="0" applyFont="1" applyFill="1" applyAlignment="1">
      <alignment horizontal="left"/>
    </xf>
    <xf numFmtId="0" fontId="25" fillId="4" borderId="0" xfId="0" applyFont="1" applyFill="1" applyAlignment="1">
      <alignment horizontal="center"/>
    </xf>
    <xf numFmtId="164" fontId="16" fillId="4" borderId="0" xfId="1" applyNumberFormat="1" applyFont="1" applyFill="1" applyBorder="1"/>
    <xf numFmtId="0" fontId="25" fillId="4" borderId="0" xfId="0" applyFont="1" applyFill="1" applyAlignment="1">
      <alignment horizontal="left" wrapText="1"/>
    </xf>
    <xf numFmtId="0" fontId="4" fillId="4" borderId="0" xfId="0" applyFont="1" applyFill="1" applyAlignment="1">
      <alignment horizontal="center"/>
    </xf>
    <xf numFmtId="0" fontId="27" fillId="4" borderId="0" xfId="0" applyFont="1" applyFill="1" applyAlignment="1">
      <alignment horizontal="left" wrapText="1"/>
    </xf>
    <xf numFmtId="9" fontId="27" fillId="4" borderId="0" xfId="0" applyNumberFormat="1" applyFont="1" applyFill="1" applyAlignment="1">
      <alignment horizontal="center"/>
    </xf>
    <xf numFmtId="164" fontId="17" fillId="4" borderId="0" xfId="1" applyNumberFormat="1" applyFont="1" applyFill="1" applyBorder="1"/>
    <xf numFmtId="0" fontId="27" fillId="4" borderId="0" xfId="0" applyFont="1" applyFill="1" applyAlignment="1">
      <alignment horizontal="center"/>
    </xf>
    <xf numFmtId="165" fontId="17" fillId="4" borderId="0" xfId="1" applyNumberFormat="1" applyFont="1" applyFill="1" applyBorder="1"/>
    <xf numFmtId="0" fontId="26" fillId="4" borderId="0" xfId="0" applyFont="1" applyFill="1" applyAlignment="1">
      <alignment horizontal="right"/>
    </xf>
    <xf numFmtId="164" fontId="16" fillId="4" borderId="0" xfId="1" applyNumberFormat="1" applyFont="1" applyFill="1" applyBorder="1" applyAlignment="1">
      <alignment horizontal="right"/>
    </xf>
    <xf numFmtId="164" fontId="17" fillId="4" borderId="0" xfId="1" applyNumberFormat="1" applyFont="1" applyFill="1" applyBorder="1" applyAlignment="1">
      <alignment horizontal="right"/>
    </xf>
    <xf numFmtId="165" fontId="17" fillId="4" borderId="0" xfId="1" applyNumberFormat="1" applyFont="1" applyFill="1" applyBorder="1" applyAlignment="1">
      <alignment horizontal="right"/>
    </xf>
    <xf numFmtId="164" fontId="0" fillId="4" borderId="0" xfId="0" applyNumberFormat="1" applyFill="1" applyAlignment="1">
      <alignment horizontal="right"/>
    </xf>
    <xf numFmtId="0" fontId="26" fillId="4" borderId="0" xfId="0" applyFont="1" applyFill="1" applyAlignment="1">
      <alignment horizontal="left" wrapText="1"/>
    </xf>
    <xf numFmtId="0" fontId="26" fillId="4" borderId="0" xfId="0" applyFont="1" applyFill="1" applyAlignment="1">
      <alignment horizontal="center"/>
    </xf>
    <xf numFmtId="164" fontId="15" fillId="4" borderId="0" xfId="1" applyNumberFormat="1" applyFont="1" applyFill="1" applyBorder="1"/>
    <xf numFmtId="164" fontId="15" fillId="4" borderId="0" xfId="1" applyNumberFormat="1" applyFont="1" applyFill="1" applyBorder="1" applyAlignment="1">
      <alignment horizontal="right"/>
    </xf>
    <xf numFmtId="0" fontId="4" fillId="4" borderId="0" xfId="0" applyFont="1" applyFill="1" applyAlignment="1">
      <alignment horizontal="right"/>
    </xf>
    <xf numFmtId="17" fontId="0" fillId="4" borderId="0" xfId="0" quotePrefix="1" applyNumberFormat="1" applyFill="1" applyAlignment="1">
      <alignment horizontal="right"/>
    </xf>
    <xf numFmtId="0" fontId="0" fillId="4" borderId="0" xfId="0" quotePrefix="1" applyFill="1" applyAlignment="1">
      <alignment horizontal="right"/>
    </xf>
    <xf numFmtId="0" fontId="1" fillId="4" borderId="0" xfId="0" applyFont="1" applyFill="1" applyAlignment="1">
      <alignment horizontal="right"/>
    </xf>
    <xf numFmtId="0" fontId="21" fillId="4" borderId="0" xfId="27" applyFont="1" applyFill="1" applyAlignment="1">
      <alignment horizontal="center"/>
    </xf>
    <xf numFmtId="0" fontId="21" fillId="4" borderId="0" xfId="27" applyFont="1" applyFill="1"/>
    <xf numFmtId="49" fontId="21" fillId="4" borderId="0" xfId="27" applyNumberFormat="1" applyFont="1" applyFill="1" applyAlignment="1">
      <alignment horizontal="center"/>
    </xf>
    <xf numFmtId="41" fontId="21" fillId="4" borderId="0" xfId="11" applyNumberFormat="1" applyFont="1" applyFill="1" applyAlignment="1"/>
    <xf numFmtId="0" fontId="7" fillId="4" borderId="0" xfId="27" applyFill="1"/>
    <xf numFmtId="0" fontId="8" fillId="4" borderId="0" xfId="27" applyFont="1" applyFill="1"/>
    <xf numFmtId="0" fontId="23" fillId="4" borderId="0" xfId="27" applyFont="1" applyFill="1"/>
    <xf numFmtId="0" fontId="8" fillId="4" borderId="0" xfId="27" quotePrefix="1" applyFont="1" applyFill="1" applyAlignment="1">
      <alignment horizontal="center"/>
    </xf>
    <xf numFmtId="49" fontId="14" fillId="4" borderId="0" xfId="27" applyNumberFormat="1" applyFont="1" applyFill="1" applyAlignment="1">
      <alignment horizontal="center"/>
    </xf>
    <xf numFmtId="0" fontId="53" fillId="4" borderId="0" xfId="27" applyFont="1" applyFill="1" applyAlignment="1">
      <alignment horizontal="center"/>
    </xf>
    <xf numFmtId="49" fontId="53" fillId="4" borderId="0" xfId="27" applyNumberFormat="1" applyFont="1" applyFill="1" applyAlignment="1">
      <alignment horizontal="center" vertical="center"/>
    </xf>
    <xf numFmtId="0" fontId="53" fillId="4" borderId="0" xfId="27" applyFont="1" applyFill="1" applyAlignment="1">
      <alignment horizontal="center" vertical="center"/>
    </xf>
    <xf numFmtId="0" fontId="53" fillId="4" borderId="0" xfId="27" applyFont="1" applyFill="1" applyAlignment="1">
      <alignment horizontal="center" vertical="center" wrapText="1"/>
    </xf>
    <xf numFmtId="41" fontId="53" fillId="4" borderId="0" xfId="11" applyNumberFormat="1" applyFont="1" applyFill="1" applyAlignment="1">
      <alignment horizontal="center" vertical="center"/>
    </xf>
    <xf numFmtId="0" fontId="53" fillId="4" borderId="0" xfId="27" applyFont="1" applyFill="1" applyAlignment="1">
      <alignment horizontal="left" vertical="center"/>
    </xf>
    <xf numFmtId="43" fontId="21" fillId="0" borderId="0" xfId="1" quotePrefix="1" applyFont="1" applyFill="1" applyBorder="1" applyAlignment="1">
      <alignment horizontal="center" vertical="center" wrapText="1"/>
    </xf>
    <xf numFmtId="43" fontId="8" fillId="0" borderId="0" xfId="1" applyFont="1"/>
    <xf numFmtId="43" fontId="12" fillId="5" borderId="0" xfId="1" applyFont="1" applyFill="1"/>
    <xf numFmtId="0" fontId="46" fillId="4" borderId="44" xfId="27" applyFont="1" applyFill="1" applyBorder="1" applyAlignment="1">
      <alignment horizontal="center" vertical="top" wrapText="1"/>
    </xf>
    <xf numFmtId="0" fontId="46" fillId="4" borderId="0" xfId="27" applyFont="1" applyFill="1" applyAlignment="1">
      <alignment horizontal="center" vertical="top" wrapText="1"/>
    </xf>
    <xf numFmtId="174" fontId="46" fillId="4" borderId="0" xfId="27" applyNumberFormat="1" applyFont="1" applyFill="1" applyAlignment="1">
      <alignment horizontal="center" vertical="top" wrapText="1"/>
    </xf>
    <xf numFmtId="3" fontId="46" fillId="4" borderId="0" xfId="27" applyNumberFormat="1" applyFont="1" applyFill="1" applyAlignment="1">
      <alignment horizontal="center" vertical="top" wrapText="1"/>
    </xf>
    <xf numFmtId="172" fontId="46" fillId="4" borderId="0" xfId="27" applyNumberFormat="1" applyFont="1" applyFill="1" applyAlignment="1">
      <alignment horizontal="center" vertical="top" wrapText="1"/>
    </xf>
    <xf numFmtId="173" fontId="46" fillId="4" borderId="0" xfId="11" applyNumberFormat="1" applyFont="1" applyFill="1" applyBorder="1" applyAlignment="1">
      <alignment horizontal="center" vertical="top" wrapText="1"/>
    </xf>
    <xf numFmtId="173" fontId="46" fillId="4" borderId="0" xfId="11" applyNumberFormat="1" applyFont="1" applyFill="1" applyAlignment="1">
      <alignment horizontal="center" vertical="top" wrapText="1"/>
    </xf>
    <xf numFmtId="9" fontId="74" fillId="31" borderId="0" xfId="2" applyFont="1" applyFill="1" applyBorder="1" applyAlignment="1">
      <alignment horizontal="right" vertical="center"/>
    </xf>
    <xf numFmtId="9" fontId="12" fillId="0" borderId="0" xfId="0" applyNumberFormat="1" applyFont="1" applyAlignment="1">
      <alignment horizontal="right" vertical="center"/>
    </xf>
    <xf numFmtId="164" fontId="30" fillId="0" borderId="0" xfId="1" applyNumberFormat="1" applyFont="1" applyBorder="1" applyAlignment="1">
      <alignment horizontal="right" vertical="center"/>
    </xf>
    <xf numFmtId="9" fontId="30" fillId="0" borderId="0" xfId="2" applyFont="1" applyBorder="1" applyAlignment="1">
      <alignment horizontal="right" vertical="center"/>
    </xf>
    <xf numFmtId="9" fontId="12" fillId="0" borderId="0" xfId="2" applyFont="1" applyBorder="1" applyAlignment="1">
      <alignment horizontal="right" vertical="center"/>
    </xf>
    <xf numFmtId="164" fontId="21" fillId="0" borderId="0" xfId="1" applyNumberFormat="1" applyFont="1" applyBorder="1" applyAlignment="1">
      <alignment horizontal="right" vertical="center"/>
    </xf>
    <xf numFmtId="10" fontId="74" fillId="31" borderId="0" xfId="0" applyNumberFormat="1" applyFont="1" applyFill="1" applyAlignment="1">
      <alignment horizontal="right" vertical="center"/>
    </xf>
    <xf numFmtId="0" fontId="21" fillId="2" borderId="0" xfId="0" applyFont="1" applyFill="1" applyAlignment="1">
      <alignment horizontal="center" vertical="center"/>
    </xf>
    <xf numFmtId="186" fontId="0" fillId="0" borderId="0" xfId="1" applyNumberFormat="1" applyFont="1" applyBorder="1"/>
    <xf numFmtId="184" fontId="0" fillId="0" borderId="0" xfId="0" applyNumberFormat="1"/>
    <xf numFmtId="184" fontId="1" fillId="2" borderId="0" xfId="0" applyNumberFormat="1" applyFont="1" applyFill="1"/>
    <xf numFmtId="0" fontId="4" fillId="0" borderId="0" xfId="0" applyFont="1" applyAlignment="1">
      <alignment horizontal="left" indent="2"/>
    </xf>
    <xf numFmtId="0" fontId="23" fillId="0" borderId="0" xfId="0" applyFont="1" applyAlignment="1">
      <alignment horizontal="center"/>
    </xf>
    <xf numFmtId="9" fontId="23" fillId="0" borderId="0" xfId="0" applyNumberFormat="1" applyFont="1"/>
    <xf numFmtId="0" fontId="49" fillId="4" borderId="54" xfId="43" applyFont="1" applyFill="1" applyBorder="1" applyAlignment="1">
      <alignment horizontal="left" vertical="center"/>
    </xf>
    <xf numFmtId="0" fontId="49" fillId="4" borderId="54" xfId="43" applyFont="1" applyFill="1" applyBorder="1" applyAlignment="1">
      <alignment horizontal="left" wrapText="1"/>
    </xf>
    <xf numFmtId="187" fontId="49" fillId="4" borderId="54" xfId="44" applyNumberFormat="1" applyFont="1" applyFill="1" applyBorder="1" applyAlignment="1">
      <alignment horizontal="left"/>
    </xf>
    <xf numFmtId="0" fontId="49" fillId="4" borderId="54" xfId="46" applyFont="1" applyFill="1" applyBorder="1" applyAlignment="1">
      <alignment horizontal="left" vertical="center" wrapText="1"/>
    </xf>
    <xf numFmtId="0" fontId="51" fillId="4" borderId="54" xfId="43" applyFont="1" applyFill="1" applyBorder="1" applyAlignment="1">
      <alignment horizontal="left" vertical="center" wrapText="1"/>
    </xf>
    <xf numFmtId="0" fontId="49" fillId="4" borderId="54" xfId="43" applyFont="1" applyFill="1" applyBorder="1" applyAlignment="1">
      <alignment horizontal="left" vertical="center" wrapText="1"/>
    </xf>
    <xf numFmtId="0" fontId="49" fillId="4" borderId="54" xfId="47" applyFont="1" applyFill="1" applyBorder="1"/>
    <xf numFmtId="0" fontId="43" fillId="4" borderId="0" xfId="43" applyFont="1" applyFill="1"/>
    <xf numFmtId="189" fontId="43" fillId="4" borderId="0" xfId="45" applyNumberFormat="1" applyFont="1" applyFill="1" applyBorder="1"/>
    <xf numFmtId="189" fontId="37" fillId="4" borderId="54" xfId="45" applyNumberFormat="1" applyFont="1" applyFill="1" applyBorder="1" applyAlignment="1">
      <alignment vertical="center" wrapText="1"/>
    </xf>
    <xf numFmtId="0" fontId="37" fillId="4" borderId="0" xfId="43" applyFont="1" applyFill="1" applyAlignment="1">
      <alignment horizontal="center" vertical="center"/>
    </xf>
    <xf numFmtId="0" fontId="37" fillId="4" borderId="0" xfId="43" applyFont="1" applyFill="1"/>
    <xf numFmtId="0" fontId="43" fillId="4" borderId="54" xfId="43" applyFont="1" applyFill="1" applyBorder="1" applyAlignment="1">
      <alignment horizontal="left" vertical="center"/>
    </xf>
    <xf numFmtId="0" fontId="43" fillId="4" borderId="54" xfId="43" applyFont="1" applyFill="1" applyBorder="1" applyAlignment="1">
      <alignment horizontal="left"/>
    </xf>
    <xf numFmtId="187" fontId="43" fillId="4" borderId="54" xfId="44" applyNumberFormat="1" applyFont="1" applyFill="1" applyBorder="1" applyAlignment="1">
      <alignment horizontal="left"/>
    </xf>
    <xf numFmtId="187" fontId="43" fillId="4" borderId="54" xfId="43" applyNumberFormat="1" applyFont="1" applyFill="1" applyBorder="1" applyAlignment="1">
      <alignment horizontal="left"/>
    </xf>
    <xf numFmtId="0" fontId="43" fillId="4" borderId="54" xfId="43" applyFont="1" applyFill="1" applyBorder="1"/>
    <xf numFmtId="189" fontId="43" fillId="4" borderId="54" xfId="45" applyNumberFormat="1" applyFont="1" applyFill="1" applyBorder="1"/>
    <xf numFmtId="14" fontId="43" fillId="4" borderId="54" xfId="43" applyNumberFormat="1" applyFont="1" applyFill="1" applyBorder="1" applyAlignment="1">
      <alignment horizontal="left"/>
    </xf>
    <xf numFmtId="164" fontId="43" fillId="4" borderId="54" xfId="44" applyNumberFormat="1" applyFont="1" applyFill="1" applyBorder="1" applyAlignment="1">
      <alignment horizontal="left"/>
    </xf>
    <xf numFmtId="187" fontId="43" fillId="4" borderId="54" xfId="43" applyNumberFormat="1" applyFont="1" applyFill="1" applyBorder="1"/>
    <xf numFmtId="187" fontId="43" fillId="4" borderId="54" xfId="44" applyNumberFormat="1" applyFont="1" applyFill="1" applyBorder="1"/>
    <xf numFmtId="0" fontId="49" fillId="4" borderId="54" xfId="47" applyFont="1" applyFill="1" applyBorder="1" applyAlignment="1">
      <alignment wrapText="1"/>
    </xf>
    <xf numFmtId="0" fontId="43" fillId="4" borderId="0" xfId="43" applyFont="1" applyFill="1" applyAlignment="1">
      <alignment horizontal="left"/>
    </xf>
    <xf numFmtId="187" fontId="43" fillId="4" borderId="0" xfId="44" applyNumberFormat="1" applyFont="1" applyFill="1" applyBorder="1" applyAlignment="1">
      <alignment horizontal="left"/>
    </xf>
    <xf numFmtId="187" fontId="43" fillId="4" borderId="0" xfId="43" applyNumberFormat="1" applyFont="1" applyFill="1"/>
    <xf numFmtId="187" fontId="43" fillId="4" borderId="0" xfId="44" applyNumberFormat="1" applyFont="1" applyFill="1" applyBorder="1"/>
    <xf numFmtId="179" fontId="43" fillId="4" borderId="0" xfId="44" applyFont="1" applyFill="1" applyBorder="1"/>
    <xf numFmtId="0" fontId="62" fillId="4" borderId="0" xfId="43" applyFont="1" applyFill="1"/>
    <xf numFmtId="187" fontId="62" fillId="4" borderId="0" xfId="44" applyNumberFormat="1" applyFont="1" applyFill="1" applyBorder="1"/>
    <xf numFmtId="179" fontId="62" fillId="4" borderId="0" xfId="44" applyFont="1" applyFill="1" applyBorder="1"/>
    <xf numFmtId="189" fontId="62" fillId="4" borderId="0" xfId="45" applyNumberFormat="1" applyFont="1" applyFill="1" applyBorder="1"/>
    <xf numFmtId="0" fontId="37" fillId="4" borderId="54" xfId="43" applyFont="1" applyFill="1" applyBorder="1" applyAlignment="1">
      <alignment horizontal="left" vertical="center" wrapText="1"/>
    </xf>
    <xf numFmtId="187" fontId="37" fillId="4" borderId="54" xfId="44" applyNumberFormat="1" applyFont="1" applyFill="1" applyBorder="1" applyAlignment="1">
      <alignment horizontal="center" vertical="center" wrapText="1"/>
    </xf>
    <xf numFmtId="187" fontId="37" fillId="4" borderId="54" xfId="44" applyNumberFormat="1" applyFont="1" applyFill="1" applyBorder="1" applyAlignment="1">
      <alignment horizontal="left" vertical="center" wrapText="1"/>
    </xf>
    <xf numFmtId="0" fontId="37" fillId="4" borderId="54" xfId="43" applyFont="1" applyFill="1" applyBorder="1" applyAlignment="1">
      <alignment horizontal="center" vertical="center" wrapText="1"/>
    </xf>
    <xf numFmtId="0" fontId="37" fillId="4" borderId="54" xfId="43" applyFont="1" applyFill="1" applyBorder="1" applyAlignment="1">
      <alignment vertical="center" wrapText="1"/>
    </xf>
    <xf numFmtId="0" fontId="37" fillId="4" borderId="54" xfId="45" applyNumberFormat="1" applyFont="1" applyFill="1" applyBorder="1" applyAlignment="1">
      <alignment horizontal="center" vertical="center" wrapText="1"/>
    </xf>
    <xf numFmtId="0" fontId="37" fillId="4" borderId="0" xfId="43" applyFont="1" applyFill="1" applyAlignment="1">
      <alignment horizontal="center" vertical="center" wrapText="1"/>
    </xf>
    <xf numFmtId="0" fontId="37" fillId="4" borderId="0" xfId="43" applyFont="1" applyFill="1" applyAlignment="1">
      <alignment vertical="center" wrapText="1"/>
    </xf>
    <xf numFmtId="0" fontId="43" fillId="4" borderId="54" xfId="43" applyFont="1" applyFill="1" applyBorder="1" applyAlignment="1">
      <alignment horizontal="center" vertical="center"/>
    </xf>
    <xf numFmtId="0" fontId="43" fillId="4" borderId="0" xfId="43" applyFont="1" applyFill="1" applyAlignment="1">
      <alignment horizontal="center" vertical="center"/>
    </xf>
    <xf numFmtId="0" fontId="62" fillId="4" borderId="0" xfId="43" applyFont="1" applyFill="1" applyAlignment="1">
      <alignment horizontal="center" vertical="center"/>
    </xf>
    <xf numFmtId="0" fontId="37" fillId="4" borderId="0" xfId="43" applyFont="1" applyFill="1" applyAlignment="1">
      <alignment horizontal="left" vertical="center"/>
    </xf>
    <xf numFmtId="0" fontId="37" fillId="4" borderId="0" xfId="43" applyFont="1" applyFill="1" applyAlignment="1">
      <alignment horizontal="left"/>
    </xf>
    <xf numFmtId="187" fontId="37" fillId="4" borderId="0" xfId="44" applyNumberFormat="1" applyFont="1" applyFill="1" applyBorder="1" applyAlignment="1">
      <alignment horizontal="left"/>
    </xf>
    <xf numFmtId="189" fontId="37" fillId="4" borderId="0" xfId="45" applyNumberFormat="1" applyFont="1" applyFill="1" applyBorder="1"/>
    <xf numFmtId="0" fontId="93" fillId="0" borderId="0" xfId="0" applyFont="1"/>
    <xf numFmtId="0" fontId="21" fillId="2" borderId="0" xfId="0" applyFont="1" applyFill="1" applyAlignment="1">
      <alignment vertical="center"/>
    </xf>
    <xf numFmtId="164" fontId="0" fillId="0" borderId="0" xfId="1" applyNumberFormat="1" applyFont="1" applyBorder="1" applyAlignment="1"/>
    <xf numFmtId="0" fontId="99" fillId="0" borderId="0" xfId="0" applyFont="1"/>
    <xf numFmtId="3" fontId="12" fillId="0" borderId="9" xfId="0" applyNumberFormat="1" applyFont="1" applyBorder="1"/>
    <xf numFmtId="3" fontId="12" fillId="0" borderId="10" xfId="0" applyNumberFormat="1" applyFont="1" applyBorder="1"/>
    <xf numFmtId="0" fontId="21" fillId="0" borderId="57" xfId="0" applyFont="1" applyBorder="1"/>
    <xf numFmtId="3" fontId="12" fillId="0" borderId="11" xfId="0" applyNumberFormat="1" applyFont="1" applyBorder="1"/>
    <xf numFmtId="189" fontId="43" fillId="4" borderId="0" xfId="45" applyNumberFormat="1" applyFont="1" applyFill="1" applyBorder="1" applyAlignment="1">
      <alignment horizontal="left"/>
    </xf>
    <xf numFmtId="189" fontId="43" fillId="4" borderId="0" xfId="43" applyNumberFormat="1" applyFont="1" applyFill="1" applyAlignment="1">
      <alignment horizontal="left"/>
    </xf>
    <xf numFmtId="0" fontId="51" fillId="4" borderId="0" xfId="43" applyFont="1" applyFill="1" applyAlignment="1">
      <alignment horizontal="left"/>
    </xf>
    <xf numFmtId="189" fontId="51" fillId="4" borderId="0" xfId="45" applyNumberFormat="1" applyFont="1" applyFill="1" applyBorder="1" applyAlignment="1">
      <alignment horizontal="left"/>
    </xf>
    <xf numFmtId="0" fontId="62" fillId="4" borderId="0" xfId="43" applyFont="1" applyFill="1" applyAlignment="1">
      <alignment horizontal="left"/>
    </xf>
    <xf numFmtId="189" fontId="62" fillId="4" borderId="0" xfId="45" applyNumberFormat="1" applyFont="1" applyFill="1" applyBorder="1" applyAlignment="1">
      <alignment horizontal="left"/>
    </xf>
    <xf numFmtId="189" fontId="37" fillId="4" borderId="0" xfId="45" applyNumberFormat="1" applyFont="1" applyFill="1" applyBorder="1" applyAlignment="1">
      <alignment horizontal="left"/>
    </xf>
    <xf numFmtId="0" fontId="43" fillId="4" borderId="0" xfId="43" applyFont="1" applyFill="1" applyAlignment="1">
      <alignment horizontal="center"/>
    </xf>
    <xf numFmtId="0" fontId="37" fillId="4" borderId="0" xfId="43" applyFont="1" applyFill="1" applyAlignment="1">
      <alignment horizontal="center"/>
    </xf>
    <xf numFmtId="0" fontId="62" fillId="4" borderId="0" xfId="43" applyFont="1" applyFill="1" applyAlignment="1">
      <alignment horizontal="center"/>
    </xf>
    <xf numFmtId="189" fontId="43" fillId="4" borderId="0" xfId="45" applyNumberFormat="1" applyFont="1" applyFill="1" applyBorder="1" applyAlignment="1">
      <alignment horizontal="center"/>
    </xf>
    <xf numFmtId="189" fontId="43" fillId="4" borderId="0" xfId="43" applyNumberFormat="1" applyFont="1" applyFill="1" applyAlignment="1">
      <alignment horizontal="center"/>
    </xf>
    <xf numFmtId="189" fontId="62" fillId="4" borderId="0" xfId="45" applyNumberFormat="1" applyFont="1" applyFill="1" applyBorder="1" applyAlignment="1">
      <alignment horizontal="center"/>
    </xf>
    <xf numFmtId="43" fontId="43" fillId="4" borderId="0" xfId="43" applyNumberFormat="1" applyFont="1" applyFill="1" applyAlignment="1">
      <alignment horizontal="center"/>
    </xf>
    <xf numFmtId="189" fontId="37" fillId="4" borderId="0" xfId="43" applyNumberFormat="1" applyFont="1" applyFill="1" applyAlignment="1">
      <alignment horizontal="center"/>
    </xf>
    <xf numFmtId="43" fontId="37" fillId="4" borderId="0" xfId="1" applyFont="1" applyFill="1" applyBorder="1" applyAlignment="1">
      <alignment horizontal="center"/>
    </xf>
    <xf numFmtId="189" fontId="37" fillId="4" borderId="0" xfId="43" applyNumberFormat="1" applyFont="1" applyFill="1" applyAlignment="1">
      <alignment horizontal="left"/>
    </xf>
    <xf numFmtId="0" fontId="51" fillId="4" borderId="54" xfId="43" applyFont="1" applyFill="1" applyBorder="1" applyAlignment="1">
      <alignment horizontal="left"/>
    </xf>
    <xf numFmtId="0" fontId="51" fillId="24" borderId="54" xfId="43" applyFont="1" applyFill="1" applyBorder="1" applyAlignment="1">
      <alignment horizontal="center" vertical="center"/>
    </xf>
    <xf numFmtId="0" fontId="51" fillId="24" borderId="54" xfId="43" applyFont="1" applyFill="1" applyBorder="1" applyAlignment="1">
      <alignment horizontal="left" vertical="center"/>
    </xf>
    <xf numFmtId="14" fontId="51" fillId="24" borderId="54" xfId="43" applyNumberFormat="1" applyFont="1" applyFill="1" applyBorder="1" applyAlignment="1">
      <alignment horizontal="left"/>
    </xf>
    <xf numFmtId="0" fontId="51" fillId="24" borderId="54" xfId="43" applyFont="1" applyFill="1" applyBorder="1" applyAlignment="1">
      <alignment horizontal="left"/>
    </xf>
    <xf numFmtId="187" fontId="51" fillId="24" borderId="54" xfId="44" applyNumberFormat="1" applyFont="1" applyFill="1" applyBorder="1"/>
    <xf numFmtId="187" fontId="51" fillId="24" borderId="54" xfId="44" applyNumberFormat="1" applyFont="1" applyFill="1" applyBorder="1" applyAlignment="1">
      <alignment horizontal="left"/>
    </xf>
    <xf numFmtId="187" fontId="51" fillId="24" borderId="54" xfId="43" applyNumberFormat="1" applyFont="1" applyFill="1" applyBorder="1"/>
    <xf numFmtId="0" fontId="51" fillId="24" borderId="54" xfId="43" applyFont="1" applyFill="1" applyBorder="1"/>
    <xf numFmtId="189" fontId="51" fillId="24" borderId="54" xfId="45" applyNumberFormat="1" applyFont="1" applyFill="1" applyBorder="1"/>
    <xf numFmtId="0" fontId="51" fillId="24" borderId="0" xfId="43" applyFont="1" applyFill="1"/>
    <xf numFmtId="189" fontId="45" fillId="4" borderId="0" xfId="45" applyNumberFormat="1" applyFont="1" applyFill="1" applyBorder="1" applyAlignment="1">
      <alignment horizontal="center"/>
    </xf>
    <xf numFmtId="0" fontId="47" fillId="4" borderId="0" xfId="43" applyFont="1" applyFill="1"/>
    <xf numFmtId="189" fontId="43" fillId="4" borderId="0" xfId="45" applyNumberFormat="1" applyFont="1" applyFill="1" applyBorder="1" applyAlignment="1"/>
    <xf numFmtId="189" fontId="43" fillId="4" borderId="0" xfId="43" applyNumberFormat="1" applyFont="1" applyFill="1"/>
    <xf numFmtId="189" fontId="37" fillId="4" borderId="0" xfId="45" applyNumberFormat="1" applyFont="1" applyFill="1" applyBorder="1" applyAlignment="1"/>
    <xf numFmtId="0" fontId="45" fillId="4" borderId="0" xfId="43" applyFont="1" applyFill="1" applyAlignment="1">
      <alignment horizontal="left"/>
    </xf>
    <xf numFmtId="0" fontId="12" fillId="24" borderId="0" xfId="0" applyFont="1" applyFill="1"/>
    <xf numFmtId="0" fontId="42" fillId="4" borderId="0" xfId="0" applyFont="1" applyFill="1" applyAlignment="1">
      <alignment horizontal="center" vertical="center"/>
    </xf>
    <xf numFmtId="0" fontId="42" fillId="4" borderId="0" xfId="0" applyFont="1" applyFill="1"/>
    <xf numFmtId="0" fontId="42" fillId="4" borderId="0" xfId="0" applyFont="1" applyFill="1" applyAlignment="1">
      <alignment horizontal="center"/>
    </xf>
    <xf numFmtId="167" fontId="42" fillId="4" borderId="0" xfId="1" applyNumberFormat="1" applyFont="1" applyFill="1" applyBorder="1"/>
    <xf numFmtId="0" fontId="12" fillId="4" borderId="0" xfId="0" applyFont="1" applyFill="1" applyAlignment="1">
      <alignment horizontal="center" vertical="center"/>
    </xf>
    <xf numFmtId="167" fontId="12" fillId="4" borderId="0" xfId="1" applyNumberFormat="1" applyFont="1" applyFill="1" applyBorder="1"/>
    <xf numFmtId="0" fontId="42" fillId="0" borderId="0" xfId="0" applyFont="1" applyAlignment="1">
      <alignment vertical="center"/>
    </xf>
    <xf numFmtId="0" fontId="21" fillId="2" borderId="0" xfId="0" applyFont="1" applyFill="1" applyAlignment="1">
      <alignment horizontal="right" vertical="center" wrapText="1"/>
    </xf>
    <xf numFmtId="0" fontId="21" fillId="13" borderId="0" xfId="0" applyFont="1" applyFill="1" applyAlignment="1">
      <alignment horizontal="center" vertical="center"/>
    </xf>
    <xf numFmtId="0" fontId="21" fillId="13" borderId="0" xfId="0" applyFont="1" applyFill="1"/>
    <xf numFmtId="0" fontId="21" fillId="13" borderId="0" xfId="0" applyFont="1" applyFill="1" applyAlignment="1">
      <alignment horizontal="center"/>
    </xf>
    <xf numFmtId="43" fontId="21" fillId="13" borderId="0" xfId="1" applyFont="1" applyFill="1" applyBorder="1"/>
    <xf numFmtId="167" fontId="21" fillId="13" borderId="0" xfId="1" applyNumberFormat="1" applyFont="1" applyFill="1" applyBorder="1"/>
    <xf numFmtId="43" fontId="42" fillId="0" borderId="0" xfId="1" applyFont="1" applyBorder="1"/>
    <xf numFmtId="0" fontId="12" fillId="0" borderId="0" xfId="0" quotePrefix="1" applyFont="1" applyAlignment="1">
      <alignment vertical="center"/>
    </xf>
    <xf numFmtId="0" fontId="42" fillId="4" borderId="0" xfId="0" applyFont="1" applyFill="1" applyAlignment="1">
      <alignment vertical="center"/>
    </xf>
    <xf numFmtId="43" fontId="42" fillId="4" borderId="0" xfId="1" applyFont="1" applyFill="1" applyBorder="1"/>
    <xf numFmtId="0" fontId="30" fillId="4" borderId="0" xfId="0" applyFont="1" applyFill="1" applyAlignment="1">
      <alignment horizontal="center" vertical="center"/>
    </xf>
    <xf numFmtId="0" fontId="30" fillId="4" borderId="0" xfId="0" applyFont="1" applyFill="1" applyAlignment="1">
      <alignment vertical="center"/>
    </xf>
    <xf numFmtId="43" fontId="30" fillId="4" borderId="0" xfId="1" applyFont="1" applyFill="1" applyBorder="1"/>
    <xf numFmtId="0" fontId="47" fillId="4" borderId="0" xfId="43" applyFont="1" applyFill="1" applyAlignment="1">
      <alignment horizontal="left"/>
    </xf>
    <xf numFmtId="189" fontId="62" fillId="4" borderId="0" xfId="43" applyNumberFormat="1" applyFont="1" applyFill="1" applyAlignment="1">
      <alignment horizontal="center"/>
    </xf>
    <xf numFmtId="0" fontId="43" fillId="9" borderId="0" xfId="43" applyFont="1" applyFill="1"/>
    <xf numFmtId="0" fontId="37" fillId="9" borderId="0" xfId="43" applyFont="1" applyFill="1" applyAlignment="1">
      <alignment horizontal="left"/>
    </xf>
    <xf numFmtId="0" fontId="43" fillId="9" borderId="0" xfId="43" applyFont="1" applyFill="1" applyAlignment="1">
      <alignment horizontal="left"/>
    </xf>
    <xf numFmtId="0" fontId="43" fillId="9" borderId="0" xfId="43" applyFont="1" applyFill="1" applyAlignment="1">
      <alignment horizontal="center"/>
    </xf>
    <xf numFmtId="0" fontId="37" fillId="9" borderId="0" xfId="43" applyFont="1" applyFill="1"/>
    <xf numFmtId="189" fontId="37" fillId="9" borderId="0" xfId="43" applyNumberFormat="1" applyFont="1" applyFill="1" applyAlignment="1">
      <alignment horizontal="left"/>
    </xf>
    <xf numFmtId="164" fontId="43" fillId="4" borderId="0" xfId="1" applyNumberFormat="1" applyFont="1" applyFill="1" applyBorder="1" applyAlignment="1">
      <alignment horizontal="center"/>
    </xf>
    <xf numFmtId="43" fontId="21" fillId="13" borderId="0" xfId="1" applyFont="1" applyFill="1"/>
    <xf numFmtId="0" fontId="30" fillId="4" borderId="0" xfId="0" applyFont="1" applyFill="1" applyAlignment="1">
      <alignment horizontal="center"/>
    </xf>
    <xf numFmtId="167" fontId="30" fillId="4" borderId="0" xfId="1" applyNumberFormat="1" applyFont="1" applyFill="1" applyBorder="1"/>
    <xf numFmtId="43" fontId="21" fillId="2" borderId="0" xfId="1" applyFont="1" applyFill="1" applyAlignment="1">
      <alignment horizontal="center" vertical="center" wrapText="1"/>
    </xf>
    <xf numFmtId="43" fontId="30" fillId="0" borderId="0" xfId="1" applyFont="1" applyAlignment="1">
      <alignment vertical="center"/>
    </xf>
    <xf numFmtId="43" fontId="30" fillId="4" borderId="0" xfId="1" applyFont="1" applyFill="1" applyAlignment="1">
      <alignment vertical="center"/>
    </xf>
    <xf numFmtId="43" fontId="21" fillId="13" borderId="0" xfId="1" applyFont="1" applyFill="1" applyAlignment="1">
      <alignment horizontal="left" indent="1"/>
    </xf>
    <xf numFmtId="43" fontId="42" fillId="4" borderId="0" xfId="1" applyFont="1" applyFill="1" applyAlignment="1">
      <alignment horizontal="left" indent="1"/>
    </xf>
    <xf numFmtId="43" fontId="30" fillId="4" borderId="0" xfId="1" applyFont="1" applyFill="1" applyAlignment="1">
      <alignment horizontal="left" indent="1"/>
    </xf>
    <xf numFmtId="0" fontId="21" fillId="17" borderId="0" xfId="0" applyFont="1" applyFill="1"/>
    <xf numFmtId="43" fontId="21" fillId="4" borderId="0" xfId="1" applyFont="1" applyFill="1" applyAlignment="1">
      <alignment vertical="center"/>
    </xf>
    <xf numFmtId="0" fontId="30" fillId="4" borderId="0" xfId="0" quotePrefix="1" applyFont="1" applyFill="1" applyAlignment="1">
      <alignment vertical="center"/>
    </xf>
    <xf numFmtId="177" fontId="12" fillId="4" borderId="0" xfId="0" applyNumberFormat="1" applyFont="1" applyFill="1"/>
    <xf numFmtId="164" fontId="21" fillId="4" borderId="0" xfId="1" applyNumberFormat="1" applyFont="1" applyFill="1" applyAlignment="1">
      <alignment vertical="center"/>
    </xf>
    <xf numFmtId="0" fontId="30" fillId="4" borderId="0" xfId="0" quotePrefix="1" applyFont="1" applyFill="1"/>
    <xf numFmtId="43" fontId="21" fillId="4" borderId="0" xfId="1" applyFont="1" applyFill="1" applyAlignment="1">
      <alignment horizontal="left" indent="1"/>
    </xf>
    <xf numFmtId="167" fontId="21" fillId="4" borderId="0" xfId="1" applyNumberFormat="1" applyFont="1" applyFill="1" applyBorder="1"/>
    <xf numFmtId="43" fontId="21" fillId="4" borderId="0" xfId="1" applyFont="1" applyFill="1" applyAlignment="1">
      <alignment horizontal="center" vertical="center"/>
    </xf>
    <xf numFmtId="43" fontId="42" fillId="4" borderId="0" xfId="1" applyFont="1" applyFill="1" applyAlignment="1">
      <alignment vertical="center"/>
    </xf>
    <xf numFmtId="177" fontId="21" fillId="4" borderId="0" xfId="0" applyNumberFormat="1" applyFont="1" applyFill="1"/>
    <xf numFmtId="3" fontId="30" fillId="4" borderId="0" xfId="0" applyNumberFormat="1" applyFont="1" applyFill="1"/>
    <xf numFmtId="9" fontId="12" fillId="4" borderId="0" xfId="0" applyNumberFormat="1" applyFont="1" applyFill="1"/>
    <xf numFmtId="164" fontId="12" fillId="4" borderId="0" xfId="1" applyNumberFormat="1" applyFont="1" applyFill="1" applyAlignment="1">
      <alignment horizontal="center" vertical="center"/>
    </xf>
    <xf numFmtId="164" fontId="12" fillId="4" borderId="0" xfId="1" applyNumberFormat="1" applyFont="1" applyFill="1" applyAlignment="1"/>
    <xf numFmtId="164" fontId="12" fillId="4" borderId="0" xfId="1" applyNumberFormat="1" applyFont="1" applyFill="1" applyAlignment="1">
      <alignment horizontal="center"/>
    </xf>
    <xf numFmtId="0" fontId="21" fillId="0" borderId="0" xfId="0" applyFont="1" applyAlignment="1">
      <alignment horizontal="left" vertical="center"/>
    </xf>
    <xf numFmtId="0" fontId="14" fillId="0" borderId="0" xfId="0" applyFont="1" applyAlignment="1">
      <alignment horizontal="left" vertical="center"/>
    </xf>
    <xf numFmtId="0" fontId="42" fillId="0" borderId="0" xfId="0" applyFont="1" applyAlignment="1">
      <alignment horizontal="left" vertical="center"/>
    </xf>
    <xf numFmtId="0" fontId="30" fillId="0" borderId="0" xfId="0" applyFont="1" applyAlignment="1">
      <alignment horizontal="left" vertical="center"/>
    </xf>
    <xf numFmtId="0" fontId="21" fillId="2" borderId="0" xfId="0" applyFont="1" applyFill="1" applyAlignment="1">
      <alignment horizontal="left" vertical="center"/>
    </xf>
    <xf numFmtId="0" fontId="21" fillId="4" borderId="0" xfId="0" applyFont="1" applyFill="1" applyAlignment="1">
      <alignment horizontal="left" vertical="center"/>
    </xf>
    <xf numFmtId="0" fontId="30" fillId="4" borderId="0" xfId="0" applyFont="1" applyFill="1" applyAlignment="1">
      <alignment horizontal="left" vertical="center"/>
    </xf>
    <xf numFmtId="0" fontId="42" fillId="4" borderId="0" xfId="0" applyFont="1" applyFill="1" applyAlignment="1">
      <alignment horizontal="left" vertical="center"/>
    </xf>
    <xf numFmtId="164" fontId="21" fillId="4" borderId="0" xfId="1" applyNumberFormat="1" applyFont="1" applyFill="1" applyAlignment="1">
      <alignment horizontal="left" vertical="center"/>
    </xf>
    <xf numFmtId="0" fontId="12" fillId="4" borderId="0" xfId="0" applyFont="1" applyFill="1" applyAlignment="1">
      <alignment horizontal="left" vertical="center"/>
    </xf>
    <xf numFmtId="43" fontId="21" fillId="4" borderId="0" xfId="1" applyFont="1" applyFill="1" applyAlignment="1">
      <alignment horizontal="center" vertical="center" wrapText="1"/>
    </xf>
    <xf numFmtId="0" fontId="21" fillId="13" borderId="0" xfId="0" applyFont="1" applyFill="1" applyAlignment="1">
      <alignment horizontal="left" vertical="center"/>
    </xf>
    <xf numFmtId="0" fontId="21" fillId="13" borderId="0" xfId="0" applyFont="1" applyFill="1" applyAlignment="1">
      <alignment vertical="center"/>
    </xf>
    <xf numFmtId="43" fontId="21" fillId="13" borderId="0" xfId="1" applyFont="1" applyFill="1" applyAlignment="1">
      <alignment vertical="center"/>
    </xf>
    <xf numFmtId="43" fontId="30" fillId="13" borderId="0" xfId="1" applyFont="1" applyFill="1" applyAlignment="1">
      <alignment vertical="center"/>
    </xf>
    <xf numFmtId="0" fontId="12" fillId="13" borderId="0" xfId="0" applyFont="1" applyFill="1"/>
    <xf numFmtId="43" fontId="12" fillId="13" borderId="0" xfId="1" applyFont="1" applyFill="1" applyBorder="1"/>
    <xf numFmtId="164" fontId="21" fillId="13" borderId="0" xfId="1" applyNumberFormat="1" applyFont="1" applyFill="1"/>
    <xf numFmtId="43" fontId="21" fillId="13" borderId="0" xfId="1" applyFont="1" applyFill="1" applyAlignment="1">
      <alignment horizontal="right"/>
    </xf>
    <xf numFmtId="43" fontId="12" fillId="13" borderId="0" xfId="1" applyFont="1" applyFill="1"/>
    <xf numFmtId="43" fontId="21" fillId="13" borderId="0" xfId="0" applyNumberFormat="1" applyFont="1" applyFill="1"/>
    <xf numFmtId="0" fontId="21" fillId="13" borderId="0" xfId="0" applyFont="1" applyFill="1" applyAlignment="1">
      <alignment wrapText="1"/>
    </xf>
    <xf numFmtId="43" fontId="21" fillId="13" borderId="0" xfId="1" applyFont="1" applyFill="1" applyAlignment="1">
      <alignment wrapText="1"/>
    </xf>
    <xf numFmtId="43" fontId="21" fillId="13" borderId="0" xfId="1" applyFont="1" applyFill="1" applyBorder="1" applyAlignment="1">
      <alignment vertical="center"/>
    </xf>
    <xf numFmtId="0" fontId="30" fillId="4" borderId="0" xfId="0" applyFont="1" applyFill="1" applyAlignment="1">
      <alignment horizontal="right" vertical="center"/>
    </xf>
    <xf numFmtId="0" fontId="1" fillId="0" borderId="0" xfId="0" applyFont="1" applyAlignment="1">
      <alignment horizontal="left"/>
    </xf>
    <xf numFmtId="0" fontId="4" fillId="0" borderId="0" xfId="0" applyFont="1" applyAlignment="1">
      <alignment horizontal="left" vertical="center"/>
    </xf>
    <xf numFmtId="2" fontId="1" fillId="0" borderId="0" xfId="0" applyNumberFormat="1" applyFont="1" applyAlignment="1">
      <alignment horizontal="left"/>
    </xf>
    <xf numFmtId="9" fontId="0" fillId="0" borderId="0" xfId="0" applyNumberFormat="1" applyAlignment="1">
      <alignment horizontal="left"/>
    </xf>
    <xf numFmtId="2" fontId="1" fillId="0" borderId="42" xfId="0" applyNumberFormat="1" applyFont="1" applyBorder="1" applyAlignment="1">
      <alignment horizontal="left"/>
    </xf>
    <xf numFmtId="2" fontId="0" fillId="0" borderId="0" xfId="0" applyNumberFormat="1" applyAlignment="1">
      <alignment horizontal="left"/>
    </xf>
    <xf numFmtId="3" fontId="0" fillId="0" borderId="0" xfId="0" applyNumberFormat="1" applyAlignment="1">
      <alignment horizontal="left"/>
    </xf>
    <xf numFmtId="165" fontId="0" fillId="0" borderId="7" xfId="0" applyNumberFormat="1" applyBorder="1" applyAlignment="1">
      <alignment horizontal="left"/>
    </xf>
    <xf numFmtId="0" fontId="97" fillId="0" borderId="0" xfId="0" applyFont="1" applyAlignment="1">
      <alignment horizontal="left"/>
    </xf>
    <xf numFmtId="0" fontId="98" fillId="0" borderId="0" xfId="0" applyFont="1" applyAlignment="1">
      <alignment horizontal="left"/>
    </xf>
    <xf numFmtId="0" fontId="4" fillId="0" borderId="0" xfId="0" applyFont="1" applyAlignment="1">
      <alignment horizontal="left"/>
    </xf>
    <xf numFmtId="9" fontId="0" fillId="0" borderId="7" xfId="0" applyNumberFormat="1" applyBorder="1" applyAlignment="1">
      <alignment horizontal="left"/>
    </xf>
    <xf numFmtId="190" fontId="117" fillId="0" borderId="54" xfId="48" applyNumberFormat="1" applyFont="1" applyBorder="1" applyAlignment="1">
      <alignment horizontal="center" vertical="center" wrapText="1"/>
    </xf>
    <xf numFmtId="0" fontId="117" fillId="0" borderId="54" xfId="48" applyFont="1" applyBorder="1" applyAlignment="1">
      <alignment horizontal="center" vertical="center" wrapText="1"/>
    </xf>
    <xf numFmtId="0" fontId="117" fillId="0" borderId="54" xfId="48" applyFont="1" applyBorder="1" applyAlignment="1">
      <alignment horizontal="left" vertical="center" wrapText="1"/>
    </xf>
    <xf numFmtId="49" fontId="117" fillId="0" borderId="54" xfId="48" applyNumberFormat="1" applyFont="1" applyBorder="1" applyAlignment="1">
      <alignment horizontal="center" vertical="center" wrapText="1"/>
    </xf>
    <xf numFmtId="164" fontId="117" fillId="0" borderId="54" xfId="25" applyNumberFormat="1" applyFont="1" applyBorder="1" applyAlignment="1">
      <alignment horizontal="center" vertical="center" wrapText="1"/>
    </xf>
    <xf numFmtId="164" fontId="117" fillId="6" borderId="54" xfId="25" applyNumberFormat="1" applyFont="1" applyFill="1" applyBorder="1" applyAlignment="1">
      <alignment horizontal="center" vertical="center" wrapText="1"/>
    </xf>
    <xf numFmtId="164" fontId="118" fillId="4" borderId="54" xfId="25" applyNumberFormat="1" applyFont="1" applyFill="1" applyBorder="1" applyAlignment="1">
      <alignment horizontal="center" vertical="center" wrapText="1"/>
    </xf>
    <xf numFmtId="3" fontId="117" fillId="19" borderId="54" xfId="48" applyNumberFormat="1" applyFont="1" applyFill="1" applyBorder="1" applyAlignment="1">
      <alignment horizontal="center" vertical="center" wrapText="1"/>
    </xf>
    <xf numFmtId="3" fontId="117" fillId="9" borderId="54" xfId="48" applyNumberFormat="1" applyFont="1" applyFill="1" applyBorder="1" applyAlignment="1">
      <alignment horizontal="center" vertical="center" wrapText="1"/>
    </xf>
    <xf numFmtId="164" fontId="117" fillId="9" borderId="54" xfId="25" applyNumberFormat="1" applyFont="1" applyFill="1" applyBorder="1" applyAlignment="1">
      <alignment horizontal="center" vertical="center" wrapText="1"/>
    </xf>
    <xf numFmtId="0" fontId="118" fillId="24" borderId="0" xfId="14" applyFont="1" applyFill="1" applyAlignment="1">
      <alignment horizontal="center" vertical="center" wrapText="1"/>
    </xf>
    <xf numFmtId="0" fontId="84" fillId="0" borderId="0" xfId="39" applyFont="1" applyAlignment="1">
      <alignment vertical="center" wrapText="1"/>
    </xf>
    <xf numFmtId="0" fontId="119" fillId="0" borderId="54" xfId="14" quotePrefix="1" applyFont="1" applyBorder="1" applyAlignment="1">
      <alignment horizontal="center" vertical="center"/>
    </xf>
    <xf numFmtId="0" fontId="119" fillId="4" borderId="54" xfId="14" applyFont="1" applyFill="1" applyBorder="1"/>
    <xf numFmtId="0" fontId="120" fillId="4" borderId="54" xfId="14" applyFont="1" applyFill="1" applyBorder="1"/>
    <xf numFmtId="0" fontId="9" fillId="0" borderId="54" xfId="14" applyFont="1" applyBorder="1"/>
    <xf numFmtId="49" fontId="120" fillId="0" borderId="54" xfId="14" applyNumberFormat="1" applyFont="1" applyBorder="1" applyAlignment="1">
      <alignment horizontal="center" vertical="center"/>
    </xf>
    <xf numFmtId="164" fontId="9" fillId="4" borderId="54" xfId="25" applyNumberFormat="1" applyFont="1" applyFill="1" applyBorder="1"/>
    <xf numFmtId="164" fontId="9" fillId="0" borderId="54" xfId="25" applyNumberFormat="1" applyFont="1" applyBorder="1"/>
    <xf numFmtId="164" fontId="120" fillId="6" borderId="54" xfId="25" applyNumberFormat="1" applyFont="1" applyFill="1" applyBorder="1" applyAlignment="1">
      <alignment horizontal="center" vertical="center"/>
    </xf>
    <xf numFmtId="164" fontId="117" fillId="0" borderId="54" xfId="25" applyNumberFormat="1" applyFont="1" applyFill="1" applyBorder="1" applyAlignment="1">
      <alignment horizontal="center" vertical="center"/>
    </xf>
    <xf numFmtId="164" fontId="10" fillId="24" borderId="0" xfId="14" applyNumberFormat="1" applyFont="1" applyFill="1"/>
    <xf numFmtId="0" fontId="52" fillId="0" borderId="0" xfId="39"/>
    <xf numFmtId="0" fontId="9" fillId="4" borderId="54" xfId="14" applyFont="1" applyFill="1" applyBorder="1" applyAlignment="1">
      <alignment horizontal="left"/>
    </xf>
    <xf numFmtId="0" fontId="120" fillId="0" borderId="54" xfId="14" applyFont="1" applyBorder="1"/>
    <xf numFmtId="0" fontId="120" fillId="4" borderId="54" xfId="14" applyFont="1" applyFill="1" applyBorder="1" applyAlignment="1">
      <alignment horizontal="left"/>
    </xf>
    <xf numFmtId="0" fontId="88" fillId="0" borderId="54" xfId="14" applyFont="1" applyBorder="1"/>
    <xf numFmtId="164" fontId="120" fillId="0" borderId="54" xfId="25" applyNumberFormat="1" applyFont="1" applyFill="1" applyBorder="1"/>
    <xf numFmtId="164" fontId="120" fillId="4" borderId="54" xfId="25" applyNumberFormat="1" applyFont="1" applyFill="1" applyBorder="1"/>
    <xf numFmtId="0" fontId="120" fillId="0" borderId="54" xfId="14" applyFont="1" applyBorder="1" applyAlignment="1" applyProtection="1">
      <alignment horizontal="left"/>
      <protection locked="0"/>
    </xf>
    <xf numFmtId="164" fontId="120" fillId="4" borderId="54" xfId="25" applyNumberFormat="1" applyFont="1" applyFill="1" applyBorder="1" applyAlignment="1" applyProtection="1">
      <protection locked="0"/>
    </xf>
    <xf numFmtId="164" fontId="120" fillId="0" borderId="54" xfId="25" applyNumberFormat="1" applyFont="1" applyFill="1" applyBorder="1" applyAlignment="1" applyProtection="1">
      <protection locked="0"/>
    </xf>
    <xf numFmtId="0" fontId="120" fillId="4" borderId="54" xfId="14" applyFont="1" applyFill="1" applyBorder="1" applyAlignment="1" applyProtection="1">
      <alignment horizontal="left"/>
      <protection locked="0"/>
    </xf>
    <xf numFmtId="0" fontId="120" fillId="0" borderId="54" xfId="14" applyFont="1" applyBorder="1" applyAlignment="1">
      <alignment horizontal="left"/>
    </xf>
    <xf numFmtId="164" fontId="88" fillId="4" borderId="54" xfId="25" applyNumberFormat="1" applyFont="1" applyFill="1" applyBorder="1"/>
    <xf numFmtId="164" fontId="120" fillId="4" borderId="54" xfId="25" applyNumberFormat="1" applyFont="1" applyFill="1" applyBorder="1" applyAlignment="1"/>
    <xf numFmtId="0" fontId="88" fillId="4" borderId="54" xfId="14" applyFont="1" applyFill="1" applyBorder="1" applyAlignment="1">
      <alignment horizontal="left"/>
    </xf>
    <xf numFmtId="0" fontId="88" fillId="0" borderId="54" xfId="14" applyFont="1" applyBorder="1" applyAlignment="1">
      <alignment horizontal="left"/>
    </xf>
    <xf numFmtId="164" fontId="88" fillId="0" borderId="54" xfId="25" applyNumberFormat="1" applyFont="1" applyFill="1" applyBorder="1"/>
    <xf numFmtId="0" fontId="88" fillId="4" borderId="54" xfId="14" applyFont="1" applyFill="1" applyBorder="1"/>
    <xf numFmtId="0" fontId="120" fillId="4" borderId="54" xfId="14" applyFont="1" applyFill="1" applyBorder="1" applyAlignment="1">
      <alignment horizontal="left" vertical="center"/>
    </xf>
    <xf numFmtId="164" fontId="120" fillId="4" borderId="54" xfId="25" applyNumberFormat="1" applyFont="1" applyFill="1" applyBorder="1" applyAlignment="1">
      <alignment vertical="center" wrapText="1"/>
    </xf>
    <xf numFmtId="164" fontId="120" fillId="0" borderId="54" xfId="25" applyNumberFormat="1" applyFont="1" applyFill="1" applyBorder="1" applyAlignment="1">
      <alignment vertical="center" wrapText="1"/>
    </xf>
    <xf numFmtId="189" fontId="0" fillId="0" borderId="0" xfId="45" applyNumberFormat="1" applyFont="1"/>
    <xf numFmtId="164" fontId="0" fillId="0" borderId="0" xfId="45" applyNumberFormat="1" applyFont="1"/>
    <xf numFmtId="0" fontId="84" fillId="0" borderId="0" xfId="39" applyFont="1"/>
    <xf numFmtId="164" fontId="1" fillId="0" borderId="0" xfId="45" applyNumberFormat="1" applyFont="1"/>
    <xf numFmtId="0" fontId="20" fillId="4" borderId="0" xfId="0" applyFont="1" applyFill="1"/>
    <xf numFmtId="43" fontId="20" fillId="4" borderId="0" xfId="1" applyFont="1" applyFill="1" applyBorder="1" applyAlignment="1"/>
    <xf numFmtId="43" fontId="42" fillId="4" borderId="0" xfId="1" applyFont="1" applyFill="1" applyBorder="1" applyAlignment="1"/>
    <xf numFmtId="43" fontId="30" fillId="4" borderId="0" xfId="1" applyFont="1" applyFill="1" applyBorder="1" applyAlignment="1"/>
    <xf numFmtId="0" fontId="0" fillId="5" borderId="0" xfId="0" applyFill="1"/>
    <xf numFmtId="0" fontId="93" fillId="9" borderId="0" xfId="0" applyFont="1" applyFill="1"/>
    <xf numFmtId="0" fontId="2" fillId="4" borderId="0" xfId="0" applyFont="1" applyFill="1" applyAlignment="1">
      <alignment horizontal="left" wrapText="1"/>
    </xf>
    <xf numFmtId="0" fontId="4" fillId="0" borderId="0" xfId="0" applyFont="1" applyAlignment="1">
      <alignment horizontal="left" wrapText="1"/>
    </xf>
    <xf numFmtId="0" fontId="1" fillId="0" borderId="0" xfId="39" applyFont="1" applyAlignment="1">
      <alignment horizontal="left"/>
    </xf>
    <xf numFmtId="0" fontId="1" fillId="0" borderId="0" xfId="39" applyFont="1"/>
    <xf numFmtId="0" fontId="1" fillId="0" borderId="0" xfId="14" applyFont="1"/>
    <xf numFmtId="0" fontId="7" fillId="0" borderId="0" xfId="39" applyFont="1"/>
    <xf numFmtId="0" fontId="7" fillId="4" borderId="0" xfId="43" applyFill="1"/>
    <xf numFmtId="0" fontId="7" fillId="4" borderId="0" xfId="43" applyFill="1" applyAlignment="1">
      <alignment horizontal="center"/>
    </xf>
    <xf numFmtId="0" fontId="1" fillId="4" borderId="0" xfId="43" applyFont="1" applyFill="1"/>
    <xf numFmtId="0" fontId="1" fillId="4" borderId="0" xfId="43" applyFont="1" applyFill="1" applyAlignment="1">
      <alignment horizontal="center" vertical="center"/>
    </xf>
    <xf numFmtId="0" fontId="1" fillId="4" borderId="0" xfId="43" applyFont="1" applyFill="1" applyAlignment="1">
      <alignment horizontal="left" vertical="center"/>
    </xf>
    <xf numFmtId="0" fontId="1" fillId="4" borderId="0" xfId="43" applyFont="1" applyFill="1" applyAlignment="1">
      <alignment horizontal="center"/>
    </xf>
    <xf numFmtId="0" fontId="7" fillId="4" borderId="0" xfId="43" applyFill="1" applyAlignment="1">
      <alignment horizontal="left"/>
    </xf>
    <xf numFmtId="0" fontId="1" fillId="4" borderId="0" xfId="43" applyFont="1" applyFill="1" applyAlignment="1">
      <alignment horizontal="left"/>
    </xf>
    <xf numFmtId="189" fontId="1" fillId="4" borderId="0" xfId="45" applyNumberFormat="1" applyFont="1" applyFill="1" applyBorder="1" applyAlignment="1"/>
    <xf numFmtId="43" fontId="1" fillId="4" borderId="0" xfId="1" applyFont="1" applyFill="1" applyBorder="1" applyAlignment="1">
      <alignment horizontal="center"/>
    </xf>
    <xf numFmtId="189" fontId="7" fillId="4" borderId="0" xfId="45" applyNumberFormat="1" applyFont="1" applyFill="1" applyBorder="1" applyAlignment="1"/>
    <xf numFmtId="43" fontId="7" fillId="4" borderId="0" xfId="43" applyNumberFormat="1" applyFill="1" applyAlignment="1">
      <alignment horizontal="center"/>
    </xf>
    <xf numFmtId="189" fontId="7" fillId="4" borderId="0" xfId="43" applyNumberFormat="1" applyFill="1"/>
    <xf numFmtId="0" fontId="7" fillId="4" borderId="0" xfId="43" applyFill="1" applyAlignment="1">
      <alignment horizontal="center" vertical="center"/>
    </xf>
    <xf numFmtId="0" fontId="2" fillId="4" borderId="0" xfId="43" applyFont="1" applyFill="1" applyAlignment="1">
      <alignment horizontal="left"/>
    </xf>
    <xf numFmtId="0" fontId="14" fillId="4" borderId="0" xfId="43" applyFont="1" applyFill="1" applyAlignment="1">
      <alignment horizontal="left"/>
    </xf>
    <xf numFmtId="189" fontId="14" fillId="4" borderId="0" xfId="45" applyNumberFormat="1" applyFont="1" applyFill="1" applyBorder="1" applyAlignment="1">
      <alignment horizontal="center"/>
    </xf>
    <xf numFmtId="0" fontId="4" fillId="4" borderId="0" xfId="43" applyFont="1" applyFill="1" applyAlignment="1">
      <alignment horizontal="left"/>
    </xf>
    <xf numFmtId="189" fontId="4" fillId="4" borderId="0" xfId="45" applyNumberFormat="1" applyFont="1" applyFill="1" applyBorder="1" applyAlignment="1">
      <alignment horizontal="center"/>
    </xf>
    <xf numFmtId="0" fontId="4" fillId="4" borderId="0" xfId="43" applyFont="1" applyFill="1"/>
    <xf numFmtId="189" fontId="7" fillId="4" borderId="0" xfId="43" applyNumberFormat="1" applyFill="1" applyAlignment="1">
      <alignment horizontal="center"/>
    </xf>
    <xf numFmtId="189" fontId="7" fillId="4" borderId="0" xfId="45" applyNumberFormat="1" applyFont="1" applyFill="1" applyBorder="1" applyAlignment="1">
      <alignment horizontal="center"/>
    </xf>
    <xf numFmtId="43" fontId="7" fillId="0" borderId="0" xfId="27" applyNumberFormat="1"/>
    <xf numFmtId="189" fontId="14" fillId="4" borderId="0" xfId="43" applyNumberFormat="1" applyFont="1" applyFill="1" applyAlignment="1">
      <alignment horizontal="left"/>
    </xf>
    <xf numFmtId="189" fontId="74" fillId="4" borderId="0" xfId="45" applyNumberFormat="1" applyFont="1" applyFill="1" applyBorder="1" applyAlignment="1">
      <alignment horizontal="center"/>
    </xf>
    <xf numFmtId="189" fontId="75" fillId="4" borderId="0" xfId="45" applyNumberFormat="1" applyFont="1" applyFill="1" applyBorder="1" applyAlignment="1">
      <alignment horizontal="center"/>
    </xf>
    <xf numFmtId="0" fontId="73" fillId="4" borderId="0" xfId="43" applyFont="1" applyFill="1" applyAlignment="1">
      <alignment horizontal="center"/>
    </xf>
    <xf numFmtId="0" fontId="74" fillId="4" borderId="0" xfId="43" applyFont="1" applyFill="1" applyAlignment="1">
      <alignment horizontal="center"/>
    </xf>
    <xf numFmtId="43" fontId="74" fillId="4" borderId="0" xfId="1" applyFont="1" applyFill="1" applyBorder="1" applyAlignment="1">
      <alignment horizontal="center"/>
    </xf>
    <xf numFmtId="43" fontId="73" fillId="4" borderId="0" xfId="43" applyNumberFormat="1" applyFont="1" applyFill="1" applyAlignment="1">
      <alignment horizontal="center"/>
    </xf>
    <xf numFmtId="0" fontId="12" fillId="9" borderId="0" xfId="43" applyFont="1" applyFill="1"/>
    <xf numFmtId="0" fontId="21" fillId="9" borderId="0" xfId="43" applyFont="1" applyFill="1" applyAlignment="1">
      <alignment horizontal="left"/>
    </xf>
    <xf numFmtId="0" fontId="12" fillId="9" borderId="0" xfId="43" applyFont="1" applyFill="1" applyAlignment="1">
      <alignment horizontal="left"/>
    </xf>
    <xf numFmtId="0" fontId="21" fillId="9" borderId="0" xfId="43" applyFont="1" applyFill="1" applyAlignment="1">
      <alignment horizontal="center"/>
    </xf>
    <xf numFmtId="189" fontId="21" fillId="9" borderId="0" xfId="43" applyNumberFormat="1" applyFont="1" applyFill="1" applyAlignment="1">
      <alignment horizontal="center"/>
    </xf>
    <xf numFmtId="0" fontId="12" fillId="4" borderId="0" xfId="43" applyFont="1" applyFill="1"/>
    <xf numFmtId="0" fontId="21" fillId="2" borderId="0" xfId="43" applyFont="1" applyFill="1"/>
    <xf numFmtId="0" fontId="21" fillId="2" borderId="0" xfId="43" applyFont="1" applyFill="1" applyAlignment="1">
      <alignment horizontal="left"/>
    </xf>
    <xf numFmtId="189" fontId="21" fillId="2" borderId="0" xfId="43" applyNumberFormat="1" applyFont="1" applyFill="1" applyAlignment="1">
      <alignment horizontal="left"/>
    </xf>
    <xf numFmtId="189" fontId="21" fillId="2" borderId="0" xfId="43" applyNumberFormat="1" applyFont="1" applyFill="1"/>
    <xf numFmtId="0" fontId="21" fillId="4" borderId="0" xfId="43" applyFont="1" applyFill="1"/>
    <xf numFmtId="0" fontId="12" fillId="2" borderId="0" xfId="43" applyFont="1" applyFill="1"/>
    <xf numFmtId="189" fontId="21" fillId="2" borderId="0" xfId="43" applyNumberFormat="1" applyFont="1" applyFill="1" applyAlignment="1">
      <alignment horizontal="center"/>
    </xf>
    <xf numFmtId="0" fontId="12" fillId="4" borderId="0" xfId="0" quotePrefix="1" applyFont="1" applyFill="1" applyAlignment="1">
      <alignment horizontal="left" vertical="center"/>
    </xf>
    <xf numFmtId="0" fontId="3" fillId="0" borderId="0" xfId="0" applyFont="1" applyAlignment="1">
      <alignment wrapText="1"/>
    </xf>
    <xf numFmtId="9" fontId="3" fillId="0" borderId="0" xfId="0" applyNumberFormat="1" applyFont="1" applyAlignment="1">
      <alignment horizontal="right" vertical="center"/>
    </xf>
    <xf numFmtId="164" fontId="3" fillId="0" borderId="0" xfId="1" applyNumberFormat="1" applyFont="1" applyBorder="1"/>
    <xf numFmtId="0" fontId="3" fillId="22" borderId="0" xfId="0" applyFont="1" applyFill="1" applyAlignment="1">
      <alignment horizontal="center" vertical="center"/>
    </xf>
    <xf numFmtId="0" fontId="7" fillId="4" borderId="0" xfId="43" applyFill="1" applyAlignment="1">
      <alignment vertical="center"/>
    </xf>
    <xf numFmtId="43" fontId="7" fillId="0" borderId="0" xfId="1" applyFont="1"/>
    <xf numFmtId="43" fontId="0" fillId="0" borderId="7" xfId="1" applyFont="1" applyBorder="1"/>
    <xf numFmtId="164" fontId="1" fillId="2" borderId="0" xfId="0" applyNumberFormat="1" applyFont="1" applyFill="1"/>
    <xf numFmtId="0" fontId="14" fillId="4" borderId="0" xfId="43" applyFont="1" applyFill="1"/>
    <xf numFmtId="0" fontId="14" fillId="0" borderId="0" xfId="39" applyFont="1"/>
    <xf numFmtId="189" fontId="76" fillId="4" borderId="0" xfId="45" applyNumberFormat="1" applyFont="1" applyFill="1" applyBorder="1" applyAlignment="1">
      <alignment horizontal="center"/>
    </xf>
    <xf numFmtId="0" fontId="76" fillId="4" borderId="0" xfId="43" applyFont="1" applyFill="1"/>
    <xf numFmtId="164" fontId="1" fillId="4" borderId="0" xfId="1" applyNumberFormat="1" applyFont="1" applyFill="1" applyBorder="1" applyAlignment="1">
      <alignment horizontal="left" vertical="center"/>
    </xf>
    <xf numFmtId="164" fontId="1" fillId="4" borderId="0" xfId="1" applyNumberFormat="1" applyFont="1" applyFill="1" applyBorder="1" applyAlignment="1">
      <alignment horizontal="center"/>
    </xf>
    <xf numFmtId="43" fontId="43" fillId="0" borderId="0" xfId="27" applyNumberFormat="1" applyFont="1"/>
    <xf numFmtId="43" fontId="0" fillId="4" borderId="0" xfId="1" applyFont="1" applyFill="1" applyBorder="1"/>
    <xf numFmtId="43" fontId="1" fillId="4" borderId="0" xfId="1" applyFont="1" applyFill="1" applyBorder="1"/>
    <xf numFmtId="0" fontId="1" fillId="31" borderId="7" xfId="0" applyFont="1" applyFill="1" applyBorder="1"/>
    <xf numFmtId="0" fontId="0" fillId="31" borderId="7" xfId="0" applyFill="1" applyBorder="1"/>
    <xf numFmtId="43" fontId="0" fillId="4" borderId="0" xfId="0" applyNumberFormat="1" applyFill="1"/>
    <xf numFmtId="0" fontId="7" fillId="4" borderId="0" xfId="0" applyFont="1" applyFill="1" applyAlignment="1">
      <alignment horizontal="center"/>
    </xf>
    <xf numFmtId="164" fontId="7" fillId="4" borderId="0" xfId="1" applyNumberFormat="1" applyFont="1" applyFill="1" applyBorder="1" applyAlignment="1">
      <alignment horizontal="center"/>
    </xf>
    <xf numFmtId="164" fontId="15" fillId="4" borderId="0" xfId="1" applyNumberFormat="1" applyFont="1" applyFill="1" applyBorder="1" applyAlignment="1">
      <alignment horizontal="center"/>
    </xf>
    <xf numFmtId="37" fontId="1" fillId="4" borderId="0" xfId="0" applyNumberFormat="1" applyFont="1" applyFill="1" applyAlignment="1">
      <alignment horizontal="center"/>
    </xf>
    <xf numFmtId="43" fontId="15" fillId="4" borderId="0" xfId="1" applyFont="1" applyFill="1" applyBorder="1"/>
    <xf numFmtId="49" fontId="15" fillId="4" borderId="0" xfId="0" applyNumberFormat="1" applyFont="1" applyFill="1" applyAlignment="1">
      <alignment horizontal="center"/>
    </xf>
    <xf numFmtId="49" fontId="15" fillId="4" borderId="0" xfId="0" applyNumberFormat="1" applyFont="1" applyFill="1"/>
    <xf numFmtId="49" fontId="16" fillId="4" borderId="0" xfId="0" quotePrefix="1" applyNumberFormat="1" applyFont="1" applyFill="1" applyAlignment="1">
      <alignment horizontal="center"/>
    </xf>
    <xf numFmtId="49" fontId="16" fillId="4" borderId="0" xfId="0" applyNumberFormat="1" applyFont="1" applyFill="1"/>
    <xf numFmtId="43" fontId="16" fillId="4" borderId="0" xfId="1" applyFont="1" applyFill="1" applyBorder="1" applyAlignment="1"/>
    <xf numFmtId="43" fontId="16" fillId="4" borderId="0" xfId="1" applyFont="1" applyFill="1" applyBorder="1"/>
    <xf numFmtId="49" fontId="17" fillId="4" borderId="0" xfId="0" applyNumberFormat="1" applyFont="1" applyFill="1" applyAlignment="1">
      <alignment horizontal="center"/>
    </xf>
    <xf numFmtId="49" fontId="17" fillId="4" borderId="0" xfId="0" applyNumberFormat="1" applyFont="1" applyFill="1"/>
    <xf numFmtId="49" fontId="16" fillId="4" borderId="0" xfId="0" applyNumberFormat="1" applyFont="1" applyFill="1" applyAlignment="1">
      <alignment horizontal="center"/>
    </xf>
    <xf numFmtId="164" fontId="19" fillId="4" borderId="0" xfId="1" applyNumberFormat="1" applyFont="1" applyFill="1" applyBorder="1" applyAlignment="1">
      <alignment horizontal="center"/>
    </xf>
    <xf numFmtId="49" fontId="17" fillId="4" borderId="0" xfId="0" quotePrefix="1" applyNumberFormat="1" applyFont="1" applyFill="1" applyAlignment="1">
      <alignment horizontal="center"/>
    </xf>
    <xf numFmtId="43" fontId="15" fillId="4" borderId="0" xfId="1" applyFont="1" applyFill="1" applyBorder="1" applyAlignment="1"/>
    <xf numFmtId="164" fontId="16" fillId="4" borderId="0" xfId="1" applyNumberFormat="1" applyFont="1" applyFill="1" applyBorder="1" applyAlignment="1">
      <alignment horizontal="center"/>
    </xf>
    <xf numFmtId="43" fontId="17" fillId="4" borderId="0" xfId="1" applyFont="1" applyFill="1" applyBorder="1"/>
    <xf numFmtId="3" fontId="42" fillId="0" borderId="0" xfId="0" applyNumberFormat="1" applyFont="1"/>
    <xf numFmtId="167" fontId="42" fillId="0" borderId="0" xfId="1" applyNumberFormat="1" applyFont="1" applyFill="1" applyBorder="1"/>
    <xf numFmtId="165" fontId="12" fillId="0" borderId="0" xfId="2" applyNumberFormat="1" applyFont="1" applyFill="1" applyBorder="1"/>
    <xf numFmtId="167" fontId="12" fillId="0" borderId="0" xfId="1" applyNumberFormat="1" applyFont="1" applyFill="1" applyBorder="1"/>
    <xf numFmtId="4" fontId="42" fillId="0" borderId="0" xfId="0" applyNumberFormat="1" applyFont="1"/>
    <xf numFmtId="43" fontId="42" fillId="0" borderId="0" xfId="1" applyFont="1" applyFill="1" applyBorder="1"/>
    <xf numFmtId="4" fontId="30" fillId="0" borderId="0" xfId="0" applyNumberFormat="1" applyFont="1"/>
    <xf numFmtId="167" fontId="30" fillId="0" borderId="0" xfId="1" applyNumberFormat="1" applyFont="1" applyFill="1" applyBorder="1"/>
    <xf numFmtId="2" fontId="30" fillId="0" borderId="0" xfId="0" quotePrefix="1" applyNumberFormat="1" applyFont="1" applyAlignment="1">
      <alignment horizontal="left" indent="2"/>
    </xf>
    <xf numFmtId="0" fontId="12" fillId="0" borderId="7" xfId="0" applyFont="1" applyBorder="1"/>
    <xf numFmtId="0" fontId="12" fillId="0" borderId="0" xfId="0" applyFont="1" applyAlignment="1">
      <alignment horizontal="right"/>
    </xf>
    <xf numFmtId="164" fontId="21" fillId="0" borderId="0" xfId="1" applyNumberFormat="1" applyFont="1"/>
    <xf numFmtId="0" fontId="21" fillId="5" borderId="0" xfId="0" applyFont="1" applyFill="1" applyAlignment="1">
      <alignment horizontal="right"/>
    </xf>
    <xf numFmtId="164" fontId="21" fillId="5" borderId="0" xfId="1" applyNumberFormat="1" applyFont="1" applyFill="1"/>
    <xf numFmtId="0" fontId="12" fillId="21" borderId="0" xfId="0" applyFont="1" applyFill="1" applyAlignment="1">
      <alignment horizontal="right"/>
    </xf>
    <xf numFmtId="0" fontId="12" fillId="21" borderId="0" xfId="0" applyFont="1" applyFill="1"/>
    <xf numFmtId="164" fontId="12" fillId="0" borderId="0" xfId="1" applyNumberFormat="1" applyFont="1" applyAlignment="1">
      <alignment horizontal="right"/>
    </xf>
    <xf numFmtId="43" fontId="12" fillId="0" borderId="0" xfId="1" quotePrefix="1" applyFont="1" applyFill="1" applyBorder="1" applyAlignment="1">
      <alignment horizontal="center" vertical="center" wrapText="1"/>
    </xf>
    <xf numFmtId="0" fontId="21" fillId="41" borderId="0" xfId="1" applyNumberFormat="1" applyFont="1" applyFill="1" applyBorder="1" applyAlignment="1">
      <alignment horizontal="center" vertical="center" wrapText="1"/>
    </xf>
    <xf numFmtId="43" fontId="12" fillId="0" borderId="0" xfId="1" applyFont="1" applyFill="1" applyBorder="1" applyAlignment="1">
      <alignment horizontal="center" vertical="center" wrapText="1"/>
    </xf>
    <xf numFmtId="43" fontId="12" fillId="21" borderId="0" xfId="1" applyFont="1" applyFill="1"/>
    <xf numFmtId="43" fontId="21" fillId="0" borderId="0" xfId="1" applyFont="1" applyFill="1"/>
    <xf numFmtId="43" fontId="30" fillId="0" borderId="0" xfId="1" applyFont="1" applyFill="1"/>
    <xf numFmtId="43" fontId="112" fillId="0" borderId="0" xfId="1" applyFont="1" applyFill="1" applyBorder="1"/>
    <xf numFmtId="43" fontId="12" fillId="31" borderId="0" xfId="1" applyFont="1" applyFill="1"/>
    <xf numFmtId="9" fontId="12" fillId="0" borderId="0" xfId="2" applyFont="1" applyAlignment="1">
      <alignment horizontal="right"/>
    </xf>
    <xf numFmtId="9" fontId="114" fillId="0" borderId="0" xfId="2" applyFont="1" applyAlignment="1">
      <alignment horizontal="left" indent="1"/>
    </xf>
    <xf numFmtId="9" fontId="122" fillId="0" borderId="0" xfId="2" applyFont="1"/>
    <xf numFmtId="164" fontId="12" fillId="4" borderId="0" xfId="1" applyNumberFormat="1" applyFont="1" applyFill="1" applyBorder="1" applyAlignment="1">
      <alignment horizontal="center"/>
    </xf>
    <xf numFmtId="0" fontId="21" fillId="4" borderId="0" xfId="0" applyFont="1" applyFill="1" applyAlignment="1">
      <alignment horizontal="center" vertical="top"/>
    </xf>
    <xf numFmtId="164" fontId="21" fillId="4" borderId="0" xfId="1" applyNumberFormat="1" applyFont="1" applyFill="1" applyBorder="1" applyAlignment="1">
      <alignment vertical="top"/>
    </xf>
    <xf numFmtId="164" fontId="12" fillId="4" borderId="0" xfId="1" applyNumberFormat="1" applyFont="1" applyFill="1" applyBorder="1"/>
    <xf numFmtId="43" fontId="12" fillId="4" borderId="0" xfId="1" applyFont="1" applyFill="1" applyBorder="1"/>
    <xf numFmtId="0" fontId="21" fillId="4" borderId="0" xfId="0" applyFont="1" applyFill="1" applyAlignment="1">
      <alignment horizontal="center" vertical="center" readingOrder="1"/>
    </xf>
    <xf numFmtId="0" fontId="12" fillId="4" borderId="0" xfId="0" applyFont="1" applyFill="1" applyAlignment="1">
      <alignment horizontal="center" vertical="center" readingOrder="1"/>
    </xf>
    <xf numFmtId="0" fontId="30" fillId="4" borderId="0" xfId="0" applyFont="1" applyFill="1" applyAlignment="1">
      <alignment horizontal="center" vertical="center" readingOrder="1"/>
    </xf>
    <xf numFmtId="0" fontId="12" fillId="4" borderId="0" xfId="9" applyFont="1" applyFill="1" applyAlignment="1">
      <alignment horizontal="left" vertical="center" readingOrder="1"/>
    </xf>
    <xf numFmtId="0" fontId="7" fillId="4" borderId="0" xfId="0" applyFont="1" applyFill="1"/>
    <xf numFmtId="164" fontId="7" fillId="4" borderId="0" xfId="0" applyNumberFormat="1" applyFont="1" applyFill="1"/>
    <xf numFmtId="0" fontId="7" fillId="4" borderId="0" xfId="0" applyFont="1" applyFill="1" applyAlignment="1">
      <alignment horizontal="right"/>
    </xf>
    <xf numFmtId="37" fontId="1" fillId="4" borderId="0" xfId="0" applyNumberFormat="1" applyFont="1" applyFill="1"/>
    <xf numFmtId="0" fontId="7" fillId="4" borderId="0" xfId="0" applyFont="1" applyFill="1" applyAlignment="1">
      <alignment horizontal="center" vertical="center"/>
    </xf>
    <xf numFmtId="49" fontId="1" fillId="4" borderId="0" xfId="0" applyNumberFormat="1" applyFont="1" applyFill="1" applyAlignment="1">
      <alignment vertical="center"/>
    </xf>
    <xf numFmtId="164" fontId="1" fillId="4" borderId="0" xfId="1" applyNumberFormat="1" applyFont="1" applyFill="1" applyBorder="1" applyAlignment="1">
      <alignment horizontal="center" vertical="center" wrapText="1"/>
    </xf>
    <xf numFmtId="37" fontId="7" fillId="4" borderId="0" xfId="0" applyNumberFormat="1" applyFont="1" applyFill="1" applyAlignment="1">
      <alignment horizontal="center"/>
    </xf>
    <xf numFmtId="37" fontId="7" fillId="4" borderId="0" xfId="0" applyNumberFormat="1" applyFont="1" applyFill="1"/>
    <xf numFmtId="43" fontId="7" fillId="4" borderId="0" xfId="1" applyFont="1" applyFill="1" applyBorder="1"/>
    <xf numFmtId="43" fontId="7" fillId="4" borderId="0" xfId="1" applyFont="1" applyFill="1" applyBorder="1" applyAlignment="1"/>
    <xf numFmtId="49" fontId="1" fillId="4" borderId="0" xfId="0" applyNumberFormat="1" applyFont="1" applyFill="1" applyAlignment="1">
      <alignment horizontal="center"/>
    </xf>
    <xf numFmtId="49" fontId="1" fillId="4" borderId="0" xfId="0" applyNumberFormat="1" applyFont="1" applyFill="1"/>
    <xf numFmtId="49" fontId="7" fillId="4" borderId="0" xfId="0" quotePrefix="1" applyNumberFormat="1" applyFont="1" applyFill="1" applyAlignment="1">
      <alignment horizontal="center"/>
    </xf>
    <xf numFmtId="49" fontId="7" fillId="4" borderId="0" xfId="0" applyNumberFormat="1" applyFont="1" applyFill="1"/>
    <xf numFmtId="43" fontId="8" fillId="4" borderId="0" xfId="1" applyFont="1" applyFill="1" applyBorder="1"/>
    <xf numFmtId="49" fontId="4" fillId="4" borderId="0" xfId="0" applyNumberFormat="1" applyFont="1" applyFill="1" applyAlignment="1">
      <alignment horizontal="center"/>
    </xf>
    <xf numFmtId="49" fontId="4" fillId="4" borderId="0" xfId="0" applyNumberFormat="1" applyFont="1" applyFill="1"/>
    <xf numFmtId="0" fontId="1" fillId="41" borderId="0" xfId="0" applyFont="1" applyFill="1"/>
    <xf numFmtId="43" fontId="1" fillId="41" borderId="0" xfId="1" applyFont="1" applyFill="1" applyBorder="1"/>
    <xf numFmtId="37" fontId="7" fillId="4" borderId="0" xfId="0" applyNumberFormat="1" applyFont="1" applyFill="1" applyAlignment="1">
      <alignment horizontal="left" vertical="center"/>
    </xf>
    <xf numFmtId="43" fontId="7" fillId="4" borderId="0" xfId="1" applyFont="1" applyFill="1" applyBorder="1" applyAlignment="1">
      <alignment horizontal="left" vertical="center"/>
    </xf>
    <xf numFmtId="49" fontId="1" fillId="41" borderId="0" xfId="0" applyNumberFormat="1" applyFont="1" applyFill="1" applyAlignment="1">
      <alignment vertical="center"/>
    </xf>
    <xf numFmtId="43" fontId="1" fillId="41" borderId="0" xfId="1" applyFont="1" applyFill="1" applyBorder="1" applyAlignment="1">
      <alignment horizontal="center" vertical="center" wrapText="1"/>
    </xf>
    <xf numFmtId="49" fontId="7" fillId="4" borderId="0" xfId="0" applyNumberFormat="1" applyFont="1" applyFill="1" applyAlignment="1">
      <alignment horizontal="center"/>
    </xf>
    <xf numFmtId="164" fontId="2" fillId="4" borderId="0" xfId="1" applyNumberFormat="1" applyFont="1" applyFill="1" applyBorder="1" applyAlignment="1">
      <alignment horizontal="center"/>
    </xf>
    <xf numFmtId="49" fontId="4" fillId="4" borderId="0" xfId="0" quotePrefix="1" applyNumberFormat="1" applyFont="1" applyFill="1" applyAlignment="1">
      <alignment horizontal="center"/>
    </xf>
    <xf numFmtId="43" fontId="4" fillId="4" borderId="0" xfId="1" applyFont="1" applyFill="1" applyBorder="1" applyAlignment="1"/>
    <xf numFmtId="164" fontId="4" fillId="4" borderId="0" xfId="1" applyNumberFormat="1" applyFont="1" applyFill="1" applyBorder="1" applyAlignment="1"/>
    <xf numFmtId="43" fontId="7" fillId="4" borderId="0" xfId="0" applyNumberFormat="1" applyFont="1" applyFill="1"/>
    <xf numFmtId="43" fontId="4" fillId="4" borderId="0" xfId="1" applyFont="1" applyFill="1" applyBorder="1"/>
    <xf numFmtId="0" fontId="1" fillId="45" borderId="0" xfId="0" applyFont="1" applyFill="1"/>
    <xf numFmtId="0" fontId="21" fillId="2" borderId="0" xfId="0" applyFont="1" applyFill="1" applyAlignment="1">
      <alignment horizontal="center" vertical="center" readingOrder="1"/>
    </xf>
    <xf numFmtId="43" fontId="1" fillId="45" borderId="0" xfId="1" applyFont="1" applyFill="1" applyBorder="1"/>
    <xf numFmtId="164" fontId="1" fillId="45" borderId="0" xfId="1" applyNumberFormat="1" applyFont="1" applyFill="1" applyBorder="1"/>
    <xf numFmtId="164" fontId="1" fillId="41" borderId="0" xfId="1" applyNumberFormat="1" applyFont="1" applyFill="1" applyBorder="1" applyAlignment="1">
      <alignment horizontal="center" vertical="center" wrapText="1"/>
    </xf>
    <xf numFmtId="0" fontId="1" fillId="41" borderId="0" xfId="1" applyNumberFormat="1" applyFont="1" applyFill="1" applyBorder="1" applyAlignment="1">
      <alignment horizontal="center" vertical="center" wrapText="1"/>
    </xf>
    <xf numFmtId="0" fontId="16" fillId="4" borderId="0" xfId="0" applyFont="1" applyFill="1"/>
    <xf numFmtId="164" fontId="0" fillId="4" borderId="0" xfId="1" applyNumberFormat="1" applyFont="1" applyFill="1" applyAlignment="1">
      <alignment horizontal="center"/>
    </xf>
    <xf numFmtId="164" fontId="0" fillId="4" borderId="0" xfId="1" applyNumberFormat="1" applyFont="1" applyFill="1"/>
    <xf numFmtId="1" fontId="0" fillId="4" borderId="0" xfId="0" applyNumberFormat="1" applyFill="1"/>
    <xf numFmtId="9" fontId="0" fillId="4" borderId="0" xfId="2" applyFont="1" applyFill="1"/>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vertical="top"/>
    </xf>
    <xf numFmtId="0" fontId="5" fillId="4" borderId="0" xfId="0" applyFont="1" applyFill="1" applyAlignment="1">
      <alignment horizontal="left" vertical="top"/>
    </xf>
    <xf numFmtId="0" fontId="41" fillId="4" borderId="0" xfId="0" applyFont="1" applyFill="1" applyAlignment="1">
      <alignment horizontal="left" vertical="top"/>
    </xf>
    <xf numFmtId="0" fontId="12" fillId="4" borderId="0" xfId="0" applyFont="1" applyFill="1" applyAlignment="1">
      <alignment horizontal="left" vertical="top"/>
    </xf>
    <xf numFmtId="0" fontId="12" fillId="4" borderId="0" xfId="0" applyFont="1" applyFill="1" applyAlignment="1">
      <alignment vertical="top"/>
    </xf>
    <xf numFmtId="10" fontId="12" fillId="4" borderId="0" xfId="0" applyNumberFormat="1" applyFont="1" applyFill="1" applyAlignment="1">
      <alignment horizontal="right" indent="1"/>
    </xf>
    <xf numFmtId="3" fontId="21" fillId="4" borderId="0" xfId="0" applyNumberFormat="1" applyFont="1" applyFill="1" applyAlignment="1">
      <alignment horizontal="right" indent="1"/>
    </xf>
    <xf numFmtId="0" fontId="21" fillId="4" borderId="0" xfId="0" applyFont="1" applyFill="1" applyAlignment="1">
      <alignment horizontal="right" vertical="top"/>
    </xf>
    <xf numFmtId="0" fontId="12" fillId="4" borderId="0" xfId="0" applyFont="1" applyFill="1" applyAlignment="1">
      <alignment horizontal="right" vertical="top" wrapText="1"/>
    </xf>
    <xf numFmtId="0" fontId="12" fillId="4" borderId="0" xfId="0" applyFont="1" applyFill="1" applyAlignment="1">
      <alignment horizontal="right" vertical="top"/>
    </xf>
    <xf numFmtId="0" fontId="21" fillId="4" borderId="0" xfId="0" applyFont="1" applyFill="1" applyAlignment="1">
      <alignment horizontal="right"/>
    </xf>
    <xf numFmtId="0" fontId="12" fillId="4" borderId="0" xfId="0" applyFont="1" applyFill="1" applyAlignment="1">
      <alignment horizontal="right"/>
    </xf>
    <xf numFmtId="164" fontId="12" fillId="4" borderId="0" xfId="1" applyNumberFormat="1" applyFont="1" applyFill="1" applyAlignment="1">
      <alignment horizontal="right"/>
    </xf>
    <xf numFmtId="43" fontId="12" fillId="4" borderId="0" xfId="0" applyNumberFormat="1" applyFont="1" applyFill="1" applyAlignment="1">
      <alignment horizontal="right"/>
    </xf>
    <xf numFmtId="0" fontId="12" fillId="4" borderId="0" xfId="0" applyFont="1" applyFill="1" applyAlignment="1">
      <alignment horizontal="right" indent="1"/>
    </xf>
    <xf numFmtId="164" fontId="21" fillId="4" borderId="0" xfId="0" applyNumberFormat="1" applyFont="1" applyFill="1" applyAlignment="1">
      <alignment horizontal="right"/>
    </xf>
    <xf numFmtId="0" fontId="1" fillId="2" borderId="72" xfId="1" applyNumberFormat="1" applyFont="1" applyFill="1" applyBorder="1" applyAlignment="1">
      <alignment horizontal="center" vertical="center"/>
    </xf>
    <xf numFmtId="0" fontId="0" fillId="0" borderId="12" xfId="1" quotePrefix="1" applyNumberFormat="1" applyFont="1" applyBorder="1" applyAlignment="1">
      <alignment horizontal="center" vertical="center"/>
    </xf>
    <xf numFmtId="0" fontId="0" fillId="0" borderId="0" xfId="1" quotePrefix="1" applyNumberFormat="1" applyFont="1" applyBorder="1" applyAlignment="1">
      <alignment horizontal="center" vertical="center"/>
    </xf>
    <xf numFmtId="164" fontId="1" fillId="2" borderId="72" xfId="1" applyNumberFormat="1" applyFont="1" applyFill="1" applyBorder="1" applyAlignment="1">
      <alignment vertical="center"/>
    </xf>
    <xf numFmtId="49" fontId="1" fillId="2" borderId="72" xfId="1" applyNumberFormat="1" applyFont="1" applyFill="1" applyBorder="1" applyAlignment="1">
      <alignment horizontal="center" vertical="center"/>
    </xf>
    <xf numFmtId="164" fontId="0" fillId="0" borderId="12" xfId="1" applyNumberFormat="1" applyFont="1" applyBorder="1" applyAlignment="1">
      <alignment vertical="center"/>
    </xf>
    <xf numFmtId="43" fontId="0" fillId="0" borderId="12" xfId="1" applyFont="1" applyBorder="1" applyAlignment="1">
      <alignment vertical="center"/>
    </xf>
    <xf numFmtId="0" fontId="0" fillId="0" borderId="12" xfId="1" applyNumberFormat="1" applyFont="1" applyBorder="1" applyAlignment="1">
      <alignment vertical="center"/>
    </xf>
    <xf numFmtId="164" fontId="0" fillId="0" borderId="12" xfId="0" applyNumberFormat="1" applyBorder="1" applyAlignment="1">
      <alignment vertical="center"/>
    </xf>
    <xf numFmtId="43" fontId="1" fillId="0" borderId="12" xfId="1" applyFont="1" applyBorder="1" applyAlignment="1">
      <alignment vertical="center"/>
    </xf>
    <xf numFmtId="0" fontId="1" fillId="0" borderId="12" xfId="0" applyFont="1" applyBorder="1" applyAlignment="1">
      <alignment vertical="center" wrapText="1"/>
    </xf>
    <xf numFmtId="164" fontId="1" fillId="0" borderId="12" xfId="1" applyNumberFormat="1" applyFont="1" applyFill="1" applyBorder="1" applyAlignment="1">
      <alignment vertical="center"/>
    </xf>
    <xf numFmtId="43" fontId="1" fillId="0" borderId="0" xfId="1" applyFont="1" applyBorder="1" applyAlignment="1">
      <alignment vertical="center"/>
    </xf>
    <xf numFmtId="164" fontId="0" fillId="0" borderId="0" xfId="0" applyNumberFormat="1" applyAlignment="1">
      <alignment vertical="center"/>
    </xf>
    <xf numFmtId="43" fontId="1" fillId="0" borderId="0" xfId="1" applyFont="1" applyFill="1" applyAlignment="1">
      <alignment vertical="center"/>
    </xf>
    <xf numFmtId="0" fontId="1" fillId="0" borderId="12" xfId="1" quotePrefix="1" applyNumberFormat="1" applyFont="1" applyBorder="1" applyAlignment="1">
      <alignment horizontal="center" vertical="center"/>
    </xf>
    <xf numFmtId="0" fontId="7" fillId="0" borderId="12" xfId="1" quotePrefix="1" applyNumberFormat="1" applyFont="1" applyBorder="1" applyAlignment="1">
      <alignment horizontal="center" vertical="center"/>
    </xf>
    <xf numFmtId="0" fontId="7" fillId="0" borderId="12" xfId="1" applyNumberFormat="1" applyFont="1" applyBorder="1" applyAlignment="1">
      <alignment vertical="center"/>
    </xf>
    <xf numFmtId="43" fontId="7" fillId="0" borderId="12" xfId="1" applyFont="1" applyBorder="1" applyAlignment="1">
      <alignment vertical="center"/>
    </xf>
    <xf numFmtId="164" fontId="7" fillId="0" borderId="12" xfId="1" applyNumberFormat="1" applyFont="1" applyBorder="1" applyAlignment="1">
      <alignment vertical="center"/>
    </xf>
    <xf numFmtId="0" fontId="0" fillId="0" borderId="12" xfId="0" applyBorder="1" applyAlignment="1">
      <alignment vertical="center" wrapText="1"/>
    </xf>
    <xf numFmtId="164" fontId="7" fillId="0" borderId="12" xfId="1" applyNumberFormat="1" applyFont="1" applyBorder="1" applyAlignment="1">
      <alignment vertical="center" wrapText="1"/>
    </xf>
    <xf numFmtId="43" fontId="7" fillId="0" borderId="0" xfId="1" applyFont="1" applyFill="1" applyBorder="1" applyAlignment="1">
      <alignment vertical="center"/>
    </xf>
    <xf numFmtId="43" fontId="7" fillId="0" borderId="0" xfId="1" applyFont="1" applyAlignment="1">
      <alignment vertical="center"/>
    </xf>
    <xf numFmtId="43" fontId="0" fillId="0" borderId="0" xfId="1" applyFont="1" applyAlignment="1">
      <alignment vertical="center"/>
    </xf>
    <xf numFmtId="0" fontId="0" fillId="0" borderId="12" xfId="1" quotePrefix="1" applyNumberFormat="1" applyFont="1" applyBorder="1" applyAlignment="1">
      <alignment horizontal="left" vertical="center"/>
    </xf>
    <xf numFmtId="43" fontId="0" fillId="0" borderId="12" xfId="1" quotePrefix="1" applyFont="1" applyBorder="1" applyAlignment="1">
      <alignment horizontal="center" vertical="center"/>
    </xf>
    <xf numFmtId="43" fontId="0" fillId="0" borderId="12" xfId="1" quotePrefix="1" applyFont="1" applyBorder="1" applyAlignment="1">
      <alignment horizontal="left" vertical="center"/>
    </xf>
    <xf numFmtId="43" fontId="0" fillId="0" borderId="12" xfId="1" quotePrefix="1" applyFont="1" applyBorder="1" applyAlignment="1">
      <alignment horizontal="right" vertical="center"/>
    </xf>
    <xf numFmtId="0" fontId="0" fillId="0" borderId="12" xfId="1" quotePrefix="1" applyNumberFormat="1" applyFont="1" applyBorder="1" applyAlignment="1">
      <alignment horizontal="right" vertical="center"/>
    </xf>
    <xf numFmtId="0" fontId="1" fillId="2" borderId="72" xfId="1" applyNumberFormat="1" applyFont="1" applyFill="1" applyBorder="1" applyAlignment="1">
      <alignment horizontal="right" vertical="center"/>
    </xf>
    <xf numFmtId="164" fontId="1" fillId="2" borderId="72" xfId="1" applyNumberFormat="1" applyFont="1" applyFill="1" applyBorder="1" applyAlignment="1">
      <alignment horizontal="right" vertical="center"/>
    </xf>
    <xf numFmtId="0" fontId="7" fillId="0" borderId="0" xfId="1" quotePrefix="1" applyNumberFormat="1" applyFont="1" applyBorder="1" applyAlignment="1">
      <alignment horizontal="center" vertical="center"/>
    </xf>
    <xf numFmtId="43" fontId="12" fillId="4" borderId="0" xfId="1" applyFont="1" applyFill="1" applyAlignment="1">
      <alignment horizontal="right" indent="1"/>
    </xf>
    <xf numFmtId="0" fontId="4" fillId="0" borderId="0" xfId="0" quotePrefix="1" applyFont="1"/>
    <xf numFmtId="164" fontId="12" fillId="0" borderId="0" xfId="1" applyNumberFormat="1" applyFont="1" applyBorder="1" applyAlignment="1">
      <alignment horizontal="left" vertical="center"/>
    </xf>
    <xf numFmtId="0" fontId="3" fillId="0" borderId="8" xfId="0" applyFont="1" applyBorder="1" applyAlignment="1">
      <alignment horizontal="left" vertical="center"/>
    </xf>
    <xf numFmtId="0" fontId="0" fillId="0" borderId="0" xfId="0" quotePrefix="1" applyAlignment="1">
      <alignment horizontal="left"/>
    </xf>
    <xf numFmtId="0" fontId="0" fillId="0" borderId="0" xfId="0" applyAlignment="1" applyProtection="1">
      <alignment horizontal="left"/>
      <protection locked="0"/>
    </xf>
    <xf numFmtId="165" fontId="12" fillId="0" borderId="0" xfId="0" applyNumberFormat="1" applyFont="1" applyAlignment="1">
      <alignment horizontal="left"/>
    </xf>
    <xf numFmtId="164" fontId="0" fillId="0" borderId="0" xfId="1" applyNumberFormat="1" applyFont="1" applyAlignment="1">
      <alignment horizontal="left"/>
    </xf>
    <xf numFmtId="165" fontId="0" fillId="0" borderId="0" xfId="2" applyNumberFormat="1" applyFont="1" applyAlignment="1">
      <alignment horizontal="left"/>
    </xf>
    <xf numFmtId="43" fontId="0" fillId="0" borderId="0" xfId="0" applyNumberFormat="1" applyAlignment="1">
      <alignment horizontal="left"/>
    </xf>
    <xf numFmtId="0" fontId="52" fillId="0" borderId="74" xfId="39" applyBorder="1"/>
    <xf numFmtId="0" fontId="123" fillId="0" borderId="0" xfId="39" applyFont="1"/>
    <xf numFmtId="0" fontId="84" fillId="39" borderId="86" xfId="39" applyFont="1" applyFill="1" applyBorder="1" applyAlignment="1">
      <alignment horizontal="center" vertical="center"/>
    </xf>
    <xf numFmtId="0" fontId="52" fillId="0" borderId="18" xfId="39" applyBorder="1"/>
    <xf numFmtId="0" fontId="79" fillId="0" borderId="0" xfId="39" applyFont="1"/>
    <xf numFmtId="0" fontId="78" fillId="2" borderId="79" xfId="39" applyFont="1" applyFill="1" applyBorder="1" applyAlignment="1">
      <alignment horizontal="center" vertical="center"/>
    </xf>
    <xf numFmtId="166" fontId="78" fillId="31" borderId="79" xfId="39" applyNumberFormat="1" applyFont="1" applyFill="1" applyBorder="1" applyAlignment="1">
      <alignment horizontal="center" vertical="center" wrapText="1"/>
    </xf>
    <xf numFmtId="166" fontId="78" fillId="2" borderId="79" xfId="39" applyNumberFormat="1" applyFont="1" applyFill="1" applyBorder="1" applyAlignment="1">
      <alignment horizontal="center" vertical="center" wrapText="1"/>
    </xf>
    <xf numFmtId="0" fontId="78" fillId="2" borderId="79" xfId="39" applyFont="1" applyFill="1" applyBorder="1" applyAlignment="1">
      <alignment horizontal="center" vertical="center" wrapText="1"/>
    </xf>
    <xf numFmtId="166" fontId="78" fillId="2" borderId="80" xfId="39" applyNumberFormat="1" applyFont="1" applyFill="1" applyBorder="1" applyAlignment="1">
      <alignment horizontal="center" vertical="center" wrapText="1"/>
    </xf>
    <xf numFmtId="166" fontId="78" fillId="31" borderId="80" xfId="39" applyNumberFormat="1" applyFont="1" applyFill="1" applyBorder="1" applyAlignment="1">
      <alignment horizontal="center" vertical="center" wrapText="1"/>
    </xf>
    <xf numFmtId="0" fontId="78" fillId="2" borderId="80" xfId="39" applyFont="1" applyFill="1" applyBorder="1" applyAlignment="1">
      <alignment horizontal="center" vertical="center" wrapText="1"/>
    </xf>
    <xf numFmtId="0" fontId="78" fillId="31" borderId="80" xfId="39" applyFont="1" applyFill="1" applyBorder="1" applyAlignment="1">
      <alignment horizontal="center" vertical="center" wrapText="1"/>
    </xf>
    <xf numFmtId="0" fontId="78" fillId="31" borderId="79" xfId="39" applyFont="1" applyFill="1" applyBorder="1" applyAlignment="1">
      <alignment horizontal="center" vertical="center" wrapText="1"/>
    </xf>
    <xf numFmtId="0" fontId="78" fillId="2" borderId="75" xfId="39" applyFont="1" applyFill="1" applyBorder="1" applyAlignment="1">
      <alignment horizontal="center" vertical="center" wrapText="1"/>
    </xf>
    <xf numFmtId="37" fontId="84" fillId="48" borderId="91" xfId="40" applyFont="1" applyFill="1" applyBorder="1" applyAlignment="1">
      <alignment horizontal="left" vertical="center" wrapText="1"/>
    </xf>
    <xf numFmtId="0" fontId="84" fillId="31" borderId="91" xfId="0" applyFont="1" applyFill="1" applyBorder="1" applyAlignment="1">
      <alignment vertical="center" wrapText="1"/>
    </xf>
    <xf numFmtId="0" fontId="84" fillId="31" borderId="92" xfId="0" applyFont="1" applyFill="1" applyBorder="1" applyAlignment="1">
      <alignment vertical="center" wrapText="1"/>
    </xf>
    <xf numFmtId="37" fontId="84" fillId="2" borderId="93" xfId="40" applyFont="1" applyFill="1" applyBorder="1" applyAlignment="1">
      <alignment horizontal="left" vertical="center" wrapText="1"/>
    </xf>
    <xf numFmtId="37" fontId="84" fillId="49" borderId="93" xfId="40" applyFont="1" applyFill="1" applyBorder="1" applyAlignment="1">
      <alignment horizontal="left" vertical="center" wrapText="1"/>
    </xf>
    <xf numFmtId="166" fontId="78" fillId="31" borderId="79" xfId="39" applyNumberFormat="1" applyFont="1" applyFill="1" applyBorder="1" applyAlignment="1">
      <alignment horizontal="center" vertical="center"/>
    </xf>
    <xf numFmtId="43" fontId="78" fillId="31" borderId="79" xfId="37" applyFont="1" applyFill="1" applyBorder="1" applyAlignment="1">
      <alignment horizontal="center" vertical="center"/>
    </xf>
    <xf numFmtId="0" fontId="78" fillId="31" borderId="79" xfId="39" applyFont="1" applyFill="1" applyBorder="1" applyAlignment="1">
      <alignment horizontal="center" vertical="center"/>
    </xf>
    <xf numFmtId="0" fontId="78" fillId="31" borderId="87" xfId="39" applyFont="1" applyFill="1" applyBorder="1" applyAlignment="1">
      <alignment horizontal="center" vertical="center" wrapText="1"/>
    </xf>
    <xf numFmtId="0" fontId="78" fillId="31" borderId="18" xfId="39" applyFont="1" applyFill="1" applyBorder="1" applyAlignment="1">
      <alignment horizontal="center" vertical="center"/>
    </xf>
    <xf numFmtId="0" fontId="84" fillId="0" borderId="0" xfId="39" applyFont="1" applyAlignment="1">
      <alignment horizontal="right"/>
    </xf>
    <xf numFmtId="0" fontId="84" fillId="0" borderId="75" xfId="39" applyFont="1" applyBorder="1" applyAlignment="1">
      <alignment horizontal="right"/>
    </xf>
    <xf numFmtId="185" fontId="125" fillId="0" borderId="75" xfId="39" applyNumberFormat="1" applyFont="1" applyBorder="1" applyAlignment="1">
      <alignment horizontal="center" vertical="center"/>
    </xf>
    <xf numFmtId="0" fontId="126" fillId="0" borderId="75" xfId="39" applyFont="1" applyBorder="1" applyAlignment="1">
      <alignment horizontal="left" vertical="center"/>
    </xf>
    <xf numFmtId="0" fontId="84" fillId="0" borderId="75" xfId="39" applyFont="1" applyBorder="1" applyAlignment="1">
      <alignment horizontal="right" vertical="center" wrapText="1"/>
    </xf>
    <xf numFmtId="164" fontId="78" fillId="4" borderId="75" xfId="37" applyNumberFormat="1" applyFont="1" applyFill="1" applyBorder="1" applyAlignment="1">
      <alignment horizontal="right" vertical="center"/>
    </xf>
    <xf numFmtId="164" fontId="127" fillId="4" borderId="75" xfId="37" applyNumberFormat="1" applyFont="1" applyFill="1" applyBorder="1" applyAlignment="1">
      <alignment horizontal="right" vertical="center"/>
    </xf>
    <xf numFmtId="41" fontId="78" fillId="0" borderId="75" xfId="39" applyNumberFormat="1" applyFont="1" applyBorder="1" applyAlignment="1">
      <alignment horizontal="right" vertical="center" wrapText="1"/>
    </xf>
    <xf numFmtId="41" fontId="78" fillId="0" borderId="18" xfId="25" applyNumberFormat="1" applyFont="1" applyFill="1" applyBorder="1" applyAlignment="1">
      <alignment horizontal="center" vertical="center" wrapText="1"/>
    </xf>
    <xf numFmtId="9" fontId="78" fillId="4" borderId="75" xfId="34" applyFont="1" applyFill="1" applyBorder="1" applyAlignment="1">
      <alignment horizontal="right" vertical="center"/>
    </xf>
    <xf numFmtId="164" fontId="78" fillId="0" borderId="75" xfId="37" applyNumberFormat="1" applyFont="1" applyFill="1" applyBorder="1" applyAlignment="1">
      <alignment horizontal="right" vertical="center" wrapText="1"/>
    </xf>
    <xf numFmtId="164" fontId="78" fillId="0" borderId="75" xfId="37" applyNumberFormat="1" applyFont="1" applyFill="1" applyBorder="1" applyAlignment="1">
      <alignment horizontal="right" vertical="center"/>
    </xf>
    <xf numFmtId="164" fontId="84" fillId="0" borderId="75" xfId="37" applyNumberFormat="1" applyFont="1" applyFill="1" applyBorder="1" applyAlignment="1">
      <alignment horizontal="right" vertical="center" wrapText="1"/>
    </xf>
    <xf numFmtId="9" fontId="78" fillId="0" borderId="75" xfId="34" applyFont="1" applyFill="1" applyBorder="1" applyAlignment="1">
      <alignment horizontal="right" vertical="center"/>
    </xf>
    <xf numFmtId="9" fontId="78" fillId="0" borderId="75" xfId="34" applyFont="1" applyFill="1" applyBorder="1" applyAlignment="1">
      <alignment horizontal="right" vertical="center" wrapText="1"/>
    </xf>
    <xf numFmtId="164" fontId="78" fillId="4" borderId="75" xfId="37" applyNumberFormat="1" applyFont="1" applyFill="1" applyBorder="1" applyAlignment="1">
      <alignment horizontal="right" vertical="center" wrapText="1"/>
    </xf>
    <xf numFmtId="9" fontId="78" fillId="4" borderId="75" xfId="34" applyFont="1" applyFill="1" applyBorder="1" applyAlignment="1">
      <alignment horizontal="right" vertical="center" wrapText="1"/>
    </xf>
    <xf numFmtId="167" fontId="84" fillId="0" borderId="91" xfId="37" applyNumberFormat="1" applyFont="1" applyBorder="1" applyAlignment="1">
      <alignment horizontal="right" vertical="center"/>
    </xf>
    <xf numFmtId="167" fontId="84" fillId="0" borderId="18" xfId="37" applyNumberFormat="1" applyFont="1" applyBorder="1" applyAlignment="1">
      <alignment horizontal="right" vertical="center"/>
    </xf>
    <xf numFmtId="167" fontId="84" fillId="0" borderId="92" xfId="37" applyNumberFormat="1" applyFont="1" applyBorder="1" applyAlignment="1">
      <alignment horizontal="right" vertical="center"/>
    </xf>
    <xf numFmtId="167" fontId="84" fillId="0" borderId="73" xfId="37" applyNumberFormat="1" applyFont="1" applyBorder="1" applyAlignment="1">
      <alignment horizontal="right" vertical="center"/>
    </xf>
    <xf numFmtId="43" fontId="78" fillId="0" borderId="75" xfId="37" applyFont="1" applyFill="1" applyBorder="1" applyAlignment="1">
      <alignment horizontal="right" vertical="center"/>
    </xf>
    <xf numFmtId="43" fontId="78" fillId="0" borderId="75" xfId="37" applyFont="1" applyFill="1" applyBorder="1" applyAlignment="1">
      <alignment horizontal="right" vertical="center" wrapText="1"/>
    </xf>
    <xf numFmtId="167" fontId="78" fillId="0" borderId="75" xfId="37" applyNumberFormat="1" applyFont="1" applyFill="1" applyBorder="1" applyAlignment="1">
      <alignment horizontal="right" vertical="center" wrapText="1"/>
    </xf>
    <xf numFmtId="167" fontId="78" fillId="0" borderId="75" xfId="37" applyNumberFormat="1" applyFont="1" applyFill="1" applyBorder="1" applyAlignment="1">
      <alignment horizontal="right" vertical="center"/>
    </xf>
    <xf numFmtId="167" fontId="78" fillId="0" borderId="77" xfId="37" applyNumberFormat="1" applyFont="1" applyFill="1" applyBorder="1" applyAlignment="1">
      <alignment horizontal="right" vertical="center" wrapText="1"/>
    </xf>
    <xf numFmtId="167" fontId="78" fillId="0" borderId="18" xfId="37" applyNumberFormat="1" applyFont="1" applyFill="1" applyBorder="1" applyAlignment="1">
      <alignment horizontal="right" vertical="center" wrapText="1"/>
    </xf>
    <xf numFmtId="0" fontId="84" fillId="2" borderId="73" xfId="39" applyFont="1" applyFill="1" applyBorder="1" applyAlignment="1">
      <alignment horizontal="right"/>
    </xf>
    <xf numFmtId="0" fontId="52" fillId="2" borderId="20" xfId="39" applyFill="1" applyBorder="1" applyAlignment="1">
      <alignment horizontal="right"/>
    </xf>
    <xf numFmtId="0" fontId="84" fillId="2" borderId="20" xfId="39" applyFont="1" applyFill="1" applyBorder="1" applyAlignment="1">
      <alignment horizontal="left"/>
    </xf>
    <xf numFmtId="0" fontId="84" fillId="2" borderId="20" xfId="39" applyFont="1" applyFill="1" applyBorder="1" applyAlignment="1">
      <alignment horizontal="right"/>
    </xf>
    <xf numFmtId="0" fontId="84" fillId="2" borderId="20" xfId="39" applyFont="1" applyFill="1" applyBorder="1" applyAlignment="1">
      <alignment horizontal="right" vertical="center" wrapText="1"/>
    </xf>
    <xf numFmtId="164" fontId="78" fillId="2" borderId="20" xfId="37" applyNumberFormat="1" applyFont="1" applyFill="1" applyBorder="1" applyAlignment="1">
      <alignment horizontal="right" vertical="center"/>
    </xf>
    <xf numFmtId="41" fontId="78" fillId="2" borderId="20" xfId="39" applyNumberFormat="1" applyFont="1" applyFill="1" applyBorder="1" applyAlignment="1">
      <alignment horizontal="right" vertical="center" wrapText="1"/>
    </xf>
    <xf numFmtId="9" fontId="78" fillId="2" borderId="20" xfId="34" applyFont="1" applyFill="1" applyBorder="1" applyAlignment="1">
      <alignment horizontal="right" vertical="center"/>
    </xf>
    <xf numFmtId="164" fontId="78" fillId="2" borderId="20" xfId="37" applyNumberFormat="1" applyFont="1" applyFill="1" applyBorder="1" applyAlignment="1">
      <alignment horizontal="right" vertical="center" wrapText="1"/>
    </xf>
    <xf numFmtId="164" fontId="84" fillId="2" borderId="20" xfId="37" applyNumberFormat="1" applyFont="1" applyFill="1" applyBorder="1" applyAlignment="1">
      <alignment horizontal="right" vertical="center" wrapText="1"/>
    </xf>
    <xf numFmtId="9" fontId="78" fillId="2" borderId="20" xfId="34" applyFont="1" applyFill="1" applyBorder="1" applyAlignment="1">
      <alignment horizontal="right" vertical="center" wrapText="1"/>
    </xf>
    <xf numFmtId="167" fontId="84" fillId="2" borderId="20" xfId="37" applyNumberFormat="1" applyFont="1" applyFill="1" applyBorder="1" applyAlignment="1">
      <alignment horizontal="right" vertical="center"/>
    </xf>
    <xf numFmtId="167" fontId="84" fillId="2" borderId="18" xfId="37" applyNumberFormat="1" applyFont="1" applyFill="1" applyBorder="1" applyAlignment="1">
      <alignment horizontal="right" vertical="center"/>
    </xf>
    <xf numFmtId="167" fontId="84" fillId="2" borderId="19" xfId="37" applyNumberFormat="1" applyFont="1" applyFill="1" applyBorder="1" applyAlignment="1">
      <alignment horizontal="right" vertical="center"/>
    </xf>
    <xf numFmtId="167" fontId="84" fillId="2" borderId="0" xfId="37" applyNumberFormat="1" applyFont="1" applyFill="1" applyAlignment="1">
      <alignment horizontal="right" vertical="center"/>
    </xf>
    <xf numFmtId="43" fontId="78" fillId="2" borderId="20" xfId="37" applyFont="1" applyFill="1" applyBorder="1" applyAlignment="1">
      <alignment horizontal="right" vertical="center"/>
    </xf>
    <xf numFmtId="167" fontId="78" fillId="2" borderId="20" xfId="37" applyNumberFormat="1" applyFont="1" applyFill="1" applyBorder="1" applyAlignment="1">
      <alignment horizontal="right" vertical="center" wrapText="1"/>
    </xf>
    <xf numFmtId="167" fontId="78" fillId="2" borderId="20" xfId="37" applyNumberFormat="1" applyFont="1" applyFill="1" applyBorder="1" applyAlignment="1">
      <alignment horizontal="right" vertical="center"/>
    </xf>
    <xf numFmtId="167" fontId="78" fillId="2" borderId="18" xfId="37" applyNumberFormat="1" applyFont="1" applyFill="1" applyBorder="1" applyAlignment="1">
      <alignment horizontal="right" vertical="center" wrapText="1"/>
    </xf>
    <xf numFmtId="0" fontId="52" fillId="0" borderId="0" xfId="39" applyAlignment="1">
      <alignment horizontal="right"/>
    </xf>
    <xf numFmtId="0" fontId="125" fillId="0" borderId="80" xfId="39" applyFont="1" applyBorder="1" applyAlignment="1">
      <alignment horizontal="center" vertical="center"/>
    </xf>
    <xf numFmtId="0" fontId="125" fillId="0" borderId="18" xfId="0" applyFont="1" applyBorder="1" applyAlignment="1">
      <alignment vertical="center" wrapText="1"/>
    </xf>
    <xf numFmtId="0" fontId="125" fillId="0" borderId="80" xfId="41" applyFont="1" applyBorder="1" applyAlignment="1">
      <alignment horizontal="left" vertical="center"/>
    </xf>
    <xf numFmtId="0" fontId="125" fillId="0" borderId="79" xfId="41" applyFont="1" applyBorder="1" applyAlignment="1">
      <alignment horizontal="left" vertical="center"/>
    </xf>
    <xf numFmtId="3" fontId="125" fillId="0" borderId="18" xfId="0" applyNumberFormat="1" applyFont="1" applyBorder="1" applyAlignment="1">
      <alignment vertical="center"/>
    </xf>
    <xf numFmtId="164" fontId="125" fillId="0" borderId="18" xfId="25" applyNumberFormat="1" applyFont="1" applyFill="1" applyBorder="1" applyAlignment="1">
      <alignment horizontal="center" vertical="center" wrapText="1"/>
    </xf>
    <xf numFmtId="41" fontId="78" fillId="0" borderId="80" xfId="39" applyNumberFormat="1" applyFont="1" applyBorder="1" applyAlignment="1">
      <alignment horizontal="right" vertical="center" wrapText="1"/>
    </xf>
    <xf numFmtId="41" fontId="128" fillId="0" borderId="80" xfId="39" applyNumberFormat="1" applyFont="1" applyBorder="1" applyAlignment="1">
      <alignment horizontal="right" vertical="center" wrapText="1"/>
    </xf>
    <xf numFmtId="164" fontId="40" fillId="0" borderId="18" xfId="25" applyNumberFormat="1" applyFont="1" applyFill="1" applyBorder="1" applyAlignment="1">
      <alignment horizontal="center" vertical="center" wrapText="1"/>
    </xf>
    <xf numFmtId="9" fontId="78" fillId="0" borderId="80" xfId="34" applyFont="1" applyFill="1" applyBorder="1" applyAlignment="1">
      <alignment horizontal="right" vertical="center"/>
    </xf>
    <xf numFmtId="164" fontId="40" fillId="0" borderId="80" xfId="37" applyNumberFormat="1" applyFont="1" applyFill="1" applyBorder="1" applyAlignment="1">
      <alignment horizontal="right" vertical="center" wrapText="1"/>
    </xf>
    <xf numFmtId="164" fontId="78" fillId="0" borderId="80" xfId="37" applyNumberFormat="1" applyFont="1" applyFill="1" applyBorder="1" applyAlignment="1">
      <alignment horizontal="right" vertical="center"/>
    </xf>
    <xf numFmtId="164" fontId="40" fillId="0" borderId="80" xfId="37" applyNumberFormat="1" applyFont="1" applyFill="1" applyBorder="1" applyAlignment="1">
      <alignment horizontal="right" vertical="center"/>
    </xf>
    <xf numFmtId="164" fontId="125" fillId="0" borderId="80" xfId="37" applyNumberFormat="1" applyFont="1" applyFill="1" applyBorder="1" applyAlignment="1">
      <alignment horizontal="right" vertical="center"/>
    </xf>
    <xf numFmtId="164" fontId="21" fillId="0" borderId="80" xfId="37" applyNumberFormat="1" applyFont="1" applyFill="1" applyBorder="1" applyAlignment="1">
      <alignment horizontal="right" vertical="center" wrapText="1"/>
    </xf>
    <xf numFmtId="3" fontId="127" fillId="0" borderId="80" xfId="41" applyNumberFormat="1" applyFont="1" applyBorder="1" applyAlignment="1">
      <alignment horizontal="right" vertical="center"/>
    </xf>
    <xf numFmtId="3" fontId="125" fillId="0" borderId="80" xfId="41" applyNumberFormat="1" applyFont="1" applyBorder="1" applyAlignment="1">
      <alignment horizontal="right" vertical="center"/>
    </xf>
    <xf numFmtId="9" fontId="78" fillId="0" borderId="80" xfId="34" applyFont="1" applyFill="1" applyBorder="1" applyAlignment="1">
      <alignment horizontal="right" vertical="center" wrapText="1"/>
    </xf>
    <xf numFmtId="164" fontId="78" fillId="0" borderId="18" xfId="25" applyNumberFormat="1" applyFont="1" applyFill="1" applyBorder="1" applyAlignment="1">
      <alignment horizontal="center" vertical="center" wrapText="1"/>
    </xf>
    <xf numFmtId="164" fontId="78" fillId="0" borderId="79" xfId="37" applyNumberFormat="1" applyFont="1" applyFill="1" applyBorder="1" applyAlignment="1">
      <alignment horizontal="right" vertical="center" wrapText="1"/>
    </xf>
    <xf numFmtId="164" fontId="40" fillId="0" borderId="18" xfId="25" applyNumberFormat="1" applyFont="1" applyFill="1" applyBorder="1" applyAlignment="1">
      <alignment vertical="center"/>
    </xf>
    <xf numFmtId="167" fontId="84" fillId="0" borderId="17" xfId="37" applyNumberFormat="1" applyFont="1" applyFill="1" applyBorder="1" applyAlignment="1">
      <alignment horizontal="right" vertical="center"/>
    </xf>
    <xf numFmtId="167" fontId="84" fillId="0" borderId="18" xfId="37" applyNumberFormat="1" applyFont="1" applyFill="1" applyBorder="1" applyAlignment="1">
      <alignment horizontal="right" vertical="center"/>
    </xf>
    <xf numFmtId="167" fontId="1" fillId="0" borderId="18" xfId="37" applyNumberFormat="1" applyFont="1" applyFill="1" applyBorder="1" applyAlignment="1">
      <alignment horizontal="right" vertical="center"/>
    </xf>
    <xf numFmtId="167" fontId="84" fillId="0" borderId="89" xfId="37" applyNumberFormat="1" applyFont="1" applyFill="1" applyBorder="1" applyAlignment="1">
      <alignment horizontal="right" vertical="center"/>
    </xf>
    <xf numFmtId="167" fontId="84" fillId="0" borderId="73" xfId="37" applyNumberFormat="1" applyFont="1" applyFill="1" applyBorder="1" applyAlignment="1">
      <alignment horizontal="right" vertical="center"/>
    </xf>
    <xf numFmtId="43" fontId="78" fillId="0" borderId="80" xfId="37" applyFont="1" applyFill="1" applyBorder="1" applyAlignment="1">
      <alignment horizontal="right" vertical="center"/>
    </xf>
    <xf numFmtId="164" fontId="78" fillId="0" borderId="80" xfId="37" applyNumberFormat="1" applyFont="1" applyFill="1" applyBorder="1" applyAlignment="1">
      <alignment horizontal="right" vertical="center" wrapText="1"/>
    </xf>
    <xf numFmtId="167" fontId="78" fillId="0" borderId="80" xfId="37" applyNumberFormat="1" applyFont="1" applyFill="1" applyBorder="1" applyAlignment="1">
      <alignment horizontal="right" vertical="center" wrapText="1"/>
    </xf>
    <xf numFmtId="167" fontId="78" fillId="0" borderId="80" xfId="37" applyNumberFormat="1" applyFont="1" applyFill="1" applyBorder="1" applyAlignment="1">
      <alignment horizontal="right" vertical="center"/>
    </xf>
    <xf numFmtId="167" fontId="78" fillId="0" borderId="82" xfId="37" applyNumberFormat="1" applyFont="1" applyFill="1" applyBorder="1" applyAlignment="1">
      <alignment horizontal="right" vertical="center" wrapText="1"/>
    </xf>
    <xf numFmtId="0" fontId="125" fillId="0" borderId="79" xfId="39" applyFont="1" applyBorder="1" applyAlignment="1">
      <alignment horizontal="center" vertical="center"/>
    </xf>
    <xf numFmtId="164" fontId="80" fillId="0" borderId="79" xfId="37" applyNumberFormat="1" applyFont="1" applyBorder="1" applyAlignment="1">
      <alignment horizontal="right" vertical="center"/>
    </xf>
    <xf numFmtId="41" fontId="78" fillId="0" borderId="79" xfId="39" applyNumberFormat="1" applyFont="1" applyBorder="1" applyAlignment="1">
      <alignment horizontal="right" vertical="center" wrapText="1"/>
    </xf>
    <xf numFmtId="164" fontId="40" fillId="4" borderId="18" xfId="25" applyNumberFormat="1" applyFont="1" applyFill="1" applyBorder="1" applyAlignment="1">
      <alignment horizontal="center" vertical="center" wrapText="1"/>
    </xf>
    <xf numFmtId="9" fontId="78" fillId="4" borderId="79" xfId="34" applyFont="1" applyFill="1" applyBorder="1" applyAlignment="1">
      <alignment horizontal="right" vertical="center"/>
    </xf>
    <xf numFmtId="164" fontId="40" fillId="0" borderId="79" xfId="37" applyNumberFormat="1" applyFont="1" applyBorder="1" applyAlignment="1">
      <alignment horizontal="right" vertical="center"/>
    </xf>
    <xf numFmtId="164" fontId="78" fillId="4" borderId="79" xfId="37" applyNumberFormat="1" applyFont="1" applyFill="1" applyBorder="1" applyAlignment="1">
      <alignment horizontal="right" vertical="center"/>
    </xf>
    <xf numFmtId="164" fontId="40" fillId="0" borderId="79" xfId="37" applyNumberFormat="1" applyFont="1" applyFill="1" applyBorder="1" applyAlignment="1">
      <alignment horizontal="right" vertical="center"/>
    </xf>
    <xf numFmtId="164" fontId="78" fillId="0" borderId="79" xfId="37" applyNumberFormat="1" applyFont="1" applyFill="1" applyBorder="1" applyAlignment="1">
      <alignment horizontal="right" vertical="center"/>
    </xf>
    <xf numFmtId="164" fontId="125" fillId="0" borderId="79" xfId="37" applyNumberFormat="1" applyFont="1" applyFill="1" applyBorder="1" applyAlignment="1">
      <alignment horizontal="right" vertical="center"/>
    </xf>
    <xf numFmtId="164" fontId="21" fillId="0" borderId="79" xfId="37" applyNumberFormat="1" applyFont="1" applyFill="1" applyBorder="1" applyAlignment="1">
      <alignment horizontal="right" vertical="center" wrapText="1"/>
    </xf>
    <xf numFmtId="164" fontId="127" fillId="0" borderId="79" xfId="37" applyNumberFormat="1" applyFont="1" applyFill="1" applyBorder="1" applyAlignment="1">
      <alignment horizontal="right" vertical="center"/>
    </xf>
    <xf numFmtId="9" fontId="78" fillId="0" borderId="79" xfId="34" applyFont="1" applyFill="1" applyBorder="1" applyAlignment="1">
      <alignment horizontal="right" vertical="center"/>
    </xf>
    <xf numFmtId="3" fontId="125" fillId="0" borderId="79" xfId="41" applyNumberFormat="1" applyFont="1" applyBorder="1" applyAlignment="1">
      <alignment horizontal="right" vertical="center"/>
    </xf>
    <xf numFmtId="9" fontId="78" fillId="0" borderId="79" xfId="34" applyFont="1" applyFill="1" applyBorder="1" applyAlignment="1">
      <alignment horizontal="right" vertical="center" wrapText="1"/>
    </xf>
    <xf numFmtId="164" fontId="78" fillId="4" borderId="79" xfId="37" applyNumberFormat="1" applyFont="1" applyFill="1" applyBorder="1" applyAlignment="1">
      <alignment horizontal="right" vertical="center" wrapText="1"/>
    </xf>
    <xf numFmtId="9" fontId="78" fillId="4" borderId="79" xfId="34" applyFont="1" applyFill="1" applyBorder="1" applyAlignment="1">
      <alignment horizontal="right" vertical="center" wrapText="1"/>
    </xf>
    <xf numFmtId="164" fontId="40" fillId="4" borderId="18" xfId="25" applyNumberFormat="1" applyFont="1" applyFill="1" applyBorder="1" applyAlignment="1">
      <alignment vertical="center"/>
    </xf>
    <xf numFmtId="167" fontId="84" fillId="0" borderId="17" xfId="37" applyNumberFormat="1" applyFont="1" applyBorder="1" applyAlignment="1">
      <alignment horizontal="right" vertical="center"/>
    </xf>
    <xf numFmtId="167" fontId="1" fillId="0" borderId="18" xfId="37" applyNumberFormat="1" applyFont="1" applyBorder="1" applyAlignment="1">
      <alignment horizontal="right" vertical="center"/>
    </xf>
    <xf numFmtId="167" fontId="84" fillId="0" borderId="89" xfId="37" applyNumberFormat="1" applyFont="1" applyBorder="1" applyAlignment="1">
      <alignment horizontal="right" vertical="center"/>
    </xf>
    <xf numFmtId="43" fontId="78" fillId="0" borderId="79" xfId="37" applyFont="1" applyFill="1" applyBorder="1" applyAlignment="1">
      <alignment horizontal="right" vertical="center"/>
    </xf>
    <xf numFmtId="167" fontId="78" fillId="0" borderId="79" xfId="37" applyNumberFormat="1" applyFont="1" applyFill="1" applyBorder="1" applyAlignment="1">
      <alignment horizontal="right" vertical="center" wrapText="1"/>
    </xf>
    <xf numFmtId="167" fontId="78" fillId="0" borderId="79" xfId="37" applyNumberFormat="1" applyFont="1" applyFill="1" applyBorder="1" applyAlignment="1">
      <alignment horizontal="right" vertical="center"/>
    </xf>
    <xf numFmtId="167" fontId="78" fillId="0" borderId="87" xfId="37" applyNumberFormat="1" applyFont="1" applyFill="1" applyBorder="1" applyAlignment="1">
      <alignment horizontal="right" vertical="center" wrapText="1"/>
    </xf>
    <xf numFmtId="164" fontId="40" fillId="4" borderId="79" xfId="37" applyNumberFormat="1" applyFont="1" applyFill="1" applyBorder="1" applyAlignment="1">
      <alignment horizontal="right" vertical="center" wrapText="1"/>
    </xf>
    <xf numFmtId="164" fontId="125" fillId="0" borderId="79" xfId="37" applyNumberFormat="1" applyFont="1" applyFill="1" applyBorder="1" applyAlignment="1">
      <alignment horizontal="right" vertical="center" wrapText="1"/>
    </xf>
    <xf numFmtId="164" fontId="40" fillId="0" borderId="79" xfId="37" applyNumberFormat="1" applyFont="1" applyFill="1" applyBorder="1" applyAlignment="1">
      <alignment horizontal="right" vertical="center" wrapText="1"/>
    </xf>
    <xf numFmtId="0" fontId="52" fillId="2" borderId="79" xfId="39" applyFill="1" applyBorder="1" applyAlignment="1">
      <alignment horizontal="right"/>
    </xf>
    <xf numFmtId="3" fontId="78" fillId="2" borderId="79" xfId="39" applyNumberFormat="1" applyFont="1" applyFill="1" applyBorder="1" applyAlignment="1">
      <alignment horizontal="right" vertical="center"/>
    </xf>
    <xf numFmtId="164" fontId="78" fillId="2" borderId="79" xfId="37" applyNumberFormat="1" applyFont="1" applyFill="1" applyBorder="1" applyAlignment="1">
      <alignment horizontal="right" vertical="center" wrapText="1"/>
    </xf>
    <xf numFmtId="41" fontId="78" fillId="2" borderId="79" xfId="39" applyNumberFormat="1" applyFont="1" applyFill="1" applyBorder="1" applyAlignment="1">
      <alignment horizontal="right" vertical="center" wrapText="1"/>
    </xf>
    <xf numFmtId="164" fontId="78" fillId="2" borderId="79" xfId="37" applyNumberFormat="1" applyFont="1" applyFill="1" applyBorder="1" applyAlignment="1">
      <alignment horizontal="right" vertical="center"/>
    </xf>
    <xf numFmtId="9" fontId="78" fillId="2" borderId="79" xfId="34" applyFont="1" applyFill="1" applyBorder="1" applyAlignment="1">
      <alignment horizontal="right" vertical="center"/>
    </xf>
    <xf numFmtId="167" fontId="78" fillId="2" borderId="87" xfId="37" applyNumberFormat="1" applyFont="1" applyFill="1" applyBorder="1" applyAlignment="1">
      <alignment horizontal="right" vertical="center"/>
    </xf>
    <xf numFmtId="43" fontId="78" fillId="2" borderId="79" xfId="37" applyFont="1" applyFill="1" applyBorder="1" applyAlignment="1">
      <alignment horizontal="right" vertical="center"/>
    </xf>
    <xf numFmtId="167" fontId="78" fillId="2" borderId="79" xfId="37" applyNumberFormat="1" applyFont="1" applyFill="1" applyBorder="1" applyAlignment="1">
      <alignment horizontal="right" vertical="center"/>
    </xf>
    <xf numFmtId="167" fontId="78" fillId="2" borderId="18" xfId="37" applyNumberFormat="1" applyFont="1" applyFill="1" applyBorder="1" applyAlignment="1">
      <alignment horizontal="right" vertical="center"/>
    </xf>
    <xf numFmtId="0" fontId="84" fillId="2" borderId="79" xfId="0" applyFont="1" applyFill="1" applyBorder="1" applyAlignment="1">
      <alignment horizontal="right"/>
    </xf>
    <xf numFmtId="164" fontId="84" fillId="2" borderId="79" xfId="37" applyNumberFormat="1" applyFont="1" applyFill="1" applyBorder="1" applyAlignment="1">
      <alignment horizontal="right" vertical="center"/>
    </xf>
    <xf numFmtId="9" fontId="84" fillId="2" borderId="79" xfId="34" applyFont="1" applyFill="1" applyBorder="1" applyAlignment="1">
      <alignment horizontal="right" vertical="center"/>
    </xf>
    <xf numFmtId="167" fontId="84" fillId="2" borderId="79" xfId="37" applyNumberFormat="1" applyFont="1" applyFill="1" applyBorder="1" applyAlignment="1">
      <alignment horizontal="right" vertical="center"/>
    </xf>
    <xf numFmtId="43" fontId="84" fillId="2" borderId="79" xfId="37" applyFont="1" applyFill="1" applyBorder="1" applyAlignment="1">
      <alignment horizontal="right" vertical="center"/>
    </xf>
    <xf numFmtId="9" fontId="52" fillId="0" borderId="0" xfId="34" applyFont="1"/>
    <xf numFmtId="165" fontId="73" fillId="0" borderId="0" xfId="0" applyNumberFormat="1" applyFont="1" applyProtection="1">
      <protection locked="0"/>
    </xf>
    <xf numFmtId="9" fontId="73" fillId="0" borderId="0" xfId="0" applyNumberFormat="1" applyFont="1"/>
    <xf numFmtId="9" fontId="75" fillId="0" borderId="0" xfId="0" applyNumberFormat="1" applyFont="1" applyAlignment="1">
      <alignment horizontal="right"/>
    </xf>
    <xf numFmtId="9" fontId="75" fillId="0" borderId="0" xfId="0" applyNumberFormat="1" applyFont="1"/>
    <xf numFmtId="9" fontId="4" fillId="0" borderId="0" xfId="0" quotePrefix="1" applyNumberFormat="1" applyFont="1"/>
    <xf numFmtId="165" fontId="30" fillId="0" borderId="0" xfId="0" applyNumberFormat="1" applyFont="1"/>
    <xf numFmtId="9" fontId="73" fillId="0" borderId="0" xfId="2" applyFont="1"/>
    <xf numFmtId="3" fontId="4" fillId="0" borderId="0" xfId="0" applyNumberFormat="1" applyFont="1" applyProtection="1">
      <protection locked="0"/>
    </xf>
    <xf numFmtId="0" fontId="4" fillId="0" borderId="0" xfId="0" applyFont="1" applyProtection="1">
      <protection locked="0"/>
    </xf>
    <xf numFmtId="43" fontId="4" fillId="0" borderId="0" xfId="0" applyNumberFormat="1" applyFont="1" applyAlignment="1">
      <alignment horizontal="left" indent="1"/>
    </xf>
    <xf numFmtId="9" fontId="4" fillId="0" borderId="0" xfId="0" applyNumberFormat="1" applyFont="1" applyAlignment="1">
      <alignment horizontal="left" indent="1"/>
    </xf>
    <xf numFmtId="167" fontId="4" fillId="0" borderId="0" xfId="1" applyNumberFormat="1" applyFont="1" applyProtection="1">
      <protection locked="0"/>
    </xf>
    <xf numFmtId="0" fontId="4" fillId="0" borderId="0" xfId="0" applyFont="1" applyAlignment="1" applyProtection="1">
      <alignment horizontal="left"/>
      <protection locked="0"/>
    </xf>
    <xf numFmtId="1" fontId="4" fillId="0" borderId="0" xfId="0" applyNumberFormat="1" applyFont="1"/>
    <xf numFmtId="9" fontId="4" fillId="0" borderId="0" xfId="0" applyNumberFormat="1" applyFont="1" applyAlignment="1">
      <alignment vertical="center"/>
    </xf>
    <xf numFmtId="0" fontId="42" fillId="0" borderId="8" xfId="0" applyFont="1" applyBorder="1"/>
    <xf numFmtId="9" fontId="75" fillId="0" borderId="0" xfId="2" applyFont="1" applyProtection="1">
      <protection locked="0"/>
    </xf>
    <xf numFmtId="164" fontId="4" fillId="0" borderId="0" xfId="1" applyNumberFormat="1" applyFont="1" applyAlignment="1">
      <alignment horizontal="left" vertical="top"/>
    </xf>
    <xf numFmtId="164" fontId="30" fillId="0" borderId="0" xfId="1" applyNumberFormat="1" applyFont="1"/>
    <xf numFmtId="165" fontId="75" fillId="0" borderId="0" xfId="0" applyNumberFormat="1" applyFont="1" applyProtection="1">
      <protection locked="0"/>
    </xf>
    <xf numFmtId="0" fontId="4" fillId="0" borderId="0" xfId="0" quotePrefix="1" applyFont="1" applyAlignment="1">
      <alignment horizontal="left"/>
    </xf>
    <xf numFmtId="0" fontId="4" fillId="0" borderId="0" xfId="0" applyFont="1" applyAlignment="1">
      <alignment horizontal="center" vertical="center" wrapText="1"/>
    </xf>
    <xf numFmtId="3" fontId="75" fillId="0" borderId="0" xfId="0" applyNumberFormat="1" applyFont="1" applyProtection="1">
      <protection locked="0"/>
    </xf>
    <xf numFmtId="0" fontId="129" fillId="0" borderId="0" xfId="0" applyFont="1"/>
    <xf numFmtId="43" fontId="21" fillId="4" borderId="0" xfId="0" applyNumberFormat="1" applyFont="1" applyFill="1" applyAlignment="1">
      <alignment horizontal="right"/>
    </xf>
    <xf numFmtId="0" fontId="43" fillId="0" borderId="0" xfId="49" applyFont="1"/>
    <xf numFmtId="0" fontId="43" fillId="0" borderId="0" xfId="49" applyFont="1" applyAlignment="1">
      <alignment horizontal="center" vertical="center"/>
    </xf>
    <xf numFmtId="0" fontId="37" fillId="0" borderId="0" xfId="0" applyFont="1" applyAlignment="1">
      <alignment horizontal="left" vertical="center" indent="2"/>
    </xf>
    <xf numFmtId="0" fontId="43" fillId="0" borderId="0" xfId="0" applyFont="1"/>
    <xf numFmtId="0" fontId="37" fillId="0" borderId="0" xfId="0" applyFont="1" applyAlignment="1">
      <alignment horizontal="center" vertical="top"/>
    </xf>
    <xf numFmtId="0" fontId="43" fillId="2" borderId="54" xfId="49" applyFont="1" applyFill="1" applyBorder="1" applyAlignment="1">
      <alignment horizontal="center" vertical="center"/>
    </xf>
    <xf numFmtId="10" fontId="37" fillId="2" borderId="54" xfId="50" applyNumberFormat="1" applyFont="1" applyFill="1" applyBorder="1" applyAlignment="1">
      <alignment horizontal="center" vertical="center"/>
    </xf>
    <xf numFmtId="0" fontId="43" fillId="0" borderId="54" xfId="49" applyFont="1" applyBorder="1" applyAlignment="1">
      <alignment horizontal="center" vertical="center"/>
    </xf>
    <xf numFmtId="165" fontId="43" fillId="0" borderId="54" xfId="50" applyNumberFormat="1" applyFont="1" applyBorder="1" applyAlignment="1">
      <alignment horizontal="center" vertical="center"/>
    </xf>
    <xf numFmtId="10" fontId="43" fillId="0" borderId="54" xfId="50" applyNumberFormat="1" applyFont="1" applyBorder="1" applyAlignment="1">
      <alignment horizontal="center" vertical="center"/>
    </xf>
    <xf numFmtId="0" fontId="43" fillId="0" borderId="54" xfId="49" applyFont="1" applyBorder="1" applyAlignment="1">
      <alignment horizontal="center"/>
    </xf>
    <xf numFmtId="9" fontId="43" fillId="0" borderId="54" xfId="50" applyNumberFormat="1" applyFont="1" applyBorder="1" applyAlignment="1">
      <alignment horizontal="center" vertical="center"/>
    </xf>
    <xf numFmtId="10" fontId="37" fillId="2" borderId="54" xfId="2" applyNumberFormat="1" applyFont="1" applyFill="1" applyBorder="1" applyAlignment="1">
      <alignment vertical="center"/>
    </xf>
    <xf numFmtId="10" fontId="43" fillId="0" borderId="54" xfId="49" applyNumberFormat="1" applyFont="1" applyBorder="1" applyAlignment="1">
      <alignment vertical="center"/>
    </xf>
    <xf numFmtId="0" fontId="43" fillId="0" borderId="42" xfId="49" applyFont="1" applyBorder="1" applyAlignment="1">
      <alignment horizontal="center" vertical="center"/>
    </xf>
    <xf numFmtId="2" fontId="43" fillId="0" borderId="42" xfId="49" applyNumberFormat="1" applyFont="1" applyBorder="1" applyAlignment="1">
      <alignment vertical="center"/>
    </xf>
    <xf numFmtId="2" fontId="43" fillId="0" borderId="0" xfId="49" applyNumberFormat="1" applyFont="1" applyAlignment="1">
      <alignment vertical="center"/>
    </xf>
    <xf numFmtId="0" fontId="63" fillId="0" borderId="54" xfId="0" applyFont="1" applyBorder="1" applyAlignment="1">
      <alignment horizontal="center" vertical="center"/>
    </xf>
    <xf numFmtId="0" fontId="37" fillId="0" borderId="54" xfId="49" applyFont="1" applyBorder="1" applyAlignment="1">
      <alignment horizontal="center"/>
    </xf>
    <xf numFmtId="0" fontId="131" fillId="0" borderId="54" xfId="0" applyFont="1" applyBorder="1" applyAlignment="1">
      <alignment horizontal="center" vertical="center"/>
    </xf>
    <xf numFmtId="0" fontId="131" fillId="0" borderId="54" xfId="0" applyFont="1" applyBorder="1" applyAlignment="1">
      <alignment vertical="center"/>
    </xf>
    <xf numFmtId="0" fontId="132" fillId="0" borderId="54" xfId="0" applyFont="1" applyBorder="1" applyAlignment="1">
      <alignment vertical="center"/>
    </xf>
    <xf numFmtId="0" fontId="132" fillId="0" borderId="54" xfId="0" applyFont="1" applyBorder="1" applyAlignment="1">
      <alignment horizontal="center" vertical="center"/>
    </xf>
    <xf numFmtId="164" fontId="132" fillId="0" borderId="54" xfId="1" applyNumberFormat="1" applyFont="1" applyBorder="1" applyAlignment="1">
      <alignment horizontal="center" vertical="center"/>
    </xf>
    <xf numFmtId="0" fontId="108" fillId="0" borderId="54" xfId="0" applyFont="1" applyBorder="1" applyAlignment="1">
      <alignment vertical="center"/>
    </xf>
    <xf numFmtId="164" fontId="108" fillId="0" borderId="54" xfId="1" applyNumberFormat="1" applyFont="1" applyBorder="1" applyAlignment="1">
      <alignment horizontal="center" vertical="center"/>
    </xf>
    <xf numFmtId="0" fontId="108" fillId="0" borderId="54" xfId="49" applyFont="1" applyBorder="1" applyAlignment="1">
      <alignment horizontal="center"/>
    </xf>
    <xf numFmtId="0" fontId="7" fillId="0" borderId="0" xfId="0" applyFont="1"/>
    <xf numFmtId="9" fontId="132" fillId="0" borderId="54" xfId="2" applyFont="1" applyBorder="1" applyAlignment="1">
      <alignment vertical="center"/>
    </xf>
    <xf numFmtId="10" fontId="132" fillId="0" borderId="54" xfId="1" applyNumberFormat="1" applyFont="1" applyBorder="1" applyAlignment="1">
      <alignment vertical="center"/>
    </xf>
    <xf numFmtId="9" fontId="43" fillId="0" borderId="54" xfId="49" applyNumberFormat="1" applyFont="1" applyBorder="1" applyAlignment="1">
      <alignment horizontal="center"/>
    </xf>
    <xf numFmtId="0" fontId="43" fillId="0" borderId="54" xfId="49" applyFont="1" applyBorder="1"/>
    <xf numFmtId="164" fontId="108" fillId="0" borderId="54" xfId="1" applyNumberFormat="1" applyFont="1" applyBorder="1" applyAlignment="1">
      <alignment horizontal="center"/>
    </xf>
    <xf numFmtId="43" fontId="108" fillId="0" borderId="54" xfId="1" applyFont="1" applyBorder="1" applyAlignment="1">
      <alignment horizontal="center" vertical="center"/>
    </xf>
    <xf numFmtId="164" fontId="43" fillId="0" borderId="54" xfId="1" applyNumberFormat="1" applyFont="1" applyBorder="1" applyAlignment="1">
      <alignment horizontal="center"/>
    </xf>
    <xf numFmtId="0" fontId="48" fillId="4" borderId="54" xfId="0" applyFont="1" applyFill="1" applyBorder="1" applyAlignment="1">
      <alignment vertical="center"/>
    </xf>
    <xf numFmtId="43" fontId="63" fillId="0" borderId="54" xfId="1" applyFont="1" applyBorder="1" applyAlignment="1">
      <alignment horizontal="center" vertical="center"/>
    </xf>
    <xf numFmtId="0" fontId="37" fillId="0" borderId="0" xfId="49" applyFont="1"/>
    <xf numFmtId="0" fontId="132" fillId="0" borderId="0" xfId="0" applyFont="1" applyAlignment="1">
      <alignment horizontal="center" vertical="center"/>
    </xf>
    <xf numFmtId="0" fontId="49" fillId="4" borderId="0" xfId="0" applyFont="1" applyFill="1" applyAlignment="1">
      <alignment vertical="center"/>
    </xf>
    <xf numFmtId="43" fontId="132" fillId="0" borderId="0" xfId="1" applyFont="1" applyBorder="1" applyAlignment="1">
      <alignment vertical="center"/>
    </xf>
    <xf numFmtId="43" fontId="132" fillId="0" borderId="0" xfId="1" applyFont="1" applyBorder="1" applyAlignment="1">
      <alignment horizontal="center" vertical="center"/>
    </xf>
    <xf numFmtId="9" fontId="43" fillId="0" borderId="0" xfId="2" applyFont="1" applyBorder="1"/>
    <xf numFmtId="10" fontId="49" fillId="0" borderId="0" xfId="51" applyNumberFormat="1" applyFont="1" applyBorder="1" applyAlignment="1">
      <alignment horizontal="right" vertical="center"/>
    </xf>
    <xf numFmtId="10" fontId="48" fillId="0" borderId="0" xfId="51" applyNumberFormat="1" applyFont="1" applyBorder="1" applyAlignment="1">
      <alignment vertical="center"/>
    </xf>
    <xf numFmtId="10" fontId="43" fillId="0" borderId="0" xfId="49" applyNumberFormat="1" applyFont="1"/>
    <xf numFmtId="0" fontId="48" fillId="4" borderId="54" xfId="0" applyFont="1" applyFill="1" applyBorder="1" applyAlignment="1">
      <alignment horizontal="center" vertical="center" wrapText="1"/>
    </xf>
    <xf numFmtId="14" fontId="49" fillId="4" borderId="54" xfId="0" applyNumberFormat="1" applyFont="1" applyFill="1" applyBorder="1" applyAlignment="1">
      <alignment horizontal="center" vertical="center"/>
    </xf>
    <xf numFmtId="0" fontId="49" fillId="4" borderId="54" xfId="0" applyFont="1" applyFill="1" applyBorder="1" applyAlignment="1">
      <alignment horizontal="center" vertical="center"/>
    </xf>
    <xf numFmtId="10" fontId="49" fillId="4" borderId="54" xfId="2" applyNumberFormat="1" applyFont="1" applyFill="1" applyBorder="1" applyAlignment="1">
      <alignment horizontal="center" vertical="center"/>
    </xf>
    <xf numFmtId="10" fontId="48" fillId="4" borderId="54" xfId="0" applyNumberFormat="1" applyFont="1" applyFill="1" applyBorder="1" applyAlignment="1">
      <alignment horizontal="center" vertical="center"/>
    </xf>
    <xf numFmtId="0" fontId="0" fillId="0" borderId="0" xfId="0" applyAlignment="1">
      <alignment horizontal="left" vertical="center" wrapText="1"/>
    </xf>
    <xf numFmtId="164" fontId="0" fillId="0" borderId="0" xfId="1" applyNumberFormat="1" applyFont="1" applyFill="1" applyBorder="1" applyAlignment="1">
      <alignment horizontal="center" vertical="center"/>
    </xf>
    <xf numFmtId="164" fontId="0" fillId="0" borderId="0" xfId="1" quotePrefix="1" applyNumberFormat="1" applyFont="1" applyFill="1" applyBorder="1" applyAlignment="1">
      <alignment horizontal="center" vertical="center"/>
    </xf>
    <xf numFmtId="10" fontId="0" fillId="0" borderId="0" xfId="0" applyNumberFormat="1" applyAlignment="1">
      <alignment horizontal="right" vertical="center"/>
    </xf>
    <xf numFmtId="166" fontId="0" fillId="0" borderId="0" xfId="0" applyNumberFormat="1" applyAlignment="1">
      <alignment horizontal="right" vertical="center"/>
    </xf>
    <xf numFmtId="0" fontId="0" fillId="0" borderId="0" xfId="0" applyAlignment="1">
      <alignment horizontal="left" vertical="center"/>
    </xf>
    <xf numFmtId="0" fontId="8" fillId="0" borderId="0" xfId="0" quotePrefix="1" applyFont="1" applyAlignment="1">
      <alignment vertical="center" wrapText="1"/>
    </xf>
    <xf numFmtId="43" fontId="8" fillId="0" borderId="0" xfId="0" quotePrefix="1" applyNumberFormat="1" applyFont="1" applyAlignment="1">
      <alignment vertical="center" wrapText="1"/>
    </xf>
    <xf numFmtId="0" fontId="21" fillId="4" borderId="0" xfId="0" quotePrefix="1" applyFont="1" applyFill="1" applyAlignment="1">
      <alignment horizontal="left" vertical="center" wrapText="1"/>
    </xf>
    <xf numFmtId="43" fontId="21" fillId="4" borderId="0" xfId="0" quotePrefix="1" applyNumberFormat="1" applyFont="1" applyFill="1" applyAlignment="1">
      <alignment horizontal="right" vertical="center" wrapText="1"/>
    </xf>
    <xf numFmtId="164" fontId="21" fillId="4" borderId="0" xfId="1" applyNumberFormat="1" applyFont="1" applyFill="1" applyBorder="1" applyAlignment="1">
      <alignment horizontal="center" vertical="center" wrapText="1"/>
    </xf>
    <xf numFmtId="9" fontId="21" fillId="4" borderId="0" xfId="0" quotePrefix="1" applyNumberFormat="1" applyFont="1" applyFill="1" applyAlignment="1">
      <alignment horizontal="right" vertical="center" wrapText="1"/>
    </xf>
    <xf numFmtId="166" fontId="1" fillId="0" borderId="26" xfId="0" applyNumberFormat="1" applyFont="1" applyBorder="1" applyAlignment="1">
      <alignment horizontal="center" vertical="center"/>
    </xf>
    <xf numFmtId="0" fontId="1" fillId="0" borderId="26" xfId="0" applyFont="1" applyBorder="1" applyAlignment="1">
      <alignment horizontal="center" vertical="center" wrapText="1"/>
    </xf>
    <xf numFmtId="0" fontId="1" fillId="0" borderId="26" xfId="0" applyFont="1" applyBorder="1" applyAlignment="1">
      <alignment horizontal="center" vertical="center"/>
    </xf>
    <xf numFmtId="0" fontId="0" fillId="0" borderId="26" xfId="0" applyBorder="1" applyAlignment="1">
      <alignment horizontal="left" vertical="center" wrapText="1"/>
    </xf>
    <xf numFmtId="164" fontId="0" fillId="0" borderId="26" xfId="1" applyNumberFormat="1" applyFont="1" applyFill="1" applyBorder="1" applyAlignment="1">
      <alignment horizontal="center" vertical="center"/>
    </xf>
    <xf numFmtId="10" fontId="0" fillId="0" borderId="26" xfId="0" applyNumberFormat="1" applyBorder="1" applyAlignment="1">
      <alignment horizontal="right" vertical="center"/>
    </xf>
    <xf numFmtId="168" fontId="0" fillId="0" borderId="26" xfId="6" applyFont="1" applyFill="1" applyBorder="1" applyAlignment="1">
      <alignment vertical="center"/>
    </xf>
    <xf numFmtId="166" fontId="12" fillId="0" borderId="26" xfId="0" applyNumberFormat="1" applyFont="1" applyBorder="1" applyAlignment="1">
      <alignment horizontal="center" vertical="center"/>
    </xf>
    <xf numFmtId="166" fontId="0" fillId="0" borderId="26" xfId="0" applyNumberFormat="1" applyBorder="1" applyAlignment="1">
      <alignment horizontal="right" vertical="center"/>
    </xf>
    <xf numFmtId="166" fontId="0" fillId="4" borderId="26" xfId="0" applyNumberFormat="1" applyFill="1" applyBorder="1" applyAlignment="1">
      <alignment horizontal="right" vertical="center"/>
    </xf>
    <xf numFmtId="164" fontId="0" fillId="0" borderId="26" xfId="1" applyNumberFormat="1" applyFont="1" applyBorder="1" applyAlignment="1">
      <alignment horizontal="right" vertical="center"/>
    </xf>
    <xf numFmtId="0" fontId="8" fillId="0" borderId="26" xfId="0" applyFont="1" applyBorder="1" applyAlignment="1">
      <alignment horizontal="left" vertical="center"/>
    </xf>
    <xf numFmtId="166" fontId="1" fillId="2" borderId="26" xfId="0" applyNumberFormat="1" applyFont="1" applyFill="1" applyBorder="1" applyAlignment="1">
      <alignment horizontal="center" vertical="center"/>
    </xf>
    <xf numFmtId="0" fontId="1" fillId="2" borderId="26" xfId="0" applyFont="1" applyFill="1" applyBorder="1" applyAlignment="1">
      <alignment horizontal="center" vertical="center"/>
    </xf>
    <xf numFmtId="39" fontId="12" fillId="0" borderId="26" xfId="0" applyNumberFormat="1" applyFont="1" applyBorder="1" applyAlignment="1">
      <alignment horizontal="center" vertical="center"/>
    </xf>
    <xf numFmtId="39" fontId="14" fillId="2" borderId="26" xfId="0" applyNumberFormat="1" applyFont="1" applyFill="1" applyBorder="1" applyAlignment="1">
      <alignment horizontal="center" vertical="center"/>
    </xf>
    <xf numFmtId="0" fontId="21" fillId="2" borderId="26" xfId="0" quotePrefix="1" applyFont="1" applyFill="1" applyBorder="1" applyAlignment="1">
      <alignment horizontal="right" vertical="center" wrapText="1"/>
    </xf>
    <xf numFmtId="9" fontId="12" fillId="0" borderId="26" xfId="2" quotePrefix="1" applyFont="1" applyFill="1" applyBorder="1" applyAlignment="1">
      <alignment horizontal="right" vertical="center" wrapText="1"/>
    </xf>
    <xf numFmtId="9" fontId="12" fillId="4" borderId="26" xfId="2" quotePrefix="1" applyFont="1" applyFill="1" applyBorder="1" applyAlignment="1">
      <alignment horizontal="right" vertical="center" wrapText="1"/>
    </xf>
    <xf numFmtId="14" fontId="0" fillId="0" borderId="0" xfId="0" applyNumberFormat="1" applyAlignment="1">
      <alignment vertical="center"/>
    </xf>
    <xf numFmtId="166" fontId="0" fillId="0" borderId="0" xfId="0" applyNumberFormat="1" applyAlignment="1">
      <alignment vertical="center"/>
    </xf>
    <xf numFmtId="0" fontId="1" fillId="0" borderId="26" xfId="0" applyFont="1" applyBorder="1" applyAlignment="1">
      <alignment vertical="center"/>
    </xf>
    <xf numFmtId="0" fontId="1" fillId="0" borderId="94" xfId="0" applyFont="1" applyBorder="1" applyAlignment="1">
      <alignment vertical="center"/>
    </xf>
    <xf numFmtId="43" fontId="33" fillId="0" borderId="94" xfId="1" applyFont="1" applyBorder="1" applyAlignment="1">
      <alignment vertical="center"/>
    </xf>
    <xf numFmtId="10" fontId="0" fillId="0" borderId="26" xfId="2" applyNumberFormat="1" applyFont="1" applyFill="1" applyBorder="1" applyAlignment="1">
      <alignment vertical="center"/>
    </xf>
    <xf numFmtId="0" fontId="0" fillId="0" borderId="26" xfId="0" applyBorder="1" applyAlignment="1">
      <alignment vertical="center"/>
    </xf>
    <xf numFmtId="10" fontId="0" fillId="0" borderId="26" xfId="0" applyNumberFormat="1" applyBorder="1" applyAlignment="1">
      <alignment vertical="center"/>
    </xf>
    <xf numFmtId="164" fontId="0" fillId="0" borderId="26" xfId="1" applyNumberFormat="1" applyFont="1" applyFill="1" applyBorder="1" applyAlignment="1">
      <alignment vertical="center"/>
    </xf>
    <xf numFmtId="168" fontId="33" fillId="0" borderId="94" xfId="6" applyFont="1" applyBorder="1" applyAlignment="1">
      <alignment vertical="center"/>
    </xf>
    <xf numFmtId="0" fontId="0" fillId="0" borderId="94" xfId="0" applyBorder="1" applyAlignment="1">
      <alignment vertical="center"/>
    </xf>
    <xf numFmtId="10" fontId="0" fillId="0" borderId="0" xfId="0" applyNumberFormat="1" applyAlignment="1">
      <alignment vertical="center"/>
    </xf>
    <xf numFmtId="166" fontId="0" fillId="0" borderId="26" xfId="0" applyNumberFormat="1" applyBorder="1" applyAlignment="1">
      <alignment vertical="center"/>
    </xf>
    <xf numFmtId="0" fontId="8" fillId="0" borderId="26" xfId="0" applyFont="1" applyBorder="1" applyAlignment="1">
      <alignment vertical="center"/>
    </xf>
    <xf numFmtId="166" fontId="8" fillId="0" borderId="26" xfId="0" applyNumberFormat="1" applyFont="1" applyBorder="1" applyAlignment="1">
      <alignment horizontal="center" vertical="center"/>
    </xf>
    <xf numFmtId="166" fontId="14" fillId="0" borderId="26" xfId="0" applyNumberFormat="1" applyFont="1" applyBorder="1" applyAlignment="1">
      <alignment horizontal="right" vertical="center"/>
    </xf>
    <xf numFmtId="0" fontId="8" fillId="0" borderId="0" xfId="0" applyFont="1" applyAlignment="1">
      <alignment vertical="center"/>
    </xf>
    <xf numFmtId="0" fontId="21" fillId="0" borderId="26" xfId="0" applyFont="1" applyBorder="1" applyAlignment="1">
      <alignment vertical="center"/>
    </xf>
    <xf numFmtId="10" fontId="12" fillId="0" borderId="26" xfId="2" applyNumberFormat="1" applyFont="1" applyFill="1" applyBorder="1" applyAlignment="1">
      <alignment horizontal="right" vertical="center"/>
    </xf>
    <xf numFmtId="10" fontId="0" fillId="0" borderId="26" xfId="2" applyNumberFormat="1" applyFont="1" applyFill="1" applyBorder="1" applyAlignment="1">
      <alignment horizontal="right" vertical="center"/>
    </xf>
    <xf numFmtId="166" fontId="8" fillId="0" borderId="26" xfId="0" applyNumberFormat="1" applyFont="1" applyBorder="1" applyAlignment="1">
      <alignment horizontal="right" vertical="center"/>
    </xf>
    <xf numFmtId="166" fontId="1" fillId="0" borderId="0" xfId="0" applyNumberFormat="1" applyFont="1" applyAlignment="1">
      <alignment horizontal="right" vertical="center"/>
    </xf>
    <xf numFmtId="0" fontId="0" fillId="0" borderId="0" xfId="0" applyAlignment="1">
      <alignment horizontal="justify" vertical="center" wrapText="1"/>
    </xf>
    <xf numFmtId="0" fontId="1" fillId="2" borderId="26" xfId="0" applyFont="1" applyFill="1" applyBorder="1" applyAlignment="1">
      <alignment horizontal="left" vertical="center"/>
    </xf>
    <xf numFmtId="169" fontId="12" fillId="0" borderId="26" xfId="0" applyNumberFormat="1" applyFont="1" applyBorder="1" applyAlignment="1">
      <alignment vertical="center"/>
    </xf>
    <xf numFmtId="43" fontId="8" fillId="0" borderId="0" xfId="0" applyNumberFormat="1" applyFont="1" applyAlignment="1">
      <alignment vertical="center"/>
    </xf>
    <xf numFmtId="169" fontId="14" fillId="2" borderId="26" xfId="0" applyNumberFormat="1" applyFont="1" applyFill="1" applyBorder="1" applyAlignment="1">
      <alignment vertical="center"/>
    </xf>
    <xf numFmtId="43" fontId="14" fillId="0" borderId="0" xfId="0" applyNumberFormat="1" applyFont="1" applyAlignment="1">
      <alignment vertical="center"/>
    </xf>
    <xf numFmtId="0" fontId="14" fillId="0" borderId="0" xfId="0" applyFont="1" applyAlignment="1">
      <alignment vertical="center"/>
    </xf>
    <xf numFmtId="43" fontId="0" fillId="0" borderId="0" xfId="0" applyNumberFormat="1" applyAlignment="1">
      <alignment vertical="center"/>
    </xf>
    <xf numFmtId="43" fontId="8" fillId="0" borderId="0" xfId="0" quotePrefix="1" applyNumberFormat="1" applyFont="1" applyAlignment="1">
      <alignment horizontal="justify" vertical="center"/>
    </xf>
    <xf numFmtId="43" fontId="1" fillId="0" borderId="26" xfId="1" applyFont="1" applyFill="1" applyBorder="1" applyAlignment="1">
      <alignment vertical="center" wrapText="1"/>
    </xf>
    <xf numFmtId="164" fontId="1" fillId="0" borderId="0" xfId="0" applyNumberFormat="1" applyFont="1" applyAlignment="1">
      <alignment vertical="center" wrapText="1"/>
    </xf>
    <xf numFmtId="0" fontId="1" fillId="0" borderId="0" xfId="1" applyNumberFormat="1" applyFont="1" applyFill="1" applyBorder="1" applyAlignment="1">
      <alignment vertical="center" wrapText="1"/>
    </xf>
    <xf numFmtId="43" fontId="0" fillId="0" borderId="0" xfId="1" applyFont="1" applyFill="1" applyBorder="1" applyAlignment="1">
      <alignment horizontal="center" vertical="center"/>
    </xf>
    <xf numFmtId="43" fontId="21" fillId="4" borderId="26" xfId="1" applyFont="1" applyFill="1" applyBorder="1" applyAlignment="1">
      <alignment vertical="center" wrapText="1"/>
    </xf>
    <xf numFmtId="9" fontId="0" fillId="0" borderId="26" xfId="2" applyFont="1" applyBorder="1" applyAlignment="1">
      <alignment vertical="center"/>
    </xf>
    <xf numFmtId="0" fontId="0" fillId="4" borderId="0" xfId="0" applyFill="1" applyAlignment="1">
      <alignment vertical="center"/>
    </xf>
    <xf numFmtId="0" fontId="1" fillId="7" borderId="26" xfId="0" applyFont="1" applyFill="1" applyBorder="1" applyAlignment="1">
      <alignment vertical="center"/>
    </xf>
    <xf numFmtId="166" fontId="1" fillId="7" borderId="26" xfId="0" applyNumberFormat="1" applyFont="1" applyFill="1" applyBorder="1" applyAlignment="1">
      <alignment vertical="center" wrapText="1"/>
    </xf>
    <xf numFmtId="0" fontId="1" fillId="7" borderId="26" xfId="0" applyFont="1" applyFill="1" applyBorder="1" applyAlignment="1">
      <alignment horizontal="center" vertical="center"/>
    </xf>
    <xf numFmtId="43" fontId="1" fillId="7" borderId="26" xfId="1" applyFont="1" applyFill="1" applyBorder="1" applyAlignment="1">
      <alignment vertical="center" wrapText="1"/>
    </xf>
    <xf numFmtId="43" fontId="1" fillId="7" borderId="26" xfId="1" applyFont="1" applyFill="1" applyBorder="1" applyAlignment="1">
      <alignment horizontal="left" vertical="center" wrapText="1"/>
    </xf>
    <xf numFmtId="0" fontId="52" fillId="0" borderId="0" xfId="0" applyFont="1"/>
    <xf numFmtId="164" fontId="52" fillId="0" borderId="0" xfId="37" applyNumberFormat="1" applyFont="1"/>
    <xf numFmtId="37" fontId="84" fillId="48" borderId="95" xfId="40" applyFont="1" applyFill="1" applyBorder="1" applyAlignment="1">
      <alignment horizontal="left" vertical="center" wrapText="1"/>
    </xf>
    <xf numFmtId="0" fontId="84" fillId="31" borderId="95" xfId="0" applyFont="1" applyFill="1" applyBorder="1" applyAlignment="1">
      <alignment vertical="center" wrapText="1"/>
    </xf>
    <xf numFmtId="0" fontId="84" fillId="31" borderId="96" xfId="0" applyFont="1" applyFill="1" applyBorder="1" applyAlignment="1">
      <alignment vertical="center" wrapText="1"/>
    </xf>
    <xf numFmtId="0" fontId="84" fillId="0" borderId="0" xfId="0" applyFont="1" applyAlignment="1">
      <alignment horizontal="right"/>
    </xf>
    <xf numFmtId="0" fontId="84" fillId="0" borderId="18" xfId="0" applyFont="1" applyBorder="1" applyAlignment="1">
      <alignment horizontal="right"/>
    </xf>
    <xf numFmtId="164" fontId="84" fillId="0" borderId="18" xfId="37" applyNumberFormat="1" applyFont="1" applyBorder="1" applyAlignment="1">
      <alignment vertical="center"/>
    </xf>
    <xf numFmtId="164" fontId="78" fillId="0" borderId="18" xfId="37" applyNumberFormat="1" applyFont="1" applyBorder="1" applyAlignment="1">
      <alignment horizontal="left" vertical="center"/>
    </xf>
    <xf numFmtId="164" fontId="78" fillId="0" borderId="18" xfId="37" applyNumberFormat="1" applyFont="1" applyBorder="1" applyAlignment="1">
      <alignment horizontal="right" vertical="center"/>
    </xf>
    <xf numFmtId="41" fontId="78" fillId="0" borderId="18" xfId="39" applyNumberFormat="1" applyFont="1" applyBorder="1" applyAlignment="1">
      <alignment horizontal="right" vertical="center" wrapText="1"/>
    </xf>
    <xf numFmtId="9" fontId="78" fillId="0" borderId="18" xfId="34" applyFont="1" applyBorder="1" applyAlignment="1">
      <alignment horizontal="right" vertical="center"/>
    </xf>
    <xf numFmtId="0" fontId="84" fillId="0" borderId="0" xfId="0" applyFont="1"/>
    <xf numFmtId="0" fontId="52" fillId="2" borderId="18" xfId="0" applyFont="1" applyFill="1" applyBorder="1" applyAlignment="1">
      <alignment horizontal="right"/>
    </xf>
    <xf numFmtId="0" fontId="84" fillId="2" borderId="18" xfId="39" applyFont="1" applyFill="1" applyBorder="1" applyAlignment="1">
      <alignment horizontal="right" vertical="center"/>
    </xf>
    <xf numFmtId="0" fontId="79" fillId="2" borderId="18" xfId="41" applyFont="1" applyFill="1" applyBorder="1" applyAlignment="1">
      <alignment horizontal="left" vertical="center"/>
    </xf>
    <xf numFmtId="3" fontId="79" fillId="2" borderId="18" xfId="39" applyNumberFormat="1" applyFont="1" applyFill="1" applyBorder="1" applyAlignment="1">
      <alignment horizontal="right" vertical="center"/>
    </xf>
    <xf numFmtId="164" fontId="52" fillId="2" borderId="18" xfId="37" applyNumberFormat="1" applyFont="1" applyFill="1" applyBorder="1" applyAlignment="1">
      <alignment horizontal="right" vertical="center"/>
    </xf>
    <xf numFmtId="164" fontId="79" fillId="2" borderId="18" xfId="37" applyNumberFormat="1" applyFont="1" applyFill="1" applyBorder="1" applyAlignment="1">
      <alignment horizontal="right" vertical="center" wrapText="1"/>
    </xf>
    <xf numFmtId="41" fontId="78" fillId="2" borderId="18" xfId="39" applyNumberFormat="1" applyFont="1" applyFill="1" applyBorder="1" applyAlignment="1">
      <alignment horizontal="right" vertical="center" wrapText="1"/>
    </xf>
    <xf numFmtId="164" fontId="78" fillId="2" borderId="18" xfId="37" applyNumberFormat="1" applyFont="1" applyFill="1" applyBorder="1" applyAlignment="1">
      <alignment horizontal="right" vertical="center" wrapText="1"/>
    </xf>
    <xf numFmtId="164" fontId="79" fillId="2" borderId="18" xfId="37" applyNumberFormat="1" applyFont="1" applyFill="1" applyBorder="1" applyAlignment="1">
      <alignment horizontal="right" vertical="center"/>
    </xf>
    <xf numFmtId="3" fontId="79" fillId="2" borderId="18" xfId="41" applyNumberFormat="1" applyFont="1" applyFill="1" applyBorder="1" applyAlignment="1">
      <alignment horizontal="right" vertical="center"/>
    </xf>
    <xf numFmtId="164" fontId="78" fillId="2" borderId="18" xfId="37" applyNumberFormat="1" applyFont="1" applyFill="1" applyBorder="1" applyAlignment="1">
      <alignment horizontal="right" vertical="center"/>
    </xf>
    <xf numFmtId="43" fontId="78" fillId="2" borderId="18" xfId="37" applyFont="1" applyFill="1" applyBorder="1" applyAlignment="1">
      <alignment horizontal="right" vertical="center"/>
    </xf>
    <xf numFmtId="9" fontId="78" fillId="2" borderId="18" xfId="34" applyFont="1" applyFill="1" applyBorder="1" applyAlignment="1">
      <alignment horizontal="right" vertical="center"/>
    </xf>
    <xf numFmtId="9" fontId="79" fillId="2" borderId="18" xfId="34" applyFont="1" applyFill="1" applyBorder="1" applyAlignment="1">
      <alignment horizontal="right" vertical="center"/>
    </xf>
    <xf numFmtId="0" fontId="52" fillId="0" borderId="0" xfId="0" applyFont="1" applyAlignment="1">
      <alignment horizontal="right"/>
    </xf>
    <xf numFmtId="164" fontId="84" fillId="0" borderId="18" xfId="37" applyNumberFormat="1" applyFont="1" applyBorder="1" applyAlignment="1">
      <alignment horizontal="right" vertical="center"/>
    </xf>
    <xf numFmtId="0" fontId="79" fillId="0" borderId="18" xfId="41" applyFont="1" applyBorder="1" applyAlignment="1">
      <alignment horizontal="left" vertical="center"/>
    </xf>
    <xf numFmtId="0" fontId="79" fillId="0" borderId="18" xfId="39" applyFont="1" applyBorder="1" applyAlignment="1">
      <alignment horizontal="left" vertical="center" wrapText="1"/>
    </xf>
    <xf numFmtId="3" fontId="79" fillId="0" borderId="18" xfId="39" applyNumberFormat="1" applyFont="1" applyBorder="1" applyAlignment="1">
      <alignment horizontal="right" vertical="center"/>
    </xf>
    <xf numFmtId="164" fontId="52" fillId="0" borderId="18" xfId="37" applyNumberFormat="1" applyFont="1" applyBorder="1" applyAlignment="1">
      <alignment horizontal="right" vertical="center"/>
    </xf>
    <xf numFmtId="164" fontId="79" fillId="0" borderId="18" xfId="37" applyNumberFormat="1" applyFont="1" applyFill="1" applyBorder="1" applyAlignment="1">
      <alignment horizontal="right" vertical="center" wrapText="1"/>
    </xf>
    <xf numFmtId="164" fontId="78" fillId="0" borderId="18" xfId="37" applyNumberFormat="1" applyFont="1" applyBorder="1" applyAlignment="1">
      <alignment horizontal="right" vertical="center" wrapText="1"/>
    </xf>
    <xf numFmtId="164" fontId="79" fillId="0" borderId="18" xfId="37" applyNumberFormat="1" applyFont="1" applyBorder="1" applyAlignment="1">
      <alignment horizontal="right" vertical="center"/>
    </xf>
    <xf numFmtId="9" fontId="78" fillId="4" borderId="80" xfId="34" applyFont="1" applyFill="1" applyBorder="1" applyAlignment="1">
      <alignment horizontal="right" vertical="center"/>
    </xf>
    <xf numFmtId="164" fontId="78" fillId="4" borderId="80" xfId="37" applyNumberFormat="1" applyFont="1" applyFill="1" applyBorder="1" applyAlignment="1">
      <alignment horizontal="right" vertical="center"/>
    </xf>
    <xf numFmtId="164" fontId="79" fillId="0" borderId="18" xfId="37" applyNumberFormat="1" applyFont="1" applyFill="1" applyBorder="1" applyAlignment="1">
      <alignment horizontal="right" vertical="center"/>
    </xf>
    <xf numFmtId="164" fontId="78" fillId="0" borderId="18" xfId="37" applyNumberFormat="1" applyFont="1" applyFill="1" applyBorder="1" applyAlignment="1">
      <alignment horizontal="right" vertical="center"/>
    </xf>
    <xf numFmtId="164" fontId="78" fillId="0" borderId="18" xfId="37" applyNumberFormat="1" applyFont="1" applyFill="1" applyBorder="1" applyAlignment="1">
      <alignment horizontal="right" vertical="center" wrapText="1"/>
    </xf>
    <xf numFmtId="3" fontId="79" fillId="0" borderId="18" xfId="41" applyNumberFormat="1" applyFont="1" applyBorder="1" applyAlignment="1">
      <alignment horizontal="right" vertical="center"/>
    </xf>
    <xf numFmtId="3" fontId="21" fillId="0" borderId="18" xfId="41" applyNumberFormat="1" applyFont="1" applyBorder="1" applyAlignment="1">
      <alignment horizontal="right" vertical="center"/>
    </xf>
    <xf numFmtId="164" fontId="21" fillId="0" borderId="18" xfId="37" applyNumberFormat="1" applyFont="1" applyFill="1" applyBorder="1" applyAlignment="1">
      <alignment horizontal="right" vertical="center"/>
    </xf>
    <xf numFmtId="9" fontId="78" fillId="4" borderId="80" xfId="34" applyFont="1" applyFill="1" applyBorder="1" applyAlignment="1">
      <alignment horizontal="right" vertical="center" wrapText="1"/>
    </xf>
    <xf numFmtId="164" fontId="78" fillId="4" borderId="80" xfId="37" applyNumberFormat="1" applyFont="1" applyFill="1" applyBorder="1" applyAlignment="1">
      <alignment horizontal="right" vertical="center" wrapText="1"/>
    </xf>
    <xf numFmtId="0" fontId="52" fillId="0" borderId="18" xfId="39" applyBorder="1" applyAlignment="1">
      <alignment horizontal="right" vertical="center"/>
    </xf>
    <xf numFmtId="164" fontId="81" fillId="0" borderId="18" xfId="37" applyNumberFormat="1" applyFont="1" applyBorder="1" applyAlignment="1">
      <alignment horizontal="right" vertical="center"/>
    </xf>
    <xf numFmtId="0" fontId="52" fillId="2" borderId="0" xfId="0" applyFont="1" applyFill="1" applyAlignment="1">
      <alignment horizontal="right"/>
    </xf>
    <xf numFmtId="0" fontId="52" fillId="2" borderId="18" xfId="39" applyFill="1" applyBorder="1" applyAlignment="1">
      <alignment horizontal="right"/>
    </xf>
    <xf numFmtId="3" fontId="78" fillId="2" borderId="18" xfId="39" applyNumberFormat="1" applyFont="1" applyFill="1" applyBorder="1" applyAlignment="1">
      <alignment horizontal="right" vertical="center"/>
    </xf>
    <xf numFmtId="0" fontId="84" fillId="2" borderId="18" xfId="0" applyFont="1" applyFill="1" applyBorder="1" applyAlignment="1">
      <alignment horizontal="right"/>
    </xf>
    <xf numFmtId="164" fontId="84" fillId="2" borderId="79" xfId="37" applyNumberFormat="1" applyFont="1" applyFill="1" applyBorder="1" applyAlignment="1">
      <alignment horizontal="right"/>
    </xf>
    <xf numFmtId="9" fontId="84" fillId="2" borderId="79" xfId="34" applyFont="1" applyFill="1" applyBorder="1" applyAlignment="1">
      <alignment horizontal="right"/>
    </xf>
    <xf numFmtId="167" fontId="84" fillId="2" borderId="79" xfId="37" applyNumberFormat="1" applyFont="1" applyFill="1" applyBorder="1" applyAlignment="1">
      <alignment horizontal="right"/>
    </xf>
    <xf numFmtId="43" fontId="84" fillId="2" borderId="79" xfId="37" applyFont="1" applyFill="1" applyBorder="1" applyAlignment="1">
      <alignment horizontal="right"/>
    </xf>
    <xf numFmtId="43" fontId="0" fillId="0" borderId="0" xfId="1" applyFont="1" applyBorder="1" applyAlignment="1">
      <alignment vertical="center"/>
    </xf>
    <xf numFmtId="164" fontId="21" fillId="4" borderId="14" xfId="1" applyNumberFormat="1" applyFont="1" applyFill="1" applyBorder="1" applyAlignment="1">
      <alignment horizontal="right" vertical="center" wrapText="1"/>
    </xf>
    <xf numFmtId="164" fontId="14" fillId="4" borderId="14" xfId="1" applyNumberFormat="1" applyFont="1" applyFill="1" applyBorder="1" applyAlignment="1">
      <alignment horizontal="right" vertical="center" wrapText="1"/>
    </xf>
    <xf numFmtId="164" fontId="21" fillId="4" borderId="0" xfId="1" quotePrefix="1" applyNumberFormat="1" applyFont="1" applyFill="1" applyBorder="1" applyAlignment="1">
      <alignment horizontal="center" vertical="center" wrapText="1"/>
    </xf>
    <xf numFmtId="164" fontId="21" fillId="4" borderId="0" xfId="1" applyNumberFormat="1" applyFont="1" applyFill="1" applyBorder="1" applyAlignment="1">
      <alignment horizontal="center"/>
    </xf>
    <xf numFmtId="10" fontId="7" fillId="0" borderId="0" xfId="2" applyNumberFormat="1" applyFont="1" applyFill="1" applyBorder="1" applyAlignment="1">
      <alignment vertical="center"/>
    </xf>
    <xf numFmtId="0" fontId="7" fillId="0" borderId="0" xfId="0" applyFont="1" applyAlignment="1">
      <alignment horizontal="center" vertical="center"/>
    </xf>
    <xf numFmtId="0" fontId="7" fillId="0" borderId="0" xfId="0" applyFont="1" applyAlignment="1">
      <alignment horizontal="left" vertical="center"/>
    </xf>
    <xf numFmtId="0" fontId="21" fillId="0" borderId="0" xfId="0" applyFont="1" applyAlignment="1">
      <alignment horizontal="center" vertical="center"/>
    </xf>
    <xf numFmtId="0" fontId="7" fillId="0" borderId="98" xfId="0" applyFont="1" applyBorder="1"/>
    <xf numFmtId="9" fontId="7" fillId="0" borderId="98" xfId="0" applyNumberFormat="1" applyFont="1" applyBorder="1"/>
    <xf numFmtId="0" fontId="7" fillId="0" borderId="98" xfId="0" applyFont="1" applyBorder="1" applyAlignment="1">
      <alignment horizontal="center" vertical="center"/>
    </xf>
    <xf numFmtId="0" fontId="84" fillId="0" borderId="98" xfId="0" applyFont="1" applyBorder="1" applyAlignment="1">
      <alignment horizontal="left" vertical="center"/>
    </xf>
    <xf numFmtId="9" fontId="7" fillId="0" borderId="18" xfId="34" applyFont="1" applyBorder="1" applyAlignment="1">
      <alignment horizontal="right" vertical="center"/>
    </xf>
    <xf numFmtId="0" fontId="7" fillId="0" borderId="18" xfId="0" applyFont="1" applyBorder="1" applyAlignment="1">
      <alignment horizontal="left" vertical="center"/>
    </xf>
    <xf numFmtId="0" fontId="1" fillId="34" borderId="18" xfId="0" applyFont="1" applyFill="1" applyBorder="1" applyAlignment="1">
      <alignment horizontal="right" vertical="center"/>
    </xf>
    <xf numFmtId="0" fontId="1" fillId="34" borderId="18" xfId="0" applyFont="1" applyFill="1" applyBorder="1" applyAlignment="1">
      <alignment horizontal="left" vertical="center"/>
    </xf>
    <xf numFmtId="0" fontId="7" fillId="0" borderId="0" xfId="0" applyFont="1" applyAlignment="1">
      <alignment horizontal="right" vertical="center"/>
    </xf>
    <xf numFmtId="3" fontId="7" fillId="0" borderId="18" xfId="0" applyNumberFormat="1" applyFont="1" applyBorder="1" applyAlignment="1">
      <alignment horizontal="right" vertical="center"/>
    </xf>
    <xf numFmtId="0" fontId="1" fillId="0" borderId="0" xfId="0" applyFont="1" applyAlignment="1">
      <alignment horizontal="left" vertical="center"/>
    </xf>
    <xf numFmtId="0" fontId="1" fillId="0" borderId="0" xfId="0" applyFont="1" applyAlignment="1">
      <alignment horizontal="center" vertical="center"/>
    </xf>
    <xf numFmtId="0" fontId="84" fillId="0" borderId="0" xfId="0" applyFont="1" applyAlignment="1">
      <alignment horizontal="left" vertical="center"/>
    </xf>
    <xf numFmtId="0" fontId="7" fillId="14" borderId="0" xfId="0" applyFont="1" applyFill="1"/>
    <xf numFmtId="0" fontId="7" fillId="14" borderId="0" xfId="0" applyFont="1" applyFill="1" applyAlignment="1">
      <alignment horizontal="center" vertical="center"/>
    </xf>
    <xf numFmtId="0" fontId="133" fillId="14" borderId="0" xfId="0" applyFont="1" applyFill="1" applyAlignment="1">
      <alignment horizontal="center" vertical="center"/>
    </xf>
    <xf numFmtId="0" fontId="133" fillId="14" borderId="0" xfId="0" applyFont="1" applyFill="1" applyAlignment="1">
      <alignment horizontal="left" vertical="center"/>
    </xf>
    <xf numFmtId="0" fontId="134" fillId="14" borderId="0" xfId="0" applyFont="1" applyFill="1"/>
    <xf numFmtId="0" fontId="134" fillId="14" borderId="0" xfId="0" applyFont="1" applyFill="1" applyAlignment="1">
      <alignment horizontal="center" vertical="center"/>
    </xf>
    <xf numFmtId="0" fontId="7" fillId="50" borderId="0" xfId="0" applyFont="1" applyFill="1"/>
    <xf numFmtId="0" fontId="7" fillId="50" borderId="0" xfId="0" applyFont="1" applyFill="1" applyAlignment="1">
      <alignment horizontal="center" vertical="center"/>
    </xf>
    <xf numFmtId="0" fontId="124" fillId="50" borderId="0" xfId="0" applyFont="1" applyFill="1" applyAlignment="1">
      <alignment horizontal="left" vertical="center"/>
    </xf>
    <xf numFmtId="0" fontId="3" fillId="50" borderId="0" xfId="0" applyFont="1" applyFill="1" applyAlignment="1">
      <alignment horizontal="center" vertical="center"/>
    </xf>
    <xf numFmtId="0" fontId="16" fillId="0" borderId="0" xfId="52" applyFont="1"/>
    <xf numFmtId="9" fontId="15" fillId="0" borderId="18" xfId="53" applyFont="1" applyBorder="1"/>
    <xf numFmtId="0" fontId="15" fillId="0" borderId="18" xfId="52" applyFont="1" applyBorder="1"/>
    <xf numFmtId="9" fontId="16" fillId="0" borderId="18" xfId="53" applyFont="1" applyBorder="1"/>
    <xf numFmtId="0" fontId="16" fillId="0" borderId="18" xfId="52" applyFont="1" applyBorder="1"/>
    <xf numFmtId="0" fontId="15" fillId="2" borderId="18" xfId="52" applyFont="1" applyFill="1" applyBorder="1" applyAlignment="1">
      <alignment horizontal="center"/>
    </xf>
    <xf numFmtId="164" fontId="15" fillId="0" borderId="18" xfId="52" applyNumberFormat="1" applyFont="1" applyBorder="1"/>
    <xf numFmtId="164" fontId="16" fillId="0" borderId="18" xfId="52" applyNumberFormat="1" applyFont="1" applyBorder="1"/>
    <xf numFmtId="0" fontId="15" fillId="0" borderId="0" xfId="52" applyFont="1"/>
    <xf numFmtId="0" fontId="16" fillId="0" borderId="99" xfId="52" applyFont="1" applyBorder="1"/>
    <xf numFmtId="0" fontId="15" fillId="0" borderId="99" xfId="52" applyFont="1" applyBorder="1"/>
    <xf numFmtId="0" fontId="15" fillId="0" borderId="99" xfId="52" applyFont="1" applyBorder="1" applyAlignment="1">
      <alignment horizontal="center"/>
    </xf>
    <xf numFmtId="0" fontId="16" fillId="31" borderId="0" xfId="52" applyFont="1" applyFill="1"/>
    <xf numFmtId="0" fontId="15" fillId="31" borderId="0" xfId="52" applyFont="1" applyFill="1"/>
    <xf numFmtId="0" fontId="15" fillId="0" borderId="0" xfId="52" applyFont="1" applyAlignment="1">
      <alignment horizontal="center"/>
    </xf>
    <xf numFmtId="0" fontId="15" fillId="0" borderId="0" xfId="52" applyFont="1" applyAlignment="1">
      <alignment horizontal="right"/>
    </xf>
    <xf numFmtId="164" fontId="15" fillId="0" borderId="0" xfId="52" applyNumberFormat="1" applyFont="1"/>
    <xf numFmtId="164" fontId="16" fillId="0" borderId="0" xfId="52" applyNumberFormat="1" applyFont="1"/>
    <xf numFmtId="0" fontId="16" fillId="0" borderId="0" xfId="52" applyFont="1" applyAlignment="1">
      <alignment horizontal="center"/>
    </xf>
    <xf numFmtId="0" fontId="15" fillId="31" borderId="0" xfId="52" applyFont="1" applyFill="1" applyAlignment="1">
      <alignment horizontal="left"/>
    </xf>
    <xf numFmtId="9" fontId="1" fillId="0" borderId="18" xfId="0" applyNumberFormat="1" applyFont="1" applyBorder="1"/>
    <xf numFmtId="0" fontId="1" fillId="0" borderId="18" xfId="0" applyFont="1" applyBorder="1" applyAlignment="1">
      <alignment horizontal="left" vertical="center"/>
    </xf>
    <xf numFmtId="9" fontId="7" fillId="0" borderId="18" xfId="34" applyFont="1" applyFill="1" applyBorder="1" applyAlignment="1">
      <alignment horizontal="right" vertical="center"/>
    </xf>
    <xf numFmtId="0" fontId="1" fillId="34" borderId="18" xfId="0" applyFont="1" applyFill="1" applyBorder="1" applyAlignment="1">
      <alignment horizontal="center" vertical="center"/>
    </xf>
    <xf numFmtId="0" fontId="1" fillId="34" borderId="91" xfId="0" applyFont="1" applyFill="1" applyBorder="1" applyAlignment="1">
      <alignment horizontal="center" vertical="center"/>
    </xf>
    <xf numFmtId="9" fontId="7" fillId="0" borderId="0" xfId="34" applyFont="1" applyBorder="1"/>
    <xf numFmtId="164" fontId="7" fillId="0" borderId="0" xfId="37" applyNumberFormat="1" applyFont="1" applyBorder="1"/>
    <xf numFmtId="9" fontId="7" fillId="0" borderId="0" xfId="34" applyFont="1" applyBorder="1" applyAlignment="1">
      <alignment horizontal="center" vertical="center"/>
    </xf>
    <xf numFmtId="164" fontId="7" fillId="0" borderId="0" xfId="37" applyNumberFormat="1" applyFont="1" applyBorder="1" applyAlignment="1">
      <alignment horizontal="center" vertical="center"/>
    </xf>
    <xf numFmtId="0" fontId="7" fillId="0" borderId="7" xfId="0" applyFont="1" applyBorder="1"/>
    <xf numFmtId="9" fontId="7" fillId="0" borderId="7" xfId="0" applyNumberFormat="1" applyFont="1" applyBorder="1"/>
    <xf numFmtId="0" fontId="7" fillId="0" borderId="7" xfId="0" applyFont="1" applyBorder="1" applyAlignment="1">
      <alignment horizontal="center" vertical="center"/>
    </xf>
    <xf numFmtId="164" fontId="7" fillId="0" borderId="7" xfId="37" applyNumberFormat="1" applyFont="1" applyFill="1" applyBorder="1" applyAlignment="1">
      <alignment horizontal="center" vertical="center"/>
    </xf>
    <xf numFmtId="0" fontId="1" fillId="0" borderId="7" xfId="0" applyFont="1" applyBorder="1" applyAlignment="1">
      <alignment horizontal="left" vertical="center"/>
    </xf>
    <xf numFmtId="9" fontId="84" fillId="0" borderId="0" xfId="34" applyFont="1" applyFill="1" applyBorder="1" applyAlignment="1">
      <alignment horizontal="right" vertical="center"/>
    </xf>
    <xf numFmtId="9" fontId="84" fillId="0" borderId="18" xfId="34" applyFont="1" applyBorder="1" applyAlignment="1">
      <alignment horizontal="right" vertical="center"/>
    </xf>
    <xf numFmtId="0" fontId="84" fillId="0" borderId="18" xfId="0" applyFont="1" applyBorder="1" applyAlignment="1">
      <alignment horizontal="left" vertical="center"/>
    </xf>
    <xf numFmtId="0" fontId="1" fillId="2" borderId="73" xfId="0" applyFont="1" applyFill="1" applyBorder="1" applyAlignment="1">
      <alignment horizontal="center" vertical="center"/>
    </xf>
    <xf numFmtId="3" fontId="84" fillId="0" borderId="18" xfId="0" applyNumberFormat="1" applyFont="1" applyBorder="1" applyAlignment="1">
      <alignment horizontal="right" vertical="center"/>
    </xf>
    <xf numFmtId="9" fontId="84" fillId="0" borderId="18" xfId="34" applyFont="1" applyFill="1" applyBorder="1" applyAlignment="1">
      <alignment horizontal="right" vertical="center"/>
    </xf>
    <xf numFmtId="164" fontId="7" fillId="0" borderId="18" xfId="37" applyNumberFormat="1" applyFont="1" applyBorder="1" applyAlignment="1">
      <alignment horizontal="right" vertical="center"/>
    </xf>
    <xf numFmtId="164" fontId="7" fillId="0" borderId="0" xfId="37" applyNumberFormat="1" applyFont="1" applyFill="1" applyBorder="1" applyAlignment="1">
      <alignment horizontal="center" vertical="center"/>
    </xf>
    <xf numFmtId="0" fontId="7" fillId="0" borderId="100" xfId="0" applyFont="1" applyBorder="1"/>
    <xf numFmtId="9" fontId="7" fillId="0" borderId="100" xfId="0" applyNumberFormat="1" applyFont="1" applyBorder="1"/>
    <xf numFmtId="0" fontId="7" fillId="0" borderId="100" xfId="0" applyFont="1" applyBorder="1" applyAlignment="1">
      <alignment horizontal="center" vertical="center"/>
    </xf>
    <xf numFmtId="164" fontId="7" fillId="0" borderId="100" xfId="37" applyNumberFormat="1" applyFont="1" applyFill="1" applyBorder="1" applyAlignment="1">
      <alignment horizontal="center" vertical="center"/>
    </xf>
    <xf numFmtId="0" fontId="1" fillId="0" borderId="100" xfId="0" applyFont="1" applyBorder="1" applyAlignment="1">
      <alignment horizontal="left" vertical="center"/>
    </xf>
    <xf numFmtId="164" fontId="7" fillId="0" borderId="98" xfId="37" applyNumberFormat="1" applyFont="1" applyFill="1" applyBorder="1" applyAlignment="1">
      <alignment horizontal="center" vertical="center"/>
    </xf>
    <xf numFmtId="0" fontId="1" fillId="0" borderId="98" xfId="0" applyFont="1" applyBorder="1" applyAlignment="1">
      <alignment horizontal="left" vertical="center"/>
    </xf>
    <xf numFmtId="9" fontId="41" fillId="0" borderId="0" xfId="0" applyNumberFormat="1" applyFont="1" applyAlignment="1">
      <alignment horizontal="center" vertical="center"/>
    </xf>
    <xf numFmtId="9" fontId="79" fillId="0" borderId="18" xfId="0" applyNumberFormat="1" applyFont="1" applyBorder="1" applyAlignment="1">
      <alignment horizontal="center" vertical="center"/>
    </xf>
    <xf numFmtId="9" fontId="7" fillId="0" borderId="73" xfId="34" applyFont="1" applyBorder="1" applyAlignment="1">
      <alignment horizontal="right" vertical="center"/>
    </xf>
    <xf numFmtId="0" fontId="7" fillId="2" borderId="0" xfId="0" applyFont="1" applyFill="1" applyAlignment="1">
      <alignment horizontal="left" vertical="center"/>
    </xf>
    <xf numFmtId="9" fontId="1" fillId="0" borderId="0" xfId="34" applyFont="1" applyBorder="1" applyAlignment="1">
      <alignment horizontal="center" vertical="center"/>
    </xf>
    <xf numFmtId="9" fontId="1" fillId="0" borderId="0" xfId="0" applyNumberFormat="1" applyFont="1"/>
    <xf numFmtId="164" fontId="7" fillId="0" borderId="0" xfId="37" applyNumberFormat="1" applyFont="1" applyFill="1" applyBorder="1"/>
    <xf numFmtId="9" fontId="7" fillId="0" borderId="0" xfId="34" applyFont="1" applyFill="1" applyBorder="1"/>
    <xf numFmtId="9" fontId="7" fillId="0" borderId="0" xfId="34" applyFont="1" applyFill="1" applyBorder="1" applyAlignment="1">
      <alignment horizontal="center" vertical="center"/>
    </xf>
    <xf numFmtId="0" fontId="1" fillId="2" borderId="18" xfId="0" applyFont="1" applyFill="1" applyBorder="1" applyAlignment="1">
      <alignment horizontal="left" vertical="center"/>
    </xf>
    <xf numFmtId="9" fontId="7" fillId="0" borderId="0" xfId="34" applyFont="1" applyBorder="1" applyAlignment="1">
      <alignment horizontal="right" vertical="center"/>
    </xf>
    <xf numFmtId="0" fontId="7" fillId="0" borderId="18" xfId="0" applyFont="1" applyBorder="1" applyAlignment="1">
      <alignment horizontal="center" vertical="center"/>
    </xf>
    <xf numFmtId="0" fontId="7" fillId="2" borderId="18" xfId="0" applyFont="1" applyFill="1" applyBorder="1" applyAlignment="1">
      <alignment horizontal="left" vertical="center"/>
    </xf>
    <xf numFmtId="165" fontId="7" fillId="0" borderId="18" xfId="34" applyNumberFormat="1" applyFont="1" applyBorder="1" applyAlignment="1">
      <alignment horizontal="right" vertical="center"/>
    </xf>
    <xf numFmtId="165" fontId="7" fillId="0" borderId="18" xfId="34" applyNumberFormat="1" applyFont="1" applyBorder="1" applyAlignment="1">
      <alignment horizontal="center" vertical="center"/>
    </xf>
    <xf numFmtId="9" fontId="7" fillId="0" borderId="7" xfId="34" applyFont="1" applyBorder="1"/>
    <xf numFmtId="164" fontId="7" fillId="0" borderId="7" xfId="37" applyNumberFormat="1" applyFont="1" applyBorder="1"/>
    <xf numFmtId="9" fontId="7" fillId="0" borderId="7" xfId="34" applyFont="1" applyBorder="1" applyAlignment="1">
      <alignment horizontal="center" vertical="center"/>
    </xf>
    <xf numFmtId="164" fontId="7" fillId="0" borderId="7" xfId="37" applyNumberFormat="1" applyFont="1" applyBorder="1" applyAlignment="1">
      <alignment horizontal="center" vertical="center"/>
    </xf>
    <xf numFmtId="0" fontId="1" fillId="0" borderId="7" xfId="0" applyFont="1" applyBorder="1" applyAlignment="1">
      <alignment horizontal="center" vertical="center"/>
    </xf>
    <xf numFmtId="9" fontId="7" fillId="0" borderId="18" xfId="34" applyFont="1" applyBorder="1" applyAlignment="1">
      <alignment vertical="center"/>
    </xf>
    <xf numFmtId="43" fontId="7" fillId="0" borderId="0" xfId="37" applyFont="1" applyBorder="1" applyAlignment="1">
      <alignment horizontal="right" vertical="center"/>
    </xf>
    <xf numFmtId="43" fontId="7" fillId="0" borderId="0" xfId="37" applyFont="1" applyBorder="1" applyAlignment="1">
      <alignment horizontal="center" vertical="center"/>
    </xf>
    <xf numFmtId="43" fontId="7" fillId="0" borderId="18" xfId="37" applyFont="1" applyBorder="1" applyAlignment="1">
      <alignment horizontal="center" vertical="center"/>
    </xf>
    <xf numFmtId="165" fontId="7" fillId="0" borderId="12" xfId="34" applyNumberFormat="1" applyFont="1" applyBorder="1" applyAlignment="1">
      <alignment vertical="center"/>
    </xf>
    <xf numFmtId="0" fontId="7" fillId="0" borderId="12" xfId="0" applyFont="1" applyBorder="1" applyAlignment="1">
      <alignment horizontal="left" vertical="center"/>
    </xf>
    <xf numFmtId="0" fontId="1" fillId="34" borderId="12" xfId="0" applyFont="1" applyFill="1" applyBorder="1" applyAlignment="1">
      <alignment horizontal="center" vertical="center"/>
    </xf>
    <xf numFmtId="0" fontId="1" fillId="34" borderId="12" xfId="0" applyFont="1" applyFill="1" applyBorder="1" applyAlignment="1">
      <alignment horizontal="left" vertical="center"/>
    </xf>
    <xf numFmtId="9" fontId="7" fillId="0" borderId="18" xfId="0" applyNumberFormat="1" applyFont="1" applyBorder="1" applyAlignment="1">
      <alignment horizontal="right" vertical="center"/>
    </xf>
    <xf numFmtId="164" fontId="7" fillId="0" borderId="18" xfId="37" applyNumberFormat="1" applyFont="1" applyBorder="1" applyAlignment="1">
      <alignment horizontal="center" vertical="center"/>
    </xf>
    <xf numFmtId="9" fontId="52" fillId="0" borderId="0" xfId="34" applyFont="1" applyBorder="1"/>
    <xf numFmtId="164" fontId="7" fillId="0" borderId="0" xfId="0" applyNumberFormat="1" applyFont="1"/>
    <xf numFmtId="0" fontId="84" fillId="0" borderId="7" xfId="0" applyFont="1" applyBorder="1" applyAlignment="1">
      <alignment horizontal="left" vertical="center"/>
    </xf>
    <xf numFmtId="0" fontId="1" fillId="51" borderId="73" xfId="0" applyFont="1" applyFill="1" applyBorder="1" applyAlignment="1">
      <alignment horizontal="right" vertical="center"/>
    </xf>
    <xf numFmtId="0" fontId="1" fillId="51" borderId="18" xfId="0" applyFont="1" applyFill="1" applyBorder="1" applyAlignment="1">
      <alignment horizontal="right" vertical="center"/>
    </xf>
    <xf numFmtId="0" fontId="84" fillId="0" borderId="18" xfId="0" applyFont="1" applyBorder="1" applyAlignment="1">
      <alignment horizontal="right" vertical="center"/>
    </xf>
    <xf numFmtId="0" fontId="84" fillId="0" borderId="0" xfId="0" applyFont="1" applyAlignment="1">
      <alignment horizontal="center" vertical="center"/>
    </xf>
    <xf numFmtId="0" fontId="84" fillId="0" borderId="100" xfId="0" applyFont="1" applyBorder="1" applyAlignment="1">
      <alignment horizontal="left" vertical="center"/>
    </xf>
    <xf numFmtId="164" fontId="7" fillId="0" borderId="0" xfId="0" applyNumberFormat="1" applyFont="1" applyAlignment="1">
      <alignment horizontal="center" vertical="center"/>
    </xf>
    <xf numFmtId="164" fontId="1" fillId="51" borderId="18" xfId="0" applyNumberFormat="1" applyFont="1" applyFill="1" applyBorder="1" applyAlignment="1">
      <alignment horizontal="center" vertical="center"/>
    </xf>
    <xf numFmtId="164" fontId="84" fillId="0" borderId="18" xfId="37" applyNumberFormat="1" applyFont="1" applyBorder="1" applyAlignment="1">
      <alignment horizontal="center" vertical="center"/>
    </xf>
    <xf numFmtId="9" fontId="1" fillId="0" borderId="18" xfId="0" applyNumberFormat="1" applyFont="1" applyBorder="1" applyAlignment="1">
      <alignment horizontal="right" vertical="center"/>
    </xf>
    <xf numFmtId="0" fontId="137" fillId="0" borderId="18" xfId="0" applyFont="1" applyBorder="1" applyAlignment="1">
      <alignment horizontal="left" vertical="center"/>
    </xf>
    <xf numFmtId="0" fontId="138" fillId="0" borderId="18" xfId="0" applyFont="1" applyBorder="1" applyAlignment="1">
      <alignment horizontal="left" vertical="center" wrapText="1"/>
    </xf>
    <xf numFmtId="0" fontId="138" fillId="0" borderId="18" xfId="0" applyFont="1" applyBorder="1" applyAlignment="1">
      <alignment horizontal="left" vertical="center"/>
    </xf>
    <xf numFmtId="0" fontId="139" fillId="52" borderId="18" xfId="0" applyFont="1" applyFill="1" applyBorder="1" applyAlignment="1">
      <alignment horizontal="left" vertical="center"/>
    </xf>
    <xf numFmtId="164" fontId="137" fillId="0" borderId="18" xfId="0" applyNumberFormat="1" applyFont="1" applyBorder="1" applyAlignment="1">
      <alignment horizontal="center" vertical="center"/>
    </xf>
    <xf numFmtId="164" fontId="138" fillId="0" borderId="18" xfId="0" applyNumberFormat="1" applyFont="1" applyBorder="1" applyAlignment="1">
      <alignment horizontal="right" vertical="center"/>
    </xf>
    <xf numFmtId="9" fontId="7" fillId="0" borderId="18" xfId="34" applyFont="1" applyBorder="1"/>
    <xf numFmtId="0" fontId="12" fillId="0" borderId="0" xfId="0" applyFont="1" applyAlignment="1">
      <alignment horizontal="center" vertical="center" readingOrder="1"/>
    </xf>
    <xf numFmtId="164" fontId="138" fillId="0" borderId="0" xfId="0" applyNumberFormat="1" applyFont="1" applyAlignment="1">
      <alignment horizontal="center" vertical="center"/>
    </xf>
    <xf numFmtId="0" fontId="139" fillId="0" borderId="0" xfId="0" applyFont="1" applyAlignment="1">
      <alignment horizontal="left" vertical="center"/>
    </xf>
    <xf numFmtId="1" fontId="7" fillId="0" borderId="18" xfId="0" applyNumberFormat="1" applyFont="1" applyBorder="1" applyAlignment="1">
      <alignment horizontal="right" vertical="center"/>
    </xf>
    <xf numFmtId="0" fontId="15" fillId="0" borderId="73" xfId="52" applyFont="1" applyBorder="1"/>
    <xf numFmtId="164" fontId="16" fillId="0" borderId="18" xfId="54" applyNumberFormat="1" applyFont="1" applyFill="1" applyBorder="1"/>
    <xf numFmtId="164" fontId="15" fillId="0" borderId="18" xfId="54" applyNumberFormat="1" applyFont="1" applyFill="1" applyBorder="1"/>
    <xf numFmtId="9" fontId="15" fillId="0" borderId="0" xfId="53" applyFont="1" applyBorder="1"/>
    <xf numFmtId="43" fontId="7" fillId="0" borderId="18" xfId="1" applyFont="1" applyBorder="1" applyAlignment="1">
      <alignment horizontal="right" vertical="center"/>
    </xf>
    <xf numFmtId="43" fontId="7" fillId="0" borderId="18" xfId="1" applyFont="1" applyBorder="1" applyAlignment="1">
      <alignment horizontal="center" vertical="center"/>
    </xf>
    <xf numFmtId="43" fontId="16" fillId="0" borderId="18" xfId="1" applyFont="1" applyBorder="1"/>
    <xf numFmtId="43" fontId="15" fillId="0" borderId="18" xfId="1" applyFont="1" applyBorder="1"/>
    <xf numFmtId="0" fontId="30" fillId="4" borderId="0" xfId="0" applyFont="1" applyFill="1" applyAlignment="1">
      <alignment vertical="center" wrapText="1"/>
    </xf>
    <xf numFmtId="9" fontId="30" fillId="4" borderId="0" xfId="2" applyFont="1" applyFill="1" applyBorder="1" applyAlignment="1">
      <alignment horizontal="right" vertical="center"/>
    </xf>
    <xf numFmtId="0" fontId="21" fillId="4" borderId="0" xfId="0" applyFont="1" applyFill="1" applyAlignment="1">
      <alignment vertical="center" wrapText="1"/>
    </xf>
    <xf numFmtId="164" fontId="21" fillId="4" borderId="0" xfId="0" applyNumberFormat="1" applyFont="1" applyFill="1" applyAlignment="1">
      <alignment horizontal="right" vertical="center"/>
    </xf>
    <xf numFmtId="9" fontId="21" fillId="4" borderId="0" xfId="2" applyFont="1" applyFill="1" applyBorder="1" applyAlignment="1">
      <alignment horizontal="right" vertical="center"/>
    </xf>
    <xf numFmtId="0" fontId="21" fillId="31" borderId="0" xfId="0" applyFont="1" applyFill="1" applyAlignment="1">
      <alignment vertical="center"/>
    </xf>
    <xf numFmtId="0" fontId="21" fillId="31" borderId="0" xfId="0" applyFont="1" applyFill="1" applyAlignment="1">
      <alignment vertical="center" wrapText="1"/>
    </xf>
    <xf numFmtId="164" fontId="30" fillId="0" borderId="0" xfId="1" applyNumberFormat="1" applyFont="1" applyBorder="1"/>
    <xf numFmtId="164" fontId="30" fillId="0" borderId="0" xfId="1" applyNumberFormat="1" applyFont="1" applyBorder="1" applyAlignment="1">
      <alignment wrapText="1"/>
    </xf>
    <xf numFmtId="164" fontId="21" fillId="0" borderId="0" xfId="1" applyNumberFormat="1" applyFont="1" applyBorder="1"/>
    <xf numFmtId="9" fontId="21" fillId="0" borderId="0" xfId="2" applyFont="1" applyBorder="1"/>
    <xf numFmtId="0" fontId="26" fillId="31" borderId="0" xfId="0" applyFont="1" applyFill="1" applyAlignment="1">
      <alignment horizontal="left" wrapText="1"/>
    </xf>
    <xf numFmtId="0" fontId="30" fillId="31" borderId="0" xfId="0" applyFont="1" applyFill="1" applyAlignment="1">
      <alignment wrapText="1"/>
    </xf>
    <xf numFmtId="164" fontId="42" fillId="31" borderId="0" xfId="1" applyNumberFormat="1" applyFont="1" applyFill="1" applyBorder="1"/>
    <xf numFmtId="0" fontId="27" fillId="0" borderId="0" xfId="0" applyFont="1" applyAlignment="1">
      <alignment horizontal="left" wrapText="1"/>
    </xf>
    <xf numFmtId="0" fontId="30" fillId="0" borderId="0" xfId="0" applyFont="1" applyAlignment="1">
      <alignment wrapText="1"/>
    </xf>
    <xf numFmtId="0" fontId="25" fillId="0" borderId="0" xfId="0" applyFont="1" applyAlignment="1">
      <alignment horizontal="left" wrapText="1"/>
    </xf>
    <xf numFmtId="0" fontId="12" fillId="2" borderId="0" xfId="0" applyFont="1" applyFill="1"/>
    <xf numFmtId="0" fontId="12" fillId="2" borderId="0" xfId="0" applyFont="1" applyFill="1" applyAlignment="1">
      <alignment wrapText="1"/>
    </xf>
    <xf numFmtId="165" fontId="12" fillId="2" borderId="0" xfId="2" applyNumberFormat="1" applyFont="1" applyFill="1" applyBorder="1" applyAlignment="1">
      <alignment wrapText="1"/>
    </xf>
    <xf numFmtId="9" fontId="12" fillId="2" borderId="0" xfId="0" applyNumberFormat="1" applyFont="1" applyFill="1" applyAlignment="1">
      <alignment horizontal="right" vertical="center"/>
    </xf>
    <xf numFmtId="0" fontId="42" fillId="31" borderId="0" xfId="0" applyFont="1" applyFill="1"/>
    <xf numFmtId="164" fontId="42" fillId="31" borderId="0" xfId="1" applyNumberFormat="1" applyFont="1" applyFill="1" applyBorder="1" applyAlignment="1">
      <alignment wrapText="1"/>
    </xf>
    <xf numFmtId="164" fontId="42" fillId="31" borderId="0" xfId="1" applyNumberFormat="1" applyFont="1" applyFill="1" applyBorder="1" applyAlignment="1">
      <alignment horizontal="right" vertical="center"/>
    </xf>
    <xf numFmtId="0" fontId="15" fillId="0" borderId="7" xfId="52" applyFont="1" applyBorder="1" applyAlignment="1">
      <alignment horizontal="center"/>
    </xf>
    <xf numFmtId="0" fontId="15" fillId="0" borderId="7" xfId="52" applyFont="1" applyBorder="1"/>
    <xf numFmtId="0" fontId="16" fillId="0" borderId="7" xfId="52" applyFont="1" applyBorder="1"/>
    <xf numFmtId="165" fontId="7" fillId="0" borderId="0" xfId="34" applyNumberFormat="1" applyFont="1" applyBorder="1" applyAlignment="1">
      <alignment vertical="center"/>
    </xf>
    <xf numFmtId="165" fontId="7" fillId="0" borderId="12" xfId="0" applyNumberFormat="1" applyFont="1" applyBorder="1" applyAlignment="1">
      <alignment horizontal="left" vertical="center"/>
    </xf>
    <xf numFmtId="0" fontId="7" fillId="0" borderId="73" xfId="0" applyFont="1" applyBorder="1" applyAlignment="1">
      <alignment horizontal="left" vertical="center"/>
    </xf>
    <xf numFmtId="43" fontId="7" fillId="0" borderId="20" xfId="37" applyFont="1" applyBorder="1" applyAlignment="1">
      <alignment horizontal="center" vertical="center"/>
    </xf>
    <xf numFmtId="43" fontId="7" fillId="0" borderId="20" xfId="37" applyFont="1" applyBorder="1" applyAlignment="1">
      <alignment horizontal="right" vertical="center"/>
    </xf>
    <xf numFmtId="10" fontId="7" fillId="0" borderId="20" xfId="37" applyNumberFormat="1" applyFont="1" applyBorder="1" applyAlignment="1">
      <alignment horizontal="right" vertical="center"/>
    </xf>
    <xf numFmtId="10" fontId="7" fillId="0" borderId="19" xfId="37" applyNumberFormat="1" applyFont="1" applyBorder="1" applyAlignment="1">
      <alignment horizontal="right" vertical="center"/>
    </xf>
    <xf numFmtId="9" fontId="84" fillId="0" borderId="0" xfId="34" applyFont="1" applyBorder="1" applyAlignment="1">
      <alignment horizontal="right" vertical="center"/>
    </xf>
    <xf numFmtId="173" fontId="43" fillId="0" borderId="29" xfId="11" applyNumberFormat="1" applyFont="1" applyBorder="1" applyAlignment="1">
      <alignment horizontal="center"/>
    </xf>
    <xf numFmtId="173" fontId="61" fillId="36" borderId="46" xfId="11" applyNumberFormat="1" applyFont="1" applyFill="1" applyBorder="1" applyAlignment="1">
      <alignment horizontal="center" wrapText="1"/>
    </xf>
    <xf numFmtId="173" fontId="61" fillId="36" borderId="47" xfId="11" applyNumberFormat="1" applyFont="1" applyFill="1" applyBorder="1" applyAlignment="1">
      <alignment horizontal="center" wrapText="1"/>
    </xf>
    <xf numFmtId="173" fontId="45" fillId="26" borderId="46" xfId="11" applyNumberFormat="1" applyFont="1" applyFill="1" applyBorder="1" applyAlignment="1">
      <alignment horizontal="center" wrapText="1"/>
    </xf>
    <xf numFmtId="173" fontId="45" fillId="26" borderId="47" xfId="11" applyNumberFormat="1" applyFont="1" applyFill="1" applyBorder="1" applyAlignment="1">
      <alignment horizontal="center" wrapText="1"/>
    </xf>
    <xf numFmtId="173" fontId="44" fillId="28" borderId="46" xfId="11" applyNumberFormat="1" applyFont="1" applyFill="1" applyBorder="1" applyAlignment="1">
      <alignment horizontal="center" wrapText="1"/>
    </xf>
    <xf numFmtId="173" fontId="44" fillId="28" borderId="47" xfId="11" applyNumberFormat="1" applyFont="1" applyFill="1" applyBorder="1" applyAlignment="1">
      <alignment horizontal="center" wrapText="1"/>
    </xf>
    <xf numFmtId="174" fontId="44" fillId="28" borderId="46" xfId="27" applyNumberFormat="1" applyFont="1" applyFill="1" applyBorder="1" applyAlignment="1">
      <alignment horizontal="center" wrapText="1"/>
    </xf>
    <xf numFmtId="174" fontId="44" fillId="28" borderId="47" xfId="27" applyNumberFormat="1" applyFont="1" applyFill="1" applyBorder="1" applyAlignment="1">
      <alignment horizontal="center" wrapText="1"/>
    </xf>
    <xf numFmtId="174" fontId="44" fillId="28" borderId="48" xfId="27" applyNumberFormat="1" applyFont="1" applyFill="1" applyBorder="1" applyAlignment="1">
      <alignment horizontal="center" wrapText="1"/>
    </xf>
    <xf numFmtId="173" fontId="44" fillId="28" borderId="46" xfId="11" applyNumberFormat="1" applyFont="1" applyFill="1" applyBorder="1" applyAlignment="1">
      <alignment horizontal="center"/>
    </xf>
    <xf numFmtId="173" fontId="44" fillId="28" borderId="47" xfId="11" applyNumberFormat="1" applyFont="1" applyFill="1" applyBorder="1" applyAlignment="1">
      <alignment horizontal="center"/>
    </xf>
    <xf numFmtId="174" fontId="44" fillId="28" borderId="46" xfId="27" applyNumberFormat="1" applyFont="1" applyFill="1" applyBorder="1" applyAlignment="1">
      <alignment horizontal="center"/>
    </xf>
    <xf numFmtId="174" fontId="44" fillId="28" borderId="47" xfId="27" applyNumberFormat="1" applyFont="1" applyFill="1" applyBorder="1" applyAlignment="1">
      <alignment horizontal="center"/>
    </xf>
    <xf numFmtId="3" fontId="44" fillId="28" borderId="0" xfId="27" applyNumberFormat="1" applyFont="1" applyFill="1" applyAlignment="1">
      <alignment horizontal="center"/>
    </xf>
    <xf numFmtId="173" fontId="61" fillId="36" borderId="46" xfId="11" applyNumberFormat="1" applyFont="1" applyFill="1" applyBorder="1" applyAlignment="1">
      <alignment horizontal="center"/>
    </xf>
    <xf numFmtId="173" fontId="61" fillId="36" borderId="47" xfId="11" applyNumberFormat="1" applyFont="1" applyFill="1" applyBorder="1" applyAlignment="1">
      <alignment horizontal="center"/>
    </xf>
    <xf numFmtId="173" fontId="45" fillId="26" borderId="46" xfId="11" applyNumberFormat="1" applyFont="1" applyFill="1" applyBorder="1" applyAlignment="1">
      <alignment horizontal="center"/>
    </xf>
    <xf numFmtId="173" fontId="45" fillId="26" borderId="47" xfId="11" applyNumberFormat="1" applyFont="1" applyFill="1" applyBorder="1" applyAlignment="1">
      <alignment horizontal="center"/>
    </xf>
    <xf numFmtId="0" fontId="44" fillId="32" borderId="0" xfId="27" applyFont="1" applyFill="1" applyAlignment="1">
      <alignment horizontal="center"/>
    </xf>
    <xf numFmtId="171" fontId="37" fillId="31" borderId="0" xfId="27" applyNumberFormat="1" applyFont="1" applyFill="1" applyAlignment="1">
      <alignment horizontal="center"/>
    </xf>
    <xf numFmtId="171" fontId="45" fillId="35" borderId="0" xfId="27" applyNumberFormat="1" applyFont="1" applyFill="1" applyAlignment="1">
      <alignment horizontal="center"/>
    </xf>
    <xf numFmtId="171" fontId="44" fillId="32" borderId="0" xfId="27" applyNumberFormat="1" applyFont="1" applyFill="1" applyAlignment="1">
      <alignment horizontal="center"/>
    </xf>
    <xf numFmtId="0" fontId="65" fillId="11" borderId="0" xfId="27" applyFont="1" applyFill="1" applyAlignment="1">
      <alignment horizontal="center"/>
    </xf>
    <xf numFmtId="173" fontId="44" fillId="28" borderId="44" xfId="11" applyNumberFormat="1" applyFont="1" applyFill="1" applyBorder="1" applyAlignment="1">
      <alignment horizontal="center"/>
    </xf>
    <xf numFmtId="173" fontId="44" fillId="28" borderId="45" xfId="11" applyNumberFormat="1" applyFont="1" applyFill="1" applyBorder="1" applyAlignment="1">
      <alignment horizontal="center"/>
    </xf>
    <xf numFmtId="173" fontId="44" fillId="28" borderId="51" xfId="11" applyNumberFormat="1" applyFont="1" applyFill="1" applyBorder="1" applyAlignment="1">
      <alignment horizontal="center"/>
    </xf>
    <xf numFmtId="174" fontId="44" fillId="28" borderId="44" xfId="27" applyNumberFormat="1" applyFont="1" applyFill="1" applyBorder="1" applyAlignment="1">
      <alignment horizontal="center"/>
    </xf>
    <xf numFmtId="174" fontId="44" fillId="28" borderId="45" xfId="27" applyNumberFormat="1" applyFont="1" applyFill="1" applyBorder="1" applyAlignment="1">
      <alignment horizontal="center"/>
    </xf>
    <xf numFmtId="174" fontId="44" fillId="28" borderId="51" xfId="27" applyNumberFormat="1" applyFont="1" applyFill="1" applyBorder="1" applyAlignment="1">
      <alignment horizontal="center"/>
    </xf>
    <xf numFmtId="0" fontId="44" fillId="33" borderId="47" xfId="27" applyFont="1" applyFill="1" applyBorder="1" applyAlignment="1">
      <alignment horizontal="center"/>
    </xf>
    <xf numFmtId="0" fontId="44" fillId="33" borderId="48" xfId="27" applyFont="1" applyFill="1" applyBorder="1" applyAlignment="1">
      <alignment horizontal="center"/>
    </xf>
    <xf numFmtId="0" fontId="21" fillId="11" borderId="0" xfId="0" applyFont="1" applyFill="1" applyAlignment="1">
      <alignment horizontal="center" vertical="center"/>
    </xf>
    <xf numFmtId="49" fontId="21" fillId="44" borderId="69" xfId="0" applyNumberFormat="1" applyFont="1" applyFill="1" applyBorder="1" applyAlignment="1">
      <alignment horizontal="left" vertical="center" wrapText="1"/>
    </xf>
    <xf numFmtId="49" fontId="21" fillId="44" borderId="70" xfId="0" applyNumberFormat="1" applyFont="1" applyFill="1" applyBorder="1" applyAlignment="1">
      <alignment horizontal="left" vertical="center" wrapText="1"/>
    </xf>
    <xf numFmtId="49" fontId="3" fillId="29" borderId="46" xfId="0" applyNumberFormat="1" applyFont="1" applyFill="1" applyBorder="1" applyAlignment="1">
      <alignment horizontal="left" vertical="center" wrapText="1"/>
    </xf>
    <xf numFmtId="49" fontId="3" fillId="29" borderId="48" xfId="0" applyNumberFormat="1" applyFont="1" applyFill="1" applyBorder="1" applyAlignment="1">
      <alignment horizontal="left" vertical="center" wrapText="1"/>
    </xf>
    <xf numFmtId="0" fontId="3" fillId="22" borderId="71" xfId="0" applyFont="1" applyFill="1" applyBorder="1" applyAlignment="1">
      <alignment horizontal="center" vertical="center"/>
    </xf>
    <xf numFmtId="0" fontId="3" fillId="22" borderId="55" xfId="0" applyFont="1" applyFill="1" applyBorder="1" applyAlignment="1">
      <alignment horizontal="center" vertical="center"/>
    </xf>
    <xf numFmtId="0" fontId="3" fillId="22" borderId="62" xfId="0" applyFont="1" applyFill="1" applyBorder="1" applyAlignment="1">
      <alignment horizontal="center" vertical="center"/>
    </xf>
    <xf numFmtId="0" fontId="3" fillId="22" borderId="44" xfId="0" applyFont="1" applyFill="1" applyBorder="1" applyAlignment="1">
      <alignment horizontal="center" vertical="center" wrapText="1"/>
    </xf>
    <xf numFmtId="0" fontId="3" fillId="22" borderId="45" xfId="0" applyFont="1" applyFill="1" applyBorder="1" applyAlignment="1">
      <alignment horizontal="center" vertical="center" wrapText="1"/>
    </xf>
    <xf numFmtId="0" fontId="3" fillId="22" borderId="51" xfId="0" applyFont="1" applyFill="1" applyBorder="1" applyAlignment="1">
      <alignment horizontal="center" vertical="center" wrapText="1"/>
    </xf>
    <xf numFmtId="49" fontId="3" fillId="29" borderId="63" xfId="0" applyNumberFormat="1" applyFont="1" applyFill="1" applyBorder="1" applyAlignment="1">
      <alignment horizontal="left" vertical="center" wrapText="1"/>
    </xf>
    <xf numFmtId="49" fontId="3" fillId="29" borderId="64" xfId="0" applyNumberFormat="1" applyFont="1" applyFill="1" applyBorder="1" applyAlignment="1">
      <alignment horizontal="left" vertical="center" wrapText="1"/>
    </xf>
    <xf numFmtId="49" fontId="3" fillId="44" borderId="65" xfId="0" applyNumberFormat="1" applyFont="1" applyFill="1" applyBorder="1" applyAlignment="1">
      <alignment horizontal="center" vertical="center" wrapText="1"/>
    </xf>
    <xf numFmtId="49" fontId="3" fillId="44" borderId="28" xfId="0" applyNumberFormat="1" applyFont="1" applyFill="1" applyBorder="1" applyAlignment="1">
      <alignment horizontal="center" vertical="center" wrapText="1"/>
    </xf>
    <xf numFmtId="43" fontId="14" fillId="16" borderId="0" xfId="1" applyFont="1" applyFill="1" applyAlignment="1">
      <alignment horizontal="center" vertical="center"/>
    </xf>
    <xf numFmtId="0" fontId="3" fillId="25" borderId="0" xfId="0" applyFont="1" applyFill="1" applyAlignment="1">
      <alignment horizontal="center" vertical="center"/>
    </xf>
    <xf numFmtId="0" fontId="3" fillId="22" borderId="27" xfId="0" applyFont="1" applyFill="1" applyBorder="1" applyAlignment="1">
      <alignment horizontal="center" vertical="center"/>
    </xf>
    <xf numFmtId="0" fontId="3" fillId="22" borderId="66" xfId="0" applyFont="1" applyFill="1" applyBorder="1" applyAlignment="1">
      <alignment horizontal="center" vertical="center"/>
    </xf>
    <xf numFmtId="0" fontId="3" fillId="22" borderId="67" xfId="0" applyFont="1" applyFill="1" applyBorder="1" applyAlignment="1">
      <alignment horizontal="center" vertical="center"/>
    </xf>
    <xf numFmtId="0" fontId="13" fillId="0" borderId="6" xfId="5" applyBorder="1" applyAlignment="1">
      <alignment horizontal="center" wrapText="1"/>
    </xf>
    <xf numFmtId="0" fontId="43" fillId="0" borderId="0" xfId="49" applyFont="1" applyAlignment="1">
      <alignment horizontal="center" wrapText="1"/>
    </xf>
    <xf numFmtId="0" fontId="48" fillId="4" borderId="58" xfId="0" applyFont="1" applyFill="1" applyBorder="1" applyAlignment="1">
      <alignment horizontal="center"/>
    </xf>
    <xf numFmtId="0" fontId="48" fillId="4" borderId="59" xfId="0" applyFont="1" applyFill="1" applyBorder="1" applyAlignment="1">
      <alignment horizontal="center"/>
    </xf>
    <xf numFmtId="0" fontId="43" fillId="0" borderId="54" xfId="49" applyFont="1" applyBorder="1" applyAlignment="1">
      <alignment horizontal="center" vertical="center"/>
    </xf>
    <xf numFmtId="0" fontId="62" fillId="0" borderId="54" xfId="49" applyFont="1" applyBorder="1" applyAlignment="1">
      <alignment horizontal="center" vertical="center" wrapText="1"/>
    </xf>
    <xf numFmtId="0" fontId="37" fillId="0" borderId="0" xfId="49" quotePrefix="1" applyFont="1" applyAlignment="1">
      <alignment horizontal="left" vertical="center"/>
    </xf>
    <xf numFmtId="0" fontId="63" fillId="0" borderId="54" xfId="0" applyFont="1" applyBorder="1" applyAlignment="1">
      <alignment horizontal="center" vertical="center"/>
    </xf>
    <xf numFmtId="0" fontId="63" fillId="0" borderId="54" xfId="0" applyFont="1" applyBorder="1" applyAlignment="1">
      <alignment horizontal="center" vertical="center" wrapText="1"/>
    </xf>
    <xf numFmtId="9" fontId="63" fillId="0" borderId="57" xfId="2" applyFont="1" applyBorder="1" applyAlignment="1">
      <alignment horizontal="center" vertical="center"/>
    </xf>
    <xf numFmtId="9" fontId="63" fillId="0" borderId="58" xfId="2" applyFont="1" applyBorder="1" applyAlignment="1">
      <alignment horizontal="center" vertical="center"/>
    </xf>
    <xf numFmtId="9" fontId="63" fillId="0" borderId="59" xfId="2" applyFont="1" applyBorder="1" applyAlignment="1">
      <alignment horizontal="center" vertical="center"/>
    </xf>
    <xf numFmtId="0" fontId="48" fillId="0" borderId="0" xfId="0" applyFont="1" applyAlignment="1">
      <alignment horizontal="left" vertical="center"/>
    </xf>
    <xf numFmtId="0" fontId="43" fillId="0" borderId="54" xfId="50" applyFont="1" applyBorder="1" applyAlignment="1">
      <alignment horizontal="center" vertical="center"/>
    </xf>
    <xf numFmtId="0" fontId="43" fillId="0" borderId="54" xfId="49" applyFont="1" applyBorder="1" applyAlignment="1">
      <alignment horizontal="center"/>
    </xf>
    <xf numFmtId="0" fontId="37" fillId="0" borderId="0" xfId="49" quotePrefix="1" applyFont="1" applyAlignment="1">
      <alignment horizontal="left" vertical="top"/>
    </xf>
    <xf numFmtId="10" fontId="37" fillId="2" borderId="54" xfId="2" applyNumberFormat="1" applyFont="1" applyFill="1" applyBorder="1" applyAlignment="1">
      <alignment horizontal="center" vertical="center"/>
    </xf>
    <xf numFmtId="0" fontId="43" fillId="0" borderId="0" xfId="0" applyFont="1" applyAlignment="1">
      <alignment vertical="top" wrapText="1"/>
    </xf>
    <xf numFmtId="0" fontId="37" fillId="2" borderId="54" xfId="50" applyFont="1" applyFill="1" applyBorder="1" applyAlignment="1">
      <alignment horizontal="center" vertical="center"/>
    </xf>
    <xf numFmtId="0" fontId="62" fillId="0" borderId="54" xfId="49" quotePrefix="1" applyFont="1" applyBorder="1" applyAlignment="1">
      <alignment horizontal="center" vertical="center" wrapText="1"/>
    </xf>
    <xf numFmtId="0" fontId="37" fillId="0" borderId="0" xfId="49" applyFont="1" applyAlignment="1">
      <alignment horizontal="center" vertical="center"/>
    </xf>
    <xf numFmtId="0" fontId="37" fillId="0" borderId="0" xfId="0" applyFont="1" applyAlignment="1">
      <alignment horizontal="center" vertical="center"/>
    </xf>
    <xf numFmtId="0" fontId="1" fillId="0" borderId="0" xfId="0" applyFont="1"/>
    <xf numFmtId="0" fontId="1" fillId="4" borderId="0" xfId="0" applyFont="1" applyFill="1" applyAlignment="1">
      <alignment horizontal="left"/>
    </xf>
    <xf numFmtId="0" fontId="43" fillId="4" borderId="0" xfId="43" applyFont="1" applyFill="1" applyAlignment="1">
      <alignment horizontal="center" vertical="center"/>
    </xf>
    <xf numFmtId="187" fontId="43" fillId="4" borderId="0" xfId="44" applyNumberFormat="1" applyFont="1" applyFill="1" applyBorder="1" applyAlignment="1">
      <alignment horizontal="center" vertical="center"/>
    </xf>
    <xf numFmtId="179" fontId="43" fillId="4" borderId="0" xfId="44" applyFont="1" applyFill="1" applyBorder="1" applyAlignment="1">
      <alignment horizontal="center" vertical="center"/>
    </xf>
    <xf numFmtId="0" fontId="37" fillId="4" borderId="54" xfId="43" applyFont="1" applyFill="1" applyBorder="1" applyAlignment="1">
      <alignment horizontal="center" vertical="center" wrapText="1"/>
    </xf>
    <xf numFmtId="179" fontId="37" fillId="4" borderId="54" xfId="44" applyFont="1" applyFill="1" applyBorder="1" applyAlignment="1">
      <alignment horizontal="center" vertical="center" wrapText="1"/>
    </xf>
    <xf numFmtId="164" fontId="84" fillId="34" borderId="73" xfId="0" applyNumberFormat="1" applyFont="1" applyFill="1" applyBorder="1" applyAlignment="1">
      <alignment horizontal="center" vertical="center"/>
    </xf>
    <xf numFmtId="164" fontId="84" fillId="34" borderId="19" xfId="0" applyNumberFormat="1" applyFont="1" applyFill="1" applyBorder="1" applyAlignment="1">
      <alignment horizontal="center" vertical="center"/>
    </xf>
    <xf numFmtId="0" fontId="1" fillId="2" borderId="73" xfId="0" applyFont="1" applyFill="1" applyBorder="1" applyAlignment="1">
      <alignment horizontal="center" vertical="center"/>
    </xf>
    <xf numFmtId="0" fontId="1" fillId="2" borderId="19" xfId="0" applyFont="1" applyFill="1" applyBorder="1" applyAlignment="1">
      <alignment horizontal="center" vertical="center"/>
    </xf>
    <xf numFmtId="0" fontId="1" fillId="51" borderId="91" xfId="0" applyFont="1" applyFill="1" applyBorder="1" applyAlignment="1">
      <alignment horizontal="left" vertical="center"/>
    </xf>
    <xf numFmtId="0" fontId="1" fillId="51" borderId="17" xfId="0" applyFont="1" applyFill="1" applyBorder="1" applyAlignment="1">
      <alignment horizontal="left" vertical="center"/>
    </xf>
    <xf numFmtId="0" fontId="1" fillId="51" borderId="91" xfId="0" applyFont="1" applyFill="1" applyBorder="1" applyAlignment="1">
      <alignment vertical="center"/>
    </xf>
    <xf numFmtId="0" fontId="1" fillId="51" borderId="17" xfId="0" applyFont="1" applyFill="1" applyBorder="1" applyAlignment="1">
      <alignment vertical="center"/>
    </xf>
    <xf numFmtId="0" fontId="136" fillId="51" borderId="91" xfId="0" applyFont="1" applyFill="1" applyBorder="1" applyAlignment="1">
      <alignment vertical="center"/>
    </xf>
    <xf numFmtId="0" fontId="136" fillId="51" borderId="17" xfId="0" applyFont="1" applyFill="1" applyBorder="1" applyAlignment="1">
      <alignment vertical="center"/>
    </xf>
    <xf numFmtId="0" fontId="1" fillId="34" borderId="73" xfId="0" applyFont="1" applyFill="1" applyBorder="1" applyAlignment="1">
      <alignment horizontal="center" vertical="center"/>
    </xf>
    <xf numFmtId="0" fontId="1" fillId="34" borderId="19" xfId="0" applyFont="1" applyFill="1" applyBorder="1" applyAlignment="1">
      <alignment horizontal="center" vertical="center"/>
    </xf>
    <xf numFmtId="0" fontId="1" fillId="13" borderId="1" xfId="0" applyFont="1" applyFill="1" applyBorder="1" applyAlignment="1">
      <alignment horizontal="center" vertical="center" wrapText="1"/>
    </xf>
    <xf numFmtId="43" fontId="1" fillId="0" borderId="23" xfId="1" applyFont="1" applyFill="1" applyBorder="1" applyAlignment="1">
      <alignment horizontal="right" vertical="center" wrapText="1"/>
    </xf>
    <xf numFmtId="43" fontId="1" fillId="0" borderId="25" xfId="1" applyFont="1" applyFill="1" applyBorder="1" applyAlignment="1">
      <alignment horizontal="right" vertical="center" wrapText="1"/>
    </xf>
    <xf numFmtId="0" fontId="1" fillId="9" borderId="1" xfId="0" applyFont="1" applyFill="1" applyBorder="1" applyAlignment="1">
      <alignment horizontal="center" vertical="center"/>
    </xf>
    <xf numFmtId="43" fontId="1" fillId="0" borderId="15" xfId="1" applyFont="1" applyFill="1" applyBorder="1" applyAlignment="1">
      <alignment horizontal="left" vertical="center"/>
    </xf>
    <xf numFmtId="43" fontId="1" fillId="0" borderId="21" xfId="1" applyFont="1" applyFill="1" applyBorder="1" applyAlignment="1">
      <alignment horizontal="left" vertical="center"/>
    </xf>
    <xf numFmtId="43" fontId="1" fillId="0" borderId="16" xfId="1" applyFont="1" applyFill="1" applyBorder="1" applyAlignment="1">
      <alignment horizontal="left" vertical="center"/>
    </xf>
    <xf numFmtId="0" fontId="1" fillId="4" borderId="2"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1" fillId="4" borderId="22"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0" fillId="0" borderId="26" xfId="0" applyBorder="1" applyAlignment="1">
      <alignment horizontal="left" vertical="center"/>
    </xf>
    <xf numFmtId="166" fontId="1" fillId="7" borderId="26" xfId="0" applyNumberFormat="1" applyFont="1" applyFill="1" applyBorder="1" applyAlignment="1">
      <alignment horizontal="center" vertical="center"/>
    </xf>
    <xf numFmtId="0" fontId="1" fillId="7" borderId="26" xfId="0" applyFont="1" applyFill="1" applyBorder="1" applyAlignment="1">
      <alignment horizontal="center" vertical="center" wrapText="1"/>
    </xf>
    <xf numFmtId="10" fontId="1" fillId="7" borderId="94" xfId="2" applyNumberFormat="1" applyFont="1" applyFill="1" applyBorder="1" applyAlignment="1">
      <alignment horizontal="center" vertical="center"/>
    </xf>
    <xf numFmtId="10" fontId="1" fillId="7" borderId="26" xfId="2" applyNumberFormat="1" applyFont="1" applyFill="1" applyBorder="1" applyAlignment="1">
      <alignment horizontal="center" vertical="center"/>
    </xf>
    <xf numFmtId="0" fontId="1" fillId="0" borderId="26" xfId="0" applyFont="1" applyBorder="1" applyAlignment="1">
      <alignment horizontal="center" vertical="center"/>
    </xf>
    <xf numFmtId="0" fontId="1" fillId="7" borderId="65" xfId="0" applyFont="1" applyFill="1" applyBorder="1" applyAlignment="1">
      <alignment horizontal="center" vertical="center"/>
    </xf>
    <xf numFmtId="0" fontId="1" fillId="7" borderId="28" xfId="0" applyFont="1" applyFill="1" applyBorder="1" applyAlignment="1">
      <alignment horizontal="center" vertical="center"/>
    </xf>
    <xf numFmtId="0" fontId="0" fillId="0" borderId="0" xfId="0" applyAlignment="1">
      <alignment horizontal="justify" vertical="center" wrapText="1"/>
    </xf>
    <xf numFmtId="0" fontId="21" fillId="2" borderId="26" xfId="0" quotePrefix="1" applyFont="1" applyFill="1" applyBorder="1" applyAlignment="1">
      <alignment horizontal="center" vertical="center" wrapText="1"/>
    </xf>
    <xf numFmtId="0" fontId="78" fillId="2" borderId="79" xfId="39" applyFont="1" applyFill="1" applyBorder="1" applyAlignment="1">
      <alignment horizontal="left" vertical="center"/>
    </xf>
    <xf numFmtId="0" fontId="78" fillId="2" borderId="79" xfId="41" applyFont="1" applyFill="1" applyBorder="1" applyAlignment="1">
      <alignment horizontal="left" vertical="center"/>
    </xf>
    <xf numFmtId="14" fontId="84" fillId="23" borderId="85" xfId="40" applyNumberFormat="1" applyFont="1" applyFill="1" applyBorder="1" applyAlignment="1">
      <alignment horizontal="center" vertical="center" wrapText="1"/>
    </xf>
    <xf numFmtId="14" fontId="84" fillId="23" borderId="20" xfId="40" applyNumberFormat="1" applyFont="1" applyFill="1" applyBorder="1" applyAlignment="1">
      <alignment horizontal="center" vertical="center" wrapText="1"/>
    </xf>
    <xf numFmtId="14" fontId="84" fillId="23" borderId="19" xfId="40" applyNumberFormat="1" applyFont="1" applyFill="1" applyBorder="1" applyAlignment="1">
      <alignment horizontal="center" vertical="center" wrapText="1"/>
    </xf>
    <xf numFmtId="0" fontId="84" fillId="23" borderId="18" xfId="0" applyFont="1" applyFill="1" applyBorder="1" applyAlignment="1">
      <alignment horizontal="center" vertical="center"/>
    </xf>
    <xf numFmtId="14" fontId="84" fillId="23" borderId="73" xfId="40" applyNumberFormat="1" applyFont="1" applyFill="1" applyBorder="1" applyAlignment="1">
      <alignment horizontal="center" vertical="center"/>
    </xf>
    <xf numFmtId="14" fontId="84" fillId="23" borderId="20" xfId="40" applyNumberFormat="1" applyFont="1" applyFill="1" applyBorder="1" applyAlignment="1">
      <alignment horizontal="center" vertical="center"/>
    </xf>
    <xf numFmtId="14" fontId="84" fillId="23" borderId="19" xfId="40" applyNumberFormat="1" applyFont="1" applyFill="1" applyBorder="1" applyAlignment="1">
      <alignment horizontal="center" vertical="center"/>
    </xf>
    <xf numFmtId="0" fontId="84" fillId="23" borderId="87" xfId="39" applyFont="1" applyFill="1" applyBorder="1" applyAlignment="1">
      <alignment horizontal="center" vertical="center"/>
    </xf>
    <xf numFmtId="0" fontId="84" fillId="23" borderId="88" xfId="39" applyFont="1" applyFill="1" applyBorder="1" applyAlignment="1">
      <alignment horizontal="center" vertical="center"/>
    </xf>
    <xf numFmtId="0" fontId="84" fillId="23" borderId="86" xfId="39" applyFont="1" applyFill="1" applyBorder="1" applyAlignment="1">
      <alignment horizontal="center" vertical="center"/>
    </xf>
    <xf numFmtId="0" fontId="84" fillId="23" borderId="76" xfId="39" applyFont="1" applyFill="1" applyBorder="1" applyAlignment="1">
      <alignment horizontal="center" vertical="center"/>
    </xf>
    <xf numFmtId="0" fontId="84" fillId="40" borderId="79" xfId="39" applyFont="1" applyFill="1" applyBorder="1" applyAlignment="1">
      <alignment horizontal="center" vertical="center"/>
    </xf>
    <xf numFmtId="0" fontId="84" fillId="40" borderId="87" xfId="39" applyFont="1" applyFill="1" applyBorder="1" applyAlignment="1">
      <alignment horizontal="center" vertical="center"/>
    </xf>
    <xf numFmtId="0" fontId="84" fillId="40" borderId="88" xfId="39" applyFont="1" applyFill="1" applyBorder="1" applyAlignment="1">
      <alignment horizontal="center" vertical="center"/>
    </xf>
    <xf numFmtId="0" fontId="84" fillId="40" borderId="86" xfId="39" applyFont="1" applyFill="1" applyBorder="1" applyAlignment="1">
      <alignment horizontal="center" vertical="center"/>
    </xf>
    <xf numFmtId="0" fontId="124" fillId="46" borderId="79" xfId="39" applyFont="1" applyFill="1" applyBorder="1" applyAlignment="1">
      <alignment horizontal="center" vertical="center"/>
    </xf>
    <xf numFmtId="0" fontId="124" fillId="47" borderId="36" xfId="39" applyFont="1" applyFill="1" applyBorder="1" applyAlignment="1">
      <alignment horizontal="center" vertical="center"/>
    </xf>
    <xf numFmtId="0" fontId="124" fillId="47" borderId="0" xfId="39" applyFont="1" applyFill="1" applyAlignment="1">
      <alignment horizontal="center" vertical="center"/>
    </xf>
    <xf numFmtId="0" fontId="78" fillId="12" borderId="18" xfId="39" applyFont="1" applyFill="1" applyBorder="1" applyAlignment="1">
      <alignment horizontal="center" vertical="center"/>
    </xf>
    <xf numFmtId="0" fontId="78" fillId="12" borderId="84" xfId="39" applyFont="1" applyFill="1" applyBorder="1" applyAlignment="1">
      <alignment horizontal="center" vertical="center"/>
    </xf>
    <xf numFmtId="0" fontId="78" fillId="12" borderId="0" xfId="39" applyFont="1" applyFill="1" applyAlignment="1">
      <alignment horizontal="center" vertical="center"/>
    </xf>
    <xf numFmtId="0" fontId="78" fillId="12" borderId="34" xfId="39" applyFont="1" applyFill="1" applyBorder="1" applyAlignment="1">
      <alignment horizontal="center" vertical="center"/>
    </xf>
    <xf numFmtId="0" fontId="78" fillId="12" borderId="85" xfId="39" applyFont="1" applyFill="1" applyBorder="1" applyAlignment="1">
      <alignment horizontal="center" vertical="center"/>
    </xf>
    <xf numFmtId="0" fontId="78" fillId="12" borderId="20" xfId="39" applyFont="1" applyFill="1" applyBorder="1" applyAlignment="1">
      <alignment horizontal="center" vertical="center"/>
    </xf>
    <xf numFmtId="0" fontId="78" fillId="12" borderId="19" xfId="39" applyFont="1" applyFill="1" applyBorder="1" applyAlignment="1">
      <alignment horizontal="center" vertical="center"/>
    </xf>
    <xf numFmtId="0" fontId="84" fillId="39" borderId="79" xfId="39" applyFont="1" applyFill="1" applyBorder="1" applyAlignment="1">
      <alignment horizontal="center" vertical="center"/>
    </xf>
    <xf numFmtId="0" fontId="84" fillId="39" borderId="87" xfId="39" applyFont="1" applyFill="1" applyBorder="1" applyAlignment="1">
      <alignment horizontal="center" vertical="center"/>
    </xf>
    <xf numFmtId="0" fontId="84" fillId="39" borderId="86" xfId="39" applyFont="1" applyFill="1" applyBorder="1" applyAlignment="1">
      <alignment horizontal="center" vertical="center"/>
    </xf>
    <xf numFmtId="0" fontId="84" fillId="39" borderId="88" xfId="39" applyFont="1" applyFill="1" applyBorder="1" applyAlignment="1">
      <alignment horizontal="center" vertical="center"/>
    </xf>
    <xf numFmtId="0" fontId="124" fillId="33" borderId="79" xfId="39" applyFont="1" applyFill="1" applyBorder="1" applyAlignment="1">
      <alignment horizontal="center" vertical="center"/>
    </xf>
    <xf numFmtId="0" fontId="84" fillId="23" borderId="89" xfId="0" applyFont="1" applyFill="1" applyBorder="1" applyAlignment="1">
      <alignment horizontal="center" vertical="center"/>
    </xf>
    <xf numFmtId="0" fontId="84" fillId="23" borderId="90" xfId="0" applyFont="1" applyFill="1" applyBorder="1" applyAlignment="1">
      <alignment horizontal="center" vertical="center"/>
    </xf>
    <xf numFmtId="0" fontId="124" fillId="22" borderId="75" xfId="39" applyFont="1" applyFill="1" applyBorder="1" applyAlignment="1">
      <alignment horizontal="center" vertical="center"/>
    </xf>
    <xf numFmtId="0" fontId="124" fillId="22" borderId="80" xfId="39" applyFont="1" applyFill="1" applyBorder="1" applyAlignment="1">
      <alignment horizontal="center" vertical="center"/>
    </xf>
    <xf numFmtId="0" fontId="124" fillId="22" borderId="76" xfId="39" applyFont="1" applyFill="1" applyBorder="1" applyAlignment="1">
      <alignment horizontal="center" vertical="center"/>
    </xf>
    <xf numFmtId="0" fontId="124" fillId="22" borderId="81" xfId="39" applyFont="1" applyFill="1" applyBorder="1" applyAlignment="1">
      <alignment horizontal="center" vertical="center"/>
    </xf>
    <xf numFmtId="0" fontId="124" fillId="22" borderId="77" xfId="39" applyFont="1" applyFill="1" applyBorder="1" applyAlignment="1">
      <alignment horizontal="center" vertical="center"/>
    </xf>
    <xf numFmtId="0" fontId="124" fillId="22" borderId="78" xfId="39" applyFont="1" applyFill="1" applyBorder="1" applyAlignment="1">
      <alignment horizontal="center" vertical="center"/>
    </xf>
    <xf numFmtId="0" fontId="124" fillId="22" borderId="82" xfId="39" applyFont="1" applyFill="1" applyBorder="1" applyAlignment="1">
      <alignment horizontal="center" vertical="center"/>
    </xf>
    <xf numFmtId="0" fontId="124" fillId="22" borderId="83" xfId="39" applyFont="1" applyFill="1" applyBorder="1" applyAlignment="1">
      <alignment horizontal="center" vertical="center"/>
    </xf>
    <xf numFmtId="0" fontId="124" fillId="3" borderId="77" xfId="39" applyFont="1" applyFill="1" applyBorder="1" applyAlignment="1">
      <alignment horizontal="center" vertical="center"/>
    </xf>
    <xf numFmtId="0" fontId="124" fillId="3" borderId="78" xfId="39" applyFont="1" applyFill="1" applyBorder="1" applyAlignment="1">
      <alignment horizontal="center" vertical="center"/>
    </xf>
    <xf numFmtId="0" fontId="124" fillId="3" borderId="76" xfId="39" applyFont="1" applyFill="1" applyBorder="1" applyAlignment="1">
      <alignment horizontal="center" vertical="center"/>
    </xf>
    <xf numFmtId="0" fontId="78" fillId="2" borderId="73" xfId="39" applyFont="1" applyFill="1" applyBorder="1" applyAlignment="1">
      <alignment horizontal="left" vertical="center"/>
    </xf>
    <xf numFmtId="0" fontId="78" fillId="2" borderId="20" xfId="39" applyFont="1" applyFill="1" applyBorder="1" applyAlignment="1">
      <alignment horizontal="left" vertical="center"/>
    </xf>
    <xf numFmtId="0" fontId="78" fillId="2" borderId="19" xfId="39" applyFont="1" applyFill="1" applyBorder="1" applyAlignment="1">
      <alignment horizontal="left" vertical="center"/>
    </xf>
    <xf numFmtId="0" fontId="78" fillId="2" borderId="92" xfId="41" applyFont="1" applyFill="1" applyBorder="1" applyAlignment="1">
      <alignment horizontal="left" vertical="center"/>
    </xf>
    <xf numFmtId="0" fontId="78" fillId="2" borderId="74" xfId="41" applyFont="1" applyFill="1" applyBorder="1" applyAlignment="1">
      <alignment horizontal="left" vertical="center"/>
    </xf>
    <xf numFmtId="0" fontId="78" fillId="2" borderId="97" xfId="41" applyFont="1" applyFill="1" applyBorder="1" applyAlignment="1">
      <alignment horizontal="left" vertical="center"/>
    </xf>
    <xf numFmtId="0" fontId="33" fillId="0" borderId="57" xfId="0" applyFont="1" applyBorder="1" applyAlignment="1">
      <alignment horizontal="center" vertical="top"/>
    </xf>
    <xf numFmtId="0" fontId="33" fillId="0" borderId="58" xfId="0" applyFont="1" applyBorder="1" applyAlignment="1">
      <alignment horizontal="center" vertical="top"/>
    </xf>
    <xf numFmtId="0" fontId="33" fillId="0" borderId="59" xfId="0" applyFont="1" applyBorder="1" applyAlignment="1">
      <alignment horizontal="center" vertical="top"/>
    </xf>
  </cellXfs>
  <cellStyles count="55">
    <cellStyle name="Comma" xfId="1" builtinId="3"/>
    <cellStyle name="Comma [0] 2" xfId="6" xr:uid="{00000000-0005-0000-0000-000002000000}"/>
    <cellStyle name="Comma 2" xfId="8" xr:uid="{00000000-0005-0000-0000-000003000000}"/>
    <cellStyle name="Comma 2 2" xfId="25" xr:uid="{00000000-0005-0000-0000-000004000000}"/>
    <cellStyle name="Comma 22" xfId="4" xr:uid="{00000000-0005-0000-0000-000005000000}"/>
    <cellStyle name="Comma 251" xfId="28" xr:uid="{00000000-0005-0000-0000-000006000000}"/>
    <cellStyle name="Comma 3" xfId="10" xr:uid="{00000000-0005-0000-0000-000007000000}"/>
    <cellStyle name="Comma 4" xfId="11" xr:uid="{00000000-0005-0000-0000-000008000000}"/>
    <cellStyle name="Comma 4 2" xfId="44" xr:uid="{A3394DC1-0AD0-473B-9EE0-16D3ED55ED4D}"/>
    <cellStyle name="Comma 5" xfId="29" xr:uid="{EE4C00E4-1B5B-4D71-8777-C7F4E2404D59}"/>
    <cellStyle name="Comma 6" xfId="37" xr:uid="{C319E90E-102B-4AAB-B7FD-1C972F5DD541}"/>
    <cellStyle name="Comma 6 2" xfId="54" xr:uid="{89FB11C8-1F3A-45BD-BEBF-49F492F6B733}"/>
    <cellStyle name="Comma 7" xfId="45" xr:uid="{C2E53607-3007-4CD7-9207-4CD30A83AF8A}"/>
    <cellStyle name="Comma 8" xfId="18" xr:uid="{00000000-0005-0000-0000-000009000000}"/>
    <cellStyle name="Currency 2" xfId="12" xr:uid="{00000000-0005-0000-0000-00000A000000}"/>
    <cellStyle name="Currency 3" xfId="38" xr:uid="{BBD3C001-07CC-4458-9A13-416737C5B75D}"/>
    <cellStyle name="Hyperlink" xfId="5" builtinId="8"/>
    <cellStyle name="Normal" xfId="0" builtinId="0"/>
    <cellStyle name="Normal - Style1" xfId="35" xr:uid="{D7B227AA-4C54-453A-A384-32580C17F8D6}"/>
    <cellStyle name="Normal 10" xfId="17" xr:uid="{00000000-0005-0000-0000-00000D000000}"/>
    <cellStyle name="Normal 10 2" xfId="49" xr:uid="{625512B7-46B7-4FD8-A260-0CA2D66CD971}"/>
    <cellStyle name="Normal 2" xfId="7" xr:uid="{00000000-0005-0000-0000-00000E000000}"/>
    <cellStyle name="Normal 2 2" xfId="20" xr:uid="{00000000-0005-0000-0000-00000F000000}"/>
    <cellStyle name="Normal 2 2 2" xfId="40" xr:uid="{63067F10-5FF7-40B9-A289-FEC64FDE9B68}"/>
    <cellStyle name="Normal 2 3" xfId="39" xr:uid="{263A1997-6E68-400F-B24B-E24830DC1082}"/>
    <cellStyle name="Normal 2 4" xfId="48" xr:uid="{08AD672F-EA9A-4428-9323-C49D2039E71F}"/>
    <cellStyle name="Normal 2 5" xfId="22" xr:uid="{00000000-0005-0000-0000-000010000000}"/>
    <cellStyle name="Normal 20" xfId="50" xr:uid="{0D9971C0-AB84-4E38-BE07-7022A6819817}"/>
    <cellStyle name="Normal 23" xfId="3" xr:uid="{00000000-0005-0000-0000-000011000000}"/>
    <cellStyle name="Normal 3" xfId="9" xr:uid="{00000000-0005-0000-0000-000012000000}"/>
    <cellStyle name="Normal 3 2" xfId="42" xr:uid="{8FE3ACF8-80A0-479D-B89E-D1C77CBB18D3}"/>
    <cellStyle name="Normal 3 2 2" xfId="47" xr:uid="{ABB0563B-DD3B-451C-96C4-FA6B74FFE9C2}"/>
    <cellStyle name="Normal 3 4" xfId="14" xr:uid="{00000000-0005-0000-0000-000013000000}"/>
    <cellStyle name="Normal 3 5" xfId="21" xr:uid="{00000000-0005-0000-0000-000014000000}"/>
    <cellStyle name="Normal 4" xfId="16" xr:uid="{00000000-0005-0000-0000-000015000000}"/>
    <cellStyle name="Normal 4 2" xfId="41" xr:uid="{D7287363-858B-4695-BD9E-A03216CECF30}"/>
    <cellStyle name="Normal 4 3" xfId="43" xr:uid="{89784A50-5C18-4894-9D23-A877D9612CB8}"/>
    <cellStyle name="Normal 5" xfId="24" xr:uid="{00000000-0005-0000-0000-000016000000}"/>
    <cellStyle name="Normal 6" xfId="27" xr:uid="{00000000-0005-0000-0000-000017000000}"/>
    <cellStyle name="Normal 66" xfId="23" xr:uid="{00000000-0005-0000-0000-000018000000}"/>
    <cellStyle name="Normal 7" xfId="30" xr:uid="{9B4304AB-6C84-4334-8BE4-963F0C1CAAF0}"/>
    <cellStyle name="Normal 8" xfId="32" xr:uid="{90481CC4-9936-46FA-9A6C-76BFE93A6BE1}"/>
    <cellStyle name="Normal 8 2" xfId="52" xr:uid="{8B5856D6-69D4-4CE1-B5BD-F6D0AC90420F}"/>
    <cellStyle name="Normal_DANH MUC TAI SAN CO DINH (version 1) (version 2)" xfId="46" xr:uid="{9D092DFC-FF71-4D30-A5E0-57DE25490ABF}"/>
    <cellStyle name="oft Excel]_x000d__x000a_Comment=open=/f ‚ðŽw’è‚·‚é‚ÆAƒ†[ƒU[’è‹`ŠÖ”‚ðŠÖ”“\‚è•t‚¯‚Ìˆê——‚É“o˜^‚·‚é‚±‚Æ‚ª‚Å‚«‚Ü‚·B_x000d__x000a_Maximized" xfId="36" xr:uid="{96D9C7D5-238D-4F02-BABB-770E0D64F176}"/>
    <cellStyle name="Output" xfId="33" builtinId="21"/>
    <cellStyle name="Percent" xfId="2" builtinId="5"/>
    <cellStyle name="Percent 2" xfId="13" xr:uid="{00000000-0005-0000-0000-00001B000000}"/>
    <cellStyle name="Percent 2 2" xfId="26" xr:uid="{00000000-0005-0000-0000-00001C000000}"/>
    <cellStyle name="Percent 2 3 2" xfId="51" xr:uid="{5FCBBE42-DDC1-4963-8471-F59437734AB0}"/>
    <cellStyle name="Percent 3" xfId="15" xr:uid="{00000000-0005-0000-0000-00001D000000}"/>
    <cellStyle name="Percent 4" xfId="31" xr:uid="{0F90FDEB-B313-458B-8F31-3F59F5C8AE7F}"/>
    <cellStyle name="Percent 4 2" xfId="34" xr:uid="{2408F7D5-E5EC-4158-84EE-6FD13414B390}"/>
    <cellStyle name="Percent 4 3" xfId="53" xr:uid="{ACD88BAF-0A1B-40B3-B6D3-0792A5060BC7}"/>
    <cellStyle name="Percent 7" xfId="19" xr:uid="{00000000-0005-0000-0000-00001E000000}"/>
  </cellStyles>
  <dxfs count="17">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ill>
        <patternFill>
          <bgColor theme="7" tint="0.79998168889431442"/>
        </patternFill>
      </fill>
    </dxf>
    <dxf>
      <fill>
        <patternFill>
          <bgColor theme="7" tint="0.39994506668294322"/>
        </patternFill>
      </fill>
    </dxf>
    <dxf>
      <font>
        <b/>
        <i val="0"/>
        <color theme="0"/>
      </font>
      <fill>
        <patternFill>
          <bgColor theme="7" tint="-0.24994659260841701"/>
        </patternFill>
      </fill>
    </dxf>
    <dxf>
      <font>
        <color theme="7" tint="-0.499984740745262"/>
      </font>
    </dxf>
  </dxfs>
  <tableStyles count="1" defaultTableStyle="Table Style 1" defaultPivotStyle="PivotStyleLight16">
    <tableStyle name="Table Style 1" pivot="0" count="4" xr9:uid="{00000000-0011-0000-FFFF-FFFF00000000}">
      <tableStyleElement type="wholeTable" dxfId="16"/>
      <tableStyleElement type="headerRow" dxfId="15"/>
      <tableStyleElement type="totalRow" dxfId="14"/>
      <tableStyleElement type="firstRowStripe" dxfId="13"/>
    </tableStyle>
  </tableStyles>
  <colors>
    <mruColors>
      <color rgb="FF0000CC"/>
      <color rgb="FFC1AF75"/>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2.xml"/><Relationship Id="rId47" Type="http://schemas.openxmlformats.org/officeDocument/2006/relationships/externalLink" Target="externalLinks/externalLink7.xml"/><Relationship Id="rId50" Type="http://schemas.openxmlformats.org/officeDocument/2006/relationships/externalLink" Target="externalLinks/externalLink10.xml"/><Relationship Id="rId55" Type="http://schemas.openxmlformats.org/officeDocument/2006/relationships/externalLink" Target="externalLinks/externalLink15.xml"/><Relationship Id="rId63" Type="http://schemas.openxmlformats.org/officeDocument/2006/relationships/externalLink" Target="externalLinks/externalLink23.xml"/><Relationship Id="rId68" Type="http://schemas.openxmlformats.org/officeDocument/2006/relationships/externalLink" Target="externalLinks/externalLink28.xml"/><Relationship Id="rId76"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5.xml"/><Relationship Id="rId53" Type="http://schemas.openxmlformats.org/officeDocument/2006/relationships/externalLink" Target="externalLinks/externalLink13.xml"/><Relationship Id="rId58" Type="http://schemas.openxmlformats.org/officeDocument/2006/relationships/externalLink" Target="externalLinks/externalLink18.xml"/><Relationship Id="rId66" Type="http://schemas.openxmlformats.org/officeDocument/2006/relationships/externalLink" Target="externalLinks/externalLink26.xml"/><Relationship Id="rId74" Type="http://schemas.openxmlformats.org/officeDocument/2006/relationships/externalLink" Target="externalLinks/externalLink34.xml"/><Relationship Id="rId79"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externalLink" Target="externalLinks/externalLink2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4.xml"/><Relationship Id="rId52" Type="http://schemas.openxmlformats.org/officeDocument/2006/relationships/externalLink" Target="externalLinks/externalLink12.xml"/><Relationship Id="rId60" Type="http://schemas.openxmlformats.org/officeDocument/2006/relationships/externalLink" Target="externalLinks/externalLink20.xml"/><Relationship Id="rId65" Type="http://schemas.openxmlformats.org/officeDocument/2006/relationships/externalLink" Target="externalLinks/externalLink25.xml"/><Relationship Id="rId73" Type="http://schemas.openxmlformats.org/officeDocument/2006/relationships/externalLink" Target="externalLinks/externalLink33.xml"/><Relationship Id="rId78"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3.xml"/><Relationship Id="rId48" Type="http://schemas.openxmlformats.org/officeDocument/2006/relationships/externalLink" Target="externalLinks/externalLink8.xml"/><Relationship Id="rId56" Type="http://schemas.openxmlformats.org/officeDocument/2006/relationships/externalLink" Target="externalLinks/externalLink16.xml"/><Relationship Id="rId64" Type="http://schemas.openxmlformats.org/officeDocument/2006/relationships/externalLink" Target="externalLinks/externalLink24.xml"/><Relationship Id="rId69" Type="http://schemas.openxmlformats.org/officeDocument/2006/relationships/externalLink" Target="externalLinks/externalLink29.xml"/><Relationship Id="rId77"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1.xml"/><Relationship Id="rId72" Type="http://schemas.openxmlformats.org/officeDocument/2006/relationships/externalLink" Target="externalLinks/externalLink3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6.xml"/><Relationship Id="rId59" Type="http://schemas.openxmlformats.org/officeDocument/2006/relationships/externalLink" Target="externalLinks/externalLink19.xml"/><Relationship Id="rId67"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1.xml"/><Relationship Id="rId54" Type="http://schemas.openxmlformats.org/officeDocument/2006/relationships/externalLink" Target="externalLinks/externalLink14.xml"/><Relationship Id="rId62" Type="http://schemas.openxmlformats.org/officeDocument/2006/relationships/externalLink" Target="externalLinks/externalLink22.xml"/><Relationship Id="rId70" Type="http://schemas.openxmlformats.org/officeDocument/2006/relationships/externalLink" Target="externalLinks/externalLink30.xml"/><Relationship Id="rId75"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9.xml"/><Relationship Id="rId57" Type="http://schemas.openxmlformats.org/officeDocument/2006/relationships/externalLink" Target="externalLinks/externalLink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GV-LNG</a:t>
            </a: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3988770810823202E-2"/>
          <c:y val="0.114279400244667"/>
          <c:w val="0.93202245837835396"/>
          <c:h val="0.79989611055071497"/>
        </c:manualLayout>
      </c:layout>
      <c:barChart>
        <c:barDir val="col"/>
        <c:grouping val="stacked"/>
        <c:varyColors val="0"/>
        <c:ser>
          <c:idx val="1"/>
          <c:order val="1"/>
          <c:tx>
            <c:v>GV</c:v>
          </c:tx>
          <c:spPr>
            <a:solidFill>
              <a:schemeClr val="tx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'1.BC_Ra Soat (ty) '!$AI$5:$AK$5</c:f>
              <c:numCache>
                <c:formatCode>General</c:formatCode>
                <c:ptCount val="3"/>
                <c:pt idx="0">
                  <c:v>2020</c:v>
                </c:pt>
                <c:pt idx="1">
                  <c:v>2021</c:v>
                </c:pt>
                <c:pt idx="2">
                  <c:v>2022</c:v>
                </c:pt>
              </c:numCache>
            </c:numRef>
          </c:cat>
          <c:val>
            <c:numRef>
              <c:f>'1.BC_Ra Soat (ty) '!$AI$10:$AK$10</c:f>
              <c:numCache>
                <c:formatCode>_(* #,##0.00_);_(* \(#,##0.00\);_(* "-"??_);_(@_)</c:formatCode>
                <c:ptCount val="3"/>
                <c:pt idx="0">
                  <c:v>332.70616024599997</c:v>
                </c:pt>
                <c:pt idx="1">
                  <c:v>472.97647645400002</c:v>
                </c:pt>
                <c:pt idx="2">
                  <c:v>582.75522246399998</c:v>
                </c:pt>
              </c:numCache>
            </c:numRef>
          </c:val>
          <c:extLst>
            <c:ext xmlns:c16="http://schemas.microsoft.com/office/drawing/2014/chart" uri="{C3380CC4-5D6E-409C-BE32-E72D297353CC}">
              <c16:uniqueId val="{00000000-F3A2-4A87-9F8C-8C6C5F7A1DCC}"/>
            </c:ext>
          </c:extLst>
        </c:ser>
        <c:ser>
          <c:idx val="2"/>
          <c:order val="2"/>
          <c:tx>
            <c:v>LNG</c:v>
          </c:tx>
          <c:spPr>
            <a:solidFill>
              <a:schemeClr val="tx1">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'1.BC_Ra Soat (ty) '!$AI$5:$AK$5</c:f>
              <c:numCache>
                <c:formatCode>General</c:formatCode>
                <c:ptCount val="3"/>
                <c:pt idx="0">
                  <c:v>2020</c:v>
                </c:pt>
                <c:pt idx="1">
                  <c:v>2021</c:v>
                </c:pt>
                <c:pt idx="2">
                  <c:v>2022</c:v>
                </c:pt>
              </c:numCache>
            </c:numRef>
          </c:cat>
          <c:val>
            <c:numRef>
              <c:f>'1.BC_Ra Soat (ty) '!$AI$11:$AK$11</c:f>
              <c:numCache>
                <c:formatCode>_(* #,##0.00_);_(* \(#,##0.00\);_(* "-"??_);_(@_)</c:formatCode>
                <c:ptCount val="3"/>
                <c:pt idx="0">
                  <c:v>20.358891034000003</c:v>
                </c:pt>
                <c:pt idx="1">
                  <c:v>28.626590339</c:v>
                </c:pt>
                <c:pt idx="2">
                  <c:v>20.543760919</c:v>
                </c:pt>
              </c:numCache>
            </c:numRef>
          </c:val>
          <c:extLst>
            <c:ext xmlns:c16="http://schemas.microsoft.com/office/drawing/2014/chart" uri="{C3380CC4-5D6E-409C-BE32-E72D297353CC}">
              <c16:uniqueId val="{00000001-F3A2-4A87-9F8C-8C6C5F7A1DCC}"/>
            </c:ext>
          </c:extLst>
        </c:ser>
        <c:dLbls>
          <c:showLegendKey val="0"/>
          <c:showVal val="1"/>
          <c:showCatName val="0"/>
          <c:showSerName val="0"/>
          <c:showPercent val="0"/>
          <c:showBubbleSize val="0"/>
        </c:dLbls>
        <c:gapWidth val="150"/>
        <c:overlap val="100"/>
        <c:axId val="381325967"/>
        <c:axId val="381326383"/>
        <c:extLst>
          <c:ext xmlns:c15="http://schemas.microsoft.com/office/drawing/2012/chart" uri="{02D57815-91ED-43cb-92C2-25804820EDAC}">
            <c15:filteredBarSeries>
              <c15: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'1.BC_Ra Soat (ty) '!$AI$5:$AK$5</c15:sqref>
                        </c15:formulaRef>
                      </c:ext>
                    </c:extLst>
                    <c:numCache>
                      <c:formatCode>General</c:formatCode>
                      <c:ptCount val="3"/>
                      <c:pt idx="0">
                        <c:v>2020</c:v>
                      </c:pt>
                      <c:pt idx="1">
                        <c:v>2021</c:v>
                      </c:pt>
                      <c:pt idx="2">
                        <c:v>2022</c:v>
                      </c:pt>
                    </c:numCache>
                  </c:numRef>
                </c:cat>
                <c:val>
                  <c:numRef>
                    <c:extLst>
                      <c:ext uri="{02D57815-91ED-43cb-92C2-25804820EDAC}">
                        <c15:formulaRef>
                          <c15:sqref>'1.BC_Ra Soat (ty) '!$AI$5:$AK$5</c15:sqref>
                        </c15:formulaRef>
                      </c:ext>
                    </c:extLst>
                    <c:numCache>
                      <c:formatCode>General</c:formatCode>
                      <c:ptCount val="3"/>
                      <c:pt idx="0">
                        <c:v>2020</c:v>
                      </c:pt>
                      <c:pt idx="1">
                        <c:v>2021</c:v>
                      </c:pt>
                      <c:pt idx="2">
                        <c:v>2022</c:v>
                      </c:pt>
                    </c:numCache>
                  </c:numRef>
                </c:val>
                <c:extLst>
                  <c:ext xmlns:c16="http://schemas.microsoft.com/office/drawing/2014/chart" uri="{C3380CC4-5D6E-409C-BE32-E72D297353CC}">
                    <c16:uniqueId val="{00000002-F3A2-4A87-9F8C-8C6C5F7A1DCC}"/>
                  </c:ext>
                </c:extLst>
              </c15:ser>
            </c15:filteredBarSeries>
          </c:ext>
        </c:extLst>
      </c:barChart>
      <c:catAx>
        <c:axId val="381325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381326383"/>
        <c:crosses val="autoZero"/>
        <c:auto val="1"/>
        <c:lblAlgn val="ctr"/>
        <c:lblOffset val="100"/>
        <c:noMultiLvlLbl val="0"/>
      </c:catAx>
      <c:valAx>
        <c:axId val="381326383"/>
        <c:scaling>
          <c:orientation val="minMax"/>
        </c:scaling>
        <c:delete val="1"/>
        <c:axPos val="l"/>
        <c:numFmt formatCode="_(* #,##0.00_);_(* \(#,##0.00\);_(* &quot;-&quot;??_);_(@_)" sourceLinked="1"/>
        <c:majorTickMark val="none"/>
        <c:minorTickMark val="none"/>
        <c:tickLblPos val="nextTo"/>
        <c:crossAx val="381325967"/>
        <c:crosses val="autoZero"/>
        <c:crossBetween val="between"/>
      </c:valAx>
      <c:spPr>
        <a:noFill/>
        <a:ln>
          <a:noFill/>
        </a:ln>
        <a:effectLst/>
      </c:spPr>
    </c:plotArea>
    <c:legend>
      <c:legendPos val="b"/>
      <c:layout>
        <c:manualLayout>
          <c:xMode val="edge"/>
          <c:yMode val="edge"/>
          <c:x val="8.7500282834259605E-2"/>
          <c:y val="0.17919935670765"/>
          <c:w val="0.22658807483174101"/>
          <c:h val="8.8795189145227604E-2"/>
        </c:manualLayout>
      </c:layout>
      <c:overlay val="0"/>
      <c:spPr>
        <a:noFill/>
        <a:ln>
          <a:noFill/>
        </a:ln>
        <a:effectLst/>
      </c:spPr>
      <c:txPr>
        <a:bodyPr rot="0" spcFirstLastPara="1"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sz="1400"/>
              <a:t>%GV-%LNG</a:t>
            </a: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7122703412073505E-2"/>
          <c:y val="0.155840387692843"/>
          <c:w val="0.87232174103237103"/>
          <c:h val="0.747212580960955"/>
        </c:manualLayout>
      </c:layout>
      <c:barChart>
        <c:barDir val="col"/>
        <c:grouping val="percentStacked"/>
        <c:varyColors val="0"/>
        <c:ser>
          <c:idx val="0"/>
          <c:order val="0"/>
          <c:tx>
            <c:v>%GV</c:v>
          </c:tx>
          <c:spPr>
            <a:solidFill>
              <a:schemeClr val="tx2">
                <a:lumMod val="60000"/>
                <a:lumOff val="40000"/>
              </a:schemeClr>
            </a:solidFill>
            <a:ln>
              <a:noFill/>
            </a:ln>
            <a:effectLst/>
          </c:spPr>
          <c:invertIfNegative val="0"/>
          <c:dLbls>
            <c:dLbl>
              <c:idx val="0"/>
              <c:tx>
                <c:rich>
                  <a:bodyPr/>
                  <a:lstStyle/>
                  <a:p>
                    <a:fld id="{74C0CE8D-2E50-4A7E-9988-764AE903D5BA}"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F30-4B84-AD40-E75184BE3FD5}"/>
                </c:ext>
              </c:extLst>
            </c:dLbl>
            <c:dLbl>
              <c:idx val="1"/>
              <c:tx>
                <c:rich>
                  <a:bodyPr/>
                  <a:lstStyle/>
                  <a:p>
                    <a:fld id="{FB33474C-3FE1-4697-B222-C923FED7873A}"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8F30-4B84-AD40-E75184BE3FD5}"/>
                </c:ext>
              </c:extLst>
            </c:dLbl>
            <c:dLbl>
              <c:idx val="2"/>
              <c:tx>
                <c:rich>
                  <a:bodyPr/>
                  <a:lstStyle/>
                  <a:p>
                    <a:fld id="{5E3AEDA2-1BD7-4F20-87E6-EABADC625094}"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8F30-4B84-AD40-E75184BE3FD5}"/>
                </c:ext>
              </c:extLst>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'1.BC_Ra Soat (ty) '!$AI$5:$AK$5</c:f>
              <c:numCache>
                <c:formatCode>General</c:formatCode>
                <c:ptCount val="3"/>
                <c:pt idx="0">
                  <c:v>2020</c:v>
                </c:pt>
                <c:pt idx="1">
                  <c:v>2021</c:v>
                </c:pt>
                <c:pt idx="2">
                  <c:v>2022</c:v>
                </c:pt>
              </c:numCache>
            </c:numRef>
          </c:cat>
          <c:val>
            <c:numRef>
              <c:f>'1.BC_Ra Soat (ty) '!$AI$10:$AK$10</c:f>
              <c:numCache>
                <c:formatCode>_(* #,##0.00_);_(* \(#,##0.00\);_(* "-"??_);_(@_)</c:formatCode>
                <c:ptCount val="3"/>
                <c:pt idx="0">
                  <c:v>332.70616024599997</c:v>
                </c:pt>
                <c:pt idx="1">
                  <c:v>472.97647645400002</c:v>
                </c:pt>
                <c:pt idx="2">
                  <c:v>582.75522246399998</c:v>
                </c:pt>
              </c:numCache>
            </c:numRef>
          </c:val>
          <c:extLst>
            <c:ext xmlns:c15="http://schemas.microsoft.com/office/drawing/2012/chart" uri="{02D57815-91ED-43cb-92C2-25804820EDAC}">
              <c15:datalabelsRange>
                <c15:f>'1.BC_Ra Soat (ty) '!$AI$31:$AK$31</c15:f>
                <c15:dlblRangeCache>
                  <c:ptCount val="3"/>
                  <c:pt idx="0">
                    <c:v>94%</c:v>
                  </c:pt>
                  <c:pt idx="1">
                    <c:v>94%</c:v>
                  </c:pt>
                  <c:pt idx="2">
                    <c:v>97%</c:v>
                  </c:pt>
                </c15:dlblRangeCache>
              </c15:datalabelsRange>
            </c:ext>
            <c:ext xmlns:c16="http://schemas.microsoft.com/office/drawing/2014/chart" uri="{C3380CC4-5D6E-409C-BE32-E72D297353CC}">
              <c16:uniqueId val="{00000003-8F30-4B84-AD40-E75184BE3FD5}"/>
            </c:ext>
          </c:extLst>
        </c:ser>
        <c:ser>
          <c:idx val="1"/>
          <c:order val="1"/>
          <c:tx>
            <c:v>%LNG</c:v>
          </c:tx>
          <c:spPr>
            <a:solidFill>
              <a:schemeClr val="bg2">
                <a:lumMod val="50000"/>
              </a:schemeClr>
            </a:solidFill>
            <a:ln>
              <a:noFill/>
            </a:ln>
            <a:effectLst/>
          </c:spPr>
          <c:invertIfNegative val="0"/>
          <c:dLbls>
            <c:dLbl>
              <c:idx val="0"/>
              <c:tx>
                <c:rich>
                  <a:bodyPr/>
                  <a:lstStyle/>
                  <a:p>
                    <a:fld id="{CCA89E6F-C605-4AA2-B9EA-A7B5BD8465D0}" type="CELLRANGE">
                      <a:rPr lang="en-US"/>
                      <a:pPr/>
                      <a:t>[CELLRANGE]</a:t>
                    </a:fld>
                    <a:endParaRPr lang="en-US"/>
                  </a:p>
                </c:rich>
              </c:tx>
              <c:dLblPos val="ctr"/>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4-8F30-4B84-AD40-E75184BE3FD5}"/>
                </c:ext>
              </c:extLst>
            </c:dLbl>
            <c:dLbl>
              <c:idx val="1"/>
              <c:tx>
                <c:rich>
                  <a:bodyPr/>
                  <a:lstStyle/>
                  <a:p>
                    <a:fld id="{BE936A62-FB59-4B26-8889-235CA4A3EA88}" type="CELLRANGE">
                      <a:rPr lang="en-US"/>
                      <a:pPr/>
                      <a:t>[CELLRANGE]</a:t>
                    </a:fld>
                    <a:endParaRPr lang="en-US"/>
                  </a:p>
                </c:rich>
              </c:tx>
              <c:dLblPos val="ctr"/>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8F30-4B84-AD40-E75184BE3FD5}"/>
                </c:ext>
              </c:extLst>
            </c:dLbl>
            <c:dLbl>
              <c:idx val="2"/>
              <c:tx>
                <c:rich>
                  <a:bodyPr/>
                  <a:lstStyle/>
                  <a:p>
                    <a:fld id="{68283FCC-758D-4693-BC24-D4C06F1A09D7}" type="CELLRANGE">
                      <a:rPr lang="en-US"/>
                      <a:pPr/>
                      <a:t>[CELLRANGE]</a:t>
                    </a:fld>
                    <a:endParaRPr lang="en-US"/>
                  </a:p>
                </c:rich>
              </c:tx>
              <c:dLblPos val="ctr"/>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8F30-4B84-AD40-E75184BE3FD5}"/>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separator>
</c:separator>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numRef>
              <c:f>'1.BC_Ra Soat (ty) '!$AI$5:$AK$5</c:f>
              <c:numCache>
                <c:formatCode>General</c:formatCode>
                <c:ptCount val="3"/>
                <c:pt idx="0">
                  <c:v>2020</c:v>
                </c:pt>
                <c:pt idx="1">
                  <c:v>2021</c:v>
                </c:pt>
                <c:pt idx="2">
                  <c:v>2022</c:v>
                </c:pt>
              </c:numCache>
            </c:numRef>
          </c:cat>
          <c:val>
            <c:numRef>
              <c:f>'1.BC_Ra Soat (ty) '!$AI$11:$AK$11</c:f>
              <c:numCache>
                <c:formatCode>_(* #,##0.00_);_(* \(#,##0.00\);_(* "-"??_);_(@_)</c:formatCode>
                <c:ptCount val="3"/>
                <c:pt idx="0">
                  <c:v>20.358891034000003</c:v>
                </c:pt>
                <c:pt idx="1">
                  <c:v>28.626590339</c:v>
                </c:pt>
                <c:pt idx="2">
                  <c:v>20.543760919</c:v>
                </c:pt>
              </c:numCache>
            </c:numRef>
          </c:val>
          <c:extLst>
            <c:ext xmlns:c15="http://schemas.microsoft.com/office/drawing/2012/chart" uri="{02D57815-91ED-43cb-92C2-25804820EDAC}">
              <c15:datalabelsRange>
                <c15:f>'1.BC_Ra Soat (ty) '!$AI$32:$AK$32</c15:f>
                <c15:dlblRangeCache>
                  <c:ptCount val="3"/>
                  <c:pt idx="0">
                    <c:v>6%</c:v>
                  </c:pt>
                  <c:pt idx="1">
                    <c:v>6%</c:v>
                  </c:pt>
                  <c:pt idx="2">
                    <c:v>3%</c:v>
                  </c:pt>
                </c15:dlblRangeCache>
              </c15:datalabelsRange>
            </c:ext>
            <c:ext xmlns:c16="http://schemas.microsoft.com/office/drawing/2014/chart" uri="{C3380CC4-5D6E-409C-BE32-E72D297353CC}">
              <c16:uniqueId val="{00000007-8F30-4B84-AD40-E75184BE3FD5}"/>
            </c:ext>
          </c:extLst>
        </c:ser>
        <c:dLbls>
          <c:showLegendKey val="0"/>
          <c:showVal val="1"/>
          <c:showCatName val="0"/>
          <c:showSerName val="0"/>
          <c:showPercent val="0"/>
          <c:showBubbleSize val="0"/>
        </c:dLbls>
        <c:gapWidth val="150"/>
        <c:overlap val="100"/>
        <c:axId val="375272287"/>
        <c:axId val="375277279"/>
      </c:barChart>
      <c:catAx>
        <c:axId val="375272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375277279"/>
        <c:crosses val="autoZero"/>
        <c:auto val="1"/>
        <c:lblAlgn val="ctr"/>
        <c:lblOffset val="100"/>
        <c:noMultiLvlLbl val="0"/>
      </c:catAx>
      <c:valAx>
        <c:axId val="375277279"/>
        <c:scaling>
          <c:orientation val="minMax"/>
          <c:min val="0"/>
        </c:scaling>
        <c:delete val="1"/>
        <c:axPos val="l"/>
        <c:numFmt formatCode="0%" sourceLinked="1"/>
        <c:majorTickMark val="none"/>
        <c:minorTickMark val="none"/>
        <c:tickLblPos val="nextTo"/>
        <c:crossAx val="375272287"/>
        <c:crosses val="autoZero"/>
        <c:crossBetween val="between"/>
      </c:valAx>
      <c:spPr>
        <a:noFill/>
        <a:ln>
          <a:noFill/>
        </a:ln>
        <a:effectLst/>
      </c:spPr>
    </c:plotArea>
    <c:legend>
      <c:legendPos val="b"/>
      <c:layout>
        <c:manualLayout>
          <c:xMode val="edge"/>
          <c:yMode val="edge"/>
          <c:x val="0"/>
          <c:y val="0.34506231226834899"/>
          <c:w val="0.177567147856518"/>
          <c:h val="0.17018301137531"/>
        </c:manualLayout>
      </c:layout>
      <c:overlay val="0"/>
      <c:spPr>
        <a:noFill/>
        <a:ln>
          <a:noFill/>
        </a:ln>
        <a:effectLst/>
      </c:spPr>
      <c:txPr>
        <a:bodyPr rot="0" spcFirstLastPara="1"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Cơ</a:t>
            </a:r>
            <a:r>
              <a:rPr lang="en-US" baseline="0"/>
              <a:t> cấu TS</a:t>
            </a:r>
            <a:endParaRPr lang="en-US"/>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05555555555556E-2"/>
          <c:y val="0.17171296296296301"/>
          <c:w val="0.93888888888888899"/>
          <c:h val="0.62887321376494598"/>
        </c:manualLayout>
      </c:layout>
      <c:barChart>
        <c:barDir val="col"/>
        <c:grouping val="percentStacked"/>
        <c:varyColors val="0"/>
        <c:ser>
          <c:idx val="0"/>
          <c:order val="0"/>
          <c:tx>
            <c:strRef>
              <c:f>[27]Sheet2!$A$10</c:f>
              <c:strCache>
                <c:ptCount val="1"/>
                <c:pt idx="0">
                  <c:v>TSDH</c:v>
                </c:pt>
              </c:strCache>
            </c:strRef>
          </c:tx>
          <c:spPr>
            <a:solidFill>
              <a:schemeClr val="bg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[27]Sheet2!$B$3:$G$3</c:f>
              <c:strCache>
                <c:ptCount val="6"/>
                <c:pt idx="0">
                  <c:v>TS 2020</c:v>
                </c:pt>
                <c:pt idx="1">
                  <c:v>NV 2020</c:v>
                </c:pt>
                <c:pt idx="2">
                  <c:v>TS 2021</c:v>
                </c:pt>
                <c:pt idx="3">
                  <c:v>NV 2021</c:v>
                </c:pt>
                <c:pt idx="4">
                  <c:v>TS 2022</c:v>
                </c:pt>
                <c:pt idx="5">
                  <c:v>NV 2022</c:v>
                </c:pt>
              </c:strCache>
            </c:strRef>
          </c:cat>
          <c:val>
            <c:numRef>
              <c:f>[27]Sheet2!$B$10:$G$10</c:f>
              <c:numCache>
                <c:formatCode>General</c:formatCode>
                <c:ptCount val="6"/>
                <c:pt idx="0">
                  <c:v>0.64889101661150861</c:v>
                </c:pt>
                <c:pt idx="1">
                  <c:v>0</c:v>
                </c:pt>
                <c:pt idx="2">
                  <c:v>0.58790513170415903</c:v>
                </c:pt>
                <c:pt idx="3">
                  <c:v>0</c:v>
                </c:pt>
                <c:pt idx="4">
                  <c:v>0.5476825776019677</c:v>
                </c:pt>
                <c:pt idx="5">
                  <c:v>0</c:v>
                </c:pt>
              </c:numCache>
            </c:numRef>
          </c:val>
          <c:extLst>
            <c:ext xmlns:c16="http://schemas.microsoft.com/office/drawing/2014/chart" uri="{C3380CC4-5D6E-409C-BE32-E72D297353CC}">
              <c16:uniqueId val="{00000000-BFA2-4299-AECE-2D0F68AE85BB}"/>
            </c:ext>
          </c:extLst>
        </c:ser>
        <c:ser>
          <c:idx val="1"/>
          <c:order val="1"/>
          <c:tx>
            <c:strRef>
              <c:f>[27]Sheet2!$A$11</c:f>
              <c:strCache>
                <c:ptCount val="1"/>
                <c:pt idx="0">
                  <c:v>TSNH</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[27]Sheet2!$B$3:$G$3</c:f>
              <c:strCache>
                <c:ptCount val="6"/>
                <c:pt idx="0">
                  <c:v>TS 2020</c:v>
                </c:pt>
                <c:pt idx="1">
                  <c:v>NV 2020</c:v>
                </c:pt>
                <c:pt idx="2">
                  <c:v>TS 2021</c:v>
                </c:pt>
                <c:pt idx="3">
                  <c:v>NV 2021</c:v>
                </c:pt>
                <c:pt idx="4">
                  <c:v>TS 2022</c:v>
                </c:pt>
                <c:pt idx="5">
                  <c:v>NV 2022</c:v>
                </c:pt>
              </c:strCache>
            </c:strRef>
          </c:cat>
          <c:val>
            <c:numRef>
              <c:f>[27]Sheet2!$B$11:$G$11</c:f>
              <c:numCache>
                <c:formatCode>General</c:formatCode>
                <c:ptCount val="6"/>
                <c:pt idx="0">
                  <c:v>0.35110898338849128</c:v>
                </c:pt>
                <c:pt idx="1">
                  <c:v>0</c:v>
                </c:pt>
                <c:pt idx="2">
                  <c:v>0.41209486829584113</c:v>
                </c:pt>
                <c:pt idx="3">
                  <c:v>0</c:v>
                </c:pt>
                <c:pt idx="4">
                  <c:v>0.45231742239803224</c:v>
                </c:pt>
                <c:pt idx="5">
                  <c:v>0</c:v>
                </c:pt>
              </c:numCache>
            </c:numRef>
          </c:val>
          <c:extLst>
            <c:ext xmlns:c16="http://schemas.microsoft.com/office/drawing/2014/chart" uri="{C3380CC4-5D6E-409C-BE32-E72D297353CC}">
              <c16:uniqueId val="{00000001-BFA2-4299-AECE-2D0F68AE85BB}"/>
            </c:ext>
          </c:extLst>
        </c:ser>
        <c:ser>
          <c:idx val="2"/>
          <c:order val="2"/>
          <c:tx>
            <c:strRef>
              <c:f>[27]Sheet2!$A$12</c:f>
              <c:strCache>
                <c:ptCount val="1"/>
                <c:pt idx="0">
                  <c:v>VCSH</c:v>
                </c:pt>
              </c:strCache>
            </c:strRef>
          </c:tx>
          <c:spPr>
            <a:solidFill>
              <a:schemeClr val="accent1">
                <a:lumMod val="90000"/>
                <a:lumOff val="1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[27]Sheet2!$B$3:$G$3</c:f>
              <c:strCache>
                <c:ptCount val="6"/>
                <c:pt idx="0">
                  <c:v>TS 2020</c:v>
                </c:pt>
                <c:pt idx="1">
                  <c:v>NV 2020</c:v>
                </c:pt>
                <c:pt idx="2">
                  <c:v>TS 2021</c:v>
                </c:pt>
                <c:pt idx="3">
                  <c:v>NV 2021</c:v>
                </c:pt>
                <c:pt idx="4">
                  <c:v>TS 2022</c:v>
                </c:pt>
                <c:pt idx="5">
                  <c:v>NV 2022</c:v>
                </c:pt>
              </c:strCache>
            </c:strRef>
          </c:cat>
          <c:val>
            <c:numRef>
              <c:f>[27]Sheet2!$B$12:$G$12</c:f>
              <c:numCache>
                <c:formatCode>General</c:formatCode>
                <c:ptCount val="6"/>
                <c:pt idx="0">
                  <c:v>0</c:v>
                </c:pt>
                <c:pt idx="1">
                  <c:v>0.17799928228284864</c:v>
                </c:pt>
                <c:pt idx="2">
                  <c:v>0</c:v>
                </c:pt>
                <c:pt idx="3">
                  <c:v>0.15621747918335241</c:v>
                </c:pt>
                <c:pt idx="4">
                  <c:v>0</c:v>
                </c:pt>
                <c:pt idx="5">
                  <c:v>0.16595781572501414</c:v>
                </c:pt>
              </c:numCache>
            </c:numRef>
          </c:val>
          <c:extLst>
            <c:ext xmlns:c16="http://schemas.microsoft.com/office/drawing/2014/chart" uri="{C3380CC4-5D6E-409C-BE32-E72D297353CC}">
              <c16:uniqueId val="{00000002-BFA2-4299-AECE-2D0F68AE85BB}"/>
            </c:ext>
          </c:extLst>
        </c:ser>
        <c:ser>
          <c:idx val="3"/>
          <c:order val="3"/>
          <c:tx>
            <c:strRef>
              <c:f>[27]Sheet2!$A$13</c:f>
              <c:strCache>
                <c:ptCount val="1"/>
                <c:pt idx="0">
                  <c:v>NDH</c:v>
                </c:pt>
              </c:strCache>
            </c:strRef>
          </c:tx>
          <c:spPr>
            <a:solidFill>
              <a:schemeClr val="accent1">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[27]Sheet2!$B$3:$G$3</c:f>
              <c:strCache>
                <c:ptCount val="6"/>
                <c:pt idx="0">
                  <c:v>TS 2020</c:v>
                </c:pt>
                <c:pt idx="1">
                  <c:v>NV 2020</c:v>
                </c:pt>
                <c:pt idx="2">
                  <c:v>TS 2021</c:v>
                </c:pt>
                <c:pt idx="3">
                  <c:v>NV 2021</c:v>
                </c:pt>
                <c:pt idx="4">
                  <c:v>TS 2022</c:v>
                </c:pt>
                <c:pt idx="5">
                  <c:v>NV 2022</c:v>
                </c:pt>
              </c:strCache>
            </c:strRef>
          </c:cat>
          <c:val>
            <c:numRef>
              <c:f>[27]Sheet2!$B$13:$G$13</c:f>
              <c:numCache>
                <c:formatCode>General</c:formatCode>
                <c:ptCount val="6"/>
                <c:pt idx="0">
                  <c:v>0</c:v>
                </c:pt>
                <c:pt idx="1">
                  <c:v>0.3242041628853975</c:v>
                </c:pt>
                <c:pt idx="2">
                  <c:v>0</c:v>
                </c:pt>
                <c:pt idx="3">
                  <c:v>0.24468163222355441</c:v>
                </c:pt>
                <c:pt idx="4">
                  <c:v>0</c:v>
                </c:pt>
                <c:pt idx="5">
                  <c:v>0.20295243621887696</c:v>
                </c:pt>
              </c:numCache>
            </c:numRef>
          </c:val>
          <c:extLst>
            <c:ext xmlns:c16="http://schemas.microsoft.com/office/drawing/2014/chart" uri="{C3380CC4-5D6E-409C-BE32-E72D297353CC}">
              <c16:uniqueId val="{00000003-BFA2-4299-AECE-2D0F68AE85BB}"/>
            </c:ext>
          </c:extLst>
        </c:ser>
        <c:ser>
          <c:idx val="4"/>
          <c:order val="4"/>
          <c:tx>
            <c:strRef>
              <c:f>[27]Sheet2!$A$14</c:f>
              <c:strCache>
                <c:ptCount val="1"/>
                <c:pt idx="0">
                  <c:v>NNH</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[27]Sheet2!$B$3:$G$3</c:f>
              <c:strCache>
                <c:ptCount val="6"/>
                <c:pt idx="0">
                  <c:v>TS 2020</c:v>
                </c:pt>
                <c:pt idx="1">
                  <c:v>NV 2020</c:v>
                </c:pt>
                <c:pt idx="2">
                  <c:v>TS 2021</c:v>
                </c:pt>
                <c:pt idx="3">
                  <c:v>NV 2021</c:v>
                </c:pt>
                <c:pt idx="4">
                  <c:v>TS 2022</c:v>
                </c:pt>
                <c:pt idx="5">
                  <c:v>NV 2022</c:v>
                </c:pt>
              </c:strCache>
            </c:strRef>
          </c:cat>
          <c:val>
            <c:numRef>
              <c:f>[27]Sheet2!$B$14:$G$14</c:f>
              <c:numCache>
                <c:formatCode>General</c:formatCode>
                <c:ptCount val="6"/>
                <c:pt idx="0">
                  <c:v>0</c:v>
                </c:pt>
                <c:pt idx="1">
                  <c:v>0.49779655483175378</c:v>
                </c:pt>
                <c:pt idx="2">
                  <c:v>0</c:v>
                </c:pt>
                <c:pt idx="3">
                  <c:v>0.59910088859309307</c:v>
                </c:pt>
                <c:pt idx="4">
                  <c:v>0</c:v>
                </c:pt>
                <c:pt idx="5">
                  <c:v>0.63108974805610885</c:v>
                </c:pt>
              </c:numCache>
            </c:numRef>
          </c:val>
          <c:extLst>
            <c:ext xmlns:c16="http://schemas.microsoft.com/office/drawing/2014/chart" uri="{C3380CC4-5D6E-409C-BE32-E72D297353CC}">
              <c16:uniqueId val="{00000004-BFA2-4299-AECE-2D0F68AE85BB}"/>
            </c:ext>
          </c:extLst>
        </c:ser>
        <c:dLbls>
          <c:showLegendKey val="0"/>
          <c:showVal val="1"/>
          <c:showCatName val="0"/>
          <c:showSerName val="0"/>
          <c:showPercent val="0"/>
          <c:showBubbleSize val="0"/>
        </c:dLbls>
        <c:gapWidth val="150"/>
        <c:overlap val="100"/>
        <c:axId val="1044684127"/>
        <c:axId val="1044682879"/>
      </c:barChart>
      <c:catAx>
        <c:axId val="1044684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044682879"/>
        <c:crosses val="autoZero"/>
        <c:auto val="1"/>
        <c:lblAlgn val="ctr"/>
        <c:lblOffset val="100"/>
        <c:noMultiLvlLbl val="0"/>
      </c:catAx>
      <c:valAx>
        <c:axId val="1044682879"/>
        <c:scaling>
          <c:orientation val="minMax"/>
        </c:scaling>
        <c:delete val="1"/>
        <c:axPos val="l"/>
        <c:numFmt formatCode="0%" sourceLinked="1"/>
        <c:majorTickMark val="none"/>
        <c:minorTickMark val="none"/>
        <c:tickLblPos val="nextTo"/>
        <c:crossAx val="10446841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Biên</a:t>
            </a:r>
            <a:r>
              <a:rPr lang="en-US" baseline="0"/>
              <a:t> động TS</a:t>
            </a:r>
            <a:endParaRPr lang="en-US"/>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05555555555556E-2"/>
          <c:y val="9.3009259259259305E-2"/>
          <c:w val="0.93888888888888899"/>
          <c:h val="0.71220654709827902"/>
        </c:manualLayout>
      </c:layout>
      <c:barChart>
        <c:barDir val="col"/>
        <c:grouping val="stacked"/>
        <c:varyColors val="0"/>
        <c:ser>
          <c:idx val="0"/>
          <c:order val="0"/>
          <c:tx>
            <c:strRef>
              <c:f>[27]Sheet2!$A$4</c:f>
              <c:strCache>
                <c:ptCount val="1"/>
                <c:pt idx="0">
                  <c:v>TSDH</c:v>
                </c:pt>
              </c:strCache>
            </c:strRef>
          </c:tx>
          <c:spPr>
            <a:solidFill>
              <a:schemeClr val="bg1">
                <a:lumMod val="50000"/>
              </a:schemeClr>
            </a:solidFill>
            <a:ln>
              <a:noFill/>
            </a:ln>
            <a:effectLst/>
          </c:spPr>
          <c:invertIfNegative val="0"/>
          <c:cat>
            <c:strRef>
              <c:f>[27]Sheet2!$B$3:$G$3</c:f>
              <c:strCache>
                <c:ptCount val="6"/>
                <c:pt idx="0">
                  <c:v>TS 2020</c:v>
                </c:pt>
                <c:pt idx="1">
                  <c:v>NV 2020</c:v>
                </c:pt>
                <c:pt idx="2">
                  <c:v>TS 2021</c:v>
                </c:pt>
                <c:pt idx="3">
                  <c:v>NV 2021</c:v>
                </c:pt>
                <c:pt idx="4">
                  <c:v>TS 2022</c:v>
                </c:pt>
                <c:pt idx="5">
                  <c:v>NV 2022</c:v>
                </c:pt>
              </c:strCache>
            </c:strRef>
          </c:cat>
          <c:val>
            <c:numRef>
              <c:f>[27]Sheet2!$B$4:$G$4</c:f>
              <c:numCache>
                <c:formatCode>General</c:formatCode>
                <c:ptCount val="6"/>
                <c:pt idx="0">
                  <c:v>619.29354402400008</c:v>
                </c:pt>
                <c:pt idx="2">
                  <c:v>631.479197752</c:v>
                </c:pt>
                <c:pt idx="3">
                  <c:v>0</c:v>
                </c:pt>
                <c:pt idx="4">
                  <c:v>611.88615833699998</c:v>
                </c:pt>
                <c:pt idx="5">
                  <c:v>0</c:v>
                </c:pt>
              </c:numCache>
            </c:numRef>
          </c:val>
          <c:extLst>
            <c:ext xmlns:c16="http://schemas.microsoft.com/office/drawing/2014/chart" uri="{C3380CC4-5D6E-409C-BE32-E72D297353CC}">
              <c16:uniqueId val="{00000000-88DA-451D-B32E-BEA667368B84}"/>
            </c:ext>
          </c:extLst>
        </c:ser>
        <c:ser>
          <c:idx val="1"/>
          <c:order val="1"/>
          <c:tx>
            <c:strRef>
              <c:f>[27]Sheet2!$A$5</c:f>
              <c:strCache>
                <c:ptCount val="1"/>
                <c:pt idx="0">
                  <c:v>TSNH</c:v>
                </c:pt>
              </c:strCache>
            </c:strRef>
          </c:tx>
          <c:spPr>
            <a:solidFill>
              <a:schemeClr val="bg1">
                <a:lumMod val="85000"/>
              </a:schemeClr>
            </a:solidFill>
            <a:ln>
              <a:noFill/>
            </a:ln>
            <a:effectLst/>
          </c:spPr>
          <c:invertIfNegative val="0"/>
          <c:cat>
            <c:strRef>
              <c:f>[27]Sheet2!$B$3:$G$3</c:f>
              <c:strCache>
                <c:ptCount val="6"/>
                <c:pt idx="0">
                  <c:v>TS 2020</c:v>
                </c:pt>
                <c:pt idx="1">
                  <c:v>NV 2020</c:v>
                </c:pt>
                <c:pt idx="2">
                  <c:v>TS 2021</c:v>
                </c:pt>
                <c:pt idx="3">
                  <c:v>NV 2021</c:v>
                </c:pt>
                <c:pt idx="4">
                  <c:v>TS 2022</c:v>
                </c:pt>
                <c:pt idx="5">
                  <c:v>NV 2022</c:v>
                </c:pt>
              </c:strCache>
            </c:strRef>
          </c:cat>
          <c:val>
            <c:numRef>
              <c:f>[27]Sheet2!$B$5:$G$5</c:f>
              <c:numCache>
                <c:formatCode>General</c:formatCode>
                <c:ptCount val="6"/>
                <c:pt idx="0">
                  <c:v>335.0940621690001</c:v>
                </c:pt>
                <c:pt idx="2">
                  <c:v>442.63831491800011</c:v>
                </c:pt>
                <c:pt idx="3">
                  <c:v>0</c:v>
                </c:pt>
                <c:pt idx="4">
                  <c:v>505.34156326799996</c:v>
                </c:pt>
                <c:pt idx="5">
                  <c:v>0</c:v>
                </c:pt>
              </c:numCache>
            </c:numRef>
          </c:val>
          <c:extLst>
            <c:ext xmlns:c16="http://schemas.microsoft.com/office/drawing/2014/chart" uri="{C3380CC4-5D6E-409C-BE32-E72D297353CC}">
              <c16:uniqueId val="{00000001-88DA-451D-B32E-BEA667368B84}"/>
            </c:ext>
          </c:extLst>
        </c:ser>
        <c:ser>
          <c:idx val="2"/>
          <c:order val="2"/>
          <c:tx>
            <c:strRef>
              <c:f>[27]Sheet2!$A$6</c:f>
              <c:strCache>
                <c:ptCount val="1"/>
                <c:pt idx="0">
                  <c:v>VCSH</c:v>
                </c:pt>
              </c:strCache>
            </c:strRef>
          </c:tx>
          <c:spPr>
            <a:solidFill>
              <a:schemeClr val="accent1">
                <a:lumMod val="90000"/>
                <a:lumOff val="10000"/>
              </a:schemeClr>
            </a:solidFill>
            <a:ln>
              <a:noFill/>
            </a:ln>
            <a:effectLst/>
          </c:spPr>
          <c:invertIfNegative val="0"/>
          <c:cat>
            <c:strRef>
              <c:f>[27]Sheet2!$B$3:$G$3</c:f>
              <c:strCache>
                <c:ptCount val="6"/>
                <c:pt idx="0">
                  <c:v>TS 2020</c:v>
                </c:pt>
                <c:pt idx="1">
                  <c:v>NV 2020</c:v>
                </c:pt>
                <c:pt idx="2">
                  <c:v>TS 2021</c:v>
                </c:pt>
                <c:pt idx="3">
                  <c:v>NV 2021</c:v>
                </c:pt>
                <c:pt idx="4">
                  <c:v>TS 2022</c:v>
                </c:pt>
                <c:pt idx="5">
                  <c:v>NV 2022</c:v>
                </c:pt>
              </c:strCache>
            </c:strRef>
          </c:cat>
          <c:val>
            <c:numRef>
              <c:f>[27]Sheet2!$B$6:$G$6</c:f>
              <c:numCache>
                <c:formatCode>General</c:formatCode>
                <c:ptCount val="6"/>
                <c:pt idx="0">
                  <c:v>0</c:v>
                </c:pt>
                <c:pt idx="1">
                  <c:v>169.88030892199998</c:v>
                </c:pt>
                <c:pt idx="3">
                  <c:v>167.79593017599998</c:v>
                </c:pt>
                <c:pt idx="4">
                  <c:v>0</c:v>
                </c:pt>
                <c:pt idx="5">
                  <c:v>185.412672345</c:v>
                </c:pt>
              </c:numCache>
            </c:numRef>
          </c:val>
          <c:extLst>
            <c:ext xmlns:c16="http://schemas.microsoft.com/office/drawing/2014/chart" uri="{C3380CC4-5D6E-409C-BE32-E72D297353CC}">
              <c16:uniqueId val="{00000002-88DA-451D-B32E-BEA667368B84}"/>
            </c:ext>
          </c:extLst>
        </c:ser>
        <c:ser>
          <c:idx val="3"/>
          <c:order val="3"/>
          <c:tx>
            <c:strRef>
              <c:f>[27]Sheet2!$A$7</c:f>
              <c:strCache>
                <c:ptCount val="1"/>
                <c:pt idx="0">
                  <c:v>NDH</c:v>
                </c:pt>
              </c:strCache>
            </c:strRef>
          </c:tx>
          <c:spPr>
            <a:solidFill>
              <a:schemeClr val="accent1">
                <a:lumMod val="75000"/>
                <a:lumOff val="25000"/>
              </a:schemeClr>
            </a:solidFill>
            <a:ln>
              <a:noFill/>
            </a:ln>
            <a:effectLst/>
          </c:spPr>
          <c:invertIfNegative val="0"/>
          <c:cat>
            <c:strRef>
              <c:f>[27]Sheet2!$B$3:$G$3</c:f>
              <c:strCache>
                <c:ptCount val="6"/>
                <c:pt idx="0">
                  <c:v>TS 2020</c:v>
                </c:pt>
                <c:pt idx="1">
                  <c:v>NV 2020</c:v>
                </c:pt>
                <c:pt idx="2">
                  <c:v>TS 2021</c:v>
                </c:pt>
                <c:pt idx="3">
                  <c:v>NV 2021</c:v>
                </c:pt>
                <c:pt idx="4">
                  <c:v>TS 2022</c:v>
                </c:pt>
                <c:pt idx="5">
                  <c:v>NV 2022</c:v>
                </c:pt>
              </c:strCache>
            </c:strRef>
          </c:cat>
          <c:val>
            <c:numRef>
              <c:f>[27]Sheet2!$B$7:$G$7</c:f>
              <c:numCache>
                <c:formatCode>General</c:formatCode>
                <c:ptCount val="6"/>
                <c:pt idx="0">
                  <c:v>0</c:v>
                </c:pt>
                <c:pt idx="1">
                  <c:v>309.41643493399999</c:v>
                </c:pt>
                <c:pt idx="3">
                  <c:v>262.81682619999998</c:v>
                </c:pt>
                <c:pt idx="4">
                  <c:v>0</c:v>
                </c:pt>
                <c:pt idx="5">
                  <c:v>226.74408791100001</c:v>
                </c:pt>
              </c:numCache>
            </c:numRef>
          </c:val>
          <c:extLst>
            <c:ext xmlns:c16="http://schemas.microsoft.com/office/drawing/2014/chart" uri="{C3380CC4-5D6E-409C-BE32-E72D297353CC}">
              <c16:uniqueId val="{00000003-88DA-451D-B32E-BEA667368B84}"/>
            </c:ext>
          </c:extLst>
        </c:ser>
        <c:ser>
          <c:idx val="4"/>
          <c:order val="4"/>
          <c:tx>
            <c:strRef>
              <c:f>[27]Sheet2!$A$8</c:f>
              <c:strCache>
                <c:ptCount val="1"/>
                <c:pt idx="0">
                  <c:v>NNH</c:v>
                </c:pt>
              </c:strCache>
            </c:strRef>
          </c:tx>
          <c:spPr>
            <a:solidFill>
              <a:schemeClr val="accent2">
                <a:lumMod val="40000"/>
                <a:lumOff val="60000"/>
              </a:schemeClr>
            </a:solidFill>
            <a:ln>
              <a:noFill/>
            </a:ln>
            <a:effectLst/>
          </c:spPr>
          <c:invertIfNegative val="0"/>
          <c:cat>
            <c:strRef>
              <c:f>[27]Sheet2!$B$3:$G$3</c:f>
              <c:strCache>
                <c:ptCount val="6"/>
                <c:pt idx="0">
                  <c:v>TS 2020</c:v>
                </c:pt>
                <c:pt idx="1">
                  <c:v>NV 2020</c:v>
                </c:pt>
                <c:pt idx="2">
                  <c:v>TS 2021</c:v>
                </c:pt>
                <c:pt idx="3">
                  <c:v>NV 2021</c:v>
                </c:pt>
                <c:pt idx="4">
                  <c:v>TS 2022</c:v>
                </c:pt>
                <c:pt idx="5">
                  <c:v>NV 2022</c:v>
                </c:pt>
              </c:strCache>
            </c:strRef>
          </c:cat>
          <c:val>
            <c:numRef>
              <c:f>[27]Sheet2!$B$8:$G$8</c:f>
              <c:numCache>
                <c:formatCode>General</c:formatCode>
                <c:ptCount val="6"/>
                <c:pt idx="0">
                  <c:v>0</c:v>
                </c:pt>
                <c:pt idx="1">
                  <c:v>475.09086233699998</c:v>
                </c:pt>
                <c:pt idx="3">
                  <c:v>643.50475629399989</c:v>
                </c:pt>
                <c:pt idx="4">
                  <c:v>0</c:v>
                </c:pt>
                <c:pt idx="5">
                  <c:v>705.07096134900007</c:v>
                </c:pt>
              </c:numCache>
            </c:numRef>
          </c:val>
          <c:extLst>
            <c:ext xmlns:c16="http://schemas.microsoft.com/office/drawing/2014/chart" uri="{C3380CC4-5D6E-409C-BE32-E72D297353CC}">
              <c16:uniqueId val="{00000004-88DA-451D-B32E-BEA667368B84}"/>
            </c:ext>
          </c:extLst>
        </c:ser>
        <c:dLbls>
          <c:showLegendKey val="0"/>
          <c:showVal val="0"/>
          <c:showCatName val="0"/>
          <c:showSerName val="0"/>
          <c:showPercent val="0"/>
          <c:showBubbleSize val="0"/>
        </c:dLbls>
        <c:gapWidth val="150"/>
        <c:overlap val="100"/>
        <c:axId val="381327215"/>
        <c:axId val="381319727"/>
      </c:barChart>
      <c:catAx>
        <c:axId val="381327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381319727"/>
        <c:crosses val="autoZero"/>
        <c:auto val="1"/>
        <c:lblAlgn val="ctr"/>
        <c:lblOffset val="100"/>
        <c:noMultiLvlLbl val="0"/>
      </c:catAx>
      <c:valAx>
        <c:axId val="381319727"/>
        <c:scaling>
          <c:orientation val="minMax"/>
        </c:scaling>
        <c:delete val="1"/>
        <c:axPos val="l"/>
        <c:numFmt formatCode="General" sourceLinked="1"/>
        <c:majorTickMark val="none"/>
        <c:minorTickMark val="none"/>
        <c:tickLblPos val="nextTo"/>
        <c:crossAx val="3813272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Giá</a:t>
            </a:r>
            <a:r>
              <a:rPr lang="en-US" b="1" baseline="0"/>
              <a:t> bán Trung bình các sản phẩm</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4"/>
          <c:order val="4"/>
          <c:tx>
            <c:strRef>
              <c:f>'3.Bo gia'!$B$7:$C$7</c:f>
              <c:strCache>
                <c:ptCount val="2"/>
                <c:pt idx="0">
                  <c:v>Bê tông</c:v>
                </c:pt>
                <c:pt idx="1">
                  <c:v>đồng/m3</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'3.Bo gia'!$D$3:$P$3</c:f>
              <c:numCache>
                <c:formatCode>General</c:formatCode>
                <c:ptCount val="13"/>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numCache>
            </c:numRef>
          </c:cat>
          <c:val>
            <c:numRef>
              <c:f>'3.Bo gia'!$D$7:$P$7</c:f>
              <c:numCache>
                <c:formatCode>_(* #,##0_);_(* \(#,##0\);_(* "-"??_);_(@_)</c:formatCode>
                <c:ptCount val="13"/>
                <c:pt idx="0">
                  <c:v>905241.78688524594</c:v>
                </c:pt>
                <c:pt idx="1">
                  <c:v>947812.93903896597</c:v>
                </c:pt>
                <c:pt idx="2">
                  <c:v>1204353.783159158</c:v>
                </c:pt>
                <c:pt idx="3" formatCode="#,##0">
                  <c:v>1216397.3209907496</c:v>
                </c:pt>
                <c:pt idx="4" formatCode="#,##0">
                  <c:v>1228561.2942006572</c:v>
                </c:pt>
                <c:pt idx="5" formatCode="#,##0">
                  <c:v>1240846.9071426638</c:v>
                </c:pt>
                <c:pt idx="6" formatCode="#,##0">
                  <c:v>1253255.3762140905</c:v>
                </c:pt>
                <c:pt idx="7" formatCode="#,##0">
                  <c:v>1265787.9299762314</c:v>
                </c:pt>
                <c:pt idx="8" formatCode="#,##0">
                  <c:v>1278445.8092759938</c:v>
                </c:pt>
                <c:pt idx="9" formatCode="#,##0">
                  <c:v>1291230.2673687539</c:v>
                </c:pt>
                <c:pt idx="10" formatCode="#,##0">
                  <c:v>1304142.5700424414</c:v>
                </c:pt>
                <c:pt idx="11" formatCode="#,##0">
                  <c:v>1317183.9957428658</c:v>
                </c:pt>
                <c:pt idx="12" formatCode="#,##0">
                  <c:v>1330355.8357002945</c:v>
                </c:pt>
              </c:numCache>
            </c:numRef>
          </c:val>
          <c:smooth val="0"/>
          <c:extLst>
            <c:ext xmlns:c16="http://schemas.microsoft.com/office/drawing/2014/chart" uri="{C3380CC4-5D6E-409C-BE32-E72D297353CC}">
              <c16:uniqueId val="{00000004-758E-43D4-BC84-AA6C5B5BC920}"/>
            </c:ext>
          </c:extLst>
        </c:ser>
        <c:ser>
          <c:idx val="5"/>
          <c:order val="5"/>
          <c:tx>
            <c:strRef>
              <c:f>'3.Bo gia'!$B$8:$C$8</c:f>
              <c:strCache>
                <c:ptCount val="2"/>
                <c:pt idx="0">
                  <c:v>Gạch</c:v>
                </c:pt>
                <c:pt idx="1">
                  <c:v>đồng/viên</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'3.Bo gia'!$D$3:$P$3</c:f>
              <c:numCache>
                <c:formatCode>General</c:formatCode>
                <c:ptCount val="13"/>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numCache>
            </c:numRef>
          </c:cat>
          <c:val>
            <c:numRef>
              <c:f>'3.Bo gia'!$D$8:$P$8</c:f>
              <c:numCache>
                <c:formatCode>_(* #,##0_);_(* \(#,##0\);_(* "-"??_);_(@_)</c:formatCode>
                <c:ptCount val="13"/>
                <c:pt idx="0">
                  <c:v>1463</c:v>
                </c:pt>
                <c:pt idx="1">
                  <c:v>1461</c:v>
                </c:pt>
                <c:pt idx="2">
                  <c:v>1349</c:v>
                </c:pt>
                <c:pt idx="3" formatCode="#,##0">
                  <c:v>1362.49</c:v>
                </c:pt>
                <c:pt idx="4" formatCode="#,##0">
                  <c:v>1376.1149</c:v>
                </c:pt>
                <c:pt idx="5" formatCode="#,##0">
                  <c:v>1389.876049</c:v>
                </c:pt>
                <c:pt idx="6" formatCode="#,##0">
                  <c:v>1403.7748094900001</c:v>
                </c:pt>
                <c:pt idx="7" formatCode="#,##0">
                  <c:v>1417.8125575849001</c:v>
                </c:pt>
                <c:pt idx="8" formatCode="#,##0">
                  <c:v>1431.9906831607491</c:v>
                </c:pt>
                <c:pt idx="9" formatCode="#,##0">
                  <c:v>1446.3105899923567</c:v>
                </c:pt>
                <c:pt idx="10" formatCode="#,##0">
                  <c:v>1460.7736958922803</c:v>
                </c:pt>
                <c:pt idx="11" formatCode="#,##0">
                  <c:v>1475.381432851203</c:v>
                </c:pt>
                <c:pt idx="12" formatCode="#,##0">
                  <c:v>1490.1352471797152</c:v>
                </c:pt>
              </c:numCache>
            </c:numRef>
          </c:val>
          <c:smooth val="0"/>
          <c:extLst>
            <c:ext xmlns:c16="http://schemas.microsoft.com/office/drawing/2014/chart" uri="{C3380CC4-5D6E-409C-BE32-E72D297353CC}">
              <c16:uniqueId val="{00000005-758E-43D4-BC84-AA6C5B5BC920}"/>
            </c:ext>
          </c:extLst>
        </c:ser>
        <c:ser>
          <c:idx val="10"/>
          <c:order val="10"/>
          <c:tx>
            <c:strRef>
              <c:f>'3.Bo gia'!$B$13:$C$13</c:f>
              <c:strCache>
                <c:ptCount val="2"/>
                <c:pt idx="0">
                  <c:v>Xi măng Visai</c:v>
                </c:pt>
                <c:pt idx="1">
                  <c:v>đồng/tấn</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numRef>
              <c:f>'3.Bo gia'!$D$3:$P$3</c:f>
              <c:numCache>
                <c:formatCode>General</c:formatCode>
                <c:ptCount val="13"/>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numCache>
            </c:numRef>
          </c:cat>
          <c:val>
            <c:numRef>
              <c:f>'3.Bo gia'!$D$13:$P$13</c:f>
              <c:numCache>
                <c:formatCode>_(* #,##0_);_(* \(#,##0\);_(* "-"??_);_(@_)</c:formatCode>
                <c:ptCount val="13"/>
                <c:pt idx="0">
                  <c:v>1179231.5733333332</c:v>
                </c:pt>
                <c:pt idx="1">
                  <c:v>1434897.0345963757</c:v>
                </c:pt>
                <c:pt idx="2">
                  <c:v>1203020.7336355259</c:v>
                </c:pt>
                <c:pt idx="3" formatCode="#,##0">
                  <c:v>1215050.9409718812</c:v>
                </c:pt>
                <c:pt idx="4" formatCode="#,##0">
                  <c:v>1227201.4503816001</c:v>
                </c:pt>
                <c:pt idx="5" formatCode="#,##0">
                  <c:v>1239473.464885416</c:v>
                </c:pt>
                <c:pt idx="6" formatCode="#,##0">
                  <c:v>1251868.1995342702</c:v>
                </c:pt>
                <c:pt idx="7" formatCode="#,##0">
                  <c:v>1264386.8815296129</c:v>
                </c:pt>
                <c:pt idx="8" formatCode="#,##0">
                  <c:v>1277030.750344909</c:v>
                </c:pt>
                <c:pt idx="9" formatCode="#,##0">
                  <c:v>1289801.0578483581</c:v>
                </c:pt>
                <c:pt idx="10" formatCode="#,##0">
                  <c:v>1302699.0684268416</c:v>
                </c:pt>
                <c:pt idx="11" formatCode="#,##0">
                  <c:v>1315726.0591111102</c:v>
                </c:pt>
                <c:pt idx="12" formatCode="#,##0">
                  <c:v>1328883.3197022213</c:v>
                </c:pt>
              </c:numCache>
            </c:numRef>
          </c:val>
          <c:smooth val="0"/>
          <c:extLst>
            <c:ext xmlns:c16="http://schemas.microsoft.com/office/drawing/2014/chart" uri="{C3380CC4-5D6E-409C-BE32-E72D297353CC}">
              <c16:uniqueId val="{0000000A-758E-43D4-BC84-AA6C5B5BC920}"/>
            </c:ext>
          </c:extLst>
        </c:ser>
        <c:ser>
          <c:idx val="11"/>
          <c:order val="11"/>
          <c:tx>
            <c:strRef>
              <c:f>'3.Bo gia'!$B$14:$C$14</c:f>
              <c:strCache>
                <c:ptCount val="2"/>
                <c:pt idx="0">
                  <c:v>Xi măng bỉm sơn</c:v>
                </c:pt>
                <c:pt idx="1">
                  <c:v>đồng/tấn</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numRef>
              <c:f>'3.Bo gia'!$D$3:$P$3</c:f>
              <c:numCache>
                <c:formatCode>General</c:formatCode>
                <c:ptCount val="13"/>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numCache>
            </c:numRef>
          </c:cat>
          <c:val>
            <c:numRef>
              <c:f>'3.Bo gia'!$D$14:$P$14</c:f>
              <c:numCache>
                <c:formatCode>_(* #,##0_);_(* \(#,##0\);_(* "-"??_);_(@_)</c:formatCode>
                <c:ptCount val="13"/>
                <c:pt idx="0">
                  <c:v>1377356.1439999999</c:v>
                </c:pt>
                <c:pt idx="1">
                  <c:v>1637091.4454277286</c:v>
                </c:pt>
                <c:pt idx="2">
                  <c:v>1667680.2860061286</c:v>
                </c:pt>
                <c:pt idx="3" formatCode="#,##0">
                  <c:v>1684357.0888661901</c:v>
                </c:pt>
                <c:pt idx="4" formatCode="#,##0">
                  <c:v>1701200.6597548521</c:v>
                </c:pt>
                <c:pt idx="5" formatCode="#,##0">
                  <c:v>1718212.6663524006</c:v>
                </c:pt>
                <c:pt idx="6" formatCode="#,##0">
                  <c:v>1735394.7930159245</c:v>
                </c:pt>
                <c:pt idx="7" formatCode="#,##0">
                  <c:v>1752748.7409460838</c:v>
                </c:pt>
                <c:pt idx="8" formatCode="#,##0">
                  <c:v>1770276.2283555446</c:v>
                </c:pt>
                <c:pt idx="9" formatCode="#,##0">
                  <c:v>1787978.9906391001</c:v>
                </c:pt>
                <c:pt idx="10" formatCode="#,##0">
                  <c:v>1805858.780545491</c:v>
                </c:pt>
                <c:pt idx="11" formatCode="#,##0">
                  <c:v>1823917.3683509459</c:v>
                </c:pt>
                <c:pt idx="12" formatCode="#,##0">
                  <c:v>1842156.5420344553</c:v>
                </c:pt>
              </c:numCache>
            </c:numRef>
          </c:val>
          <c:smooth val="0"/>
          <c:extLst>
            <c:ext xmlns:c16="http://schemas.microsoft.com/office/drawing/2014/chart" uri="{C3380CC4-5D6E-409C-BE32-E72D297353CC}">
              <c16:uniqueId val="{0000000B-758E-43D4-BC84-AA6C5B5BC920}"/>
            </c:ext>
          </c:extLst>
        </c:ser>
        <c:ser>
          <c:idx val="12"/>
          <c:order val="12"/>
          <c:tx>
            <c:strRef>
              <c:f>'3.Bo gia'!$B$15:$C$15</c:f>
              <c:strCache>
                <c:ptCount val="2"/>
                <c:pt idx="0">
                  <c:v>Xi măng Công Thanh</c:v>
                </c:pt>
                <c:pt idx="1">
                  <c:v>đồng/tấn</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numRef>
              <c:f>'3.Bo gia'!$D$3:$P$3</c:f>
              <c:numCache>
                <c:formatCode>General</c:formatCode>
                <c:ptCount val="13"/>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numCache>
            </c:numRef>
          </c:cat>
          <c:val>
            <c:numRef>
              <c:f>'3.Bo gia'!$D$15:$P$15</c:f>
              <c:numCache>
                <c:formatCode>_(* #,##0_);_(* \(#,##0\);_(* "-"??_);_(@_)</c:formatCode>
                <c:ptCount val="13"/>
                <c:pt idx="0">
                  <c:v>1077399.1600000001</c:v>
                </c:pt>
                <c:pt idx="1">
                  <c:v>1339315.8411552347</c:v>
                </c:pt>
                <c:pt idx="2">
                  <c:v>1381054.7819947044</c:v>
                </c:pt>
                <c:pt idx="3" formatCode="#,##0">
                  <c:v>1394865.3298146515</c:v>
                </c:pt>
                <c:pt idx="4" formatCode="#,##0">
                  <c:v>1408813.9831127981</c:v>
                </c:pt>
                <c:pt idx="5" formatCode="#,##0">
                  <c:v>1422902.1229439261</c:v>
                </c:pt>
                <c:pt idx="6" formatCode="#,##0">
                  <c:v>1437131.1441733653</c:v>
                </c:pt>
                <c:pt idx="7" formatCode="#,##0">
                  <c:v>1451502.4556150991</c:v>
                </c:pt>
                <c:pt idx="8" formatCode="#,##0">
                  <c:v>1466017.4801712499</c:v>
                </c:pt>
                <c:pt idx="9" formatCode="#,##0">
                  <c:v>1480677.6549729626</c:v>
                </c:pt>
                <c:pt idx="10" formatCode="#,##0">
                  <c:v>1495484.4315226923</c:v>
                </c:pt>
                <c:pt idx="11" formatCode="#,##0">
                  <c:v>1510439.2758379192</c:v>
                </c:pt>
                <c:pt idx="12" formatCode="#,##0">
                  <c:v>1525543.6685962984</c:v>
                </c:pt>
              </c:numCache>
            </c:numRef>
          </c:val>
          <c:smooth val="0"/>
          <c:extLst>
            <c:ext xmlns:c16="http://schemas.microsoft.com/office/drawing/2014/chart" uri="{C3380CC4-5D6E-409C-BE32-E72D297353CC}">
              <c16:uniqueId val="{0000000C-758E-43D4-BC84-AA6C5B5BC920}"/>
            </c:ext>
          </c:extLst>
        </c:ser>
        <c:ser>
          <c:idx val="13"/>
          <c:order val="13"/>
          <c:tx>
            <c:strRef>
              <c:f>'3.Bo gia'!$B$16:$C$16</c:f>
              <c:strCache>
                <c:ptCount val="2"/>
                <c:pt idx="0">
                  <c:v>Xi măng Việt Úc</c:v>
                </c:pt>
                <c:pt idx="1">
                  <c:v>đồng/tấn</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numRef>
              <c:f>'3.Bo gia'!$D$3:$P$3</c:f>
              <c:numCache>
                <c:formatCode>General</c:formatCode>
                <c:ptCount val="13"/>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numCache>
            </c:numRef>
          </c:cat>
          <c:val>
            <c:numRef>
              <c:f>'3.Bo gia'!$D$16:$P$16</c:f>
              <c:numCache>
                <c:formatCode>_(* #,##0_);_(* \(#,##0\);_(* "-"??_);_(@_)</c:formatCode>
                <c:ptCount val="13"/>
                <c:pt idx="0">
                  <c:v>1054694.95</c:v>
                </c:pt>
                <c:pt idx="1">
                  <c:v>827098.88356786198</c:v>
                </c:pt>
                <c:pt idx="2">
                  <c:v>1241112.099644128</c:v>
                </c:pt>
                <c:pt idx="3" formatCode="#,##0">
                  <c:v>1253523.2206405692</c:v>
                </c:pt>
                <c:pt idx="4" formatCode="#,##0">
                  <c:v>1266058.4528469748</c:v>
                </c:pt>
                <c:pt idx="5" formatCode="#,##0">
                  <c:v>1278719.0373754445</c:v>
                </c:pt>
                <c:pt idx="6" formatCode="#,##0">
                  <c:v>1291506.2277491989</c:v>
                </c:pt>
                <c:pt idx="7" formatCode="#,##0">
                  <c:v>1304421.2900266908</c:v>
                </c:pt>
                <c:pt idx="8" formatCode="#,##0">
                  <c:v>1317465.5029269578</c:v>
                </c:pt>
                <c:pt idx="9" formatCode="#,##0">
                  <c:v>1330640.1579562274</c:v>
                </c:pt>
                <c:pt idx="10" formatCode="#,##0">
                  <c:v>1343946.5595357898</c:v>
                </c:pt>
                <c:pt idx="11" formatCode="#,##0">
                  <c:v>1357386.0251311476</c:v>
                </c:pt>
                <c:pt idx="12" formatCode="#,##0">
                  <c:v>1370959.885382459</c:v>
                </c:pt>
              </c:numCache>
            </c:numRef>
          </c:val>
          <c:smooth val="0"/>
          <c:extLst>
            <c:ext xmlns:c16="http://schemas.microsoft.com/office/drawing/2014/chart" uri="{C3380CC4-5D6E-409C-BE32-E72D297353CC}">
              <c16:uniqueId val="{0000000E-758E-43D4-BC84-AA6C5B5BC920}"/>
            </c:ext>
          </c:extLst>
        </c:ser>
        <c:ser>
          <c:idx val="14"/>
          <c:order val="14"/>
          <c:tx>
            <c:strRef>
              <c:f>'3.Bo gia'!$B$17:$C$17</c:f>
              <c:strCache>
                <c:ptCount val="2"/>
                <c:pt idx="0">
                  <c:v>Xi măng Vĩnh thành</c:v>
                </c:pt>
                <c:pt idx="1">
                  <c:v>đồng/tấn</c:v>
                </c:pt>
              </c:strCache>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cat>
            <c:numRef>
              <c:f>'3.Bo gia'!$D$3:$P$3</c:f>
              <c:numCache>
                <c:formatCode>General</c:formatCode>
                <c:ptCount val="13"/>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numCache>
            </c:numRef>
          </c:cat>
          <c:val>
            <c:numRef>
              <c:f>'3.Bo gia'!$D$17:$P$17</c:f>
              <c:numCache>
                <c:formatCode>General</c:formatCode>
                <c:ptCount val="13"/>
                <c:pt idx="1">
                  <c:v>0</c:v>
                </c:pt>
                <c:pt idx="2" formatCode="_(* #,##0_);_(* \(#,##0\);_(* &quot;-&quot;??_);_(@_)">
                  <c:v>1094625.6038647343</c:v>
                </c:pt>
                <c:pt idx="3" formatCode="#,##0">
                  <c:v>1105571.8599033817</c:v>
                </c:pt>
                <c:pt idx="4" formatCode="#,##0">
                  <c:v>1116627.5785024154</c:v>
                </c:pt>
                <c:pt idx="5" formatCode="#,##0">
                  <c:v>1127793.8542874397</c:v>
                </c:pt>
                <c:pt idx="6" formatCode="#,##0">
                  <c:v>1139071.792830314</c:v>
                </c:pt>
                <c:pt idx="7" formatCode="#,##0">
                  <c:v>1150462.5107586172</c:v>
                </c:pt>
                <c:pt idx="8" formatCode="#,##0">
                  <c:v>1161967.1358662033</c:v>
                </c:pt>
                <c:pt idx="9" formatCode="#,##0">
                  <c:v>1173586.8072248653</c:v>
                </c:pt>
                <c:pt idx="10" formatCode="#,##0">
                  <c:v>1185322.6752971141</c:v>
                </c:pt>
                <c:pt idx="11" formatCode="#,##0">
                  <c:v>1197175.9020500851</c:v>
                </c:pt>
                <c:pt idx="12" formatCode="#,##0">
                  <c:v>1209147.6610705859</c:v>
                </c:pt>
              </c:numCache>
            </c:numRef>
          </c:val>
          <c:smooth val="0"/>
          <c:extLst>
            <c:ext xmlns:c16="http://schemas.microsoft.com/office/drawing/2014/chart" uri="{C3380CC4-5D6E-409C-BE32-E72D297353CC}">
              <c16:uniqueId val="{0000000F-758E-43D4-BC84-AA6C5B5BC920}"/>
            </c:ext>
          </c:extLst>
        </c:ser>
        <c:ser>
          <c:idx val="15"/>
          <c:order val="15"/>
          <c:tx>
            <c:strRef>
              <c:f>'3.Bo gia'!$B$18:$C$18</c:f>
              <c:strCache>
                <c:ptCount val="2"/>
                <c:pt idx="0">
                  <c:v>Xi măng Pomihoa</c:v>
                </c:pt>
                <c:pt idx="1">
                  <c:v>đồng/tấn</c:v>
                </c:pt>
              </c:strCache>
            </c:strRef>
          </c:tx>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cat>
            <c:numRef>
              <c:f>'3.Bo gia'!$D$3:$P$3</c:f>
              <c:numCache>
                <c:formatCode>General</c:formatCode>
                <c:ptCount val="13"/>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numCache>
            </c:numRef>
          </c:cat>
          <c:val>
            <c:numRef>
              <c:f>'3.Bo gia'!$D$18:$P$18</c:f>
              <c:numCache>
                <c:formatCode>_(* #,##0_);_(* \(#,##0\);_(* "-"??_);_(@_)</c:formatCode>
                <c:ptCount val="13"/>
                <c:pt idx="0">
                  <c:v>1097000</c:v>
                </c:pt>
                <c:pt idx="1">
                  <c:v>1300363.2478632478</c:v>
                </c:pt>
                <c:pt idx="2">
                  <c:v>1324615.3846153845</c:v>
                </c:pt>
                <c:pt idx="3" formatCode="#,##0">
                  <c:v>1337861.5384615383</c:v>
                </c:pt>
                <c:pt idx="4" formatCode="#,##0">
                  <c:v>1351240.1538461538</c:v>
                </c:pt>
                <c:pt idx="5" formatCode="#,##0">
                  <c:v>1364752.5553846152</c:v>
                </c:pt>
                <c:pt idx="6" formatCode="#,##0">
                  <c:v>1378400.0809384615</c:v>
                </c:pt>
                <c:pt idx="7" formatCode="#,##0">
                  <c:v>1392184.0817478462</c:v>
                </c:pt>
                <c:pt idx="8" formatCode="#,##0">
                  <c:v>1406105.9225653247</c:v>
                </c:pt>
                <c:pt idx="9" formatCode="#,##0">
                  <c:v>1420166.981790978</c:v>
                </c:pt>
                <c:pt idx="10" formatCode="#,##0">
                  <c:v>1434368.6516088878</c:v>
                </c:pt>
                <c:pt idx="11" formatCode="#,##0">
                  <c:v>1448712.3381249767</c:v>
                </c:pt>
                <c:pt idx="12" formatCode="#,##0">
                  <c:v>1463199.4615062266</c:v>
                </c:pt>
              </c:numCache>
            </c:numRef>
          </c:val>
          <c:smooth val="0"/>
          <c:extLst>
            <c:ext xmlns:c16="http://schemas.microsoft.com/office/drawing/2014/chart" uri="{C3380CC4-5D6E-409C-BE32-E72D297353CC}">
              <c16:uniqueId val="{00000010-758E-43D4-BC84-AA6C5B5BC920}"/>
            </c:ext>
          </c:extLst>
        </c:ser>
        <c:ser>
          <c:idx val="18"/>
          <c:order val="18"/>
          <c:tx>
            <c:strRef>
              <c:f>'3.Bo gia'!$B$21:$C$21</c:f>
              <c:strCache>
                <c:ptCount val="2"/>
                <c:pt idx="0">
                  <c:v>Thép Hòa Phát</c:v>
                </c:pt>
                <c:pt idx="1">
                  <c:v>Đồng/kg</c:v>
                </c:pt>
              </c:strCache>
            </c:strRef>
          </c:tx>
          <c:spPr>
            <a:ln w="28575"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cat>
            <c:numRef>
              <c:f>'3.Bo gia'!$D$3:$P$3</c:f>
              <c:numCache>
                <c:formatCode>General</c:formatCode>
                <c:ptCount val="13"/>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numCache>
            </c:numRef>
          </c:cat>
          <c:val>
            <c:numRef>
              <c:f>'3.Bo gia'!$D$21:$P$21</c:f>
              <c:numCache>
                <c:formatCode>_(* #,##0_);_(* \(#,##0\);_(* "-"??_);_(@_)</c:formatCode>
                <c:ptCount val="13"/>
                <c:pt idx="0">
                  <c:v>17269.03090909091</c:v>
                </c:pt>
                <c:pt idx="1">
                  <c:v>14982.818237784</c:v>
                </c:pt>
                <c:pt idx="2">
                  <c:v>15853.355254810742</c:v>
                </c:pt>
                <c:pt idx="3" formatCode="#,##0">
                  <c:v>16011.88880735885</c:v>
                </c:pt>
                <c:pt idx="4" formatCode="#,##0">
                  <c:v>16172.007695432438</c:v>
                </c:pt>
                <c:pt idx="5" formatCode="#,##0">
                  <c:v>16333.727772386763</c:v>
                </c:pt>
                <c:pt idx="6" formatCode="#,##0">
                  <c:v>16497.065050110632</c:v>
                </c:pt>
                <c:pt idx="7" formatCode="#,##0">
                  <c:v>16662.035700611737</c:v>
                </c:pt>
                <c:pt idx="8" formatCode="#,##0">
                  <c:v>16828.656057617856</c:v>
                </c:pt>
                <c:pt idx="9" formatCode="#,##0">
                  <c:v>16996.942618194036</c:v>
                </c:pt>
                <c:pt idx="10" formatCode="#,##0">
                  <c:v>17166.912044375978</c:v>
                </c:pt>
                <c:pt idx="11" formatCode="#,##0">
                  <c:v>17338.581164819738</c:v>
                </c:pt>
                <c:pt idx="12" formatCode="#,##0">
                  <c:v>17511.966976467935</c:v>
                </c:pt>
              </c:numCache>
            </c:numRef>
          </c:val>
          <c:smooth val="0"/>
          <c:extLst>
            <c:ext xmlns:c16="http://schemas.microsoft.com/office/drawing/2014/chart" uri="{C3380CC4-5D6E-409C-BE32-E72D297353CC}">
              <c16:uniqueId val="{00000013-758E-43D4-BC84-AA6C5B5BC920}"/>
            </c:ext>
          </c:extLst>
        </c:ser>
        <c:ser>
          <c:idx val="19"/>
          <c:order val="19"/>
          <c:tx>
            <c:strRef>
              <c:f>'3.Bo gia'!$B$22:$C$22</c:f>
              <c:strCache>
                <c:ptCount val="2"/>
                <c:pt idx="0">
                  <c:v>Thép Việt Nhật</c:v>
                </c:pt>
                <c:pt idx="1">
                  <c:v>Đồng/kg</c:v>
                </c:pt>
              </c:strCache>
            </c:strRef>
          </c:tx>
          <c:spPr>
            <a:ln w="28575"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cat>
            <c:numRef>
              <c:f>'3.Bo gia'!$D$3:$P$3</c:f>
              <c:numCache>
                <c:formatCode>General</c:formatCode>
                <c:ptCount val="13"/>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numCache>
            </c:numRef>
          </c:cat>
          <c:val>
            <c:numRef>
              <c:f>'3.Bo gia'!$D$22:$P$22</c:f>
              <c:numCache>
                <c:formatCode>_(* #,##0_);_(* \(#,##0\);_(* "-"??_);_(@_)</c:formatCode>
                <c:ptCount val="13"/>
                <c:pt idx="0">
                  <c:v>18313.958181818183</c:v>
                </c:pt>
                <c:pt idx="1">
                  <c:v>15939.735110607</c:v>
                </c:pt>
                <c:pt idx="2">
                  <c:v>16094.196265822784</c:v>
                </c:pt>
                <c:pt idx="3" formatCode="#,##0">
                  <c:v>16255.138228481012</c:v>
                </c:pt>
                <c:pt idx="4" formatCode="#,##0">
                  <c:v>16417.689610765821</c:v>
                </c:pt>
                <c:pt idx="5" formatCode="#,##0">
                  <c:v>16581.866506873481</c:v>
                </c:pt>
                <c:pt idx="6" formatCode="#,##0">
                  <c:v>16747.685171942216</c:v>
                </c:pt>
                <c:pt idx="7" formatCode="#,##0">
                  <c:v>16915.162023661636</c:v>
                </c:pt>
                <c:pt idx="8" formatCode="#,##0">
                  <c:v>17084.313643898255</c:v>
                </c:pt>
                <c:pt idx="9" formatCode="#,##0">
                  <c:v>17255.156780337238</c:v>
                </c:pt>
                <c:pt idx="10" formatCode="#,##0">
                  <c:v>17427.708348140612</c:v>
                </c:pt>
                <c:pt idx="11" formatCode="#,##0">
                  <c:v>17601.985431622019</c:v>
                </c:pt>
                <c:pt idx="12" formatCode="#,##0">
                  <c:v>17778.005285938238</c:v>
                </c:pt>
              </c:numCache>
            </c:numRef>
          </c:val>
          <c:smooth val="0"/>
          <c:extLst>
            <c:ext xmlns:c16="http://schemas.microsoft.com/office/drawing/2014/chart" uri="{C3380CC4-5D6E-409C-BE32-E72D297353CC}">
              <c16:uniqueId val="{00000014-758E-43D4-BC84-AA6C5B5BC920}"/>
            </c:ext>
          </c:extLst>
        </c:ser>
        <c:ser>
          <c:idx val="20"/>
          <c:order val="20"/>
          <c:tx>
            <c:strRef>
              <c:f>'3.Bo gia'!$B$23:$C$23</c:f>
              <c:strCache>
                <c:ptCount val="2"/>
                <c:pt idx="0">
                  <c:v>Thép Ly</c:v>
                </c:pt>
                <c:pt idx="1">
                  <c:v>Đồng/kg</c:v>
                </c:pt>
              </c:strCache>
            </c:strRef>
          </c:tx>
          <c:spPr>
            <a:ln w="28575" cap="rnd">
              <a:solidFill>
                <a:schemeClr val="accent3">
                  <a:lumMod val="80000"/>
                </a:schemeClr>
              </a:solidFill>
              <a:round/>
            </a:ln>
            <a:effectLst/>
          </c:spPr>
          <c:marker>
            <c:symbol val="circle"/>
            <c:size val="5"/>
            <c:spPr>
              <a:solidFill>
                <a:schemeClr val="accent3">
                  <a:lumMod val="80000"/>
                </a:schemeClr>
              </a:solidFill>
              <a:ln w="9525">
                <a:solidFill>
                  <a:schemeClr val="accent3">
                    <a:lumMod val="80000"/>
                  </a:schemeClr>
                </a:solidFill>
              </a:ln>
              <a:effectLst/>
            </c:spPr>
          </c:marker>
          <c:cat>
            <c:numRef>
              <c:f>'3.Bo gia'!$D$3:$P$3</c:f>
              <c:numCache>
                <c:formatCode>General</c:formatCode>
                <c:ptCount val="13"/>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numCache>
            </c:numRef>
          </c:cat>
          <c:val>
            <c:numRef>
              <c:f>'3.Bo gia'!$D$23:$P$23</c:f>
              <c:numCache>
                <c:formatCode>_(* #,##0_);_(* \(#,##0\);_(* "-"??_);_(@_)</c:formatCode>
                <c:ptCount val="13"/>
                <c:pt idx="0">
                  <c:v>24976.671999999999</c:v>
                </c:pt>
                <c:pt idx="1">
                  <c:v>24804.653937947493</c:v>
                </c:pt>
                <c:pt idx="2">
                  <c:v>22699.382716049382</c:v>
                </c:pt>
                <c:pt idx="3" formatCode="#,##0">
                  <c:v>22926.376543209877</c:v>
                </c:pt>
                <c:pt idx="4" formatCode="#,##0">
                  <c:v>23155.640308641978</c:v>
                </c:pt>
                <c:pt idx="5" formatCode="#,##0">
                  <c:v>23387.196711728397</c:v>
                </c:pt>
                <c:pt idx="6" formatCode="#,##0">
                  <c:v>23621.068678845681</c:v>
                </c:pt>
                <c:pt idx="7" formatCode="#,##0">
                  <c:v>23857.279365634138</c:v>
                </c:pt>
                <c:pt idx="8" formatCode="#,##0">
                  <c:v>24095.85215929048</c:v>
                </c:pt>
                <c:pt idx="9" formatCode="#,##0">
                  <c:v>24336.810680883384</c:v>
                </c:pt>
                <c:pt idx="10" formatCode="#,##0">
                  <c:v>24580.178787692217</c:v>
                </c:pt>
                <c:pt idx="11" formatCode="#,##0">
                  <c:v>24825.980575569141</c:v>
                </c:pt>
                <c:pt idx="12" formatCode="#,##0">
                  <c:v>25074.240381324835</c:v>
                </c:pt>
              </c:numCache>
            </c:numRef>
          </c:val>
          <c:smooth val="0"/>
          <c:extLst>
            <c:ext xmlns:c16="http://schemas.microsoft.com/office/drawing/2014/chart" uri="{C3380CC4-5D6E-409C-BE32-E72D297353CC}">
              <c16:uniqueId val="{00000015-758E-43D4-BC84-AA6C5B5BC920}"/>
            </c:ext>
          </c:extLst>
        </c:ser>
        <c:ser>
          <c:idx val="21"/>
          <c:order val="21"/>
          <c:tx>
            <c:strRef>
              <c:f>'3.Bo gia'!$B$24:$C$24</c:f>
              <c:strCache>
                <c:ptCount val="2"/>
                <c:pt idx="0">
                  <c:v>Thép việt đức</c:v>
                </c:pt>
                <c:pt idx="1">
                  <c:v>Đồng/kg</c:v>
                </c:pt>
              </c:strCache>
            </c:strRef>
          </c:tx>
          <c:spPr>
            <a:ln w="28575" cap="rnd">
              <a:solidFill>
                <a:schemeClr val="accent4">
                  <a:lumMod val="80000"/>
                </a:schemeClr>
              </a:solidFill>
              <a:round/>
            </a:ln>
            <a:effectLst/>
          </c:spPr>
          <c:marker>
            <c:symbol val="circle"/>
            <c:size val="5"/>
            <c:spPr>
              <a:solidFill>
                <a:schemeClr val="accent4">
                  <a:lumMod val="80000"/>
                </a:schemeClr>
              </a:solidFill>
              <a:ln w="9525">
                <a:solidFill>
                  <a:schemeClr val="accent4">
                    <a:lumMod val="80000"/>
                  </a:schemeClr>
                </a:solidFill>
              </a:ln>
              <a:effectLst/>
            </c:spPr>
          </c:marker>
          <c:cat>
            <c:numRef>
              <c:f>'3.Bo gia'!$D$3:$P$3</c:f>
              <c:numCache>
                <c:formatCode>General</c:formatCode>
                <c:ptCount val="13"/>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numCache>
            </c:numRef>
          </c:cat>
          <c:val>
            <c:numRef>
              <c:f>'3.Bo gia'!$D$24:$P$24</c:f>
              <c:numCache>
                <c:formatCode>_(* #,##0_);_(* \(#,##0\);_(* "-"??_);_(@_)</c:formatCode>
                <c:ptCount val="13"/>
                <c:pt idx="0">
                  <c:v>16862.750999999997</c:v>
                </c:pt>
                <c:pt idx="1">
                  <c:v>17308</c:v>
                </c:pt>
                <c:pt idx="2">
                  <c:v>13331</c:v>
                </c:pt>
                <c:pt idx="3" formatCode="#,##0">
                  <c:v>13464.31</c:v>
                </c:pt>
                <c:pt idx="4" formatCode="#,##0">
                  <c:v>13598.953099999999</c:v>
                </c:pt>
                <c:pt idx="5" formatCode="#,##0">
                  <c:v>13734.942630999998</c:v>
                </c:pt>
                <c:pt idx="6" formatCode="#,##0">
                  <c:v>13872.292057309998</c:v>
                </c:pt>
                <c:pt idx="7" formatCode="#,##0">
                  <c:v>14011.014977883098</c:v>
                </c:pt>
                <c:pt idx="8" formatCode="#,##0">
                  <c:v>14151.12512766193</c:v>
                </c:pt>
                <c:pt idx="9" formatCode="#,##0">
                  <c:v>14292.636378938549</c:v>
                </c:pt>
                <c:pt idx="10" formatCode="#,##0">
                  <c:v>14435.562742727934</c:v>
                </c:pt>
                <c:pt idx="11" formatCode="#,##0">
                  <c:v>14579.918370155214</c:v>
                </c:pt>
                <c:pt idx="12" formatCode="#,##0">
                  <c:v>14725.717553856766</c:v>
                </c:pt>
              </c:numCache>
            </c:numRef>
          </c:val>
          <c:smooth val="0"/>
          <c:extLst>
            <c:ext xmlns:c16="http://schemas.microsoft.com/office/drawing/2014/chart" uri="{C3380CC4-5D6E-409C-BE32-E72D297353CC}">
              <c16:uniqueId val="{00000016-758E-43D4-BC84-AA6C5B5BC920}"/>
            </c:ext>
          </c:extLst>
        </c:ser>
        <c:ser>
          <c:idx val="22"/>
          <c:order val="22"/>
          <c:tx>
            <c:strRef>
              <c:f>'3.Bo gia'!$B$25:$C$25</c:f>
              <c:strCache>
                <c:ptCount val="2"/>
                <c:pt idx="0">
                  <c:v>Thép Tisco</c:v>
                </c:pt>
                <c:pt idx="1">
                  <c:v>Đồng/kg</c:v>
                </c:pt>
              </c:strCache>
            </c:strRef>
          </c:tx>
          <c:spPr>
            <a:ln w="28575" cap="rnd">
              <a:solidFill>
                <a:schemeClr val="accent5">
                  <a:lumMod val="80000"/>
                </a:schemeClr>
              </a:solidFill>
              <a:round/>
            </a:ln>
            <a:effectLst/>
          </c:spPr>
          <c:marker>
            <c:symbol val="circle"/>
            <c:size val="5"/>
            <c:spPr>
              <a:solidFill>
                <a:schemeClr val="accent5">
                  <a:lumMod val="80000"/>
                </a:schemeClr>
              </a:solidFill>
              <a:ln w="9525">
                <a:solidFill>
                  <a:schemeClr val="accent5">
                    <a:lumMod val="80000"/>
                  </a:schemeClr>
                </a:solidFill>
              </a:ln>
              <a:effectLst/>
            </c:spPr>
          </c:marker>
          <c:cat>
            <c:numRef>
              <c:f>'3.Bo gia'!$D$3:$P$3</c:f>
              <c:numCache>
                <c:formatCode>General</c:formatCode>
                <c:ptCount val="13"/>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numCache>
            </c:numRef>
          </c:cat>
          <c:val>
            <c:numRef>
              <c:f>'3.Bo gia'!$D$25:$P$25</c:f>
              <c:numCache>
                <c:formatCode>_(* #,##0_);_(* \(#,##0\);_(* "-"??_);_(@_)</c:formatCode>
                <c:ptCount val="13"/>
                <c:pt idx="0">
                  <c:v>19383</c:v>
                </c:pt>
                <c:pt idx="1">
                  <c:v>15608</c:v>
                </c:pt>
                <c:pt idx="2">
                  <c:v>16435.986159169552</c:v>
                </c:pt>
                <c:pt idx="3" formatCode="#,##0">
                  <c:v>16600.346020761248</c:v>
                </c:pt>
                <c:pt idx="4" formatCode="#,##0">
                  <c:v>16766.34948096886</c:v>
                </c:pt>
                <c:pt idx="5" formatCode="#,##0">
                  <c:v>16934.012975778547</c:v>
                </c:pt>
                <c:pt idx="6" formatCode="#,##0">
                  <c:v>17103.353105536331</c:v>
                </c:pt>
                <c:pt idx="7" formatCode="#,##0">
                  <c:v>17274.386636591695</c:v>
                </c:pt>
                <c:pt idx="8" formatCode="#,##0">
                  <c:v>17447.130502957611</c:v>
                </c:pt>
                <c:pt idx="9" formatCode="#,##0">
                  <c:v>17621.601807987186</c:v>
                </c:pt>
                <c:pt idx="10" formatCode="#,##0">
                  <c:v>17797.817826067057</c:v>
                </c:pt>
                <c:pt idx="11" formatCode="#,##0">
                  <c:v>17975.796004327727</c:v>
                </c:pt>
                <c:pt idx="12" formatCode="#,##0">
                  <c:v>18155.553964371004</c:v>
                </c:pt>
              </c:numCache>
            </c:numRef>
          </c:val>
          <c:smooth val="0"/>
          <c:extLst>
            <c:ext xmlns:c16="http://schemas.microsoft.com/office/drawing/2014/chart" uri="{C3380CC4-5D6E-409C-BE32-E72D297353CC}">
              <c16:uniqueId val="{00000017-758E-43D4-BC84-AA6C5B5BC920}"/>
            </c:ext>
          </c:extLst>
        </c:ser>
        <c:ser>
          <c:idx val="23"/>
          <c:order val="23"/>
          <c:tx>
            <c:strRef>
              <c:f>'3.Bo gia'!$B$26:$C$26</c:f>
              <c:strCache>
                <c:ptCount val="2"/>
                <c:pt idx="0">
                  <c:v>Thép Việt Úc</c:v>
                </c:pt>
                <c:pt idx="1">
                  <c:v>Đồng/kg</c:v>
                </c:pt>
              </c:strCache>
            </c:strRef>
          </c:tx>
          <c:spPr>
            <a:ln w="28575" cap="rnd">
              <a:solidFill>
                <a:schemeClr val="accent6">
                  <a:lumMod val="80000"/>
                </a:schemeClr>
              </a:solidFill>
              <a:round/>
            </a:ln>
            <a:effectLst/>
          </c:spPr>
          <c:marker>
            <c:symbol val="circle"/>
            <c:size val="5"/>
            <c:spPr>
              <a:solidFill>
                <a:schemeClr val="accent6">
                  <a:lumMod val="80000"/>
                </a:schemeClr>
              </a:solidFill>
              <a:ln w="9525">
                <a:solidFill>
                  <a:schemeClr val="accent6">
                    <a:lumMod val="80000"/>
                  </a:schemeClr>
                </a:solidFill>
              </a:ln>
              <a:effectLst/>
            </c:spPr>
          </c:marker>
          <c:cat>
            <c:numRef>
              <c:f>'3.Bo gia'!$D$3:$P$3</c:f>
              <c:numCache>
                <c:formatCode>General</c:formatCode>
                <c:ptCount val="13"/>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numCache>
            </c:numRef>
          </c:cat>
          <c:val>
            <c:numRef>
              <c:f>'3.Bo gia'!$D$26:$P$26</c:f>
              <c:numCache>
                <c:formatCode>_(* #,##0_);_(* \(#,##0\);_(* "-"??_);_(@_)</c:formatCode>
                <c:ptCount val="13"/>
                <c:pt idx="0">
                  <c:v>15227.989675939203</c:v>
                </c:pt>
                <c:pt idx="1">
                  <c:v>13953.488372093025</c:v>
                </c:pt>
                <c:pt idx="2">
                  <c:v>13953.488372093025</c:v>
                </c:pt>
                <c:pt idx="3" formatCode="#,##0">
                  <c:v>14093.023255813956</c:v>
                </c:pt>
                <c:pt idx="4" formatCode="#,##0">
                  <c:v>14233.953488372095</c:v>
                </c:pt>
                <c:pt idx="5" formatCode="#,##0">
                  <c:v>14376.293023255816</c:v>
                </c:pt>
                <c:pt idx="6" formatCode="#,##0">
                  <c:v>14520.055953488374</c:v>
                </c:pt>
                <c:pt idx="7" formatCode="#,##0">
                  <c:v>14665.256513023258</c:v>
                </c:pt>
                <c:pt idx="8" formatCode="#,##0">
                  <c:v>14811.909078153491</c:v>
                </c:pt>
                <c:pt idx="9" formatCode="#,##0">
                  <c:v>14960.028168935025</c:v>
                </c:pt>
                <c:pt idx="10" formatCode="#,##0">
                  <c:v>15109.628450624376</c:v>
                </c:pt>
                <c:pt idx="11" formatCode="#,##0">
                  <c:v>15260.72473513062</c:v>
                </c:pt>
                <c:pt idx="12" formatCode="#,##0">
                  <c:v>15413.331982481926</c:v>
                </c:pt>
              </c:numCache>
            </c:numRef>
          </c:val>
          <c:smooth val="0"/>
          <c:extLst>
            <c:ext xmlns:c16="http://schemas.microsoft.com/office/drawing/2014/chart" uri="{C3380CC4-5D6E-409C-BE32-E72D297353CC}">
              <c16:uniqueId val="{00000018-758E-43D4-BC84-AA6C5B5BC920}"/>
            </c:ext>
          </c:extLst>
        </c:ser>
        <c:ser>
          <c:idx val="26"/>
          <c:order val="26"/>
          <c:tx>
            <c:strRef>
              <c:f>'3.Bo gia'!$B$29:$C$29</c:f>
              <c:strCache>
                <c:ptCount val="2"/>
                <c:pt idx="0">
                  <c:v>Xăng dầu</c:v>
                </c:pt>
                <c:pt idx="1">
                  <c:v>Đồng/lít</c:v>
                </c:pt>
              </c:strCache>
            </c:strRef>
          </c:tx>
          <c:spPr>
            <a:ln w="28575" cap="rnd">
              <a:solidFill>
                <a:schemeClr val="accent3">
                  <a:lumMod val="60000"/>
                  <a:lumOff val="40000"/>
                </a:schemeClr>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cat>
            <c:numRef>
              <c:f>'3.Bo gia'!$D$3:$P$3</c:f>
              <c:numCache>
                <c:formatCode>General</c:formatCode>
                <c:ptCount val="13"/>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numCache>
            </c:numRef>
          </c:cat>
          <c:val>
            <c:numRef>
              <c:f>'3.Bo gia'!$D$29:$P$29</c:f>
              <c:numCache>
                <c:formatCode>_(* #,##0_);_(* \(#,##0\);_(* "-"??_);_(@_)</c:formatCode>
                <c:ptCount val="13"/>
                <c:pt idx="1">
                  <c:v>25617.676044776119</c:v>
                </c:pt>
                <c:pt idx="2">
                  <c:v>22548.905472636816</c:v>
                </c:pt>
                <c:pt idx="3" formatCode="#,##0">
                  <c:v>22774.394527363183</c:v>
                </c:pt>
                <c:pt idx="4" formatCode="#,##0">
                  <c:v>23002.138472636816</c:v>
                </c:pt>
                <c:pt idx="5" formatCode="#,##0">
                  <c:v>23232.159857363185</c:v>
                </c:pt>
                <c:pt idx="6" formatCode="#,##0">
                  <c:v>23464.481455936817</c:v>
                </c:pt>
                <c:pt idx="7" formatCode="#,##0">
                  <c:v>23699.126270496185</c:v>
                </c:pt>
                <c:pt idx="8" formatCode="#,##0">
                  <c:v>23936.117533201148</c:v>
                </c:pt>
                <c:pt idx="9" formatCode="#,##0">
                  <c:v>24175.478708533159</c:v>
                </c:pt>
                <c:pt idx="10" formatCode="#,##0">
                  <c:v>24417.23349561849</c:v>
                </c:pt>
                <c:pt idx="11" formatCode="#,##0">
                  <c:v>24661.405830574673</c:v>
                </c:pt>
                <c:pt idx="12" formatCode="#,##0">
                  <c:v>24908.019888880419</c:v>
                </c:pt>
              </c:numCache>
            </c:numRef>
          </c:val>
          <c:smooth val="0"/>
          <c:extLst>
            <c:ext xmlns:c16="http://schemas.microsoft.com/office/drawing/2014/chart" uri="{C3380CC4-5D6E-409C-BE32-E72D297353CC}">
              <c16:uniqueId val="{0000001B-758E-43D4-BC84-AA6C5B5BC920}"/>
            </c:ext>
          </c:extLst>
        </c:ser>
        <c:dLbls>
          <c:showLegendKey val="0"/>
          <c:showVal val="0"/>
          <c:showCatName val="0"/>
          <c:showSerName val="0"/>
          <c:showPercent val="0"/>
          <c:showBubbleSize val="0"/>
        </c:dLbls>
        <c:marker val="1"/>
        <c:smooth val="0"/>
        <c:axId val="80994911"/>
        <c:axId val="424914399"/>
        <c:extLst>
          <c:ext xmlns:c15="http://schemas.microsoft.com/office/drawing/2012/chart" uri="{02D57815-91ED-43cb-92C2-25804820EDAC}">
            <c15:filteredLineSeries>
              <c15:ser>
                <c:idx val="0"/>
                <c:order val="0"/>
                <c:tx>
                  <c:strRef>
                    <c:extLst>
                      <c:ext uri="{02D57815-91ED-43cb-92C2-25804820EDAC}">
                        <c15:formulaRef>
                          <c15:sqref>'3.Bo gia'!$B$3:$C$3</c15:sqref>
                        </c15:formulaRef>
                      </c:ext>
                    </c:extLst>
                    <c:strCache>
                      <c:ptCount val="2"/>
                      <c:pt idx="0">
                        <c:v>Giá bán Trung bình</c:v>
                      </c:pt>
                      <c:pt idx="1">
                        <c:v>Đơn vị</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extLst>
                      <c:ext uri="{02D57815-91ED-43cb-92C2-25804820EDAC}">
                        <c15:formulaRef>
                          <c15:sqref>'3.Bo gia'!$D$3:$P$3</c15:sqref>
                        </c15:formulaRef>
                      </c:ext>
                    </c:extLst>
                    <c:numCache>
                      <c:formatCode>General</c:formatCode>
                      <c:ptCount val="13"/>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numCache>
                  </c:numRef>
                </c:cat>
                <c:val>
                  <c:numRef>
                    <c:extLst>
                      <c:ext uri="{02D57815-91ED-43cb-92C2-25804820EDAC}">
                        <c15:formulaRef>
                          <c15:sqref>'3.Bo gia'!$D$3:$P$3</c15:sqref>
                        </c15:formulaRef>
                      </c:ext>
                    </c:extLst>
                    <c:numCache>
                      <c:formatCode>General</c:formatCode>
                      <c:ptCount val="13"/>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numCache>
                  </c:numRef>
                </c:val>
                <c:smooth val="0"/>
                <c:extLst>
                  <c:ext xmlns:c16="http://schemas.microsoft.com/office/drawing/2014/chart" uri="{C3380CC4-5D6E-409C-BE32-E72D297353CC}">
                    <c16:uniqueId val="{00000000-758E-43D4-BC84-AA6C5B5BC920}"/>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'3.Bo gia'!$B$4:$C$4</c15:sqref>
                        </c15:formulaRef>
                      </c:ext>
                    </c:extLst>
                    <c:strCache>
                      <c:ptCount val="2"/>
                      <c:pt idx="0">
                        <c:v>Giá bán Trung bình</c:v>
                      </c:pt>
                      <c:pt idx="1">
                        <c:v>Đơn vị</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extLst xmlns:c15="http://schemas.microsoft.com/office/drawing/2012/chart">
                      <c:ext xmlns:c15="http://schemas.microsoft.com/office/drawing/2012/chart" uri="{02D57815-91ED-43cb-92C2-25804820EDAC}">
                        <c15:formulaRef>
                          <c15:sqref>'3.Bo gia'!$D$3:$P$3</c15:sqref>
                        </c15:formulaRef>
                      </c:ext>
                    </c:extLst>
                    <c:numCache>
                      <c:formatCode>General</c:formatCode>
                      <c:ptCount val="13"/>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numCache>
                  </c:numRef>
                </c:cat>
                <c:val>
                  <c:numRef>
                    <c:extLst xmlns:c15="http://schemas.microsoft.com/office/drawing/2012/chart">
                      <c:ext xmlns:c15="http://schemas.microsoft.com/office/drawing/2012/chart" uri="{02D57815-91ED-43cb-92C2-25804820EDAC}">
                        <c15:formulaRef>
                          <c15:sqref>'3.Bo gia'!$D$4:$P$4</c15:sqref>
                        </c15:formulaRef>
                      </c:ext>
                    </c:extLst>
                    <c:numCache>
                      <c:formatCode>General</c:formatCode>
                      <c:ptCount val="13"/>
                    </c:numCache>
                  </c:numRef>
                </c:val>
                <c:smooth val="0"/>
                <c:extLst xmlns:c15="http://schemas.microsoft.com/office/drawing/2012/chart">
                  <c:ext xmlns:c16="http://schemas.microsoft.com/office/drawing/2014/chart" uri="{C3380CC4-5D6E-409C-BE32-E72D297353CC}">
                    <c16:uniqueId val="{00000001-758E-43D4-BC84-AA6C5B5BC920}"/>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'3.Bo gia'!$B$5:$C$5</c15:sqref>
                        </c15:formulaRef>
                      </c:ext>
                    </c:extLst>
                    <c:strCache>
                      <c:ptCount val="2"/>
                      <c:pt idx="0">
                        <c:v>Sản xuất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extLst xmlns:c15="http://schemas.microsoft.com/office/drawing/2012/chart">
                      <c:ext xmlns:c15="http://schemas.microsoft.com/office/drawing/2012/chart" uri="{02D57815-91ED-43cb-92C2-25804820EDAC}">
                        <c15:formulaRef>
                          <c15:sqref>'3.Bo gia'!$D$3:$P$3</c15:sqref>
                        </c15:formulaRef>
                      </c:ext>
                    </c:extLst>
                    <c:numCache>
                      <c:formatCode>General</c:formatCode>
                      <c:ptCount val="13"/>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numCache>
                  </c:numRef>
                </c:cat>
                <c:val>
                  <c:numRef>
                    <c:extLst xmlns:c15="http://schemas.microsoft.com/office/drawing/2012/chart">
                      <c:ext xmlns:c15="http://schemas.microsoft.com/office/drawing/2012/chart" uri="{02D57815-91ED-43cb-92C2-25804820EDAC}">
                        <c15:formulaRef>
                          <c15:sqref>'3.Bo gia'!$D$5:$P$5</c15:sqref>
                        </c15:formulaRef>
                      </c:ext>
                    </c:extLst>
                    <c:numCache>
                      <c:formatCode>General</c:formatCode>
                      <c:ptCount val="13"/>
                    </c:numCache>
                  </c:numRef>
                </c:val>
                <c:smooth val="0"/>
                <c:extLst xmlns:c15="http://schemas.microsoft.com/office/drawing/2012/chart">
                  <c:ext xmlns:c16="http://schemas.microsoft.com/office/drawing/2014/chart" uri="{C3380CC4-5D6E-409C-BE32-E72D297353CC}">
                    <c16:uniqueId val="{00000002-758E-43D4-BC84-AA6C5B5BC920}"/>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'3.Bo gia'!$B$6:$C$6</c15:sqref>
                        </c15:formulaRef>
                      </c:ext>
                    </c:extLst>
                    <c:strCache>
                      <c:ptCount val="2"/>
                      <c:pt idx="0">
                        <c:v>Sản xuất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extLst xmlns:c15="http://schemas.microsoft.com/office/drawing/2012/chart">
                      <c:ext xmlns:c15="http://schemas.microsoft.com/office/drawing/2012/chart" uri="{02D57815-91ED-43cb-92C2-25804820EDAC}">
                        <c15:formulaRef>
                          <c15:sqref>'3.Bo gia'!$D$3:$P$3</c15:sqref>
                        </c15:formulaRef>
                      </c:ext>
                    </c:extLst>
                    <c:numCache>
                      <c:formatCode>General</c:formatCode>
                      <c:ptCount val="13"/>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numCache>
                  </c:numRef>
                </c:cat>
                <c:val>
                  <c:numRef>
                    <c:extLst xmlns:c15="http://schemas.microsoft.com/office/drawing/2012/chart">
                      <c:ext xmlns:c15="http://schemas.microsoft.com/office/drawing/2012/chart" uri="{02D57815-91ED-43cb-92C2-25804820EDAC}">
                        <c15:formulaRef>
                          <c15:sqref>'3.Bo gia'!$D$6:$P$6</c15:sqref>
                        </c15:formulaRef>
                      </c:ext>
                    </c:extLst>
                    <c:numCache>
                      <c:formatCode>General</c:formatCode>
                      <c:ptCount val="13"/>
                      <c:pt idx="3" formatCode="0%">
                        <c:v>0.01</c:v>
                      </c:pt>
                      <c:pt idx="4" formatCode="0%">
                        <c:v>0.01</c:v>
                      </c:pt>
                      <c:pt idx="5" formatCode="0%">
                        <c:v>0.01</c:v>
                      </c:pt>
                      <c:pt idx="6" formatCode="0%">
                        <c:v>0.01</c:v>
                      </c:pt>
                      <c:pt idx="7" formatCode="0%">
                        <c:v>0.01</c:v>
                      </c:pt>
                      <c:pt idx="8" formatCode="0%">
                        <c:v>0.01</c:v>
                      </c:pt>
                      <c:pt idx="9" formatCode="0%">
                        <c:v>0.01</c:v>
                      </c:pt>
                      <c:pt idx="10" formatCode="0%">
                        <c:v>0.01</c:v>
                      </c:pt>
                      <c:pt idx="11" formatCode="0%">
                        <c:v>0.01</c:v>
                      </c:pt>
                      <c:pt idx="12" formatCode="0%">
                        <c:v>0.01</c:v>
                      </c:pt>
                    </c:numCache>
                  </c:numRef>
                </c:val>
                <c:smooth val="0"/>
                <c:extLst xmlns:c15="http://schemas.microsoft.com/office/drawing/2012/chart">
                  <c:ext xmlns:c16="http://schemas.microsoft.com/office/drawing/2014/chart" uri="{C3380CC4-5D6E-409C-BE32-E72D297353CC}">
                    <c16:uniqueId val="{00000003-758E-43D4-BC84-AA6C5B5BC920}"/>
                  </c:ext>
                </c:extLst>
              </c15:ser>
            </c15:filteredLineSeries>
            <c15:filteredLineSeries>
              <c15:ser>
                <c:idx val="6"/>
                <c:order val="6"/>
                <c:tx>
                  <c:strRef>
                    <c:extLst xmlns:c15="http://schemas.microsoft.com/office/drawing/2012/chart">
                      <c:ext xmlns:c15="http://schemas.microsoft.com/office/drawing/2012/chart" uri="{02D57815-91ED-43cb-92C2-25804820EDAC}">
                        <c15:formulaRef>
                          <c15:sqref>'3.Bo gia'!$B$9:$C$9</c15:sqref>
                        </c15:formulaRef>
                      </c:ext>
                    </c:extLst>
                    <c:strCache>
                      <c:ptCount val="2"/>
                      <c:pt idx="0">
                        <c:v>Gạch</c:v>
                      </c:pt>
                      <c:pt idx="1">
                        <c:v>đồng/viên</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numRef>
                    <c:extLst xmlns:c15="http://schemas.microsoft.com/office/drawing/2012/chart">
                      <c:ext xmlns:c15="http://schemas.microsoft.com/office/drawing/2012/chart" uri="{02D57815-91ED-43cb-92C2-25804820EDAC}">
                        <c15:formulaRef>
                          <c15:sqref>'3.Bo gia'!$D$3:$P$3</c15:sqref>
                        </c15:formulaRef>
                      </c:ext>
                    </c:extLst>
                    <c:numCache>
                      <c:formatCode>General</c:formatCode>
                      <c:ptCount val="13"/>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numCache>
                  </c:numRef>
                </c:cat>
                <c:val>
                  <c:numRef>
                    <c:extLst xmlns:c15="http://schemas.microsoft.com/office/drawing/2012/chart">
                      <c:ext xmlns:c15="http://schemas.microsoft.com/office/drawing/2012/chart" uri="{02D57815-91ED-43cb-92C2-25804820EDAC}">
                        <c15:formulaRef>
                          <c15:sqref>'3.Bo gia'!$D$9:$P$9</c15:sqref>
                        </c15:formulaRef>
                      </c:ext>
                    </c:extLst>
                    <c:numCache>
                      <c:formatCode>General</c:formatCode>
                      <c:ptCount val="13"/>
                    </c:numCache>
                  </c:numRef>
                </c:val>
                <c:smooth val="0"/>
                <c:extLst xmlns:c15="http://schemas.microsoft.com/office/drawing/2012/chart">
                  <c:ext xmlns:c16="http://schemas.microsoft.com/office/drawing/2014/chart" uri="{C3380CC4-5D6E-409C-BE32-E72D297353CC}">
                    <c16:uniqueId val="{00000006-758E-43D4-BC84-AA6C5B5BC920}"/>
                  </c:ext>
                </c:extLst>
              </c15:ser>
            </c15:filteredLineSeries>
            <c15:filteredLineSeries>
              <c15:ser>
                <c:idx val="7"/>
                <c:order val="7"/>
                <c:tx>
                  <c:strRef>
                    <c:extLst xmlns:c15="http://schemas.microsoft.com/office/drawing/2012/chart">
                      <c:ext xmlns:c15="http://schemas.microsoft.com/office/drawing/2012/chart" uri="{02D57815-91ED-43cb-92C2-25804820EDAC}">
                        <c15:formulaRef>
                          <c15:sqref>'3.Bo gia'!$B$10:$C$10</c15:sqref>
                        </c15:formulaRef>
                      </c:ext>
                    </c:extLst>
                    <c:strCache>
                      <c:ptCount val="2"/>
                      <c:pt idx="0">
                        <c:v>Thương mại</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numRef>
                    <c:extLst xmlns:c15="http://schemas.microsoft.com/office/drawing/2012/chart">
                      <c:ext xmlns:c15="http://schemas.microsoft.com/office/drawing/2012/chart" uri="{02D57815-91ED-43cb-92C2-25804820EDAC}">
                        <c15:formulaRef>
                          <c15:sqref>'3.Bo gia'!$D$3:$P$3</c15:sqref>
                        </c15:formulaRef>
                      </c:ext>
                    </c:extLst>
                    <c:numCache>
                      <c:formatCode>General</c:formatCode>
                      <c:ptCount val="13"/>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numCache>
                  </c:numRef>
                </c:cat>
                <c:val>
                  <c:numRef>
                    <c:extLst xmlns:c15="http://schemas.microsoft.com/office/drawing/2012/chart">
                      <c:ext xmlns:c15="http://schemas.microsoft.com/office/drawing/2012/chart" uri="{02D57815-91ED-43cb-92C2-25804820EDAC}">
                        <c15:formulaRef>
                          <c15:sqref>'3.Bo gia'!$D$10:$P$10</c15:sqref>
                        </c15:formulaRef>
                      </c:ext>
                    </c:extLst>
                    <c:numCache>
                      <c:formatCode>General</c:formatCode>
                      <c:ptCount val="13"/>
                    </c:numCache>
                  </c:numRef>
                </c:val>
                <c:smooth val="0"/>
                <c:extLst xmlns:c15="http://schemas.microsoft.com/office/drawing/2012/chart">
                  <c:ext xmlns:c16="http://schemas.microsoft.com/office/drawing/2014/chart" uri="{C3380CC4-5D6E-409C-BE32-E72D297353CC}">
                    <c16:uniqueId val="{00000007-758E-43D4-BC84-AA6C5B5BC920}"/>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'3.Bo gia'!$B$11:$C$11</c15:sqref>
                        </c15:formulaRef>
                      </c:ext>
                    </c:extLst>
                    <c:strCache>
                      <c:ptCount val="2"/>
                      <c:pt idx="0">
                        <c:v>Thương mại</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numRef>
                    <c:extLst xmlns:c15="http://schemas.microsoft.com/office/drawing/2012/chart">
                      <c:ext xmlns:c15="http://schemas.microsoft.com/office/drawing/2012/chart" uri="{02D57815-91ED-43cb-92C2-25804820EDAC}">
                        <c15:formulaRef>
                          <c15:sqref>'3.Bo gia'!$D$3:$P$3</c15:sqref>
                        </c15:formulaRef>
                      </c:ext>
                    </c:extLst>
                    <c:numCache>
                      <c:formatCode>General</c:formatCode>
                      <c:ptCount val="13"/>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numCache>
                  </c:numRef>
                </c:cat>
                <c:val>
                  <c:numRef>
                    <c:extLst xmlns:c15="http://schemas.microsoft.com/office/drawing/2012/chart">
                      <c:ext xmlns:c15="http://schemas.microsoft.com/office/drawing/2012/chart" uri="{02D57815-91ED-43cb-92C2-25804820EDAC}">
                        <c15:formulaRef>
                          <c15:sqref>'3.Bo gia'!$D$11:$P$11</c15:sqref>
                        </c15:formulaRef>
                      </c:ext>
                    </c:extLst>
                    <c:numCache>
                      <c:formatCode>General</c:formatCode>
                      <c:ptCount val="13"/>
                    </c:numCache>
                  </c:numRef>
                </c:val>
                <c:smooth val="0"/>
                <c:extLst xmlns:c15="http://schemas.microsoft.com/office/drawing/2012/chart">
                  <c:ext xmlns:c16="http://schemas.microsoft.com/office/drawing/2014/chart" uri="{C3380CC4-5D6E-409C-BE32-E72D297353CC}">
                    <c16:uniqueId val="{00000008-758E-43D4-BC84-AA6C5B5BC920}"/>
                  </c:ext>
                </c:extLst>
              </c15:ser>
            </c15:filteredLineSeries>
            <c15:filteredLineSeries>
              <c15:ser>
                <c:idx val="9"/>
                <c:order val="9"/>
                <c:tx>
                  <c:strRef>
                    <c:extLst xmlns:c15="http://schemas.microsoft.com/office/drawing/2012/chart">
                      <c:ext xmlns:c15="http://schemas.microsoft.com/office/drawing/2012/chart" uri="{02D57815-91ED-43cb-92C2-25804820EDAC}">
                        <c15:formulaRef>
                          <c15:sqref>'3.Bo gia'!$B$12:$C$12</c15:sqref>
                        </c15:formulaRef>
                      </c:ext>
                    </c:extLst>
                    <c:strCache>
                      <c:ptCount val="2"/>
                      <c:pt idx="0">
                        <c:v>Xi măng</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numRef>
                    <c:extLst xmlns:c15="http://schemas.microsoft.com/office/drawing/2012/chart">
                      <c:ext xmlns:c15="http://schemas.microsoft.com/office/drawing/2012/chart" uri="{02D57815-91ED-43cb-92C2-25804820EDAC}">
                        <c15:formulaRef>
                          <c15:sqref>'3.Bo gia'!$D$3:$P$3</c15:sqref>
                        </c15:formulaRef>
                      </c:ext>
                    </c:extLst>
                    <c:numCache>
                      <c:formatCode>General</c:formatCode>
                      <c:ptCount val="13"/>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numCache>
                  </c:numRef>
                </c:cat>
                <c:val>
                  <c:numRef>
                    <c:extLst xmlns:c15="http://schemas.microsoft.com/office/drawing/2012/chart">
                      <c:ext xmlns:c15="http://schemas.microsoft.com/office/drawing/2012/chart" uri="{02D57815-91ED-43cb-92C2-25804820EDAC}">
                        <c15:formulaRef>
                          <c15:sqref>'3.Bo gia'!$D$12:$P$12</c15:sqref>
                        </c15:formulaRef>
                      </c:ext>
                    </c:extLst>
                    <c:numCache>
                      <c:formatCode>_(* #,##0.0_);_(* \(#,##0.0\);_(* "-"??_);_(@_)</c:formatCode>
                      <c:ptCount val="13"/>
                      <c:pt idx="3" formatCode="0%">
                        <c:v>0.01</c:v>
                      </c:pt>
                      <c:pt idx="4" formatCode="0%">
                        <c:v>0.01</c:v>
                      </c:pt>
                      <c:pt idx="5" formatCode="0%">
                        <c:v>0.01</c:v>
                      </c:pt>
                      <c:pt idx="6" formatCode="0%">
                        <c:v>0.01</c:v>
                      </c:pt>
                      <c:pt idx="7" formatCode="0%">
                        <c:v>0.01</c:v>
                      </c:pt>
                      <c:pt idx="8" formatCode="0%">
                        <c:v>0.01</c:v>
                      </c:pt>
                      <c:pt idx="9" formatCode="0%">
                        <c:v>0.01</c:v>
                      </c:pt>
                      <c:pt idx="10" formatCode="0%">
                        <c:v>0.01</c:v>
                      </c:pt>
                      <c:pt idx="11" formatCode="0%">
                        <c:v>0.01</c:v>
                      </c:pt>
                      <c:pt idx="12" formatCode="0%">
                        <c:v>0.01</c:v>
                      </c:pt>
                    </c:numCache>
                  </c:numRef>
                </c:val>
                <c:smooth val="0"/>
                <c:extLst xmlns:c15="http://schemas.microsoft.com/office/drawing/2012/chart">
                  <c:ext xmlns:c16="http://schemas.microsoft.com/office/drawing/2014/chart" uri="{C3380CC4-5D6E-409C-BE32-E72D297353CC}">
                    <c16:uniqueId val="{00000009-758E-43D4-BC84-AA6C5B5BC920}"/>
                  </c:ext>
                </c:extLst>
              </c15:ser>
            </c15:filteredLineSeries>
            <c15:filteredLineSeries>
              <c15:ser>
                <c:idx val="16"/>
                <c:order val="16"/>
                <c:tx>
                  <c:strRef>
                    <c:extLst xmlns:c15="http://schemas.microsoft.com/office/drawing/2012/chart">
                      <c:ext xmlns:c15="http://schemas.microsoft.com/office/drawing/2012/chart" uri="{02D57815-91ED-43cb-92C2-25804820EDAC}">
                        <c15:formulaRef>
                          <c15:sqref>'3.Bo gia'!$B$19:$C$19</c15:sqref>
                        </c15:formulaRef>
                      </c:ext>
                    </c:extLst>
                    <c:strCache>
                      <c:ptCount val="2"/>
                      <c:pt idx="0">
                        <c:v>Xi măng Pomihoa</c:v>
                      </c:pt>
                      <c:pt idx="1">
                        <c:v>đồng/tấn</c:v>
                      </c:pt>
                    </c:strCache>
                  </c:strRef>
                </c:tx>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cat>
                  <c:numRef>
                    <c:extLst xmlns:c15="http://schemas.microsoft.com/office/drawing/2012/chart">
                      <c:ext xmlns:c15="http://schemas.microsoft.com/office/drawing/2012/chart" uri="{02D57815-91ED-43cb-92C2-25804820EDAC}">
                        <c15:formulaRef>
                          <c15:sqref>'3.Bo gia'!$D$3:$P$3</c15:sqref>
                        </c15:formulaRef>
                      </c:ext>
                    </c:extLst>
                    <c:numCache>
                      <c:formatCode>General</c:formatCode>
                      <c:ptCount val="13"/>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numCache>
                  </c:numRef>
                </c:cat>
                <c:val>
                  <c:numRef>
                    <c:extLst xmlns:c15="http://schemas.microsoft.com/office/drawing/2012/chart">
                      <c:ext xmlns:c15="http://schemas.microsoft.com/office/drawing/2012/chart" uri="{02D57815-91ED-43cb-92C2-25804820EDAC}">
                        <c15:formulaRef>
                          <c15:sqref>'3.Bo gia'!$D$19:$P$19</c15:sqref>
                        </c15:formulaRef>
                      </c:ext>
                    </c:extLst>
                    <c:numCache>
                      <c:formatCode>General</c:formatCode>
                      <c:ptCount val="13"/>
                    </c:numCache>
                  </c:numRef>
                </c:val>
                <c:smooth val="0"/>
                <c:extLst xmlns:c15="http://schemas.microsoft.com/office/drawing/2012/chart">
                  <c:ext xmlns:c16="http://schemas.microsoft.com/office/drawing/2014/chart" uri="{C3380CC4-5D6E-409C-BE32-E72D297353CC}">
                    <c16:uniqueId val="{00000011-758E-43D4-BC84-AA6C5B5BC920}"/>
                  </c:ext>
                </c:extLst>
              </c15:ser>
            </c15:filteredLineSeries>
            <c15:filteredLineSeries>
              <c15:ser>
                <c:idx val="17"/>
                <c:order val="17"/>
                <c:tx>
                  <c:strRef>
                    <c:extLst xmlns:c15="http://schemas.microsoft.com/office/drawing/2012/chart">
                      <c:ext xmlns:c15="http://schemas.microsoft.com/office/drawing/2012/chart" uri="{02D57815-91ED-43cb-92C2-25804820EDAC}">
                        <c15:formulaRef>
                          <c15:sqref>'3.Bo gia'!$B$20:$C$20</c15:sqref>
                        </c15:formulaRef>
                      </c:ext>
                    </c:extLst>
                    <c:strCache>
                      <c:ptCount val="2"/>
                      <c:pt idx="0">
                        <c:v>Sắt</c:v>
                      </c:pt>
                    </c:strCache>
                  </c:strRef>
                </c:tx>
                <c:spPr>
                  <a:ln w="28575"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cat>
                  <c:numRef>
                    <c:extLst xmlns:c15="http://schemas.microsoft.com/office/drawing/2012/chart">
                      <c:ext xmlns:c15="http://schemas.microsoft.com/office/drawing/2012/chart" uri="{02D57815-91ED-43cb-92C2-25804820EDAC}">
                        <c15:formulaRef>
                          <c15:sqref>'3.Bo gia'!$D$3:$P$3</c15:sqref>
                        </c15:formulaRef>
                      </c:ext>
                    </c:extLst>
                    <c:numCache>
                      <c:formatCode>General</c:formatCode>
                      <c:ptCount val="13"/>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numCache>
                  </c:numRef>
                </c:cat>
                <c:val>
                  <c:numRef>
                    <c:extLst xmlns:c15="http://schemas.microsoft.com/office/drawing/2012/chart">
                      <c:ext xmlns:c15="http://schemas.microsoft.com/office/drawing/2012/chart" uri="{02D57815-91ED-43cb-92C2-25804820EDAC}">
                        <c15:formulaRef>
                          <c15:sqref>'3.Bo gia'!$D$20:$P$20</c15:sqref>
                        </c15:formulaRef>
                      </c:ext>
                    </c:extLst>
                    <c:numCache>
                      <c:formatCode>General</c:formatCode>
                      <c:ptCount val="13"/>
                      <c:pt idx="3" formatCode="0%">
                        <c:v>0.01</c:v>
                      </c:pt>
                      <c:pt idx="4" formatCode="0%">
                        <c:v>0.01</c:v>
                      </c:pt>
                      <c:pt idx="5" formatCode="0%">
                        <c:v>0.01</c:v>
                      </c:pt>
                      <c:pt idx="6" formatCode="0%">
                        <c:v>0.01</c:v>
                      </c:pt>
                      <c:pt idx="7" formatCode="0%">
                        <c:v>0.01</c:v>
                      </c:pt>
                      <c:pt idx="8" formatCode="0%">
                        <c:v>0.01</c:v>
                      </c:pt>
                      <c:pt idx="9" formatCode="0%">
                        <c:v>0.01</c:v>
                      </c:pt>
                      <c:pt idx="10" formatCode="0%">
                        <c:v>0.01</c:v>
                      </c:pt>
                      <c:pt idx="11" formatCode="0%">
                        <c:v>0.01</c:v>
                      </c:pt>
                      <c:pt idx="12" formatCode="0%">
                        <c:v>0.01</c:v>
                      </c:pt>
                    </c:numCache>
                  </c:numRef>
                </c:val>
                <c:smooth val="0"/>
                <c:extLst xmlns:c15="http://schemas.microsoft.com/office/drawing/2012/chart">
                  <c:ext xmlns:c16="http://schemas.microsoft.com/office/drawing/2014/chart" uri="{C3380CC4-5D6E-409C-BE32-E72D297353CC}">
                    <c16:uniqueId val="{00000012-758E-43D4-BC84-AA6C5B5BC920}"/>
                  </c:ext>
                </c:extLst>
              </c15:ser>
            </c15:filteredLineSeries>
            <c15:filteredLineSeries>
              <c15:ser>
                <c:idx val="24"/>
                <c:order val="24"/>
                <c:tx>
                  <c:strRef>
                    <c:extLst xmlns:c15="http://schemas.microsoft.com/office/drawing/2012/chart">
                      <c:ext xmlns:c15="http://schemas.microsoft.com/office/drawing/2012/chart" uri="{02D57815-91ED-43cb-92C2-25804820EDAC}">
                        <c15:formulaRef>
                          <c15:sqref>'3.Bo gia'!$B$27:$C$27</c15:sqref>
                        </c15:formulaRef>
                      </c:ext>
                    </c:extLst>
                    <c:strCache>
                      <c:ptCount val="2"/>
                      <c:pt idx="0">
                        <c:v>Thép Việt Úc</c:v>
                      </c:pt>
                      <c:pt idx="1">
                        <c:v>Đồng/kg</c:v>
                      </c:pt>
                    </c:strCache>
                  </c:strRef>
                </c:tx>
                <c:spPr>
                  <a:ln w="28575" cap="rnd">
                    <a:solidFill>
                      <a:schemeClr val="accent1">
                        <a:lumMod val="60000"/>
                        <a:lumOff val="40000"/>
                      </a:schemeClr>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cat>
                  <c:numRef>
                    <c:extLst xmlns:c15="http://schemas.microsoft.com/office/drawing/2012/chart">
                      <c:ext xmlns:c15="http://schemas.microsoft.com/office/drawing/2012/chart" uri="{02D57815-91ED-43cb-92C2-25804820EDAC}">
                        <c15:formulaRef>
                          <c15:sqref>'3.Bo gia'!$D$3:$P$3</c15:sqref>
                        </c15:formulaRef>
                      </c:ext>
                    </c:extLst>
                    <c:numCache>
                      <c:formatCode>General</c:formatCode>
                      <c:ptCount val="13"/>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numCache>
                  </c:numRef>
                </c:cat>
                <c:val>
                  <c:numRef>
                    <c:extLst xmlns:c15="http://schemas.microsoft.com/office/drawing/2012/chart">
                      <c:ext xmlns:c15="http://schemas.microsoft.com/office/drawing/2012/chart" uri="{02D57815-91ED-43cb-92C2-25804820EDAC}">
                        <c15:formulaRef>
                          <c15:sqref>'3.Bo gia'!$D$27:$P$27</c15:sqref>
                        </c15:formulaRef>
                      </c:ext>
                    </c:extLst>
                    <c:numCache>
                      <c:formatCode>General</c:formatCode>
                      <c:ptCount val="13"/>
                    </c:numCache>
                  </c:numRef>
                </c:val>
                <c:smooth val="0"/>
                <c:extLst xmlns:c15="http://schemas.microsoft.com/office/drawing/2012/chart">
                  <c:ext xmlns:c16="http://schemas.microsoft.com/office/drawing/2014/chart" uri="{C3380CC4-5D6E-409C-BE32-E72D297353CC}">
                    <c16:uniqueId val="{00000019-758E-43D4-BC84-AA6C5B5BC920}"/>
                  </c:ext>
                </c:extLst>
              </c15:ser>
            </c15:filteredLineSeries>
            <c15:filteredLineSeries>
              <c15:ser>
                <c:idx val="25"/>
                <c:order val="25"/>
                <c:tx>
                  <c:strRef>
                    <c:extLst xmlns:c15="http://schemas.microsoft.com/office/drawing/2012/chart">
                      <c:ext xmlns:c15="http://schemas.microsoft.com/office/drawing/2012/chart" uri="{02D57815-91ED-43cb-92C2-25804820EDAC}">
                        <c15:formulaRef>
                          <c15:sqref>'3.Bo gia'!$B$28:$C$28</c15:sqref>
                        </c15:formulaRef>
                      </c:ext>
                    </c:extLst>
                    <c:strCache>
                      <c:ptCount val="2"/>
                      <c:pt idx="0">
                        <c:v>Xăng dầu</c:v>
                      </c:pt>
                    </c:strCache>
                  </c:strRef>
                </c:tx>
                <c:spPr>
                  <a:ln w="28575" cap="rnd">
                    <a:solidFill>
                      <a:schemeClr val="accent2">
                        <a:lumMod val="60000"/>
                        <a:lumOff val="40000"/>
                      </a:schemeClr>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cat>
                  <c:numRef>
                    <c:extLst xmlns:c15="http://schemas.microsoft.com/office/drawing/2012/chart">
                      <c:ext xmlns:c15="http://schemas.microsoft.com/office/drawing/2012/chart" uri="{02D57815-91ED-43cb-92C2-25804820EDAC}">
                        <c15:formulaRef>
                          <c15:sqref>'3.Bo gia'!$D$3:$P$3</c15:sqref>
                        </c15:formulaRef>
                      </c:ext>
                    </c:extLst>
                    <c:numCache>
                      <c:formatCode>General</c:formatCode>
                      <c:ptCount val="13"/>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numCache>
                  </c:numRef>
                </c:cat>
                <c:val>
                  <c:numRef>
                    <c:extLst xmlns:c15="http://schemas.microsoft.com/office/drawing/2012/chart">
                      <c:ext xmlns:c15="http://schemas.microsoft.com/office/drawing/2012/chart" uri="{02D57815-91ED-43cb-92C2-25804820EDAC}">
                        <c15:formulaRef>
                          <c15:sqref>'3.Bo gia'!$D$28:$P$28</c15:sqref>
                        </c15:formulaRef>
                      </c:ext>
                    </c:extLst>
                    <c:numCache>
                      <c:formatCode>General</c:formatCode>
                      <c:ptCount val="13"/>
                      <c:pt idx="3" formatCode="0%">
                        <c:v>0.01</c:v>
                      </c:pt>
                      <c:pt idx="4" formatCode="0%">
                        <c:v>0.01</c:v>
                      </c:pt>
                      <c:pt idx="5" formatCode="0%">
                        <c:v>0.01</c:v>
                      </c:pt>
                      <c:pt idx="6" formatCode="0%">
                        <c:v>0.01</c:v>
                      </c:pt>
                      <c:pt idx="7" formatCode="0%">
                        <c:v>0.01</c:v>
                      </c:pt>
                      <c:pt idx="8" formatCode="0%">
                        <c:v>0.01</c:v>
                      </c:pt>
                      <c:pt idx="9" formatCode="0%">
                        <c:v>0.01</c:v>
                      </c:pt>
                      <c:pt idx="10" formatCode="0%">
                        <c:v>0.01</c:v>
                      </c:pt>
                      <c:pt idx="11" formatCode="0%">
                        <c:v>0.01</c:v>
                      </c:pt>
                      <c:pt idx="12" formatCode="0%">
                        <c:v>0.01</c:v>
                      </c:pt>
                    </c:numCache>
                  </c:numRef>
                </c:val>
                <c:smooth val="0"/>
                <c:extLst xmlns:c15="http://schemas.microsoft.com/office/drawing/2012/chart">
                  <c:ext xmlns:c16="http://schemas.microsoft.com/office/drawing/2014/chart" uri="{C3380CC4-5D6E-409C-BE32-E72D297353CC}">
                    <c16:uniqueId val="{0000001A-758E-43D4-BC84-AA6C5B5BC920}"/>
                  </c:ext>
                </c:extLst>
              </c15:ser>
            </c15:filteredLineSeries>
          </c:ext>
        </c:extLst>
      </c:lineChart>
      <c:catAx>
        <c:axId val="80994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914399"/>
        <c:crosses val="autoZero"/>
        <c:auto val="1"/>
        <c:lblAlgn val="ctr"/>
        <c:lblOffset val="100"/>
        <c:noMultiLvlLbl val="0"/>
      </c:catAx>
      <c:valAx>
        <c:axId val="424914399"/>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949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Giá</a:t>
            </a:r>
            <a:r>
              <a:rPr lang="en-US" b="1" baseline="0"/>
              <a:t> Nguyên vật Liệu</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1"/>
          <c:tx>
            <c:strRef>
              <c:f>'3. CP-NL'!$B$40:$C$40</c:f>
              <c:strCache>
                <c:ptCount val="2"/>
                <c:pt idx="0">
                  <c:v>Cát </c:v>
                </c:pt>
                <c:pt idx="1">
                  <c:v> (VNĐ)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'3. CP-NL'!$D$4:$M$4</c:f>
              <c:numCache>
                <c:formatCode>General</c:formatCode>
                <c:ptCount val="10"/>
                <c:pt idx="0">
                  <c:v>2024</c:v>
                </c:pt>
                <c:pt idx="1">
                  <c:v>2025</c:v>
                </c:pt>
                <c:pt idx="2">
                  <c:v>2026</c:v>
                </c:pt>
                <c:pt idx="3">
                  <c:v>2027</c:v>
                </c:pt>
                <c:pt idx="4">
                  <c:v>2028</c:v>
                </c:pt>
                <c:pt idx="5">
                  <c:v>2029</c:v>
                </c:pt>
                <c:pt idx="6">
                  <c:v>2030</c:v>
                </c:pt>
                <c:pt idx="7">
                  <c:v>2031</c:v>
                </c:pt>
                <c:pt idx="8">
                  <c:v>2032</c:v>
                </c:pt>
                <c:pt idx="9">
                  <c:v>2033</c:v>
                </c:pt>
              </c:numCache>
            </c:numRef>
          </c:cat>
          <c:val>
            <c:numRef>
              <c:f>'3. CP-NL'!$D$40:$M$40</c:f>
              <c:numCache>
                <c:formatCode>_(* #,##0_);_(* \(#,##0\);_(* "-"??_);_(@_)</c:formatCode>
                <c:ptCount val="10"/>
                <c:pt idx="0">
                  <c:v>220000</c:v>
                </c:pt>
                <c:pt idx="1">
                  <c:v>222200</c:v>
                </c:pt>
                <c:pt idx="2">
                  <c:v>224422</c:v>
                </c:pt>
                <c:pt idx="3">
                  <c:v>226666.22</c:v>
                </c:pt>
                <c:pt idx="4">
                  <c:v>228932.88219999999</c:v>
                </c:pt>
                <c:pt idx="5">
                  <c:v>231222.211022</c:v>
                </c:pt>
                <c:pt idx="6">
                  <c:v>233534.43313222</c:v>
                </c:pt>
                <c:pt idx="7">
                  <c:v>235869.77746354221</c:v>
                </c:pt>
                <c:pt idx="8">
                  <c:v>238228.47523817763</c:v>
                </c:pt>
                <c:pt idx="9">
                  <c:v>240610.75999055943</c:v>
                </c:pt>
              </c:numCache>
            </c:numRef>
          </c:val>
          <c:smooth val="0"/>
          <c:extLst>
            <c:ext xmlns:c16="http://schemas.microsoft.com/office/drawing/2014/chart" uri="{C3380CC4-5D6E-409C-BE32-E72D297353CC}">
              <c16:uniqueId val="{00000001-2034-4065-8B8B-3DD2AA2ADF57}"/>
            </c:ext>
          </c:extLst>
        </c:ser>
        <c:ser>
          <c:idx val="2"/>
          <c:order val="2"/>
          <c:tx>
            <c:strRef>
              <c:f>'3. CP-NL'!$B$41:$C$41</c:f>
              <c:strCache>
                <c:ptCount val="2"/>
                <c:pt idx="0">
                  <c:v>Đá </c:v>
                </c:pt>
                <c:pt idx="1">
                  <c:v> (VNĐ) </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'3. CP-NL'!$D$4:$M$4</c:f>
              <c:numCache>
                <c:formatCode>General</c:formatCode>
                <c:ptCount val="10"/>
                <c:pt idx="0">
                  <c:v>2024</c:v>
                </c:pt>
                <c:pt idx="1">
                  <c:v>2025</c:v>
                </c:pt>
                <c:pt idx="2">
                  <c:v>2026</c:v>
                </c:pt>
                <c:pt idx="3">
                  <c:v>2027</c:v>
                </c:pt>
                <c:pt idx="4">
                  <c:v>2028</c:v>
                </c:pt>
                <c:pt idx="5">
                  <c:v>2029</c:v>
                </c:pt>
                <c:pt idx="6">
                  <c:v>2030</c:v>
                </c:pt>
                <c:pt idx="7">
                  <c:v>2031</c:v>
                </c:pt>
                <c:pt idx="8">
                  <c:v>2032</c:v>
                </c:pt>
                <c:pt idx="9">
                  <c:v>2033</c:v>
                </c:pt>
              </c:numCache>
            </c:numRef>
          </c:cat>
          <c:val>
            <c:numRef>
              <c:f>'3. CP-NL'!$D$41:$M$41</c:f>
              <c:numCache>
                <c:formatCode>_(* #,##0_);_(* \(#,##0\);_(* "-"??_);_(@_)</c:formatCode>
                <c:ptCount val="10"/>
                <c:pt idx="0">
                  <c:v>220000</c:v>
                </c:pt>
                <c:pt idx="1">
                  <c:v>222200</c:v>
                </c:pt>
                <c:pt idx="2">
                  <c:v>224422</c:v>
                </c:pt>
                <c:pt idx="3">
                  <c:v>226666.22</c:v>
                </c:pt>
                <c:pt idx="4">
                  <c:v>228932.88219999999</c:v>
                </c:pt>
                <c:pt idx="5">
                  <c:v>231222.211022</c:v>
                </c:pt>
                <c:pt idx="6">
                  <c:v>233534.43313222</c:v>
                </c:pt>
                <c:pt idx="7">
                  <c:v>235869.77746354221</c:v>
                </c:pt>
                <c:pt idx="8">
                  <c:v>238228.47523817763</c:v>
                </c:pt>
                <c:pt idx="9">
                  <c:v>240610.75999055943</c:v>
                </c:pt>
              </c:numCache>
            </c:numRef>
          </c:val>
          <c:smooth val="0"/>
          <c:extLst>
            <c:ext xmlns:c16="http://schemas.microsoft.com/office/drawing/2014/chart" uri="{C3380CC4-5D6E-409C-BE32-E72D297353CC}">
              <c16:uniqueId val="{00000002-2034-4065-8B8B-3DD2AA2ADF57}"/>
            </c:ext>
          </c:extLst>
        </c:ser>
        <c:ser>
          <c:idx val="3"/>
          <c:order val="3"/>
          <c:tx>
            <c:strRef>
              <c:f>'3. CP-NL'!$B$42:$C$42</c:f>
              <c:strCache>
                <c:ptCount val="2"/>
                <c:pt idx="0">
                  <c:v>Mạt</c:v>
                </c:pt>
                <c:pt idx="1">
                  <c:v> (VNĐ) </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'3. CP-NL'!$D$4:$M$4</c:f>
              <c:numCache>
                <c:formatCode>General</c:formatCode>
                <c:ptCount val="10"/>
                <c:pt idx="0">
                  <c:v>2024</c:v>
                </c:pt>
                <c:pt idx="1">
                  <c:v>2025</c:v>
                </c:pt>
                <c:pt idx="2">
                  <c:v>2026</c:v>
                </c:pt>
                <c:pt idx="3">
                  <c:v>2027</c:v>
                </c:pt>
                <c:pt idx="4">
                  <c:v>2028</c:v>
                </c:pt>
                <c:pt idx="5">
                  <c:v>2029</c:v>
                </c:pt>
                <c:pt idx="6">
                  <c:v>2030</c:v>
                </c:pt>
                <c:pt idx="7">
                  <c:v>2031</c:v>
                </c:pt>
                <c:pt idx="8">
                  <c:v>2032</c:v>
                </c:pt>
                <c:pt idx="9">
                  <c:v>2033</c:v>
                </c:pt>
              </c:numCache>
            </c:numRef>
          </c:cat>
          <c:val>
            <c:numRef>
              <c:f>'3. CP-NL'!$D$42:$M$42</c:f>
              <c:numCache>
                <c:formatCode>_(* #,##0_);_(* \(#,##0\);_(* "-"??_);_(@_)</c:formatCode>
                <c:ptCount val="10"/>
                <c:pt idx="0">
                  <c:v>135000</c:v>
                </c:pt>
                <c:pt idx="1">
                  <c:v>136350</c:v>
                </c:pt>
                <c:pt idx="2">
                  <c:v>137713.5</c:v>
                </c:pt>
                <c:pt idx="3">
                  <c:v>139090.63500000001</c:v>
                </c:pt>
                <c:pt idx="4">
                  <c:v>140481.54135000001</c:v>
                </c:pt>
                <c:pt idx="5">
                  <c:v>141886.35676350002</c:v>
                </c:pt>
                <c:pt idx="6">
                  <c:v>143305.22033113503</c:v>
                </c:pt>
                <c:pt idx="7">
                  <c:v>144738.27253444638</c:v>
                </c:pt>
                <c:pt idx="8">
                  <c:v>146185.65525979086</c:v>
                </c:pt>
                <c:pt idx="9">
                  <c:v>147647.51181238878</c:v>
                </c:pt>
              </c:numCache>
            </c:numRef>
          </c:val>
          <c:smooth val="0"/>
          <c:extLst>
            <c:ext xmlns:c16="http://schemas.microsoft.com/office/drawing/2014/chart" uri="{C3380CC4-5D6E-409C-BE32-E72D297353CC}">
              <c16:uniqueId val="{00000003-2034-4065-8B8B-3DD2AA2ADF57}"/>
            </c:ext>
          </c:extLst>
        </c:ser>
        <c:ser>
          <c:idx val="4"/>
          <c:order val="4"/>
          <c:tx>
            <c:strRef>
              <c:f>'3. CP-NL'!$B$43:$C$43</c:f>
              <c:strCache>
                <c:ptCount val="2"/>
                <c:pt idx="0">
                  <c:v>Xi</c:v>
                </c:pt>
                <c:pt idx="1">
                  <c:v> (VNĐ) </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'3. CP-NL'!$D$4:$M$4</c:f>
              <c:numCache>
                <c:formatCode>General</c:formatCode>
                <c:ptCount val="10"/>
                <c:pt idx="0">
                  <c:v>2024</c:v>
                </c:pt>
                <c:pt idx="1">
                  <c:v>2025</c:v>
                </c:pt>
                <c:pt idx="2">
                  <c:v>2026</c:v>
                </c:pt>
                <c:pt idx="3">
                  <c:v>2027</c:v>
                </c:pt>
                <c:pt idx="4">
                  <c:v>2028</c:v>
                </c:pt>
                <c:pt idx="5">
                  <c:v>2029</c:v>
                </c:pt>
                <c:pt idx="6">
                  <c:v>2030</c:v>
                </c:pt>
                <c:pt idx="7">
                  <c:v>2031</c:v>
                </c:pt>
                <c:pt idx="8">
                  <c:v>2032</c:v>
                </c:pt>
                <c:pt idx="9">
                  <c:v>2033</c:v>
                </c:pt>
              </c:numCache>
            </c:numRef>
          </c:cat>
          <c:val>
            <c:numRef>
              <c:f>'3. CP-NL'!$D$43:$M$43</c:f>
              <c:numCache>
                <c:formatCode>_(* #,##0_);_(* \(#,##0\);_(* "-"??_);_(@_)</c:formatCode>
                <c:ptCount val="10"/>
                <c:pt idx="0">
                  <c:v>1241</c:v>
                </c:pt>
                <c:pt idx="1">
                  <c:v>1253.4100000000001</c:v>
                </c:pt>
                <c:pt idx="2">
                  <c:v>1265.9441000000002</c:v>
                </c:pt>
                <c:pt idx="3">
                  <c:v>1278.6035410000002</c:v>
                </c:pt>
                <c:pt idx="4">
                  <c:v>1291.3895764100002</c:v>
                </c:pt>
                <c:pt idx="5">
                  <c:v>1304.3034721741003</c:v>
                </c:pt>
                <c:pt idx="6">
                  <c:v>1317.3465068958412</c:v>
                </c:pt>
                <c:pt idx="7">
                  <c:v>1330.5199719647997</c:v>
                </c:pt>
                <c:pt idx="8">
                  <c:v>1343.8251716844477</c:v>
                </c:pt>
                <c:pt idx="9">
                  <c:v>1357.2634234012921</c:v>
                </c:pt>
              </c:numCache>
            </c:numRef>
          </c:val>
          <c:smooth val="0"/>
          <c:extLst>
            <c:ext xmlns:c16="http://schemas.microsoft.com/office/drawing/2014/chart" uri="{C3380CC4-5D6E-409C-BE32-E72D297353CC}">
              <c16:uniqueId val="{00000004-2034-4065-8B8B-3DD2AA2ADF57}"/>
            </c:ext>
          </c:extLst>
        </c:ser>
        <c:ser>
          <c:idx val="5"/>
          <c:order val="5"/>
          <c:tx>
            <c:strRef>
              <c:f>'3. CP-NL'!$B$44:$C$44</c:f>
              <c:strCache>
                <c:ptCount val="2"/>
                <c:pt idx="0">
                  <c:v>Tro bay</c:v>
                </c:pt>
                <c:pt idx="1">
                  <c:v> (VNĐ) </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'3. CP-NL'!$D$4:$M$4</c:f>
              <c:numCache>
                <c:formatCode>General</c:formatCode>
                <c:ptCount val="10"/>
                <c:pt idx="0">
                  <c:v>2024</c:v>
                </c:pt>
                <c:pt idx="1">
                  <c:v>2025</c:v>
                </c:pt>
                <c:pt idx="2">
                  <c:v>2026</c:v>
                </c:pt>
                <c:pt idx="3">
                  <c:v>2027</c:v>
                </c:pt>
                <c:pt idx="4">
                  <c:v>2028</c:v>
                </c:pt>
                <c:pt idx="5">
                  <c:v>2029</c:v>
                </c:pt>
                <c:pt idx="6">
                  <c:v>2030</c:v>
                </c:pt>
                <c:pt idx="7">
                  <c:v>2031</c:v>
                </c:pt>
                <c:pt idx="8">
                  <c:v>2032</c:v>
                </c:pt>
                <c:pt idx="9">
                  <c:v>2033</c:v>
                </c:pt>
              </c:numCache>
            </c:numRef>
          </c:cat>
          <c:val>
            <c:numRef>
              <c:f>'3. CP-NL'!$D$44:$M$44</c:f>
              <c:numCache>
                <c:formatCode>_(* #,##0_);_(* \(#,##0\);_(* "-"??_);_(@_)</c:formatCode>
                <c:ptCount val="10"/>
                <c:pt idx="0">
                  <c:v>260</c:v>
                </c:pt>
                <c:pt idx="1">
                  <c:v>262.60000000000002</c:v>
                </c:pt>
                <c:pt idx="2">
                  <c:v>265.226</c:v>
                </c:pt>
                <c:pt idx="3">
                  <c:v>267.87826000000001</c:v>
                </c:pt>
                <c:pt idx="4">
                  <c:v>270.55704259999999</c:v>
                </c:pt>
                <c:pt idx="5">
                  <c:v>273.262613026</c:v>
                </c:pt>
                <c:pt idx="6">
                  <c:v>275.99523915626003</c:v>
                </c:pt>
                <c:pt idx="7">
                  <c:v>278.75519154782262</c:v>
                </c:pt>
                <c:pt idx="8">
                  <c:v>281.54274346330084</c:v>
                </c:pt>
                <c:pt idx="9">
                  <c:v>284.35817089793386</c:v>
                </c:pt>
              </c:numCache>
            </c:numRef>
          </c:val>
          <c:smooth val="0"/>
          <c:extLst>
            <c:ext xmlns:c16="http://schemas.microsoft.com/office/drawing/2014/chart" uri="{C3380CC4-5D6E-409C-BE32-E72D297353CC}">
              <c16:uniqueId val="{00000005-2034-4065-8B8B-3DD2AA2ADF57}"/>
            </c:ext>
          </c:extLst>
        </c:ser>
        <c:ser>
          <c:idx val="6"/>
          <c:order val="6"/>
          <c:tx>
            <c:strRef>
              <c:f>'3. CP-NL'!$B$45:$C$45</c:f>
              <c:strCache>
                <c:ptCount val="2"/>
                <c:pt idx="0">
                  <c:v>Phụ gia</c:v>
                </c:pt>
                <c:pt idx="1">
                  <c:v> (VNĐ) </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numRef>
              <c:f>'3. CP-NL'!$D$4:$M$4</c:f>
              <c:numCache>
                <c:formatCode>General</c:formatCode>
                <c:ptCount val="10"/>
                <c:pt idx="0">
                  <c:v>2024</c:v>
                </c:pt>
                <c:pt idx="1">
                  <c:v>2025</c:v>
                </c:pt>
                <c:pt idx="2">
                  <c:v>2026</c:v>
                </c:pt>
                <c:pt idx="3">
                  <c:v>2027</c:v>
                </c:pt>
                <c:pt idx="4">
                  <c:v>2028</c:v>
                </c:pt>
                <c:pt idx="5">
                  <c:v>2029</c:v>
                </c:pt>
                <c:pt idx="6">
                  <c:v>2030</c:v>
                </c:pt>
                <c:pt idx="7">
                  <c:v>2031</c:v>
                </c:pt>
                <c:pt idx="8">
                  <c:v>2032</c:v>
                </c:pt>
                <c:pt idx="9">
                  <c:v>2033</c:v>
                </c:pt>
              </c:numCache>
            </c:numRef>
          </c:cat>
          <c:val>
            <c:numRef>
              <c:f>'3. CP-NL'!$D$45:$M$45</c:f>
              <c:numCache>
                <c:formatCode>_(* #,##0_);_(* \(#,##0\);_(* "-"??_);_(@_)</c:formatCode>
                <c:ptCount val="10"/>
                <c:pt idx="0">
                  <c:v>17534.848484848484</c:v>
                </c:pt>
                <c:pt idx="1">
                  <c:v>17710.196969696968</c:v>
                </c:pt>
                <c:pt idx="2">
                  <c:v>17887.298939393939</c:v>
                </c:pt>
                <c:pt idx="3">
                  <c:v>18066.171928787877</c:v>
                </c:pt>
                <c:pt idx="4">
                  <c:v>18246.833648075757</c:v>
                </c:pt>
                <c:pt idx="5">
                  <c:v>18429.301984556514</c:v>
                </c:pt>
                <c:pt idx="6">
                  <c:v>18613.595004402079</c:v>
                </c:pt>
                <c:pt idx="7">
                  <c:v>18799.730954446099</c:v>
                </c:pt>
                <c:pt idx="8">
                  <c:v>18987.728263990561</c:v>
                </c:pt>
                <c:pt idx="9">
                  <c:v>19177.605546630468</c:v>
                </c:pt>
              </c:numCache>
            </c:numRef>
          </c:val>
          <c:smooth val="0"/>
          <c:extLst>
            <c:ext xmlns:c16="http://schemas.microsoft.com/office/drawing/2014/chart" uri="{C3380CC4-5D6E-409C-BE32-E72D297353CC}">
              <c16:uniqueId val="{00000006-2034-4065-8B8B-3DD2AA2ADF57}"/>
            </c:ext>
          </c:extLst>
        </c:ser>
        <c:dLbls>
          <c:showLegendKey val="0"/>
          <c:showVal val="0"/>
          <c:showCatName val="0"/>
          <c:showSerName val="0"/>
          <c:showPercent val="0"/>
          <c:showBubbleSize val="0"/>
        </c:dLbls>
        <c:marker val="1"/>
        <c:smooth val="0"/>
        <c:axId val="1770384255"/>
        <c:axId val="424925631"/>
        <c:extLst>
          <c:ext xmlns:c15="http://schemas.microsoft.com/office/drawing/2012/chart" uri="{02D57815-91ED-43cb-92C2-25804820EDAC}">
            <c15:filteredLineSeries>
              <c15:ser>
                <c:idx val="0"/>
                <c:order val="0"/>
                <c:tx>
                  <c:strRef>
                    <c:extLst>
                      <c:ext uri="{02D57815-91ED-43cb-92C2-25804820EDAC}">
                        <c15:formulaRef>
                          <c15:sqref>'3. CP-NL'!$B$4:$C$4</c15:sqref>
                        </c15:formulaRef>
                      </c:ext>
                    </c:extLst>
                    <c:strCache>
                      <c:ptCount val="2"/>
                      <c:pt idx="0">
                        <c:v>Năm</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extLst>
                      <c:ext uri="{02D57815-91ED-43cb-92C2-25804820EDAC}">
                        <c15:formulaRef>
                          <c15:sqref>'3. CP-NL'!$D$4:$M$4</c15:sqref>
                        </c15:formulaRef>
                      </c:ext>
                    </c:extLst>
                    <c:numCache>
                      <c:formatCode>General</c:formatCode>
                      <c:ptCount val="10"/>
                      <c:pt idx="0">
                        <c:v>2024</c:v>
                      </c:pt>
                      <c:pt idx="1">
                        <c:v>2025</c:v>
                      </c:pt>
                      <c:pt idx="2">
                        <c:v>2026</c:v>
                      </c:pt>
                      <c:pt idx="3">
                        <c:v>2027</c:v>
                      </c:pt>
                      <c:pt idx="4">
                        <c:v>2028</c:v>
                      </c:pt>
                      <c:pt idx="5">
                        <c:v>2029</c:v>
                      </c:pt>
                      <c:pt idx="6">
                        <c:v>2030</c:v>
                      </c:pt>
                      <c:pt idx="7">
                        <c:v>2031</c:v>
                      </c:pt>
                      <c:pt idx="8">
                        <c:v>2032</c:v>
                      </c:pt>
                      <c:pt idx="9">
                        <c:v>2033</c:v>
                      </c:pt>
                    </c:numCache>
                  </c:numRef>
                </c:cat>
                <c:val>
                  <c:numRef>
                    <c:extLst>
                      <c:ext uri="{02D57815-91ED-43cb-92C2-25804820EDAC}">
                        <c15:formulaRef>
                          <c15:sqref>'3. CP-NL'!$D$4:$M$4</c15:sqref>
                        </c15:formulaRef>
                      </c:ext>
                    </c:extLst>
                    <c:numCache>
                      <c:formatCode>General</c:formatCode>
                      <c:ptCount val="10"/>
                      <c:pt idx="0">
                        <c:v>2024</c:v>
                      </c:pt>
                      <c:pt idx="1">
                        <c:v>2025</c:v>
                      </c:pt>
                      <c:pt idx="2">
                        <c:v>2026</c:v>
                      </c:pt>
                      <c:pt idx="3">
                        <c:v>2027</c:v>
                      </c:pt>
                      <c:pt idx="4">
                        <c:v>2028</c:v>
                      </c:pt>
                      <c:pt idx="5">
                        <c:v>2029</c:v>
                      </c:pt>
                      <c:pt idx="6">
                        <c:v>2030</c:v>
                      </c:pt>
                      <c:pt idx="7">
                        <c:v>2031</c:v>
                      </c:pt>
                      <c:pt idx="8">
                        <c:v>2032</c:v>
                      </c:pt>
                      <c:pt idx="9">
                        <c:v>2033</c:v>
                      </c:pt>
                    </c:numCache>
                  </c:numRef>
                </c:val>
                <c:smooth val="0"/>
                <c:extLst>
                  <c:ext xmlns:c16="http://schemas.microsoft.com/office/drawing/2014/chart" uri="{C3380CC4-5D6E-409C-BE32-E72D297353CC}">
                    <c16:uniqueId val="{00000000-2034-4065-8B8B-3DD2AA2ADF57}"/>
                  </c:ext>
                </c:extLst>
              </c15:ser>
            </c15:filteredLineSeries>
          </c:ext>
        </c:extLst>
      </c:lineChart>
      <c:catAx>
        <c:axId val="1770384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925631"/>
        <c:crosses val="autoZero"/>
        <c:auto val="1"/>
        <c:lblAlgn val="ctr"/>
        <c:lblOffset val="100"/>
        <c:noMultiLvlLbl val="0"/>
      </c:catAx>
      <c:valAx>
        <c:axId val="42492563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3842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Cơ</a:t>
            </a:r>
            <a:r>
              <a:rPr lang="en-US" sz="1200" b="1" baseline="0"/>
              <a:t> cấu doanh thu theo sản phẩm</a:t>
            </a:r>
            <a:endParaRPr lang="en-US"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'Biểu đồ - PL'!$C$61</c:f>
              <c:strCache>
                <c:ptCount val="1"/>
                <c:pt idx="0">
                  <c:v>Gạch</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'Biểu đồ - PL'!$D$56:$Q$56</c:f>
              <c:numCache>
                <c:formatCode>General</c:formatCode>
                <c:ptCount val="14"/>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numCache>
            </c:numRef>
          </c:cat>
          <c:val>
            <c:numRef>
              <c:f>'Biểu đồ - PL'!$D$61:$Q$61</c:f>
              <c:numCache>
                <c:formatCode>_(* #,##0_);_(* \(#,##0\);_(* "-"??_);_(@_)</c:formatCode>
                <c:ptCount val="14"/>
                <c:pt idx="0">
                  <c:v>6.5438985000000001</c:v>
                </c:pt>
                <c:pt idx="1">
                  <c:v>8.7193194999999992</c:v>
                </c:pt>
                <c:pt idx="2">
                  <c:v>6.2702637000000001</c:v>
                </c:pt>
                <c:pt idx="3">
                  <c:v>7.8085531000000001</c:v>
                </c:pt>
                <c:pt idx="4">
                  <c:v>11.638686929817602</c:v>
                </c:pt>
                <c:pt idx="5">
                  <c:v>11.755073799115777</c:v>
                </c:pt>
                <c:pt idx="6">
                  <c:v>11.872624537106937</c:v>
                </c:pt>
                <c:pt idx="7">
                  <c:v>11.991350782478005</c:v>
                </c:pt>
                <c:pt idx="8">
                  <c:v>12.111264290302787</c:v>
                </c:pt>
                <c:pt idx="9">
                  <c:v>12.232376933205813</c:v>
                </c:pt>
                <c:pt idx="10">
                  <c:v>12.354700702537873</c:v>
                </c:pt>
                <c:pt idx="11">
                  <c:v>12.478247709563252</c:v>
                </c:pt>
                <c:pt idx="12">
                  <c:v>12.603030186658884</c:v>
                </c:pt>
                <c:pt idx="13">
                  <c:v>12.729060488525473</c:v>
                </c:pt>
              </c:numCache>
            </c:numRef>
          </c:val>
          <c:extLst>
            <c:ext xmlns:c16="http://schemas.microsoft.com/office/drawing/2014/chart" uri="{C3380CC4-5D6E-409C-BE32-E72D297353CC}">
              <c16:uniqueId val="{00000004-6099-4E9E-9103-E0331287C68D}"/>
            </c:ext>
          </c:extLst>
        </c:ser>
        <c:ser>
          <c:idx val="2"/>
          <c:order val="1"/>
          <c:tx>
            <c:strRef>
              <c:f>'Biểu đồ - PL'!$C$60</c:f>
              <c:strCache>
                <c:ptCount val="1"/>
                <c:pt idx="0">
                  <c:v>Xăng dầu</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'Biểu đồ - PL'!$D$56:$Q$56</c:f>
              <c:numCache>
                <c:formatCode>General</c:formatCode>
                <c:ptCount val="14"/>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numCache>
            </c:numRef>
          </c:cat>
          <c:val>
            <c:numRef>
              <c:f>'Biểu đồ - PL'!$D$60:$Q$60</c:f>
              <c:numCache>
                <c:formatCode>_(* #,##0_);_(* \(#,##0\);_(* "-"??_);_(@_)</c:formatCode>
                <c:ptCount val="14"/>
                <c:pt idx="0">
                  <c:v>0</c:v>
                </c:pt>
                <c:pt idx="1">
                  <c:v>0</c:v>
                </c:pt>
                <c:pt idx="2">
                  <c:v>16.644986984999999</c:v>
                </c:pt>
                <c:pt idx="3">
                  <c:v>10.123524660999999</c:v>
                </c:pt>
                <c:pt idx="4">
                  <c:v>10.225363966005814</c:v>
                </c:pt>
                <c:pt idx="5">
                  <c:v>10.43089378172253</c:v>
                </c:pt>
                <c:pt idx="6">
                  <c:v>10.640554746735155</c:v>
                </c:pt>
                <c:pt idx="7">
                  <c:v>10.854429897144529</c:v>
                </c:pt>
                <c:pt idx="8">
                  <c:v>11.072603938077135</c:v>
                </c:pt>
                <c:pt idx="9">
                  <c:v>11.295163277232486</c:v>
                </c:pt>
                <c:pt idx="10">
                  <c:v>11.522196059104861</c:v>
                </c:pt>
                <c:pt idx="11">
                  <c:v>11.753792199892866</c:v>
                </c:pt>
                <c:pt idx="12">
                  <c:v>11.990043423110714</c:v>
                </c:pt>
                <c:pt idx="13">
                  <c:v>12.231043295915239</c:v>
                </c:pt>
              </c:numCache>
            </c:numRef>
          </c:val>
          <c:extLst>
            <c:ext xmlns:c16="http://schemas.microsoft.com/office/drawing/2014/chart" uri="{C3380CC4-5D6E-409C-BE32-E72D297353CC}">
              <c16:uniqueId val="{00000003-6099-4E9E-9103-E0331287C68D}"/>
            </c:ext>
          </c:extLst>
        </c:ser>
        <c:ser>
          <c:idx val="4"/>
          <c:order val="2"/>
          <c:tx>
            <c:strRef>
              <c:f>'Biểu đồ - PL'!$C$58</c:f>
              <c:strCache>
                <c:ptCount val="1"/>
                <c:pt idx="0">
                  <c:v>Xi măng</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'Biểu đồ - PL'!$D$56:$Q$56</c:f>
              <c:numCache>
                <c:formatCode>General</c:formatCode>
                <c:ptCount val="14"/>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numCache>
            </c:numRef>
          </c:cat>
          <c:val>
            <c:numRef>
              <c:f>'Biểu đồ - PL'!$D$58:$Q$58</c:f>
              <c:numCache>
                <c:formatCode>_(* #,##0_);_(* \(#,##0\);_(* "-"??_);_(@_)</c:formatCode>
                <c:ptCount val="14"/>
                <c:pt idx="0">
                  <c:v>81.5378975</c:v>
                </c:pt>
                <c:pt idx="1">
                  <c:v>86.188655499999996</c:v>
                </c:pt>
                <c:pt idx="2">
                  <c:v>77.861435659999998</c:v>
                </c:pt>
                <c:pt idx="3">
                  <c:v>95.483079270000005</c:v>
                </c:pt>
                <c:pt idx="4">
                  <c:v>90.221212148936871</c:v>
                </c:pt>
                <c:pt idx="5">
                  <c:v>91.123424270426256</c:v>
                </c:pt>
                <c:pt idx="6">
                  <c:v>92.034658513130509</c:v>
                </c:pt>
                <c:pt idx="7">
                  <c:v>92.955005098261822</c:v>
                </c:pt>
                <c:pt idx="8">
                  <c:v>93.884555149244449</c:v>
                </c:pt>
                <c:pt idx="9">
                  <c:v>94.823400700736883</c:v>
                </c:pt>
                <c:pt idx="10">
                  <c:v>95.771634707744269</c:v>
                </c:pt>
                <c:pt idx="11">
                  <c:v>96.729351054821691</c:v>
                </c:pt>
                <c:pt idx="12">
                  <c:v>97.696644565369922</c:v>
                </c:pt>
                <c:pt idx="13">
                  <c:v>98.673611011023652</c:v>
                </c:pt>
              </c:numCache>
            </c:numRef>
          </c:val>
          <c:extLst>
            <c:ext xmlns:c16="http://schemas.microsoft.com/office/drawing/2014/chart" uri="{C3380CC4-5D6E-409C-BE32-E72D297353CC}">
              <c16:uniqueId val="{00000001-6099-4E9E-9103-E0331287C68D}"/>
            </c:ext>
          </c:extLst>
        </c:ser>
        <c:ser>
          <c:idx val="3"/>
          <c:order val="3"/>
          <c:tx>
            <c:strRef>
              <c:f>'Biểu đồ - PL'!$C$59</c:f>
              <c:strCache>
                <c:ptCount val="1"/>
                <c:pt idx="0">
                  <c:v>Thép</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'Biểu đồ - PL'!$D$56:$Q$56</c:f>
              <c:numCache>
                <c:formatCode>General</c:formatCode>
                <c:ptCount val="14"/>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numCache>
            </c:numRef>
          </c:cat>
          <c:val>
            <c:numRef>
              <c:f>'Biểu đồ - PL'!$D$59:$Q$59</c:f>
              <c:numCache>
                <c:formatCode>_(* #,##0_);_(* \(#,##0\);_(* "-"??_);_(@_)</c:formatCode>
                <c:ptCount val="14"/>
                <c:pt idx="0">
                  <c:v>66.831827872000005</c:v>
                </c:pt>
                <c:pt idx="1">
                  <c:v>121.36782983099999</c:v>
                </c:pt>
                <c:pt idx="2">
                  <c:v>101.641441118</c:v>
                </c:pt>
                <c:pt idx="3">
                  <c:v>85.069397183000007</c:v>
                </c:pt>
                <c:pt idx="4">
                  <c:v>92.087032795002699</c:v>
                </c:pt>
                <c:pt idx="5">
                  <c:v>93.007903122952726</c:v>
                </c:pt>
                <c:pt idx="6">
                  <c:v>93.937982154182251</c:v>
                </c:pt>
                <c:pt idx="7">
                  <c:v>94.877361975724099</c:v>
                </c:pt>
                <c:pt idx="8">
                  <c:v>95.826135595481347</c:v>
                </c:pt>
                <c:pt idx="9">
                  <c:v>96.784396951436165</c:v>
                </c:pt>
                <c:pt idx="10">
                  <c:v>97.752240920950513</c:v>
                </c:pt>
                <c:pt idx="11">
                  <c:v>98.72976333016004</c:v>
                </c:pt>
                <c:pt idx="12">
                  <c:v>99.717060963461634</c:v>
                </c:pt>
                <c:pt idx="13">
                  <c:v>100.71423157309627</c:v>
                </c:pt>
              </c:numCache>
            </c:numRef>
          </c:val>
          <c:extLst>
            <c:ext xmlns:c16="http://schemas.microsoft.com/office/drawing/2014/chart" uri="{C3380CC4-5D6E-409C-BE32-E72D297353CC}">
              <c16:uniqueId val="{00000002-6099-4E9E-9103-E0331287C68D}"/>
            </c:ext>
          </c:extLst>
        </c:ser>
        <c:ser>
          <c:idx val="5"/>
          <c:order val="4"/>
          <c:tx>
            <c:strRef>
              <c:f>'Biểu đồ - PL'!$C$57</c:f>
              <c:strCache>
                <c:ptCount val="1"/>
                <c:pt idx="0">
                  <c:v>Bê tông</c:v>
                </c:pt>
              </c:strCache>
            </c:strRef>
          </c:tx>
          <c:spPr>
            <a:solidFill>
              <a:schemeClr val="accent3">
                <a:tint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'Biểu đồ - PL'!$D$56:$Q$56</c:f>
              <c:numCache>
                <c:formatCode>General</c:formatCode>
                <c:ptCount val="14"/>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numCache>
            </c:numRef>
          </c:cat>
          <c:val>
            <c:numRef>
              <c:f>'Biểu đồ - PL'!$D$57:$Q$57</c:f>
              <c:numCache>
                <c:formatCode>_(* #,##0_);_(* \(#,##0\);_(* "-"??_);_(@_)</c:formatCode>
                <c:ptCount val="14"/>
                <c:pt idx="0">
                  <c:v>50.801119999999997</c:v>
                </c:pt>
                <c:pt idx="1">
                  <c:v>128.24767800000001</c:v>
                </c:pt>
                <c:pt idx="2">
                  <c:v>220.318374514</c:v>
                </c:pt>
                <c:pt idx="3">
                  <c:v>234.70744550000001</c:v>
                </c:pt>
                <c:pt idx="4">
                  <c:v>268.52214140334996</c:v>
                </c:pt>
                <c:pt idx="5">
                  <c:v>271.20736281738345</c:v>
                </c:pt>
                <c:pt idx="6">
                  <c:v>273.91943644555732</c:v>
                </c:pt>
                <c:pt idx="7">
                  <c:v>276.65863081001294</c:v>
                </c:pt>
                <c:pt idx="8">
                  <c:v>279.42521711811304</c:v>
                </c:pt>
                <c:pt idx="9">
                  <c:v>282.21946928929418</c:v>
                </c:pt>
                <c:pt idx="10">
                  <c:v>285.04166398218717</c:v>
                </c:pt>
                <c:pt idx="11">
                  <c:v>287.89208062200902</c:v>
                </c:pt>
                <c:pt idx="12">
                  <c:v>290.77100142822911</c:v>
                </c:pt>
                <c:pt idx="13">
                  <c:v>293.67871144251143</c:v>
                </c:pt>
              </c:numCache>
            </c:numRef>
          </c:val>
          <c:extLst>
            <c:ext xmlns:c16="http://schemas.microsoft.com/office/drawing/2014/chart" uri="{C3380CC4-5D6E-409C-BE32-E72D297353CC}">
              <c16:uniqueId val="{00000000-6099-4E9E-9103-E0331287C68D}"/>
            </c:ext>
          </c:extLst>
        </c:ser>
        <c:ser>
          <c:idx val="0"/>
          <c:order val="5"/>
          <c:tx>
            <c:strRef>
              <c:f>'Biểu đồ - PL'!$C$62</c:f>
              <c:strCache>
                <c:ptCount val="1"/>
                <c:pt idx="0">
                  <c:v>Tổng</c:v>
                </c:pt>
              </c:strCache>
            </c:strRef>
          </c:tx>
          <c:spPr>
            <a:solidFill>
              <a:schemeClr val="accent3">
                <a:shade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'Biểu đồ - PL'!$D$56:$Q$56</c:f>
              <c:numCache>
                <c:formatCode>General</c:formatCode>
                <c:ptCount val="14"/>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numCache>
            </c:numRef>
          </c:cat>
          <c:val>
            <c:numRef>
              <c:f>'Biểu đồ - PL'!$D$62:$Q$62</c:f>
              <c:numCache>
                <c:formatCode>_(* #,##0_);_(* \(#,##0\);_(* "-"??_);_(@_)</c:formatCode>
                <c:ptCount val="14"/>
                <c:pt idx="0">
                  <c:v>205.71474387200004</c:v>
                </c:pt>
                <c:pt idx="1">
                  <c:v>344.52348283099997</c:v>
                </c:pt>
                <c:pt idx="2">
                  <c:v>422.73650197699999</c:v>
                </c:pt>
                <c:pt idx="3">
                  <c:v>433.19199971399996</c:v>
                </c:pt>
                <c:pt idx="4">
                  <c:v>472.69443724311299</c:v>
                </c:pt>
                <c:pt idx="5">
                  <c:v>477.52465779160076</c:v>
                </c:pt>
                <c:pt idx="6">
                  <c:v>482.40525639671222</c:v>
                </c:pt>
                <c:pt idx="7">
                  <c:v>487.33677856362141</c:v>
                </c:pt>
                <c:pt idx="8">
                  <c:v>492.31977609121878</c:v>
                </c:pt>
                <c:pt idx="9">
                  <c:v>497.35480715190556</c:v>
                </c:pt>
                <c:pt idx="10">
                  <c:v>502.4424363725247</c:v>
                </c:pt>
                <c:pt idx="11">
                  <c:v>507.58323491644688</c:v>
                </c:pt>
                <c:pt idx="12">
                  <c:v>512.77778056683019</c:v>
                </c:pt>
                <c:pt idx="13">
                  <c:v>518.02665781107203</c:v>
                </c:pt>
              </c:numCache>
            </c:numRef>
          </c:val>
          <c:extLst>
            <c:ext xmlns:c16="http://schemas.microsoft.com/office/drawing/2014/chart" uri="{C3380CC4-5D6E-409C-BE32-E72D297353CC}">
              <c16:uniqueId val="{00000005-6099-4E9E-9103-E0331287C68D}"/>
            </c:ext>
          </c:extLst>
        </c:ser>
        <c:dLbls>
          <c:dLblPos val="ctr"/>
          <c:showLegendKey val="0"/>
          <c:showVal val="1"/>
          <c:showCatName val="0"/>
          <c:showSerName val="0"/>
          <c:showPercent val="0"/>
          <c:showBubbleSize val="0"/>
        </c:dLbls>
        <c:gapWidth val="150"/>
        <c:overlap val="100"/>
        <c:axId val="1777410783"/>
        <c:axId val="1777397823"/>
      </c:barChart>
      <c:catAx>
        <c:axId val="17774107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397823"/>
        <c:crosses val="autoZero"/>
        <c:auto val="1"/>
        <c:lblAlgn val="ctr"/>
        <c:lblOffset val="100"/>
        <c:noMultiLvlLbl val="0"/>
      </c:catAx>
      <c:valAx>
        <c:axId val="1777397823"/>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410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Cơ</a:t>
            </a:r>
            <a:r>
              <a:rPr lang="en-US" sz="1200" b="1" baseline="0"/>
              <a:t> cấu doanh thu theo SP </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1"/>
          <c:order val="1"/>
          <c:tx>
            <c:strRef>
              <c:f>'Biểu đồ - PL'!$C$98</c:f>
              <c:strCache>
                <c:ptCount val="1"/>
                <c:pt idx="0">
                  <c:v>Bê tông</c:v>
                </c:pt>
              </c:strCache>
            </c:strRef>
          </c:tx>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'Biểu đồ - PL'!$D$97:$Q$97</c15:sqref>
                  </c15:fullRef>
                </c:ext>
              </c:extLst>
              <c:f>'Biểu đồ - PL'!$G$97:$Q$97</c:f>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cat>
          <c:val>
            <c:numRef>
              <c:extLst>
                <c:ext xmlns:c15="http://schemas.microsoft.com/office/drawing/2012/chart" uri="{02D57815-91ED-43cb-92C2-25804820EDAC}">
                  <c15:fullRef>
                    <c15:sqref>'Biểu đồ - PL'!$D$98:$Q$98</c15:sqref>
                  </c15:fullRef>
                </c:ext>
              </c:extLst>
              <c:f>'Biểu đồ - PL'!$G$98:$Q$98</c:f>
              <c:numCache>
                <c:formatCode>0%</c:formatCode>
                <c:ptCount val="11"/>
                <c:pt idx="0">
                  <c:v>0.54180928007663454</c:v>
                </c:pt>
                <c:pt idx="1">
                  <c:v>0.56806706457018341</c:v>
                </c:pt>
                <c:pt idx="2">
                  <c:v>0.56794420642408505</c:v>
                </c:pt>
                <c:pt idx="3">
                  <c:v>0.56782017362658277</c:v>
                </c:pt>
                <c:pt idx="4">
                  <c:v>0.5676949554791203</c:v>
                </c:pt>
                <c:pt idx="5">
                  <c:v>0.56756854119615974</c:v>
                </c:pt>
                <c:pt idx="6">
                  <c:v>0.56744091990468437</c:v>
                </c:pt>
                <c:pt idx="7">
                  <c:v>0.56731208064370064</c:v>
                </c:pt>
                <c:pt idx="8">
                  <c:v>0.56718201236374333</c:v>
                </c:pt>
                <c:pt idx="9">
                  <c:v>0.56705070392638246</c:v>
                </c:pt>
                <c:pt idx="10">
                  <c:v>0.56691814410373087</c:v>
                </c:pt>
              </c:numCache>
            </c:numRef>
          </c:val>
          <c:extLst>
            <c:ext xmlns:c16="http://schemas.microsoft.com/office/drawing/2014/chart" uri="{C3380CC4-5D6E-409C-BE32-E72D297353CC}">
              <c16:uniqueId val="{00000001-E0E0-4C89-AEF6-A67FE8810483}"/>
            </c:ext>
          </c:extLst>
        </c:ser>
        <c:ser>
          <c:idx val="2"/>
          <c:order val="2"/>
          <c:tx>
            <c:strRef>
              <c:f>'Biểu đồ - PL'!$C$99</c:f>
              <c:strCache>
                <c:ptCount val="1"/>
                <c:pt idx="0">
                  <c:v>Xi măng</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'Biểu đồ - PL'!$D$97:$Q$97</c15:sqref>
                  </c15:fullRef>
                </c:ext>
              </c:extLst>
              <c:f>'Biểu đồ - PL'!$G$97:$Q$97</c:f>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cat>
          <c:val>
            <c:numRef>
              <c:extLst>
                <c:ext xmlns:c15="http://schemas.microsoft.com/office/drawing/2012/chart" uri="{02D57815-91ED-43cb-92C2-25804820EDAC}">
                  <c15:fullRef>
                    <c15:sqref>'Biểu đồ - PL'!$D$99:$Q$99</c15:sqref>
                  </c15:fullRef>
                </c:ext>
              </c:extLst>
              <c:f>'Biểu đồ - PL'!$G$99:$Q$99</c:f>
              <c:numCache>
                <c:formatCode>0%</c:formatCode>
                <c:ptCount val="11"/>
                <c:pt idx="0">
                  <c:v>0.2204174576932155</c:v>
                </c:pt>
                <c:pt idx="1">
                  <c:v>0.19086582163973068</c:v>
                </c:pt>
                <c:pt idx="2">
                  <c:v>0.1908245423217369</c:v>
                </c:pt>
                <c:pt idx="3">
                  <c:v>0.19078286833061497</c:v>
                </c:pt>
                <c:pt idx="4">
                  <c:v>0.19074079607173877</c:v>
                </c:pt>
                <c:pt idx="5">
                  <c:v>0.19069832192125707</c:v>
                </c:pt>
                <c:pt idx="6">
                  <c:v>0.19065544222592637</c:v>
                </c:pt>
                <c:pt idx="7">
                  <c:v>0.19061215330294382</c:v>
                </c:pt>
                <c:pt idx="8">
                  <c:v>0.19056845143978066</c:v>
                </c:pt>
                <c:pt idx="9">
                  <c:v>0.19052433289401693</c:v>
                </c:pt>
                <c:pt idx="10">
                  <c:v>0.19047979389317568</c:v>
                </c:pt>
              </c:numCache>
            </c:numRef>
          </c:val>
          <c:extLst>
            <c:ext xmlns:c16="http://schemas.microsoft.com/office/drawing/2014/chart" uri="{C3380CC4-5D6E-409C-BE32-E72D297353CC}">
              <c16:uniqueId val="{00000002-E0E0-4C89-AEF6-A67FE8810483}"/>
            </c:ext>
          </c:extLst>
        </c:ser>
        <c:ser>
          <c:idx val="3"/>
          <c:order val="3"/>
          <c:tx>
            <c:strRef>
              <c:f>'Biểu đồ - PL'!$C$100</c:f>
              <c:strCache>
                <c:ptCount val="1"/>
                <c:pt idx="0">
                  <c:v>Thép</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'Biểu đồ - PL'!$D$97:$Q$97</c15:sqref>
                  </c15:fullRef>
                </c:ext>
              </c:extLst>
              <c:f>'Biểu đồ - PL'!$G$97:$Q$97</c:f>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cat>
          <c:val>
            <c:numRef>
              <c:extLst>
                <c:ext xmlns:c15="http://schemas.microsoft.com/office/drawing/2012/chart" uri="{02D57815-91ED-43cb-92C2-25804820EDAC}">
                  <c15:fullRef>
                    <c15:sqref>'Biểu đồ - PL'!$D$100:$Q$100</c15:sqref>
                  </c15:fullRef>
                </c:ext>
              </c:extLst>
              <c:f>'Biểu đồ - PL'!$G$100:$Q$100</c:f>
              <c:numCache>
                <c:formatCode>0%</c:formatCode>
                <c:ptCount val="11"/>
                <c:pt idx="0">
                  <c:v>0.19637804308289197</c:v>
                </c:pt>
                <c:pt idx="1">
                  <c:v>0.1948130241008974</c:v>
                </c:pt>
                <c:pt idx="2">
                  <c:v>0.19477089110557058</c:v>
                </c:pt>
                <c:pt idx="3">
                  <c:v>0.19472835527507423</c:v>
                </c:pt>
                <c:pt idx="4">
                  <c:v>0.19468541294044348</c:v>
                </c:pt>
                <c:pt idx="5">
                  <c:v>0.19464206040288404</c:v>
                </c:pt>
                <c:pt idx="6">
                  <c:v>0.19459829393360142</c:v>
                </c:pt>
                <c:pt idx="7">
                  <c:v>0.19455410977363047</c:v>
                </c:pt>
                <c:pt idx="8">
                  <c:v>0.19450950413366572</c:v>
                </c:pt>
                <c:pt idx="9">
                  <c:v>0.19446447319389171</c:v>
                </c:pt>
                <c:pt idx="10">
                  <c:v>0.19441901310381493</c:v>
                </c:pt>
              </c:numCache>
            </c:numRef>
          </c:val>
          <c:extLst>
            <c:ext xmlns:c16="http://schemas.microsoft.com/office/drawing/2014/chart" uri="{C3380CC4-5D6E-409C-BE32-E72D297353CC}">
              <c16:uniqueId val="{00000003-E0E0-4C89-AEF6-A67FE8810483}"/>
            </c:ext>
          </c:extLst>
        </c:ser>
        <c:ser>
          <c:idx val="4"/>
          <c:order val="4"/>
          <c:tx>
            <c:strRef>
              <c:f>'Biểu đồ - PL'!$C$101</c:f>
              <c:strCache>
                <c:ptCount val="1"/>
                <c:pt idx="0">
                  <c:v>Xăng dầu</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'Biểu đồ - PL'!$D$97:$Q$97</c15:sqref>
                  </c15:fullRef>
                </c:ext>
              </c:extLst>
              <c:f>'Biểu đồ - PL'!$G$97:$Q$97</c:f>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cat>
          <c:val>
            <c:numRef>
              <c:extLst>
                <c:ext xmlns:c15="http://schemas.microsoft.com/office/drawing/2012/chart" uri="{02D57815-91ED-43cb-92C2-25804820EDAC}">
                  <c15:fullRef>
                    <c15:sqref>'Biểu đồ - PL'!$D$101:$Q$101</c15:sqref>
                  </c15:fullRef>
                </c:ext>
              </c:extLst>
              <c:f>'Biểu đồ - PL'!$G$101:$Q$101</c:f>
              <c:numCache>
                <c:formatCode>0%</c:formatCode>
                <c:ptCount val="11"/>
                <c:pt idx="0">
                  <c:v>2.3369602087951084E-2</c:v>
                </c:pt>
                <c:pt idx="1">
                  <c:v>2.1632080177721183E-2</c:v>
                </c:pt>
                <c:pt idx="2">
                  <c:v>2.1843675738048976E-2</c:v>
                </c:pt>
                <c:pt idx="3">
                  <c:v>2.2057294371570356E-2</c:v>
                </c:pt>
                <c:pt idx="4">
                  <c:v>2.2272954504145827E-2</c:v>
                </c:pt>
                <c:pt idx="5">
                  <c:v>2.2490674711441134E-2</c:v>
                </c:pt>
                <c:pt idx="6">
                  <c:v>2.2710473719785802E-2</c:v>
                </c:pt>
                <c:pt idx="7">
                  <c:v>2.2932370407029046E-2</c:v>
                </c:pt>
                <c:pt idx="8">
                  <c:v>2.3156383803392667E-2</c:v>
                </c:pt>
                <c:pt idx="9">
                  <c:v>2.3382533092320787E-2</c:v>
                </c:pt>
                <c:pt idx="10">
                  <c:v>2.3610837611326145E-2</c:v>
                </c:pt>
              </c:numCache>
            </c:numRef>
          </c:val>
          <c:extLst>
            <c:ext xmlns:c16="http://schemas.microsoft.com/office/drawing/2014/chart" uri="{C3380CC4-5D6E-409C-BE32-E72D297353CC}">
              <c16:uniqueId val="{00000008-E0E0-4C89-AEF6-A67FE8810483}"/>
            </c:ext>
          </c:extLst>
        </c:ser>
        <c:ser>
          <c:idx val="5"/>
          <c:order val="5"/>
          <c:tx>
            <c:strRef>
              <c:f>'Biểu đồ - PL'!$C$102</c:f>
              <c:strCache>
                <c:ptCount val="1"/>
                <c:pt idx="0">
                  <c:v>Gạch</c:v>
                </c:pt>
              </c:strCache>
            </c:strRef>
          </c:tx>
          <c:spPr>
            <a:solidFill>
              <a:schemeClr val="accent6"/>
            </a:solidFill>
            <a:ln>
              <a:noFill/>
            </a:ln>
            <a:effectLst/>
          </c:spPr>
          <c:invertIfNegative val="0"/>
          <c:dLbls>
            <c:dLbl>
              <c:idx val="0"/>
              <c:layout>
                <c:manualLayout>
                  <c:x val="-9.3688429454159529E-17"/>
                  <c:y val="-6.29162495545791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410-439B-82DB-E2FE61DFF96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'Biểu đồ - PL'!$D$97:$Q$97</c15:sqref>
                  </c15:fullRef>
                </c:ext>
              </c:extLst>
              <c:f>'Biểu đồ - PL'!$G$97:$Q$97</c:f>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cat>
          <c:val>
            <c:numRef>
              <c:extLst>
                <c:ext xmlns:c15="http://schemas.microsoft.com/office/drawing/2012/chart" uri="{02D57815-91ED-43cb-92C2-25804820EDAC}">
                  <c15:fullRef>
                    <c15:sqref>'Biểu đồ - PL'!$D$102:$Q$102</c15:sqref>
                  </c15:fullRef>
                </c:ext>
              </c:extLst>
              <c:f>'Biểu đồ - PL'!$G$102:$Q$102</c:f>
              <c:numCache>
                <c:formatCode>0%</c:formatCode>
                <c:ptCount val="11"/>
                <c:pt idx="0">
                  <c:v>1.8025617059307022E-2</c:v>
                </c:pt>
                <c:pt idx="1">
                  <c:v>2.4622009511467282E-2</c:v>
                </c:pt>
                <c:pt idx="2">
                  <c:v>2.4616684410558493E-2</c:v>
                </c:pt>
                <c:pt idx="3">
                  <c:v>2.4611308396157546E-2</c:v>
                </c:pt>
                <c:pt idx="4">
                  <c:v>2.4605881004551647E-2</c:v>
                </c:pt>
                <c:pt idx="5">
                  <c:v>2.4600401768257969E-2</c:v>
                </c:pt>
                <c:pt idx="6">
                  <c:v>2.4594870216001985E-2</c:v>
                </c:pt>
                <c:pt idx="7">
                  <c:v>2.4589285872695984E-2</c:v>
                </c:pt>
                <c:pt idx="8">
                  <c:v>2.4583648259417577E-2</c:v>
                </c:pt>
                <c:pt idx="9">
                  <c:v>2.4577956893388313E-2</c:v>
                </c:pt>
                <c:pt idx="10">
                  <c:v>2.4572211287952388E-2</c:v>
                </c:pt>
              </c:numCache>
            </c:numRef>
          </c:val>
          <c:extLst>
            <c:ext xmlns:c15="http://schemas.microsoft.com/office/drawing/2012/chart" uri="{02D57815-91ED-43cb-92C2-25804820EDAC}">
              <c15:categoryFilterExceptions>
                <c15:categoryFilterException>
                  <c15:sqref>'Biểu đồ - PL'!$D$102</c15:sqref>
                  <c15:dLbl>
                    <c:idx val="-1"/>
                    <c:layout>
                      <c:manualLayout>
                        <c:x val="-1.8737685890831906E-16"/>
                        <c:y val="-5.39282139039250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uri="{CE6537A1-D6FC-4f65-9D91-7224C49458BB}"/>
                      <c:ext xmlns:c16="http://schemas.microsoft.com/office/drawing/2014/chart" uri="{C3380CC4-5D6E-409C-BE32-E72D297353CC}">
                        <c16:uniqueId val="{00000000-1482-4DC9-8835-5B13347BB68A}"/>
                      </c:ext>
                    </c:extLst>
                  </c15:dLbl>
                </c15:categoryFilterException>
                <c15:categoryFilterException>
                  <c15:sqref>'Biểu đồ - PL'!$E$102</c15:sqref>
                  <c15:dLbl>
                    <c:idx val="-1"/>
                    <c:layout>
                      <c:manualLayout>
                        <c:x val="-5.1103370045942594E-3"/>
                        <c:y val="-6.29162495545792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uri="{CE6537A1-D6FC-4f65-9D91-7224C49458BB}"/>
                      <c:ext xmlns:c16="http://schemas.microsoft.com/office/drawing/2014/chart" uri="{C3380CC4-5D6E-409C-BE32-E72D297353CC}">
                        <c16:uniqueId val="{00000001-1482-4DC9-8835-5B13347BB68A}"/>
                      </c:ext>
                    </c:extLst>
                  </c15:dLbl>
                </c15:categoryFilterException>
                <c15:categoryFilterException>
                  <c15:sqref>'Biểu đồ - PL'!$F$102</c15:sqref>
                  <c15:dLbl>
                    <c:idx val="-1"/>
                    <c:layout>
                      <c:manualLayout>
                        <c:x val="-1.0220674009188331E-2"/>
                        <c:y val="-6.2916249554579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uri="{CE6537A1-D6FC-4f65-9D91-7224C49458BB}"/>
                      <c:ext xmlns:c16="http://schemas.microsoft.com/office/drawing/2014/chart" uri="{C3380CC4-5D6E-409C-BE32-E72D297353CC}">
                        <c16:uniqueId val="{00000002-1482-4DC9-8835-5B13347BB68A}"/>
                      </c:ext>
                    </c:extLst>
                  </c15:dLbl>
                </c15:categoryFilterException>
              </c15:categoryFilterExceptions>
            </c:ext>
            <c:ext xmlns:c16="http://schemas.microsoft.com/office/drawing/2014/chart" uri="{C3380CC4-5D6E-409C-BE32-E72D297353CC}">
              <c16:uniqueId val="{0000000D-E0E0-4C89-AEF6-A67FE8810483}"/>
            </c:ext>
          </c:extLst>
        </c:ser>
        <c:ser>
          <c:idx val="6"/>
          <c:order val="6"/>
          <c:tx>
            <c:strRef>
              <c:f>'Biểu đồ - PL'!$C$103</c:f>
              <c:strCache>
                <c:ptCount val="1"/>
                <c:pt idx="0">
                  <c:v>Tổng</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'Biểu đồ - PL'!$D$97:$Q$97</c15:sqref>
                  </c15:fullRef>
                </c:ext>
              </c:extLst>
              <c:f>'Biểu đồ - PL'!$G$97:$Q$97</c:f>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cat>
          <c:val>
            <c:numRef>
              <c:extLst>
                <c:ext xmlns:c15="http://schemas.microsoft.com/office/drawing/2012/chart" uri="{02D57815-91ED-43cb-92C2-25804820EDAC}">
                  <c15:fullRef>
                    <c15:sqref>'Biểu đồ - PL'!$D$103:$Q$103</c15:sqref>
                  </c15:fullRef>
                </c:ext>
              </c:extLst>
              <c:f>'Biểu đồ - PL'!$G$103:$Q$103</c:f>
              <c:numCache>
                <c:formatCode>0%</c:formatCode>
                <c:ptCount val="11"/>
                <c:pt idx="0">
                  <c:v>1.0000000000000002</c:v>
                </c:pt>
                <c:pt idx="1">
                  <c:v>1</c:v>
                </c:pt>
                <c:pt idx="2">
                  <c:v>1</c:v>
                </c:pt>
                <c:pt idx="3">
                  <c:v>0.99999999999999989</c:v>
                </c:pt>
                <c:pt idx="4">
                  <c:v>1</c:v>
                </c:pt>
                <c:pt idx="5">
                  <c:v>0.99999999999999989</c:v>
                </c:pt>
                <c:pt idx="6">
                  <c:v>1</c:v>
                </c:pt>
                <c:pt idx="7">
                  <c:v>0.99999999999999978</c:v>
                </c:pt>
                <c:pt idx="8">
                  <c:v>1</c:v>
                </c:pt>
                <c:pt idx="9">
                  <c:v>1.0000000000000002</c:v>
                </c:pt>
                <c:pt idx="10">
                  <c:v>1</c:v>
                </c:pt>
              </c:numCache>
            </c:numRef>
          </c:val>
          <c:extLst>
            <c:ext xmlns:c16="http://schemas.microsoft.com/office/drawing/2014/chart" uri="{C3380CC4-5D6E-409C-BE32-E72D297353CC}">
              <c16:uniqueId val="{0000000E-E0E0-4C89-AEF6-A67FE8810483}"/>
            </c:ext>
          </c:extLst>
        </c:ser>
        <c:dLbls>
          <c:dLblPos val="ctr"/>
          <c:showLegendKey val="0"/>
          <c:showVal val="1"/>
          <c:showCatName val="0"/>
          <c:showSerName val="0"/>
          <c:showPercent val="0"/>
          <c:showBubbleSize val="0"/>
        </c:dLbls>
        <c:gapWidth val="150"/>
        <c:overlap val="100"/>
        <c:axId val="1833545567"/>
        <c:axId val="1833548927"/>
        <c:extLst>
          <c:ext xmlns:c15="http://schemas.microsoft.com/office/drawing/2012/chart" uri="{02D57815-91ED-43cb-92C2-25804820EDAC}">
            <c15:filteredBarSeries>
              <c15:ser>
                <c:idx val="0"/>
                <c:order val="0"/>
                <c:tx>
                  <c:strRef>
                    <c:extLst>
                      <c:ext uri="{02D57815-91ED-43cb-92C2-25804820EDAC}">
                        <c15:formulaRef>
                          <c15:sqref>'Biểu đồ - PL'!$C$97</c15:sqref>
                        </c15:formulaRef>
                      </c:ext>
                    </c:extLst>
                    <c:strCache>
                      <c:ptCount val="1"/>
                      <c:pt idx="0">
                        <c:v>%</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'Biểu đồ - PL'!$D$97:$Q$97</c15:sqref>
                        </c15:fullRef>
                        <c15:formulaRef>
                          <c15:sqref>'Biểu đồ - PL'!$G$97:$Q$97</c15:sqref>
                        </c15:formulaRef>
                      </c:ext>
                    </c:extLst>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cat>
                <c:val>
                  <c:numRef>
                    <c:extLst>
                      <c:ext uri="{02D57815-91ED-43cb-92C2-25804820EDAC}">
                        <c15:fullRef>
                          <c15:sqref>'Biểu đồ - PL'!$D$97:$Q$97</c15:sqref>
                        </c15:fullRef>
                        <c15:formulaRef>
                          <c15:sqref>'Biểu đồ - PL'!$G$97:$Q$97</c15:sqref>
                        </c15:formulaRef>
                      </c:ext>
                    </c:extLst>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val>
                <c:extLst>
                  <c:ext xmlns:c16="http://schemas.microsoft.com/office/drawing/2014/chart" uri="{C3380CC4-5D6E-409C-BE32-E72D297353CC}">
                    <c16:uniqueId val="{00000000-E0E0-4C89-AEF6-A67FE8810483}"/>
                  </c:ext>
                </c:extLst>
              </c15:ser>
            </c15:filteredBarSeries>
          </c:ext>
        </c:extLst>
      </c:barChart>
      <c:catAx>
        <c:axId val="1833545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548927"/>
        <c:crosses val="autoZero"/>
        <c:auto val="1"/>
        <c:lblAlgn val="ctr"/>
        <c:lblOffset val="100"/>
        <c:noMultiLvlLbl val="0"/>
      </c:catAx>
      <c:valAx>
        <c:axId val="1833548927"/>
        <c:scaling>
          <c:orientation val="minMax"/>
          <c:max val="1"/>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5455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Cơ</a:t>
            </a:r>
            <a:r>
              <a:rPr lang="en-US" sz="1200" b="1" baseline="0"/>
              <a:t> cấu doanh thu theo SP - Xi măng </a:t>
            </a:r>
            <a:endParaRPr lang="en-US"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2"/>
          <c:order val="1"/>
          <c:tx>
            <c:strRef>
              <c:f>'Biểu đồ - PL'!$C$145</c:f>
              <c:strCache>
                <c:ptCount val="1"/>
                <c:pt idx="0">
                  <c:v>Xi măng Visai</c:v>
                </c:pt>
              </c:strCache>
            </c:strRef>
          </c:tx>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'Biểu đồ - PL'!$D$144:$Q$144</c15:sqref>
                  </c15:fullRef>
                </c:ext>
              </c:extLst>
              <c:f>'Biểu đồ - PL'!$G$144:$Q$144</c:f>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cat>
          <c:val>
            <c:numRef>
              <c:extLst>
                <c:ext xmlns:c15="http://schemas.microsoft.com/office/drawing/2012/chart" uri="{02D57815-91ED-43cb-92C2-25804820EDAC}">
                  <c15:fullRef>
                    <c15:sqref>'Biểu đồ - PL'!$D$145:$Q$145</c15:sqref>
                  </c15:fullRef>
                </c:ext>
              </c:extLst>
              <c:f>'Biểu đồ - PL'!$G$145:$Q$145</c:f>
              <c:numCache>
                <c:formatCode>0%</c:formatCode>
                <c:ptCount val="11"/>
                <c:pt idx="0">
                  <c:v>0.72592019856210899</c:v>
                </c:pt>
                <c:pt idx="1">
                  <c:v>0.75569538554242266</c:v>
                </c:pt>
                <c:pt idx="2">
                  <c:v>0.75569538554242266</c:v>
                </c:pt>
                <c:pt idx="3">
                  <c:v>0.75569538554242266</c:v>
                </c:pt>
                <c:pt idx="4">
                  <c:v>0.75569538554242255</c:v>
                </c:pt>
                <c:pt idx="5">
                  <c:v>0.75569538554242266</c:v>
                </c:pt>
                <c:pt idx="6">
                  <c:v>0.75569538554242266</c:v>
                </c:pt>
                <c:pt idx="7">
                  <c:v>0.75569538554242266</c:v>
                </c:pt>
                <c:pt idx="8">
                  <c:v>0.75569538554242266</c:v>
                </c:pt>
                <c:pt idx="9">
                  <c:v>0.75569538554242266</c:v>
                </c:pt>
                <c:pt idx="10">
                  <c:v>0.75569538554242255</c:v>
                </c:pt>
              </c:numCache>
            </c:numRef>
          </c:val>
          <c:extLst>
            <c:ext xmlns:c16="http://schemas.microsoft.com/office/drawing/2014/chart" uri="{C3380CC4-5D6E-409C-BE32-E72D297353CC}">
              <c16:uniqueId val="{00000001-CB80-4F8F-B1AA-8874F54348ED}"/>
            </c:ext>
          </c:extLst>
        </c:ser>
        <c:ser>
          <c:idx val="3"/>
          <c:order val="2"/>
          <c:tx>
            <c:strRef>
              <c:f>'Biểu đồ - PL'!$C$146</c:f>
              <c:strCache>
                <c:ptCount val="1"/>
                <c:pt idx="0">
                  <c:v>Xi măng Bỉm Sơn</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'Biểu đồ - PL'!$D$144:$Q$144</c15:sqref>
                  </c15:fullRef>
                </c:ext>
              </c:extLst>
              <c:f>'Biểu đồ - PL'!$G$144:$Q$144</c:f>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cat>
          <c:val>
            <c:numRef>
              <c:extLst>
                <c:ext xmlns:c15="http://schemas.microsoft.com/office/drawing/2012/chart" uri="{02D57815-91ED-43cb-92C2-25804820EDAC}">
                  <c15:fullRef>
                    <c15:sqref>'Biểu đồ - PL'!$D$146:$Q$146</c15:sqref>
                  </c15:fullRef>
                </c:ext>
              </c:extLst>
              <c:f>'Biểu đồ - PL'!$G$146:$Q$146</c:f>
              <c:numCache>
                <c:formatCode>0%</c:formatCode>
                <c:ptCount val="11"/>
                <c:pt idx="0">
                  <c:v>0.14879256103404465</c:v>
                </c:pt>
                <c:pt idx="1">
                  <c:v>0.11639214150032957</c:v>
                </c:pt>
                <c:pt idx="2">
                  <c:v>0.11639214150032953</c:v>
                </c:pt>
                <c:pt idx="3">
                  <c:v>0.11639214150032959</c:v>
                </c:pt>
                <c:pt idx="4">
                  <c:v>0.11639214150032956</c:v>
                </c:pt>
                <c:pt idx="5">
                  <c:v>0.11639214150032956</c:v>
                </c:pt>
                <c:pt idx="6">
                  <c:v>0.11639214150032955</c:v>
                </c:pt>
                <c:pt idx="7">
                  <c:v>0.11639214150032955</c:v>
                </c:pt>
                <c:pt idx="8">
                  <c:v>0.11639214150032955</c:v>
                </c:pt>
                <c:pt idx="9">
                  <c:v>0.11639214150032953</c:v>
                </c:pt>
                <c:pt idx="10">
                  <c:v>0.11639214150032953</c:v>
                </c:pt>
              </c:numCache>
            </c:numRef>
          </c:val>
          <c:extLst>
            <c:ext xmlns:c16="http://schemas.microsoft.com/office/drawing/2014/chart" uri="{C3380CC4-5D6E-409C-BE32-E72D297353CC}">
              <c16:uniqueId val="{00000002-CB80-4F8F-B1AA-8874F54348ED}"/>
            </c:ext>
          </c:extLst>
        </c:ser>
        <c:ser>
          <c:idx val="4"/>
          <c:order val="3"/>
          <c:tx>
            <c:strRef>
              <c:f>'Biểu đồ - PL'!$C$147</c:f>
              <c:strCache>
                <c:ptCount val="1"/>
                <c:pt idx="0">
                  <c:v>Xi măng Công Thanh</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'Biểu đồ - PL'!$D$144:$Q$144</c15:sqref>
                  </c15:fullRef>
                </c:ext>
              </c:extLst>
              <c:f>'Biểu đồ - PL'!$G$144:$Q$144</c:f>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cat>
          <c:val>
            <c:numRef>
              <c:extLst>
                <c:ext xmlns:c15="http://schemas.microsoft.com/office/drawing/2012/chart" uri="{02D57815-91ED-43cb-92C2-25804820EDAC}">
                  <c15:fullRef>
                    <c15:sqref>'Biểu đồ - PL'!$D$147:$Q$147</c15:sqref>
                  </c15:fullRef>
                </c:ext>
              </c:extLst>
              <c:f>'Biểu đồ - PL'!$G$147:$Q$147</c:f>
              <c:numCache>
                <c:formatCode>0%</c:formatCode>
                <c:ptCount val="11"/>
                <c:pt idx="0">
                  <c:v>7.0002785395088141E-2</c:v>
                </c:pt>
                <c:pt idx="1">
                  <c:v>6.6473652317090348E-2</c:v>
                </c:pt>
                <c:pt idx="2">
                  <c:v>6.6473652317090334E-2</c:v>
                </c:pt>
                <c:pt idx="3">
                  <c:v>6.6473652317090362E-2</c:v>
                </c:pt>
                <c:pt idx="4">
                  <c:v>6.6473652317090362E-2</c:v>
                </c:pt>
                <c:pt idx="5">
                  <c:v>6.6473652317090348E-2</c:v>
                </c:pt>
                <c:pt idx="6">
                  <c:v>6.6473652317090348E-2</c:v>
                </c:pt>
                <c:pt idx="7">
                  <c:v>6.6473652317090334E-2</c:v>
                </c:pt>
                <c:pt idx="8">
                  <c:v>6.6473652317090348E-2</c:v>
                </c:pt>
                <c:pt idx="9">
                  <c:v>6.6473652317090334E-2</c:v>
                </c:pt>
                <c:pt idx="10">
                  <c:v>6.6473652317090348E-2</c:v>
                </c:pt>
              </c:numCache>
            </c:numRef>
          </c:val>
          <c:extLst>
            <c:ext xmlns:c16="http://schemas.microsoft.com/office/drawing/2014/chart" uri="{C3380CC4-5D6E-409C-BE32-E72D297353CC}">
              <c16:uniqueId val="{00000003-CB80-4F8F-B1AA-8874F54348ED}"/>
            </c:ext>
          </c:extLst>
        </c:ser>
        <c:ser>
          <c:idx val="5"/>
          <c:order val="4"/>
          <c:tx>
            <c:strRef>
              <c:f>'Biểu đồ - PL'!$C$148</c:f>
              <c:strCache>
                <c:ptCount val="1"/>
                <c:pt idx="0">
                  <c:v>Xi măng Việt Úc</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'Biểu đồ - PL'!$D$144:$Q$144</c15:sqref>
                  </c15:fullRef>
                </c:ext>
              </c:extLst>
              <c:f>'Biểu đồ - PL'!$G$144:$Q$144</c:f>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cat>
          <c:val>
            <c:numRef>
              <c:extLst>
                <c:ext xmlns:c15="http://schemas.microsoft.com/office/drawing/2012/chart" uri="{02D57815-91ED-43cb-92C2-25804820EDAC}">
                  <c15:fullRef>
                    <c15:sqref>'Biểu đồ - PL'!$D$148:$Q$148</c15:sqref>
                  </c15:fullRef>
                </c:ext>
              </c:extLst>
              <c:f>'Biểu đồ - PL'!$G$148:$Q$148</c:f>
              <c:numCache>
                <c:formatCode>0%</c:formatCode>
                <c:ptCount val="11"/>
                <c:pt idx="0">
                  <c:v>3.7969963136066327E-2</c:v>
                </c:pt>
                <c:pt idx="1">
                  <c:v>4.1343020776586921E-2</c:v>
                </c:pt>
                <c:pt idx="2">
                  <c:v>4.1343020776586914E-2</c:v>
                </c:pt>
                <c:pt idx="3">
                  <c:v>4.1343020776586921E-2</c:v>
                </c:pt>
                <c:pt idx="4">
                  <c:v>4.1343020776586914E-2</c:v>
                </c:pt>
                <c:pt idx="5">
                  <c:v>4.1343020776586914E-2</c:v>
                </c:pt>
                <c:pt idx="6">
                  <c:v>4.1343020776586921E-2</c:v>
                </c:pt>
                <c:pt idx="7">
                  <c:v>4.1343020776586914E-2</c:v>
                </c:pt>
                <c:pt idx="8">
                  <c:v>4.1343020776586921E-2</c:v>
                </c:pt>
                <c:pt idx="9">
                  <c:v>4.1343020776586914E-2</c:v>
                </c:pt>
                <c:pt idx="10">
                  <c:v>4.1343020776586914E-2</c:v>
                </c:pt>
              </c:numCache>
            </c:numRef>
          </c:val>
          <c:extLst>
            <c:ext xmlns:c16="http://schemas.microsoft.com/office/drawing/2014/chart" uri="{C3380CC4-5D6E-409C-BE32-E72D297353CC}">
              <c16:uniqueId val="{00000006-CB80-4F8F-B1AA-8874F54348ED}"/>
            </c:ext>
          </c:extLst>
        </c:ser>
        <c:ser>
          <c:idx val="6"/>
          <c:order val="5"/>
          <c:tx>
            <c:strRef>
              <c:f>'Biểu đồ - PL'!$C$149</c:f>
              <c:strCache>
                <c:ptCount val="1"/>
                <c:pt idx="0">
                  <c:v>Xi măng Vĩnh Thành</c:v>
                </c:pt>
              </c:strCache>
            </c:strRef>
          </c:tx>
          <c:spPr>
            <a:solidFill>
              <a:schemeClr val="accent6">
                <a:lumMod val="60000"/>
                <a:lumOff val="40000"/>
              </a:schemeClr>
            </a:solidFill>
            <a:ln>
              <a:noFill/>
            </a:ln>
            <a:effectLst/>
          </c:spPr>
          <c:invertIfNegative val="0"/>
          <c:dPt>
            <c:idx val="0"/>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1-7E3B-497B-A409-D6A4F8854F6F}"/>
              </c:ext>
            </c:extLst>
          </c:dPt>
          <c:dLbls>
            <c:dLbl>
              <c:idx val="6"/>
              <c:layout>
                <c:manualLayout>
                  <c:x val="2.1439335072776067E-2"/>
                  <c:y val="-7.746479875519558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B80-4F8F-B1AA-8874F54348E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'Biểu đồ - PL'!$D$144:$Q$144</c15:sqref>
                  </c15:fullRef>
                </c:ext>
              </c:extLst>
              <c:f>'Biểu đồ - PL'!$G$144:$Q$144</c:f>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cat>
          <c:val>
            <c:numRef>
              <c:extLst>
                <c:ext xmlns:c15="http://schemas.microsoft.com/office/drawing/2012/chart" uri="{02D57815-91ED-43cb-92C2-25804820EDAC}">
                  <c15:fullRef>
                    <c15:sqref>'Biểu đồ - PL'!$D$149:$Q$149</c15:sqref>
                  </c15:fullRef>
                </c:ext>
              </c:extLst>
              <c:f>'Biểu đồ - PL'!$G$149:$Q$149</c:f>
              <c:numCache>
                <c:formatCode>0%</c:formatCode>
                <c:ptCount val="11"/>
                <c:pt idx="0">
                  <c:v>1.5780555167677925E-2</c:v>
                </c:pt>
                <c:pt idx="1">
                  <c:v>1.8573040424876425E-2</c:v>
                </c:pt>
                <c:pt idx="2">
                  <c:v>1.8573040424876418E-2</c:v>
                </c:pt>
                <c:pt idx="3">
                  <c:v>1.8573040424876421E-2</c:v>
                </c:pt>
                <c:pt idx="4">
                  <c:v>1.8573040424876418E-2</c:v>
                </c:pt>
                <c:pt idx="5">
                  <c:v>1.8573040424876418E-2</c:v>
                </c:pt>
                <c:pt idx="6">
                  <c:v>1.8573040424876418E-2</c:v>
                </c:pt>
                <c:pt idx="7">
                  <c:v>1.8573040424876414E-2</c:v>
                </c:pt>
                <c:pt idx="8">
                  <c:v>1.8573040424876421E-2</c:v>
                </c:pt>
                <c:pt idx="9">
                  <c:v>1.8573040424876418E-2</c:v>
                </c:pt>
                <c:pt idx="10">
                  <c:v>1.8573040424876418E-2</c:v>
                </c:pt>
              </c:numCache>
            </c:numRef>
          </c:val>
          <c:extLst>
            <c:ext xmlns:c16="http://schemas.microsoft.com/office/drawing/2014/chart" uri="{C3380CC4-5D6E-409C-BE32-E72D297353CC}">
              <c16:uniqueId val="{00000007-CB80-4F8F-B1AA-8874F54348ED}"/>
            </c:ext>
          </c:extLst>
        </c:ser>
        <c:ser>
          <c:idx val="0"/>
          <c:order val="6"/>
          <c:tx>
            <c:strRef>
              <c:f>'Biểu đồ - PL'!$C$150</c:f>
              <c:strCache>
                <c:ptCount val="1"/>
                <c:pt idx="0">
                  <c:v>Xi măng Pomihoa</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'Biểu đồ - PL'!$D$144:$Q$144</c15:sqref>
                  </c15:fullRef>
                </c:ext>
              </c:extLst>
              <c:f>'Biểu đồ - PL'!$G$144:$Q$144</c:f>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cat>
          <c:val>
            <c:numRef>
              <c:extLst>
                <c:ext xmlns:c15="http://schemas.microsoft.com/office/drawing/2012/chart" uri="{02D57815-91ED-43cb-92C2-25804820EDAC}">
                  <c15:fullRef>
                    <c15:sqref>'Biểu đồ - PL'!$D$150:$Q$150</c15:sqref>
                  </c15:fullRef>
                </c:ext>
              </c:extLst>
              <c:f>'Biểu đồ - PL'!$G$150:$Q$150</c:f>
              <c:numCache>
                <c:formatCode>0%</c:formatCode>
                <c:ptCount val="11"/>
                <c:pt idx="0">
                  <c:v>1.5339367050138492E-3</c:v>
                </c:pt>
                <c:pt idx="1">
                  <c:v>1.522759438694141E-3</c:v>
                </c:pt>
                <c:pt idx="2">
                  <c:v>1.522759438694141E-3</c:v>
                </c:pt>
                <c:pt idx="3">
                  <c:v>1.522759438694141E-3</c:v>
                </c:pt>
                <c:pt idx="4">
                  <c:v>1.5227594386941405E-3</c:v>
                </c:pt>
                <c:pt idx="5">
                  <c:v>1.5227594386941405E-3</c:v>
                </c:pt>
                <c:pt idx="6">
                  <c:v>1.5227594386941407E-3</c:v>
                </c:pt>
                <c:pt idx="7">
                  <c:v>1.5227594386941407E-3</c:v>
                </c:pt>
                <c:pt idx="8">
                  <c:v>1.5227594386941405E-3</c:v>
                </c:pt>
                <c:pt idx="9">
                  <c:v>1.5227594386941407E-3</c:v>
                </c:pt>
                <c:pt idx="10">
                  <c:v>1.5227594386941405E-3</c:v>
                </c:pt>
              </c:numCache>
            </c:numRef>
          </c:val>
          <c:extLst>
            <c:ext xmlns:c16="http://schemas.microsoft.com/office/drawing/2014/chart" uri="{C3380CC4-5D6E-409C-BE32-E72D297353CC}">
              <c16:uniqueId val="{00000009-CB80-4F8F-B1AA-8874F54348ED}"/>
            </c:ext>
          </c:extLst>
        </c:ser>
        <c:dLbls>
          <c:dLblPos val="ctr"/>
          <c:showLegendKey val="0"/>
          <c:showVal val="1"/>
          <c:showCatName val="0"/>
          <c:showSerName val="0"/>
          <c:showPercent val="0"/>
          <c:showBubbleSize val="0"/>
        </c:dLbls>
        <c:gapWidth val="150"/>
        <c:overlap val="100"/>
        <c:axId val="1833545567"/>
        <c:axId val="1833548927"/>
        <c:extLst>
          <c:ext xmlns:c15="http://schemas.microsoft.com/office/drawing/2012/chart" uri="{02D57815-91ED-43cb-92C2-25804820EDAC}">
            <c15:filteredBarSeries>
              <c15:ser>
                <c:idx val="1"/>
                <c:order val="0"/>
                <c:tx>
                  <c:strRef>
                    <c:extLst>
                      <c:ext uri="{02D57815-91ED-43cb-92C2-25804820EDAC}">
                        <c15:formulaRef>
                          <c15:sqref>'Biểu đồ - PL'!$C$144</c15:sqref>
                        </c15:formulaRef>
                      </c:ext>
                    </c:extLst>
                    <c:strCache>
                      <c:ptCount val="1"/>
                      <c:pt idx="0">
                        <c:v>%</c:v>
                      </c:pt>
                    </c:strCache>
                  </c:strRef>
                </c:tx>
                <c:spPr>
                  <a:solidFill>
                    <a:schemeClr val="dk1">
                      <a:tint val="5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'Biểu đồ - PL'!$D$144:$Q$144</c15:sqref>
                        </c15:fullRef>
                        <c15:formulaRef>
                          <c15:sqref>'Biểu đồ - PL'!$G$144:$Q$144</c15:sqref>
                        </c15:formulaRef>
                      </c:ext>
                    </c:extLst>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cat>
                <c:val>
                  <c:numRef>
                    <c:extLst>
                      <c:ext uri="{02D57815-91ED-43cb-92C2-25804820EDAC}">
                        <c15:fullRef>
                          <c15:sqref>'Biểu đồ - PL'!$D$144:$Q$144</c15:sqref>
                        </c15:fullRef>
                        <c15:formulaRef>
                          <c15:sqref>'Biểu đồ - PL'!$G$144:$Q$144</c15:sqref>
                        </c15:formulaRef>
                      </c:ext>
                    </c:extLst>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val>
                <c:extLst>
                  <c:ext xmlns:c16="http://schemas.microsoft.com/office/drawing/2014/chart" uri="{C3380CC4-5D6E-409C-BE32-E72D297353CC}">
                    <c16:uniqueId val="{00000000-CB80-4F8F-B1AA-8874F54348ED}"/>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'Biểu đồ - PL'!$C$151</c15:sqref>
                        </c15:formulaRef>
                      </c:ext>
                    </c:extLst>
                    <c:strCache>
                      <c:ptCount val="1"/>
                      <c:pt idx="0">
                        <c:v>Tổng</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'Biểu đồ - PL'!$D$144:$Q$144</c15:sqref>
                        </c15:fullRef>
                        <c15:formulaRef>
                          <c15:sqref>'Biểu đồ - PL'!$G$144:$Q$144</c15:sqref>
                        </c15:formulaRef>
                      </c:ext>
                    </c:extLst>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cat>
                <c:val>
                  <c:numRef>
                    <c:extLst>
                      <c:ext xmlns:c15="http://schemas.microsoft.com/office/drawing/2012/chart" uri="{02D57815-91ED-43cb-92C2-25804820EDAC}">
                        <c15:fullRef>
                          <c15:sqref>'Biểu đồ - PL'!$D$151:$Q$151</c15:sqref>
                        </c15:fullRef>
                        <c15:formulaRef>
                          <c15:sqref>'Biểu đồ - PL'!$G$151:$Q$151</c15:sqref>
                        </c15:formulaRef>
                      </c:ext>
                    </c:extLst>
                    <c:numCache>
                      <c:formatCode>0%</c:formatCode>
                      <c:ptCount val="11"/>
                      <c:pt idx="0">
                        <c:v>1</c:v>
                      </c:pt>
                      <c:pt idx="1">
                        <c:v>1</c:v>
                      </c:pt>
                      <c:pt idx="2">
                        <c:v>1</c:v>
                      </c:pt>
                      <c:pt idx="3">
                        <c:v>1</c:v>
                      </c:pt>
                      <c:pt idx="4">
                        <c:v>1</c:v>
                      </c:pt>
                      <c:pt idx="5">
                        <c:v>1</c:v>
                      </c:pt>
                      <c:pt idx="6">
                        <c:v>1</c:v>
                      </c:pt>
                      <c:pt idx="7">
                        <c:v>1</c:v>
                      </c:pt>
                      <c:pt idx="8">
                        <c:v>1</c:v>
                      </c:pt>
                      <c:pt idx="9">
                        <c:v>1</c:v>
                      </c:pt>
                      <c:pt idx="10">
                        <c:v>1</c:v>
                      </c:pt>
                    </c:numCache>
                  </c:numRef>
                </c:val>
                <c:extLst xmlns:c15="http://schemas.microsoft.com/office/drawing/2012/chart">
                  <c:ext xmlns:c16="http://schemas.microsoft.com/office/drawing/2014/chart" uri="{C3380CC4-5D6E-409C-BE32-E72D297353CC}">
                    <c16:uniqueId val="{0000000A-CB80-4F8F-B1AA-8874F54348ED}"/>
                  </c:ext>
                </c:extLst>
              </c15:ser>
            </c15:filteredBarSeries>
          </c:ext>
        </c:extLst>
      </c:barChart>
      <c:catAx>
        <c:axId val="1833545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548927"/>
        <c:crosses val="autoZero"/>
        <c:auto val="1"/>
        <c:lblAlgn val="ctr"/>
        <c:lblOffset val="100"/>
        <c:noMultiLvlLbl val="0"/>
      </c:catAx>
      <c:valAx>
        <c:axId val="1833548927"/>
        <c:scaling>
          <c:orientation val="minMax"/>
          <c:max val="1"/>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5455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Cơ</a:t>
            </a:r>
            <a:r>
              <a:rPr lang="en-US" sz="1200" b="1" baseline="0"/>
              <a:t> cấu doanh thu theo SP - Thép</a:t>
            </a:r>
            <a:endParaRPr lang="en-US"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3"/>
          <c:order val="1"/>
          <c:tx>
            <c:strRef>
              <c:f>'Biểu đồ - PL'!$C$175</c:f>
              <c:strCache>
                <c:ptCount val="1"/>
                <c:pt idx="0">
                  <c:v>Thép Hòa Phát</c:v>
                </c:pt>
              </c:strCache>
            </c:strRef>
          </c:tx>
          <c:spPr>
            <a:solidFill>
              <a:schemeClr val="tx1">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'Biểu đồ - PL'!$D$174:$Q$174</c15:sqref>
                  </c15:fullRef>
                </c:ext>
              </c:extLst>
              <c:f>'Biểu đồ - PL'!$G$174:$Q$174</c:f>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cat>
          <c:val>
            <c:numRef>
              <c:extLst>
                <c:ext xmlns:c15="http://schemas.microsoft.com/office/drawing/2012/chart" uri="{02D57815-91ED-43cb-92C2-25804820EDAC}">
                  <c15:fullRef>
                    <c15:sqref>'Biểu đồ - PL'!$D$175:$Q$175</c15:sqref>
                  </c15:fullRef>
                </c:ext>
              </c:extLst>
              <c:f>'Biểu đồ - PL'!$G$175:$Q$175</c:f>
              <c:numCache>
                <c:formatCode>0%</c:formatCode>
                <c:ptCount val="11"/>
                <c:pt idx="0">
                  <c:v>0.90282782862305355</c:v>
                </c:pt>
                <c:pt idx="1">
                  <c:v>0.90473561996412766</c:v>
                </c:pt>
                <c:pt idx="2">
                  <c:v>0.90473561996412777</c:v>
                </c:pt>
                <c:pt idx="3">
                  <c:v>0.90473561996412766</c:v>
                </c:pt>
                <c:pt idx="4">
                  <c:v>0.90473561996412766</c:v>
                </c:pt>
                <c:pt idx="5">
                  <c:v>0.90473561996412766</c:v>
                </c:pt>
                <c:pt idx="6">
                  <c:v>0.90473561996412777</c:v>
                </c:pt>
                <c:pt idx="7">
                  <c:v>0.90473561996412777</c:v>
                </c:pt>
                <c:pt idx="8">
                  <c:v>0.90473561996412777</c:v>
                </c:pt>
                <c:pt idx="9">
                  <c:v>0.90473561996412766</c:v>
                </c:pt>
                <c:pt idx="10">
                  <c:v>0.90473561996412777</c:v>
                </c:pt>
              </c:numCache>
            </c:numRef>
          </c:val>
          <c:extLst>
            <c:ext xmlns:c16="http://schemas.microsoft.com/office/drawing/2014/chart" uri="{C3380CC4-5D6E-409C-BE32-E72D297353CC}">
              <c16:uniqueId val="{00000001-82C6-4037-B3D7-0EE724452255}"/>
            </c:ext>
          </c:extLst>
        </c:ser>
        <c:ser>
          <c:idx val="4"/>
          <c:order val="2"/>
          <c:tx>
            <c:strRef>
              <c:f>'Biểu đồ - PL'!$C$176</c:f>
              <c:strCache>
                <c:ptCount val="1"/>
                <c:pt idx="0">
                  <c:v>Thép Việt Nhật</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'Biểu đồ - PL'!$D$174:$Q$174</c15:sqref>
                  </c15:fullRef>
                </c:ext>
              </c:extLst>
              <c:f>'Biểu đồ - PL'!$G$174:$Q$174</c:f>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cat>
          <c:val>
            <c:numRef>
              <c:extLst>
                <c:ext xmlns:c15="http://schemas.microsoft.com/office/drawing/2012/chart" uri="{02D57815-91ED-43cb-92C2-25804820EDAC}">
                  <c15:fullRef>
                    <c15:sqref>'Biểu đồ - PL'!$D$176:$Q$176</c15:sqref>
                  </c15:fullRef>
                </c:ext>
              </c:extLst>
              <c:f>'Biểu đồ - PL'!$G$176:$Q$176</c:f>
              <c:numCache>
                <c:formatCode>0%</c:formatCode>
                <c:ptCount val="11"/>
                <c:pt idx="0">
                  <c:v>9.0118175111883941E-2</c:v>
                </c:pt>
                <c:pt idx="1">
                  <c:v>9.0240359118833144E-2</c:v>
                </c:pt>
                <c:pt idx="2">
                  <c:v>9.024035911883313E-2</c:v>
                </c:pt>
                <c:pt idx="3">
                  <c:v>9.0240359118833158E-2</c:v>
                </c:pt>
                <c:pt idx="4">
                  <c:v>9.0240359118833144E-2</c:v>
                </c:pt>
                <c:pt idx="5">
                  <c:v>9.0240359118833144E-2</c:v>
                </c:pt>
                <c:pt idx="6">
                  <c:v>9.0240359118833158E-2</c:v>
                </c:pt>
                <c:pt idx="7">
                  <c:v>9.0240359118833172E-2</c:v>
                </c:pt>
                <c:pt idx="8">
                  <c:v>9.0240359118833172E-2</c:v>
                </c:pt>
                <c:pt idx="9">
                  <c:v>9.0240359118833144E-2</c:v>
                </c:pt>
                <c:pt idx="10">
                  <c:v>9.024035911883313E-2</c:v>
                </c:pt>
              </c:numCache>
            </c:numRef>
          </c:val>
          <c:extLst>
            <c:ext xmlns:c16="http://schemas.microsoft.com/office/drawing/2014/chart" uri="{C3380CC4-5D6E-409C-BE32-E72D297353CC}">
              <c16:uniqueId val="{00000002-82C6-4037-B3D7-0EE724452255}"/>
            </c:ext>
          </c:extLst>
        </c:ser>
        <c:ser>
          <c:idx val="5"/>
          <c:order val="3"/>
          <c:tx>
            <c:strRef>
              <c:f>'Biểu đồ - PL'!$C$177</c:f>
              <c:strCache>
                <c:ptCount val="1"/>
                <c:pt idx="0">
                  <c:v>Thép Ly</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'Biểu đồ - PL'!$D$174:$Q$174</c15:sqref>
                  </c15:fullRef>
                </c:ext>
              </c:extLst>
              <c:f>'Biểu đồ - PL'!$G$174:$Q$174</c:f>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cat>
          <c:val>
            <c:numRef>
              <c:extLst>
                <c:ext xmlns:c15="http://schemas.microsoft.com/office/drawing/2012/chart" uri="{02D57815-91ED-43cb-92C2-25804820EDAC}">
                  <c15:fullRef>
                    <c15:sqref>'Biểu đồ - PL'!$D$177:$Q$177</c15:sqref>
                  </c15:fullRef>
                </c:ext>
              </c:extLst>
              <c:f>'Biểu đồ - PL'!$G$177:$Q$177</c:f>
              <c:numCache>
                <c:formatCode>0%</c:formatCode>
                <c:ptCount val="11"/>
                <c:pt idx="0">
                  <c:v>6.0254007548372736E-3</c:v>
                </c:pt>
                <c:pt idx="1">
                  <c:v>3.9427673337940035E-3</c:v>
                </c:pt>
                <c:pt idx="2">
                  <c:v>3.9427673337940035E-3</c:v>
                </c:pt>
                <c:pt idx="3">
                  <c:v>3.9427673337940035E-3</c:v>
                </c:pt>
                <c:pt idx="4">
                  <c:v>3.9427673337940027E-3</c:v>
                </c:pt>
                <c:pt idx="5">
                  <c:v>3.9427673337940035E-3</c:v>
                </c:pt>
                <c:pt idx="6">
                  <c:v>3.9427673337940044E-3</c:v>
                </c:pt>
                <c:pt idx="7">
                  <c:v>3.9427673337940044E-3</c:v>
                </c:pt>
                <c:pt idx="8">
                  <c:v>3.9427673337940044E-3</c:v>
                </c:pt>
                <c:pt idx="9">
                  <c:v>3.9427673337940035E-3</c:v>
                </c:pt>
                <c:pt idx="10">
                  <c:v>3.9427673337940035E-3</c:v>
                </c:pt>
              </c:numCache>
            </c:numRef>
          </c:val>
          <c:extLst>
            <c:ext xmlns:c16="http://schemas.microsoft.com/office/drawing/2014/chart" uri="{C3380CC4-5D6E-409C-BE32-E72D297353CC}">
              <c16:uniqueId val="{00000005-82C6-4037-B3D7-0EE724452255}"/>
            </c:ext>
          </c:extLst>
        </c:ser>
        <c:ser>
          <c:idx val="6"/>
          <c:order val="4"/>
          <c:tx>
            <c:strRef>
              <c:f>'Biểu đồ - PL'!$C$178</c:f>
              <c:strCache>
                <c:ptCount val="1"/>
                <c:pt idx="0">
                  <c:v>Thép Việt Đức</c:v>
                </c:pt>
              </c:strCache>
            </c:strRef>
          </c:tx>
          <c:spPr>
            <a:solidFill>
              <a:schemeClr val="accent1">
                <a:lumMod val="80000"/>
                <a:lumOff val="20000"/>
              </a:schemeClr>
            </a:solidFill>
            <a:ln>
              <a:noFill/>
            </a:ln>
            <a:effectLst/>
          </c:spPr>
          <c:invertIfNegative val="0"/>
          <c:dPt>
            <c:idx val="0"/>
            <c:invertIfNegative val="0"/>
            <c:bubble3D val="0"/>
            <c:spPr>
              <a:solidFill>
                <a:schemeClr val="accent5">
                  <a:lumMod val="60000"/>
                </a:schemeClr>
              </a:solidFill>
              <a:ln>
                <a:noFill/>
              </a:ln>
              <a:effectLst/>
            </c:spPr>
            <c:extLst>
              <c:ext xmlns:c16="http://schemas.microsoft.com/office/drawing/2014/chart" uri="{C3380CC4-5D6E-409C-BE32-E72D297353CC}">
                <c16:uniqueId val="{00000006-82C6-4037-B3D7-0EE72445225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'Biểu đồ - PL'!$D$174:$Q$174</c15:sqref>
                  </c15:fullRef>
                </c:ext>
              </c:extLst>
              <c:f>'Biểu đồ - PL'!$G$174:$Q$174</c:f>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cat>
          <c:val>
            <c:numRef>
              <c:extLst>
                <c:ext xmlns:c15="http://schemas.microsoft.com/office/drawing/2012/chart" uri="{02D57815-91ED-43cb-92C2-25804820EDAC}">
                  <c15:fullRef>
                    <c15:sqref>'Biểu đồ - PL'!$D$178:$Q$178</c15:sqref>
                  </c15:fullRef>
                </c:ext>
              </c:extLst>
              <c:f>'Biểu đồ - PL'!$G$178:$Q$178</c:f>
              <c:numCache>
                <c:formatCode>0%</c:formatCode>
                <c:ptCount val="11"/>
                <c:pt idx="0">
                  <c:v>1.0230118336537501E-3</c:v>
                </c:pt>
                <c:pt idx="1">
                  <c:v>1.0761782647316217E-3</c:v>
                </c:pt>
                <c:pt idx="2">
                  <c:v>1.0761782647316219E-3</c:v>
                </c:pt>
                <c:pt idx="3">
                  <c:v>1.0761782647316219E-3</c:v>
                </c:pt>
                <c:pt idx="4">
                  <c:v>1.0761782647316217E-3</c:v>
                </c:pt>
                <c:pt idx="5">
                  <c:v>1.0761782647316219E-3</c:v>
                </c:pt>
                <c:pt idx="6">
                  <c:v>1.0761782647316224E-3</c:v>
                </c:pt>
                <c:pt idx="7">
                  <c:v>1.0761782647316219E-3</c:v>
                </c:pt>
                <c:pt idx="8">
                  <c:v>1.0761782647316222E-3</c:v>
                </c:pt>
                <c:pt idx="9">
                  <c:v>1.0761782647316219E-3</c:v>
                </c:pt>
                <c:pt idx="10">
                  <c:v>1.0761782647316219E-3</c:v>
                </c:pt>
              </c:numCache>
            </c:numRef>
          </c:val>
          <c:extLst>
            <c:ext xmlns:c16="http://schemas.microsoft.com/office/drawing/2014/chart" uri="{C3380CC4-5D6E-409C-BE32-E72D297353CC}">
              <c16:uniqueId val="{00000007-82C6-4037-B3D7-0EE724452255}"/>
            </c:ext>
          </c:extLst>
        </c:ser>
        <c:ser>
          <c:idx val="0"/>
          <c:order val="5"/>
          <c:tx>
            <c:strRef>
              <c:f>'Biểu đồ - PL'!$C$179</c:f>
              <c:strCache>
                <c:ptCount val="1"/>
                <c:pt idx="0">
                  <c:v>Thép Tisco</c:v>
                </c:pt>
              </c:strCache>
            </c:strRef>
          </c:tx>
          <c:spPr>
            <a:solidFill>
              <a:schemeClr val="accent1"/>
            </a:solidFill>
            <a:ln>
              <a:noFill/>
            </a:ln>
            <a:effectLst/>
          </c:spPr>
          <c:invertIfNegative val="0"/>
          <c:dLbls>
            <c:dLbl>
              <c:idx val="0"/>
              <c:layout>
                <c:manualLayout>
                  <c:x val="1.6262286689419637E-2"/>
                  <c:y val="-4.119467293715270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ED-4D46-8C28-84BD0AFCC57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'Biểu đồ - PL'!$D$174:$Q$174</c15:sqref>
                  </c15:fullRef>
                </c:ext>
              </c:extLst>
              <c:f>'Biểu đồ - PL'!$G$174:$Q$174</c:f>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cat>
          <c:val>
            <c:numRef>
              <c:extLst>
                <c:ext xmlns:c15="http://schemas.microsoft.com/office/drawing/2012/chart" uri="{02D57815-91ED-43cb-92C2-25804820EDAC}">
                  <c15:fullRef>
                    <c15:sqref>'Biểu đồ - PL'!$D$179:$Q$179</c15:sqref>
                  </c15:fullRef>
                </c:ext>
              </c:extLst>
              <c:f>'Biểu đồ - PL'!$G$179:$Q$179</c:f>
              <c:numCache>
                <c:formatCode>0%</c:formatCode>
                <c:ptCount val="11"/>
                <c:pt idx="0">
                  <c:v>5.583676571472432E-6</c:v>
                </c:pt>
                <c:pt idx="1">
                  <c:v>5.0753185135025896E-6</c:v>
                </c:pt>
                <c:pt idx="2">
                  <c:v>5.0753185135025913E-6</c:v>
                </c:pt>
                <c:pt idx="3">
                  <c:v>5.0753185135025913E-6</c:v>
                </c:pt>
                <c:pt idx="4">
                  <c:v>5.0753185135025904E-6</c:v>
                </c:pt>
                <c:pt idx="5">
                  <c:v>5.0753185135025896E-6</c:v>
                </c:pt>
                <c:pt idx="6">
                  <c:v>5.0753185135025913E-6</c:v>
                </c:pt>
                <c:pt idx="7">
                  <c:v>5.0753185135025921E-6</c:v>
                </c:pt>
                <c:pt idx="8">
                  <c:v>5.0753185135025921E-6</c:v>
                </c:pt>
                <c:pt idx="9">
                  <c:v>5.0753185135025904E-6</c:v>
                </c:pt>
                <c:pt idx="10">
                  <c:v>5.0753185135025913E-6</c:v>
                </c:pt>
              </c:numCache>
            </c:numRef>
          </c:val>
          <c:extLst>
            <c:ext xmlns:c16="http://schemas.microsoft.com/office/drawing/2014/chart" uri="{C3380CC4-5D6E-409C-BE32-E72D297353CC}">
              <c16:uniqueId val="{00000008-82C6-4037-B3D7-0EE724452255}"/>
            </c:ext>
          </c:extLst>
        </c:ser>
        <c:ser>
          <c:idx val="1"/>
          <c:order val="6"/>
          <c:tx>
            <c:strRef>
              <c:f>'Biểu đồ - PL'!$C$180</c:f>
              <c:strCache>
                <c:ptCount val="1"/>
                <c:pt idx="0">
                  <c:v>Thép Việt Úc</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'Biểu đồ - PL'!$D$174:$Q$174</c15:sqref>
                  </c15:fullRef>
                </c:ext>
              </c:extLst>
              <c:f>'Biểu đồ - PL'!$G$174:$Q$174</c:f>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cat>
          <c:val>
            <c:numRef>
              <c:extLst>
                <c:ext xmlns:c15="http://schemas.microsoft.com/office/drawing/2012/chart" uri="{02D57815-91ED-43cb-92C2-25804820EDAC}">
                  <c15:fullRef>
                    <c15:sqref>'Biểu đồ - PL'!$D$180:$Q$180</c15:sqref>
                  </c15:fullRef>
                </c:ext>
              </c:extLst>
              <c:f>'Biểu đồ - PL'!$G$180:$Q$180</c:f>
              <c:numCache>
                <c:formatCode>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A-82C6-4037-B3D7-0EE724452255}"/>
            </c:ext>
          </c:extLst>
        </c:ser>
        <c:dLbls>
          <c:dLblPos val="ctr"/>
          <c:showLegendKey val="0"/>
          <c:showVal val="1"/>
          <c:showCatName val="0"/>
          <c:showSerName val="0"/>
          <c:showPercent val="0"/>
          <c:showBubbleSize val="0"/>
        </c:dLbls>
        <c:gapWidth val="150"/>
        <c:overlap val="100"/>
        <c:axId val="1833545567"/>
        <c:axId val="1833548927"/>
        <c:extLst>
          <c:ext xmlns:c15="http://schemas.microsoft.com/office/drawing/2012/chart" uri="{02D57815-91ED-43cb-92C2-25804820EDAC}">
            <c15:filteredBarSeries>
              <c15:ser>
                <c:idx val="2"/>
                <c:order val="0"/>
                <c:tx>
                  <c:strRef>
                    <c:extLst>
                      <c:ext uri="{02D57815-91ED-43cb-92C2-25804820EDAC}">
                        <c15:formulaRef>
                          <c15:sqref>'Biểu đồ - PL'!$C$174</c15:sqref>
                        </c15:formulaRef>
                      </c:ext>
                    </c:extLst>
                    <c:strCache>
                      <c:ptCount val="1"/>
                      <c:pt idx="0">
                        <c:v>%</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'Biểu đồ - PL'!$D$174:$Q$174</c15:sqref>
                        </c15:fullRef>
                        <c15:formulaRef>
                          <c15:sqref>'Biểu đồ - PL'!$G$174:$Q$174</c15:sqref>
                        </c15:formulaRef>
                      </c:ext>
                    </c:extLst>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cat>
                <c:val>
                  <c:numRef>
                    <c:extLst>
                      <c:ext uri="{02D57815-91ED-43cb-92C2-25804820EDAC}">
                        <c15:fullRef>
                          <c15:sqref>'Biểu đồ - PL'!$D$174:$Q$174</c15:sqref>
                        </c15:fullRef>
                        <c15:formulaRef>
                          <c15:sqref>'Biểu đồ - PL'!$G$174:$Q$174</c15:sqref>
                        </c15:formulaRef>
                      </c:ext>
                    </c:extLst>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val>
                <c:extLst>
                  <c:ext xmlns:c16="http://schemas.microsoft.com/office/drawing/2014/chart" uri="{C3380CC4-5D6E-409C-BE32-E72D297353CC}">
                    <c16:uniqueId val="{00000000-82C6-4037-B3D7-0EE724452255}"/>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'Biểu đồ - PL'!$C$181</c15:sqref>
                        </c15:formulaRef>
                      </c:ext>
                    </c:extLst>
                    <c:strCache>
                      <c:ptCount val="1"/>
                      <c:pt idx="0">
                        <c:v>Tổng</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'Biểu đồ - PL'!$D$174:$Q$174</c15:sqref>
                        </c15:fullRef>
                        <c15:formulaRef>
                          <c15:sqref>'Biểu đồ - PL'!$G$174:$Q$174</c15:sqref>
                        </c15:formulaRef>
                      </c:ext>
                    </c:extLst>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cat>
                <c:val>
                  <c:numRef>
                    <c:extLst>
                      <c:ext xmlns:c15="http://schemas.microsoft.com/office/drawing/2012/chart" uri="{02D57815-91ED-43cb-92C2-25804820EDAC}">
                        <c15:fullRef>
                          <c15:sqref>'Biểu đồ - PL'!$D$181:$Q$181</c15:sqref>
                        </c15:fullRef>
                        <c15:formulaRef>
                          <c15:sqref>'Biểu đồ - PL'!$G$181:$Q$181</c15:sqref>
                        </c15:formulaRef>
                      </c:ext>
                    </c:extLst>
                    <c:numCache>
                      <c:formatCode>0%</c:formatCode>
                      <c:ptCount val="11"/>
                      <c:pt idx="0">
                        <c:v>1</c:v>
                      </c:pt>
                      <c:pt idx="1">
                        <c:v>1</c:v>
                      </c:pt>
                      <c:pt idx="2">
                        <c:v>1</c:v>
                      </c:pt>
                      <c:pt idx="3">
                        <c:v>1</c:v>
                      </c:pt>
                      <c:pt idx="4">
                        <c:v>1</c:v>
                      </c:pt>
                      <c:pt idx="5">
                        <c:v>1</c:v>
                      </c:pt>
                      <c:pt idx="6">
                        <c:v>1</c:v>
                      </c:pt>
                      <c:pt idx="7">
                        <c:v>1</c:v>
                      </c:pt>
                      <c:pt idx="8">
                        <c:v>1</c:v>
                      </c:pt>
                      <c:pt idx="9">
                        <c:v>1</c:v>
                      </c:pt>
                      <c:pt idx="10">
                        <c:v>1</c:v>
                      </c:pt>
                    </c:numCache>
                  </c:numRef>
                </c:val>
                <c:extLst xmlns:c15="http://schemas.microsoft.com/office/drawing/2012/chart">
                  <c:ext xmlns:c16="http://schemas.microsoft.com/office/drawing/2014/chart" uri="{C3380CC4-5D6E-409C-BE32-E72D297353CC}">
                    <c16:uniqueId val="{0000000B-82C6-4037-B3D7-0EE724452255}"/>
                  </c:ext>
                </c:extLst>
              </c15:ser>
            </c15:filteredBarSeries>
          </c:ext>
        </c:extLst>
      </c:barChart>
      <c:catAx>
        <c:axId val="1833545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548927"/>
        <c:crosses val="autoZero"/>
        <c:auto val="1"/>
        <c:lblAlgn val="ctr"/>
        <c:lblOffset val="100"/>
        <c:noMultiLvlLbl val="0"/>
      </c:catAx>
      <c:valAx>
        <c:axId val="1833548927"/>
        <c:scaling>
          <c:orientation val="minMax"/>
          <c:max val="1"/>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5455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Doanh thu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'Biểu đồ - PL'!$C$6</c:f>
              <c:strCache>
                <c:ptCount val="1"/>
                <c:pt idx="0">
                  <c:v>Hợp nhất</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'Biểu đồ - PL'!$D$5:$Q$5</c15:sqref>
                  </c15:fullRef>
                </c:ext>
              </c:extLst>
              <c:f>'Biểu đồ - PL'!$G$5:$Q$5</c:f>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cat>
          <c:val>
            <c:numRef>
              <c:extLst>
                <c:ext xmlns:c15="http://schemas.microsoft.com/office/drawing/2012/chart" uri="{02D57815-91ED-43cb-92C2-25804820EDAC}">
                  <c15:fullRef>
                    <c15:sqref>'Biểu đồ - PL'!$D$6:$Q$6</c15:sqref>
                  </c15:fullRef>
                </c:ext>
              </c:extLst>
              <c:f>'Biểu đồ - PL'!$G$6:$Q$6</c:f>
              <c:numCache>
                <c:formatCode>_(* #,##0.00_);_(* \(#,##0.00\);_(* "-"??_);_(@_)</c:formatCode>
                <c:ptCount val="11"/>
                <c:pt idx="0">
                  <c:v>531.99834997300002</c:v>
                </c:pt>
                <c:pt idx="1">
                  <c:v>472.69443724311299</c:v>
                </c:pt>
                <c:pt idx="2">
                  <c:v>477.52465779160076</c:v>
                </c:pt>
                <c:pt idx="3">
                  <c:v>482.40525639671222</c:v>
                </c:pt>
                <c:pt idx="4">
                  <c:v>487.33677856362141</c:v>
                </c:pt>
                <c:pt idx="5">
                  <c:v>492.31977609121873</c:v>
                </c:pt>
                <c:pt idx="6">
                  <c:v>497.3548071519055</c:v>
                </c:pt>
                <c:pt idx="7">
                  <c:v>502.4424363725247</c:v>
                </c:pt>
                <c:pt idx="8">
                  <c:v>507.58323491644688</c:v>
                </c:pt>
                <c:pt idx="9">
                  <c:v>512.7777805668303</c:v>
                </c:pt>
                <c:pt idx="10">
                  <c:v>518.02665781107203</c:v>
                </c:pt>
              </c:numCache>
            </c:numRef>
          </c:val>
          <c:extLst>
            <c:ext xmlns:c16="http://schemas.microsoft.com/office/drawing/2014/chart" uri="{C3380CC4-5D6E-409C-BE32-E72D297353CC}">
              <c16:uniqueId val="{00000000-47BB-44C0-9100-997270DBBDD7}"/>
            </c:ext>
          </c:extLst>
        </c:ser>
        <c:dLbls>
          <c:showLegendKey val="0"/>
          <c:showVal val="0"/>
          <c:showCatName val="0"/>
          <c:showSerName val="0"/>
          <c:showPercent val="0"/>
          <c:showBubbleSize val="0"/>
        </c:dLbls>
        <c:gapWidth val="219"/>
        <c:overlap val="-27"/>
        <c:axId val="1777054831"/>
        <c:axId val="1936648399"/>
      </c:barChart>
      <c:lineChart>
        <c:grouping val="standard"/>
        <c:varyColors val="0"/>
        <c:ser>
          <c:idx val="1"/>
          <c:order val="1"/>
          <c:tx>
            <c:strRef>
              <c:f>'Biểu đồ - PL'!$C$7</c:f>
              <c:strCache>
                <c:ptCount val="1"/>
                <c:pt idx="0">
                  <c:v>Tốc độ tăng trưởng DT</c:v>
                </c:pt>
              </c:strCache>
            </c:strRef>
          </c:tx>
          <c:spPr>
            <a:ln w="28575" cap="rnd">
              <a:solidFill>
                <a:schemeClr val="bg1">
                  <a:lumMod val="65000"/>
                </a:schemeClr>
              </a:solidFill>
              <a:round/>
            </a:ln>
            <a:effectLst/>
          </c:spPr>
          <c:marker>
            <c:symbol val="square"/>
            <c:size val="8"/>
            <c:spPr>
              <a:solidFill>
                <a:schemeClr val="bg1">
                  <a:lumMod val="65000"/>
                </a:schemeClr>
              </a:solidFill>
              <a:ln w="9525">
                <a:noFill/>
              </a:ln>
              <a:effectLst/>
            </c:spPr>
          </c:marker>
          <c:cat>
            <c:numRef>
              <c:extLst>
                <c:ext xmlns:c15="http://schemas.microsoft.com/office/drawing/2012/chart" uri="{02D57815-91ED-43cb-92C2-25804820EDAC}">
                  <c15:fullRef>
                    <c15:sqref>'Biểu đồ - PL'!$D$5:$Q$5</c15:sqref>
                  </c15:fullRef>
                </c:ext>
              </c:extLst>
              <c:f>'Biểu đồ - PL'!$G$5:$Q$5</c:f>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cat>
          <c:val>
            <c:numRef>
              <c:extLst>
                <c:ext xmlns:c15="http://schemas.microsoft.com/office/drawing/2012/chart" uri="{02D57815-91ED-43cb-92C2-25804820EDAC}">
                  <c15:fullRef>
                    <c15:sqref>'Biểu đồ - PL'!$D$7:$Q$7</c15:sqref>
                  </c15:fullRef>
                </c:ext>
              </c:extLst>
              <c:f>'Biểu đồ - PL'!$G$7:$Q$7</c:f>
              <c:numCache>
                <c:formatCode>_(* #,##0.00_);_(* \(#,##0.00\);_(* "-"??_);_(@_)</c:formatCode>
                <c:ptCount val="11"/>
                <c:pt idx="0" formatCode="0%">
                  <c:v>5.2428595759324043E-2</c:v>
                </c:pt>
                <c:pt idx="1" formatCode="0%">
                  <c:v>-0.11147386591123229</c:v>
                </c:pt>
                <c:pt idx="2" formatCode="0%">
                  <c:v>1.0218484009794951E-2</c:v>
                </c:pt>
                <c:pt idx="3" formatCode="0%">
                  <c:v>1.0220621124954407E-2</c:v>
                </c:pt>
                <c:pt idx="4" formatCode="0%">
                  <c:v>1.0222778673152948E-2</c:v>
                </c:pt>
                <c:pt idx="5" formatCode="0%">
                  <c:v>1.0224956840491762E-2</c:v>
                </c:pt>
                <c:pt idx="6" formatCode="0%">
                  <c:v>1.0227155814585576E-2</c:v>
                </c:pt>
                <c:pt idx="7" formatCode="0%">
                  <c:v>1.0229375784570015E-2</c:v>
                </c:pt>
                <c:pt idx="8" formatCode="0%">
                  <c:v>1.0231616941110957E-2</c:v>
                </c:pt>
                <c:pt idx="9" formatCode="0%">
                  <c:v>1.0233879476414328E-2</c:v>
                </c:pt>
                <c:pt idx="10" formatCode="0%">
                  <c:v>1.0236163584232448E-2</c:v>
                </c:pt>
              </c:numCache>
            </c:numRef>
          </c:val>
          <c:smooth val="0"/>
          <c:extLst>
            <c:ext xmlns:c16="http://schemas.microsoft.com/office/drawing/2014/chart" uri="{C3380CC4-5D6E-409C-BE32-E72D297353CC}">
              <c16:uniqueId val="{00000001-47BB-44C0-9100-997270DBBDD7}"/>
            </c:ext>
          </c:extLst>
        </c:ser>
        <c:dLbls>
          <c:showLegendKey val="0"/>
          <c:showVal val="0"/>
          <c:showCatName val="0"/>
          <c:showSerName val="0"/>
          <c:showPercent val="0"/>
          <c:showBubbleSize val="0"/>
        </c:dLbls>
        <c:marker val="1"/>
        <c:smooth val="0"/>
        <c:axId val="1777057631"/>
        <c:axId val="1936649231"/>
      </c:lineChart>
      <c:catAx>
        <c:axId val="1777054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6648399"/>
        <c:crosses val="autoZero"/>
        <c:auto val="1"/>
        <c:lblAlgn val="ctr"/>
        <c:lblOffset val="100"/>
        <c:noMultiLvlLbl val="0"/>
      </c:catAx>
      <c:valAx>
        <c:axId val="193664839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054831"/>
        <c:crosses val="autoZero"/>
        <c:crossBetween val="between"/>
      </c:valAx>
      <c:valAx>
        <c:axId val="1936649231"/>
        <c:scaling>
          <c:orientation val="minMax"/>
        </c:scaling>
        <c:delete val="0"/>
        <c:axPos val="r"/>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057631"/>
        <c:crosses val="max"/>
        <c:crossBetween val="between"/>
      </c:valAx>
      <c:catAx>
        <c:axId val="1777057631"/>
        <c:scaling>
          <c:orientation val="minMax"/>
        </c:scaling>
        <c:delete val="1"/>
        <c:axPos val="b"/>
        <c:numFmt formatCode="General" sourceLinked="1"/>
        <c:majorTickMark val="none"/>
        <c:minorTickMark val="none"/>
        <c:tickLblPos val="nextTo"/>
        <c:crossAx val="193664923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vi-VN" sz="1100" b="1" i="0" u="none" strike="noStrike" baseline="0">
                <a:effectLst/>
                <a:latin typeface="Calibri" panose="020F0502020204030204" pitchFamily="34" charset="0"/>
                <a:ea typeface="Calibri" panose="020F0502020204030204" pitchFamily="34" charset="0"/>
                <a:cs typeface="Calibri" panose="020F0502020204030204" pitchFamily="34" charset="0"/>
              </a:rPr>
              <a:t>Cơ cấu doanh thu theo pháp nhân</a:t>
            </a:r>
            <a:r>
              <a:rPr lang="en-US" sz="1100" b="1" i="0" u="none" strike="noStrike" baseline="0">
                <a:effectLst/>
                <a:latin typeface="Calibri" panose="020F0502020204030204" pitchFamily="34" charset="0"/>
                <a:ea typeface="Calibri" panose="020F0502020204030204" pitchFamily="34" charset="0"/>
                <a:cs typeface="Calibri" panose="020F0502020204030204" pitchFamily="34" charset="0"/>
              </a:rPr>
              <a:t> (Tỷ)</a:t>
            </a:r>
            <a:r>
              <a:rPr lang="vi-VN" sz="1100" b="0" i="0" u="none" strike="noStrike" baseline="0">
                <a:latin typeface="Calibri" panose="020F0502020204030204" pitchFamily="34" charset="0"/>
                <a:ea typeface="Calibri" panose="020F0502020204030204" pitchFamily="34" charset="0"/>
                <a:cs typeface="Calibri" panose="020F0502020204030204" pitchFamily="34" charset="0"/>
              </a:rPr>
              <a:t> </a:t>
            </a:r>
            <a:endParaRPr lang="en-GB" sz="1100">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barChart>
        <c:barDir val="col"/>
        <c:grouping val="clustered"/>
        <c:varyColors val="0"/>
        <c:ser>
          <c:idx val="1"/>
          <c:order val="1"/>
          <c:tx>
            <c:strRef>
              <c:f>'Biểu đồ - PL'!$C$34</c:f>
              <c:strCache>
                <c:ptCount val="1"/>
                <c:pt idx="0">
                  <c:v>1. Quang Phát</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'Biểu đồ - PL'!$D$33:$Q$33</c15:sqref>
                  </c15:fullRef>
                </c:ext>
              </c:extLst>
              <c:f>'Biểu đồ - PL'!$G$33:$Q$33</c:f>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cat>
          <c:val>
            <c:numRef>
              <c:extLst>
                <c:ext xmlns:c15="http://schemas.microsoft.com/office/drawing/2012/chart" uri="{02D57815-91ED-43cb-92C2-25804820EDAC}">
                  <c15:fullRef>
                    <c15:sqref>'Biểu đồ - PL'!$D$34:$Q$34</c15:sqref>
                  </c15:fullRef>
                </c:ext>
              </c:extLst>
              <c:f>'Biểu đồ - PL'!$G$34:$Q$34</c:f>
              <c:numCache>
                <c:formatCode>#,##0</c:formatCode>
                <c:ptCount val="11"/>
                <c:pt idx="0">
                  <c:v>441.34407631400001</c:v>
                </c:pt>
                <c:pt idx="1">
                  <c:v>349.83798795437713</c:v>
                </c:pt>
                <c:pt idx="2">
                  <c:v>353.33636783392092</c:v>
                </c:pt>
                <c:pt idx="3">
                  <c:v>356.86973151226016</c:v>
                </c:pt>
                <c:pt idx="4">
                  <c:v>360.43842882738278</c:v>
                </c:pt>
                <c:pt idx="5">
                  <c:v>364.0428131156566</c:v>
                </c:pt>
                <c:pt idx="6">
                  <c:v>367.68324124681317</c:v>
                </c:pt>
                <c:pt idx="7">
                  <c:v>371.36007365928128</c:v>
                </c:pt>
                <c:pt idx="8">
                  <c:v>375.07367439587415</c:v>
                </c:pt>
                <c:pt idx="9">
                  <c:v>378.82441113983288</c:v>
                </c:pt>
                <c:pt idx="10">
                  <c:v>382.61265525123127</c:v>
                </c:pt>
              </c:numCache>
            </c:numRef>
          </c:val>
          <c:extLst>
            <c:ext xmlns:c16="http://schemas.microsoft.com/office/drawing/2014/chart" uri="{C3380CC4-5D6E-409C-BE32-E72D297353CC}">
              <c16:uniqueId val="{00000001-2730-455B-B806-632F531C4C6D}"/>
            </c:ext>
          </c:extLst>
        </c:ser>
        <c:ser>
          <c:idx val="2"/>
          <c:order val="2"/>
          <c:tx>
            <c:strRef>
              <c:f>'Biểu đồ - PL'!$C$35</c:f>
              <c:strCache>
                <c:ptCount val="1"/>
                <c:pt idx="0">
                  <c:v>2. Bê tông QP</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'Biểu đồ - PL'!$D$33:$Q$33</c15:sqref>
                  </c15:fullRef>
                </c:ext>
              </c:extLst>
              <c:f>'Biểu đồ - PL'!$G$33:$Q$33</c:f>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cat>
          <c:val>
            <c:numRef>
              <c:extLst>
                <c:ext xmlns:c15="http://schemas.microsoft.com/office/drawing/2012/chart" uri="{02D57815-91ED-43cb-92C2-25804820EDAC}">
                  <c15:fullRef>
                    <c15:sqref>'Biểu đồ - PL'!$D$35:$Q$35</c15:sqref>
                  </c15:fullRef>
                </c:ext>
              </c:extLst>
              <c:f>'Biểu đồ - PL'!$G$35:$Q$35</c:f>
              <c:numCache>
                <c:formatCode>#,##0</c:formatCode>
                <c:ptCount val="11"/>
                <c:pt idx="0">
                  <c:v>74.678752638000006</c:v>
                </c:pt>
                <c:pt idx="1">
                  <c:v>99.869508176654264</c:v>
                </c:pt>
                <c:pt idx="2">
                  <c:v>100.86820325842081</c:v>
                </c:pt>
                <c:pt idx="3">
                  <c:v>101.87688529100501</c:v>
                </c:pt>
                <c:pt idx="4">
                  <c:v>102.89565414391507</c:v>
                </c:pt>
                <c:pt idx="5">
                  <c:v>103.92461068535422</c:v>
                </c:pt>
                <c:pt idx="6">
                  <c:v>104.96385679220776</c:v>
                </c:pt>
                <c:pt idx="7">
                  <c:v>106.01349536012984</c:v>
                </c:pt>
                <c:pt idx="8">
                  <c:v>107.07363031373116</c:v>
                </c:pt>
                <c:pt idx="9">
                  <c:v>108.14436661686847</c:v>
                </c:pt>
                <c:pt idx="10">
                  <c:v>109.22581028303716</c:v>
                </c:pt>
              </c:numCache>
            </c:numRef>
          </c:val>
          <c:extLst>
            <c:ext xmlns:c16="http://schemas.microsoft.com/office/drawing/2014/chart" uri="{C3380CC4-5D6E-409C-BE32-E72D297353CC}">
              <c16:uniqueId val="{00000002-2730-455B-B806-632F531C4C6D}"/>
            </c:ext>
          </c:extLst>
        </c:ser>
        <c:ser>
          <c:idx val="3"/>
          <c:order val="3"/>
          <c:tx>
            <c:strRef>
              <c:f>'Biểu đồ - PL'!$C$36</c:f>
              <c:strCache>
                <c:ptCount val="1"/>
                <c:pt idx="0">
                  <c:v>3. KQP</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'Biểu đồ - PL'!$D$33:$Q$33</c15:sqref>
                  </c15:fullRef>
                </c:ext>
              </c:extLst>
              <c:f>'Biểu đồ - PL'!$G$33:$Q$33</c:f>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cat>
          <c:val>
            <c:numRef>
              <c:extLst>
                <c:ext xmlns:c15="http://schemas.microsoft.com/office/drawing/2012/chart" uri="{02D57815-91ED-43cb-92C2-25804820EDAC}">
                  <c15:fullRef>
                    <c15:sqref>'Biểu đồ - PL'!$D$36:$Q$36</c15:sqref>
                  </c15:fullRef>
                </c:ext>
              </c:extLst>
              <c:f>'Biểu đồ - PL'!$G$36:$Q$36</c:f>
              <c:numCache>
                <c:formatCode>#,##0</c:formatCode>
                <c:ptCount val="11"/>
                <c:pt idx="0">
                  <c:v>58.809727981000002</c:v>
                </c:pt>
                <c:pt idx="1">
                  <c:v>12.761577146075775</c:v>
                </c:pt>
                <c:pt idx="2">
                  <c:v>12.889192917536532</c:v>
                </c:pt>
                <c:pt idx="3">
                  <c:v>13.018084846711897</c:v>
                </c:pt>
                <c:pt idx="4">
                  <c:v>13.148265695179017</c:v>
                </c:pt>
                <c:pt idx="5">
                  <c:v>13.279748352130806</c:v>
                </c:pt>
                <c:pt idx="6">
                  <c:v>13.412545835652114</c:v>
                </c:pt>
                <c:pt idx="7">
                  <c:v>13.546671294008636</c:v>
                </c:pt>
                <c:pt idx="8">
                  <c:v>13.682138006948723</c:v>
                </c:pt>
                <c:pt idx="9">
                  <c:v>13.818959387018211</c:v>
                </c:pt>
                <c:pt idx="10">
                  <c:v>13.957148980888393</c:v>
                </c:pt>
              </c:numCache>
            </c:numRef>
          </c:val>
          <c:extLst>
            <c:ext xmlns:c16="http://schemas.microsoft.com/office/drawing/2014/chart" uri="{C3380CC4-5D6E-409C-BE32-E72D297353CC}">
              <c16:uniqueId val="{00000003-2730-455B-B806-632F531C4C6D}"/>
            </c:ext>
          </c:extLst>
        </c:ser>
        <c:ser>
          <c:idx val="4"/>
          <c:order val="4"/>
          <c:tx>
            <c:strRef>
              <c:f>'Biểu đồ - PL'!$C$37</c:f>
              <c:strCache>
                <c:ptCount val="1"/>
                <c:pt idx="0">
                  <c:v>4. KML</c:v>
                </c:pt>
              </c:strCache>
            </c:strRef>
          </c:tx>
          <c:spPr>
            <a:solidFill>
              <a:schemeClr val="accent2">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'Biểu đồ - PL'!$D$33:$Q$33</c15:sqref>
                  </c15:fullRef>
                </c:ext>
              </c:extLst>
              <c:f>'Biểu đồ - PL'!$G$33:$Q$33</c:f>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cat>
          <c:val>
            <c:numRef>
              <c:extLst>
                <c:ext xmlns:c15="http://schemas.microsoft.com/office/drawing/2012/chart" uri="{02D57815-91ED-43cb-92C2-25804820EDAC}">
                  <c15:fullRef>
                    <c15:sqref>'Biểu đồ - PL'!$D$37:$Q$37</c15:sqref>
                  </c15:fullRef>
                </c:ext>
              </c:extLst>
              <c:f>'Biểu đồ - PL'!$G$37:$Q$37</c:f>
              <c:numCache>
                <c:formatCode>#,##0</c:formatCode>
                <c:ptCount val="11"/>
                <c:pt idx="0">
                  <c:v>43.10030458</c:v>
                </c:pt>
                <c:pt idx="1">
                  <c:v>10.225363966005814</c:v>
                </c:pt>
                <c:pt idx="2">
                  <c:v>10.43089378172253</c:v>
                </c:pt>
                <c:pt idx="3">
                  <c:v>10.640554746735155</c:v>
                </c:pt>
                <c:pt idx="4">
                  <c:v>10.854429897144529</c:v>
                </c:pt>
                <c:pt idx="5">
                  <c:v>11.072603938077135</c:v>
                </c:pt>
                <c:pt idx="6">
                  <c:v>11.295163277232486</c:v>
                </c:pt>
                <c:pt idx="7">
                  <c:v>11.522196059104861</c:v>
                </c:pt>
                <c:pt idx="8">
                  <c:v>11.753792199892866</c:v>
                </c:pt>
                <c:pt idx="9">
                  <c:v>11.990043423110714</c:v>
                </c:pt>
                <c:pt idx="10">
                  <c:v>12.231043295915239</c:v>
                </c:pt>
              </c:numCache>
            </c:numRef>
          </c:val>
          <c:extLst>
            <c:ext xmlns:c16="http://schemas.microsoft.com/office/drawing/2014/chart" uri="{C3380CC4-5D6E-409C-BE32-E72D297353CC}">
              <c16:uniqueId val="{00000004-2730-455B-B806-632F531C4C6D}"/>
            </c:ext>
          </c:extLst>
        </c:ser>
        <c:dLbls>
          <c:dLblPos val="outEnd"/>
          <c:showLegendKey val="0"/>
          <c:showVal val="1"/>
          <c:showCatName val="0"/>
          <c:showSerName val="0"/>
          <c:showPercent val="0"/>
          <c:showBubbleSize val="0"/>
        </c:dLbls>
        <c:gapWidth val="219"/>
        <c:overlap val="-27"/>
        <c:axId val="1624325199"/>
        <c:axId val="1127315775"/>
        <c:extLst>
          <c:ext xmlns:c15="http://schemas.microsoft.com/office/drawing/2012/chart" uri="{02D57815-91ED-43cb-92C2-25804820EDAC}">
            <c15:filteredBarSeries>
              <c15:ser>
                <c:idx val="0"/>
                <c:order val="0"/>
                <c:tx>
                  <c:strRef>
                    <c:extLst>
                      <c:ext uri="{02D57815-91ED-43cb-92C2-25804820EDAC}">
                        <c15:formulaRef>
                          <c15:sqref>'Biểu đồ - PL'!$C$33</c15:sqref>
                        </c15:formulaRef>
                      </c:ext>
                    </c:extLst>
                    <c:strCache>
                      <c:ptCount val="1"/>
                      <c:pt idx="0">
                        <c:v>Giá trị</c:v>
                      </c:pt>
                    </c:strCache>
                  </c:strRef>
                </c:tx>
                <c:spPr>
                  <a:solidFill>
                    <a:schemeClr val="accent4">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'Biểu đồ - PL'!$D$33:$Q$33</c15:sqref>
                        </c15:fullRef>
                        <c15:formulaRef>
                          <c15:sqref>'Biểu đồ - PL'!$G$33:$Q$33</c15:sqref>
                        </c15:formulaRef>
                      </c:ext>
                    </c:extLst>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cat>
                <c:val>
                  <c:numRef>
                    <c:extLst>
                      <c:ext uri="{02D57815-91ED-43cb-92C2-25804820EDAC}">
                        <c15:fullRef>
                          <c15:sqref>'Biểu đồ - PL'!$D$33:$Q$33</c15:sqref>
                        </c15:fullRef>
                        <c15:formulaRef>
                          <c15:sqref>'Biểu đồ - PL'!$G$33:$Q$33</c15:sqref>
                        </c15:formulaRef>
                      </c:ext>
                    </c:extLst>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val>
                <c:extLst>
                  <c:ext xmlns:c16="http://schemas.microsoft.com/office/drawing/2014/chart" uri="{C3380CC4-5D6E-409C-BE32-E72D297353CC}">
                    <c16:uniqueId val="{00000000-2730-455B-B806-632F531C4C6D}"/>
                  </c:ext>
                </c:extLst>
              </c15:ser>
            </c15:filteredBarSeries>
          </c:ext>
        </c:extLst>
      </c:barChart>
      <c:catAx>
        <c:axId val="1624325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315775"/>
        <c:crosses val="autoZero"/>
        <c:auto val="1"/>
        <c:lblAlgn val="ctr"/>
        <c:lblOffset val="100"/>
        <c:noMultiLvlLbl val="0"/>
      </c:catAx>
      <c:valAx>
        <c:axId val="112731577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3251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100" b="1"/>
              <a:t>Cơ</a:t>
            </a:r>
            <a:r>
              <a:rPr lang="en-GB" sz="1100" b="1" baseline="0"/>
              <a:t> cấu doanh thu theo pháp nhân (%)</a:t>
            </a:r>
            <a:endParaRPr lang="en-GB"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percentStacked"/>
        <c:varyColors val="0"/>
        <c:ser>
          <c:idx val="0"/>
          <c:order val="0"/>
          <c:tx>
            <c:strRef>
              <c:f>'Biểu đồ - PL'!$C$41</c:f>
              <c:strCache>
                <c:ptCount val="1"/>
                <c:pt idx="0">
                  <c:v>1. Quang Phát</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'Biểu đồ - PL'!$D$40:$Q$40</c15:sqref>
                  </c15:fullRef>
                </c:ext>
              </c:extLst>
              <c:f>'Biểu đồ - PL'!$G$40:$Q$40</c:f>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cat>
          <c:val>
            <c:numRef>
              <c:extLst>
                <c:ext xmlns:c15="http://schemas.microsoft.com/office/drawing/2012/chart" uri="{02D57815-91ED-43cb-92C2-25804820EDAC}">
                  <c15:fullRef>
                    <c15:sqref>'Biểu đồ - PL'!$D$41:$Q$41</c15:sqref>
                  </c15:fullRef>
                </c:ext>
              </c:extLst>
              <c:f>'Biểu đồ - PL'!$G$41:$Q$41</c:f>
              <c:numCache>
                <c:formatCode>0%</c:formatCode>
                <c:ptCount val="11"/>
                <c:pt idx="0">
                  <c:v>0.16711673467577379</c:v>
                </c:pt>
                <c:pt idx="1">
                  <c:v>0.14012046597927835</c:v>
                </c:pt>
                <c:pt idx="2">
                  <c:v>0.14119196257819458</c:v>
                </c:pt>
                <c:pt idx="3">
                  <c:v>0.14226956772722535</c:v>
                </c:pt>
                <c:pt idx="4">
                  <c:v>0.14335328182777979</c:v>
                </c:pt>
                <c:pt idx="5">
                  <c:v>0.14444310462867258</c:v>
                </c:pt>
                <c:pt idx="6">
                  <c:v>0.14553903521624587</c:v>
                </c:pt>
                <c:pt idx="7">
                  <c:v>0.14664107200447096</c:v>
                </c:pt>
                <c:pt idx="8">
                  <c:v>0.14774921272503366</c:v>
                </c:pt>
                <c:pt idx="9">
                  <c:v>0.14886345441740398</c:v>
                </c:pt>
                <c:pt idx="10">
                  <c:v>0.14998379341889551</c:v>
                </c:pt>
              </c:numCache>
            </c:numRef>
          </c:val>
          <c:extLst>
            <c:ext xmlns:c16="http://schemas.microsoft.com/office/drawing/2014/chart" uri="{C3380CC4-5D6E-409C-BE32-E72D297353CC}">
              <c16:uniqueId val="{00000000-7C56-46D3-A1B4-20F37306705D}"/>
            </c:ext>
          </c:extLst>
        </c:ser>
        <c:ser>
          <c:idx val="1"/>
          <c:order val="1"/>
          <c:tx>
            <c:strRef>
              <c:f>'Biểu đồ - PL'!$C$42</c:f>
              <c:strCache>
                <c:ptCount val="1"/>
                <c:pt idx="0">
                  <c:v>2. Bê tông QP</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'Biểu đồ - PL'!$D$40:$Q$40</c15:sqref>
                  </c15:fullRef>
                </c:ext>
              </c:extLst>
              <c:f>'Biểu đồ - PL'!$G$40:$Q$40</c:f>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cat>
          <c:val>
            <c:numRef>
              <c:extLst>
                <c:ext xmlns:c15="http://schemas.microsoft.com/office/drawing/2012/chart" uri="{02D57815-91ED-43cb-92C2-25804820EDAC}">
                  <c15:fullRef>
                    <c15:sqref>'Biểu đồ - PL'!$D$42:$Q$42</c15:sqref>
                  </c15:fullRef>
                </c:ext>
              </c:extLst>
              <c:f>'Biểu đồ - PL'!$G$42:$Q$42</c:f>
              <c:numCache>
                <c:formatCode>0%</c:formatCode>
                <c:ptCount val="11"/>
                <c:pt idx="0">
                  <c:v>2.8277414290349009E-2</c:v>
                </c:pt>
                <c:pt idx="1">
                  <c:v>4.0000693191326868E-2</c:v>
                </c:pt>
                <c:pt idx="2">
                  <c:v>4.0306577177718524E-2</c:v>
                </c:pt>
                <c:pt idx="3">
                  <c:v>4.0614204993873144E-2</c:v>
                </c:pt>
                <c:pt idx="4">
                  <c:v>4.0923576754382449E-2</c:v>
                </c:pt>
                <c:pt idx="5">
                  <c:v>4.123469238753965E-2</c:v>
                </c:pt>
                <c:pt idx="6">
                  <c:v>4.1547551632519553E-2</c:v>
                </c:pt>
                <c:pt idx="7">
                  <c:v>4.1862154036552857E-2</c:v>
                </c:pt>
                <c:pt idx="8">
                  <c:v>4.2178498952095737E-2</c:v>
                </c:pt>
                <c:pt idx="9">
                  <c:v>4.2496585533995074E-2</c:v>
                </c:pt>
                <c:pt idx="10">
                  <c:v>4.2816412736650586E-2</c:v>
                </c:pt>
              </c:numCache>
            </c:numRef>
          </c:val>
          <c:extLst>
            <c:ext xmlns:c16="http://schemas.microsoft.com/office/drawing/2014/chart" uri="{C3380CC4-5D6E-409C-BE32-E72D297353CC}">
              <c16:uniqueId val="{00000001-7C56-46D3-A1B4-20F37306705D}"/>
            </c:ext>
          </c:extLst>
        </c:ser>
        <c:ser>
          <c:idx val="2"/>
          <c:order val="2"/>
          <c:tx>
            <c:strRef>
              <c:f>'Biểu đồ - PL'!$C$43</c:f>
              <c:strCache>
                <c:ptCount val="1"/>
                <c:pt idx="0">
                  <c:v>3. KQP</c:v>
                </c:pt>
              </c:strCache>
            </c:strRef>
          </c:tx>
          <c:spPr>
            <a:solidFill>
              <a:schemeClr val="accent4">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'Biểu đồ - PL'!$D$40:$Q$40</c15:sqref>
                  </c15:fullRef>
                </c:ext>
              </c:extLst>
              <c:f>'Biểu đồ - PL'!$G$40:$Q$40</c:f>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cat>
          <c:val>
            <c:numRef>
              <c:extLst>
                <c:ext xmlns:c15="http://schemas.microsoft.com/office/drawing/2012/chart" uri="{02D57815-91ED-43cb-92C2-25804820EDAC}">
                  <c15:fullRef>
                    <c15:sqref>'Biểu đồ - PL'!$D$43:$Q$43</c15:sqref>
                  </c15:fullRef>
                </c:ext>
              </c:extLst>
              <c:f>'Biểu đồ - PL'!$G$43:$Q$43</c:f>
              <c:numCache>
                <c:formatCode>0%</c:formatCode>
                <c:ptCount val="11"/>
                <c:pt idx="0">
                  <c:v>2.2268543376489966E-2</c:v>
                </c:pt>
                <c:pt idx="1">
                  <c:v>5.1113892656272737E-3</c:v>
                </c:pt>
                <c:pt idx="2">
                  <c:v>5.150475891378764E-3</c:v>
                </c:pt>
                <c:pt idx="3">
                  <c:v>5.1897853480869297E-3</c:v>
                </c:pt>
                <c:pt idx="4">
                  <c:v>5.2293176503945887E-3</c:v>
                </c:pt>
                <c:pt idx="5">
                  <c:v>5.2690727891388676E-3</c:v>
                </c:pt>
                <c:pt idx="6">
                  <c:v>5.3090507309908668E-3</c:v>
                </c:pt>
                <c:pt idx="7">
                  <c:v>5.349251418094586E-3</c:v>
                </c:pt>
                <c:pt idx="8">
                  <c:v>5.3896747677052428E-3</c:v>
                </c:pt>
                <c:pt idx="9">
                  <c:v>5.430320671827046E-3</c:v>
                </c:pt>
                <c:pt idx="10">
                  <c:v>5.4711889968505579E-3</c:v>
                </c:pt>
              </c:numCache>
            </c:numRef>
          </c:val>
          <c:extLst>
            <c:ext xmlns:c16="http://schemas.microsoft.com/office/drawing/2014/chart" uri="{C3380CC4-5D6E-409C-BE32-E72D297353CC}">
              <c16:uniqueId val="{00000002-7C56-46D3-A1B4-20F37306705D}"/>
            </c:ext>
          </c:extLst>
        </c:ser>
        <c:ser>
          <c:idx val="3"/>
          <c:order val="3"/>
          <c:tx>
            <c:strRef>
              <c:f>'Biểu đồ - PL'!$C$44</c:f>
              <c:strCache>
                <c:ptCount val="1"/>
                <c:pt idx="0">
                  <c:v>4. KML</c:v>
                </c:pt>
              </c:strCache>
            </c:strRef>
          </c:tx>
          <c:spPr>
            <a:solidFill>
              <a:schemeClr val="accent2">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'Biểu đồ - PL'!$D$40:$Q$40</c15:sqref>
                  </c15:fullRef>
                </c:ext>
              </c:extLst>
              <c:f>'Biểu đồ - PL'!$G$40:$Q$40</c:f>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cat>
          <c:val>
            <c:numRef>
              <c:extLst>
                <c:ext xmlns:c15="http://schemas.microsoft.com/office/drawing/2012/chart" uri="{02D57815-91ED-43cb-92C2-25804820EDAC}">
                  <c15:fullRef>
                    <c15:sqref>'Biểu đồ - PL'!$D$44:$Q$44</c15:sqref>
                  </c15:fullRef>
                </c:ext>
              </c:extLst>
              <c:f>'Biểu đồ - PL'!$G$44:$Q$44</c:f>
              <c:numCache>
                <c:formatCode>0%</c:formatCode>
                <c:ptCount val="11"/>
                <c:pt idx="0">
                  <c:v>1.6320106129206056E-2</c:v>
                </c:pt>
                <c:pt idx="1">
                  <c:v>4.0955608397545079E-3</c:v>
                </c:pt>
                <c:pt idx="2">
                  <c:v>4.16814825350311E-3</c:v>
                </c:pt>
                <c:pt idx="3">
                  <c:v>4.2419599941439113E-3</c:v>
                </c:pt>
                <c:pt idx="4">
                  <c:v>4.3170151229086334E-3</c:v>
                </c:pt>
                <c:pt idx="5">
                  <c:v>4.3933329584270892E-3</c:v>
                </c:pt>
                <c:pt idx="6">
                  <c:v>4.47093307925585E-3</c:v>
                </c:pt>
                <c:pt idx="7">
                  <c:v>4.5498353264089488E-3</c:v>
                </c:pt>
                <c:pt idx="8">
                  <c:v>4.6300598058900055E-3</c:v>
                </c:pt>
                <c:pt idx="9">
                  <c:v>4.7116268912250642E-3</c:v>
                </c:pt>
                <c:pt idx="10">
                  <c:v>4.7945572259955049E-3</c:v>
                </c:pt>
              </c:numCache>
            </c:numRef>
          </c:val>
          <c:extLst>
            <c:ext xmlns:c16="http://schemas.microsoft.com/office/drawing/2014/chart" uri="{C3380CC4-5D6E-409C-BE32-E72D297353CC}">
              <c16:uniqueId val="{00000003-7C56-46D3-A1B4-20F37306705D}"/>
            </c:ext>
          </c:extLst>
        </c:ser>
        <c:dLbls>
          <c:dLblPos val="ctr"/>
          <c:showLegendKey val="0"/>
          <c:showVal val="1"/>
          <c:showCatName val="0"/>
          <c:showSerName val="0"/>
          <c:showPercent val="0"/>
          <c:showBubbleSize val="0"/>
        </c:dLbls>
        <c:gapWidth val="150"/>
        <c:overlap val="100"/>
        <c:axId val="640001103"/>
        <c:axId val="761541167"/>
        <c:extLst/>
      </c:barChart>
      <c:catAx>
        <c:axId val="640001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541167"/>
        <c:crosses val="autoZero"/>
        <c:auto val="1"/>
        <c:lblAlgn val="ctr"/>
        <c:lblOffset val="100"/>
        <c:noMultiLvlLbl val="0"/>
      </c:catAx>
      <c:valAx>
        <c:axId val="76154116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0011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vi-VN" sz="1100" b="1"/>
              <a:t>Cơ cấu Chi phí/Tổng CP</a:t>
            </a:r>
            <a:endParaRPr lang="en-GB" sz="1100" b="1"/>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percentStacked"/>
        <c:varyColors val="0"/>
        <c:ser>
          <c:idx val="0"/>
          <c:order val="0"/>
          <c:tx>
            <c:strRef>
              <c:f>'Biểu đồ - CP'!$B$17</c:f>
              <c:strCache>
                <c:ptCount val="1"/>
                <c:pt idx="0">
                  <c:v>GVHB</c:v>
                </c:pt>
              </c:strCache>
            </c:strRef>
          </c:tx>
          <c:spPr>
            <a:solidFill>
              <a:schemeClr val="accent4">
                <a:shade val="53000"/>
              </a:schemeClr>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'Biểu đồ - CP'!$C$16:$P$16</c15:sqref>
                  </c15:fullRef>
                </c:ext>
              </c:extLst>
              <c:f>'Biểu đồ - CP'!$F$16:$P$16</c:f>
              <c:strCache>
                <c:ptCount val="11"/>
                <c:pt idx="0">
                  <c:v>2023</c:v>
                </c:pt>
                <c:pt idx="1">
                  <c:v>2024</c:v>
                </c:pt>
                <c:pt idx="2">
                  <c:v>2025</c:v>
                </c:pt>
                <c:pt idx="3">
                  <c:v>2026</c:v>
                </c:pt>
                <c:pt idx="4">
                  <c:v>2027</c:v>
                </c:pt>
                <c:pt idx="5">
                  <c:v>2028</c:v>
                </c:pt>
                <c:pt idx="6">
                  <c:v>2029</c:v>
                </c:pt>
                <c:pt idx="7">
                  <c:v>2030</c:v>
                </c:pt>
                <c:pt idx="8">
                  <c:v>2031</c:v>
                </c:pt>
                <c:pt idx="9">
                  <c:v>2032</c:v>
                </c:pt>
                <c:pt idx="10">
                  <c:v>2033</c:v>
                </c:pt>
              </c:strCache>
            </c:strRef>
          </c:cat>
          <c:val>
            <c:numRef>
              <c:extLst>
                <c:ext xmlns:c15="http://schemas.microsoft.com/office/drawing/2012/chart" uri="{02D57815-91ED-43cb-92C2-25804820EDAC}">
                  <c15:fullRef>
                    <c15:sqref>'Biểu đồ - CP'!$C$17:$P$17</c15:sqref>
                  </c15:fullRef>
                </c:ext>
              </c:extLst>
              <c:f>'Biểu đồ - CP'!$F$17:$P$17</c:f>
              <c:numCache>
                <c:formatCode>0%</c:formatCode>
                <c:ptCount val="11"/>
                <c:pt idx="0">
                  <c:v>0.90926402599100309</c:v>
                </c:pt>
                <c:pt idx="1">
                  <c:v>0.87040978391400403</c:v>
                </c:pt>
                <c:pt idx="2">
                  <c:v>0.88883959809740676</c:v>
                </c:pt>
                <c:pt idx="3">
                  <c:v>0.90238377341595144</c:v>
                </c:pt>
                <c:pt idx="4">
                  <c:v>0.9223111529029735</c:v>
                </c:pt>
                <c:pt idx="5">
                  <c:v>0.92824606541741939</c:v>
                </c:pt>
                <c:pt idx="6">
                  <c:v>0.92841936842718531</c:v>
                </c:pt>
                <c:pt idx="7">
                  <c:v>0.92856325887099878</c:v>
                </c:pt>
                <c:pt idx="8">
                  <c:v>0.92932918960879329</c:v>
                </c:pt>
                <c:pt idx="9">
                  <c:v>0.92940906669269985</c:v>
                </c:pt>
                <c:pt idx="10">
                  <c:v>0.92978746532082668</c:v>
                </c:pt>
              </c:numCache>
            </c:numRef>
          </c:val>
          <c:extLst>
            <c:ext xmlns:c16="http://schemas.microsoft.com/office/drawing/2014/chart" uri="{C3380CC4-5D6E-409C-BE32-E72D297353CC}">
              <c16:uniqueId val="{00000000-9E83-4796-9807-34D908B13266}"/>
            </c:ext>
          </c:extLst>
        </c:ser>
        <c:ser>
          <c:idx val="1"/>
          <c:order val="1"/>
          <c:tx>
            <c:strRef>
              <c:f>'Biểu đồ - CP'!$B$18</c:f>
              <c:strCache>
                <c:ptCount val="1"/>
                <c:pt idx="0">
                  <c:v>CPTC</c:v>
                </c:pt>
              </c:strCache>
            </c:strRef>
          </c:tx>
          <c:spPr>
            <a:solidFill>
              <a:schemeClr val="accent4">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'Biểu đồ - CP'!$C$16:$P$16</c15:sqref>
                  </c15:fullRef>
                </c:ext>
              </c:extLst>
              <c:f>'Biểu đồ - CP'!$F$16:$P$16</c:f>
              <c:strCache>
                <c:ptCount val="11"/>
                <c:pt idx="0">
                  <c:v>2023</c:v>
                </c:pt>
                <c:pt idx="1">
                  <c:v>2024</c:v>
                </c:pt>
                <c:pt idx="2">
                  <c:v>2025</c:v>
                </c:pt>
                <c:pt idx="3">
                  <c:v>2026</c:v>
                </c:pt>
                <c:pt idx="4">
                  <c:v>2027</c:v>
                </c:pt>
                <c:pt idx="5">
                  <c:v>2028</c:v>
                </c:pt>
                <c:pt idx="6">
                  <c:v>2029</c:v>
                </c:pt>
                <c:pt idx="7">
                  <c:v>2030</c:v>
                </c:pt>
                <c:pt idx="8">
                  <c:v>2031</c:v>
                </c:pt>
                <c:pt idx="9">
                  <c:v>2032</c:v>
                </c:pt>
                <c:pt idx="10">
                  <c:v>2033</c:v>
                </c:pt>
              </c:strCache>
            </c:strRef>
          </c:cat>
          <c:val>
            <c:numRef>
              <c:extLst>
                <c:ext xmlns:c15="http://schemas.microsoft.com/office/drawing/2012/chart" uri="{02D57815-91ED-43cb-92C2-25804820EDAC}">
                  <c15:fullRef>
                    <c15:sqref>'Biểu đồ - CP'!$C$18:$P$18</c15:sqref>
                  </c15:fullRef>
                </c:ext>
              </c:extLst>
              <c:f>'Biểu đồ - CP'!$F$18:$P$18</c:f>
              <c:numCache>
                <c:formatCode>0%</c:formatCode>
                <c:ptCount val="11"/>
                <c:pt idx="0">
                  <c:v>3.553729433059892E-2</c:v>
                </c:pt>
                <c:pt idx="1">
                  <c:v>3.6347859980736981E-2</c:v>
                </c:pt>
                <c:pt idx="2">
                  <c:v>1.8231308249157776E-2</c:v>
                </c:pt>
                <c:pt idx="3">
                  <c:v>1.1037279383824575E-2</c:v>
                </c:pt>
                <c:pt idx="4">
                  <c:v>3.550949432429504E-3</c:v>
                </c:pt>
                <c:pt idx="5">
                  <c:v>0</c:v>
                </c:pt>
                <c:pt idx="6">
                  <c:v>0</c:v>
                </c:pt>
                <c:pt idx="7">
                  <c:v>0</c:v>
                </c:pt>
                <c:pt idx="8">
                  <c:v>0</c:v>
                </c:pt>
                <c:pt idx="9">
                  <c:v>0</c:v>
                </c:pt>
                <c:pt idx="10">
                  <c:v>0</c:v>
                </c:pt>
              </c:numCache>
            </c:numRef>
          </c:val>
          <c:extLst>
            <c:ext xmlns:c16="http://schemas.microsoft.com/office/drawing/2014/chart" uri="{C3380CC4-5D6E-409C-BE32-E72D297353CC}">
              <c16:uniqueId val="{00000001-9E83-4796-9807-34D908B13266}"/>
            </c:ext>
          </c:extLst>
        </c:ser>
        <c:ser>
          <c:idx val="2"/>
          <c:order val="2"/>
          <c:tx>
            <c:strRef>
              <c:f>'Biểu đồ - CP'!$B$19</c:f>
              <c:strCache>
                <c:ptCount val="1"/>
                <c:pt idx="0">
                  <c:v>CPBH</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'Biểu đồ - CP'!$C$16:$P$16</c15:sqref>
                  </c15:fullRef>
                </c:ext>
              </c:extLst>
              <c:f>'Biểu đồ - CP'!$F$16:$P$16</c:f>
              <c:strCache>
                <c:ptCount val="11"/>
                <c:pt idx="0">
                  <c:v>2023</c:v>
                </c:pt>
                <c:pt idx="1">
                  <c:v>2024</c:v>
                </c:pt>
                <c:pt idx="2">
                  <c:v>2025</c:v>
                </c:pt>
                <c:pt idx="3">
                  <c:v>2026</c:v>
                </c:pt>
                <c:pt idx="4">
                  <c:v>2027</c:v>
                </c:pt>
                <c:pt idx="5">
                  <c:v>2028</c:v>
                </c:pt>
                <c:pt idx="6">
                  <c:v>2029</c:v>
                </c:pt>
                <c:pt idx="7">
                  <c:v>2030</c:v>
                </c:pt>
                <c:pt idx="8">
                  <c:v>2031</c:v>
                </c:pt>
                <c:pt idx="9">
                  <c:v>2032</c:v>
                </c:pt>
                <c:pt idx="10">
                  <c:v>2033</c:v>
                </c:pt>
              </c:strCache>
            </c:strRef>
          </c:cat>
          <c:val>
            <c:numRef>
              <c:extLst>
                <c:ext xmlns:c15="http://schemas.microsoft.com/office/drawing/2012/chart" uri="{02D57815-91ED-43cb-92C2-25804820EDAC}">
                  <c15:fullRef>
                    <c15:sqref>'Biểu đồ - CP'!$C$19:$P$19</c15:sqref>
                  </c15:fullRef>
                </c:ext>
              </c:extLst>
              <c:f>'Biểu đồ - CP'!$F$19:$P$19</c:f>
              <c:numCache>
                <c:formatCode>0%</c:formatCode>
                <c:ptCount val="11"/>
                <c:pt idx="0">
                  <c:v>7.6192190981106911E-5</c:v>
                </c:pt>
                <c:pt idx="1">
                  <c:v>3.2086348968114541E-2</c:v>
                </c:pt>
                <c:pt idx="2">
                  <c:v>3.0617999223417427E-2</c:v>
                </c:pt>
                <c:pt idx="3">
                  <c:v>2.3338973270340749E-2</c:v>
                </c:pt>
                <c:pt idx="4">
                  <c:v>1.0533613477383791E-2</c:v>
                </c:pt>
                <c:pt idx="5">
                  <c:v>8.127299959856768E-3</c:v>
                </c:pt>
                <c:pt idx="6">
                  <c:v>7.6954020695678242E-3</c:v>
                </c:pt>
                <c:pt idx="7">
                  <c:v>7.619146885881516E-3</c:v>
                </c:pt>
                <c:pt idx="8">
                  <c:v>6.8476176566513568E-3</c:v>
                </c:pt>
                <c:pt idx="9">
                  <c:v>6.7460582048969641E-3</c:v>
                </c:pt>
                <c:pt idx="10">
                  <c:v>6.3950515203953003E-3</c:v>
                </c:pt>
              </c:numCache>
            </c:numRef>
          </c:val>
          <c:extLst>
            <c:ext xmlns:c16="http://schemas.microsoft.com/office/drawing/2014/chart" uri="{C3380CC4-5D6E-409C-BE32-E72D297353CC}">
              <c16:uniqueId val="{00000002-9E83-4796-9807-34D908B13266}"/>
            </c:ext>
          </c:extLst>
        </c:ser>
        <c:ser>
          <c:idx val="3"/>
          <c:order val="3"/>
          <c:tx>
            <c:strRef>
              <c:f>'Biểu đồ - CP'!$B$20</c:f>
              <c:strCache>
                <c:ptCount val="1"/>
                <c:pt idx="0">
                  <c:v>CPQLDN</c:v>
                </c:pt>
              </c:strCache>
            </c:strRef>
          </c:tx>
          <c:spPr>
            <a:solidFill>
              <a:schemeClr val="accent4">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'Biểu đồ - CP'!$C$16:$P$16</c15:sqref>
                  </c15:fullRef>
                </c:ext>
              </c:extLst>
              <c:f>'Biểu đồ - CP'!$F$16:$P$16</c:f>
              <c:strCache>
                <c:ptCount val="11"/>
                <c:pt idx="0">
                  <c:v>2023</c:v>
                </c:pt>
                <c:pt idx="1">
                  <c:v>2024</c:v>
                </c:pt>
                <c:pt idx="2">
                  <c:v>2025</c:v>
                </c:pt>
                <c:pt idx="3">
                  <c:v>2026</c:v>
                </c:pt>
                <c:pt idx="4">
                  <c:v>2027</c:v>
                </c:pt>
                <c:pt idx="5">
                  <c:v>2028</c:v>
                </c:pt>
                <c:pt idx="6">
                  <c:v>2029</c:v>
                </c:pt>
                <c:pt idx="7">
                  <c:v>2030</c:v>
                </c:pt>
                <c:pt idx="8">
                  <c:v>2031</c:v>
                </c:pt>
                <c:pt idx="9">
                  <c:v>2032</c:v>
                </c:pt>
                <c:pt idx="10">
                  <c:v>2033</c:v>
                </c:pt>
              </c:strCache>
            </c:strRef>
          </c:cat>
          <c:val>
            <c:numRef>
              <c:extLst>
                <c:ext xmlns:c15="http://schemas.microsoft.com/office/drawing/2012/chart" uri="{02D57815-91ED-43cb-92C2-25804820EDAC}">
                  <c15:fullRef>
                    <c15:sqref>'Biểu đồ - CP'!$C$20:$P$20</c15:sqref>
                  </c15:fullRef>
                </c:ext>
              </c:extLst>
              <c:f>'Biểu đồ - CP'!$F$20:$P$20</c:f>
              <c:numCache>
                <c:formatCode>0%</c:formatCode>
                <c:ptCount val="11"/>
                <c:pt idx="0">
                  <c:v>5.5122487487416799E-2</c:v>
                </c:pt>
                <c:pt idx="1">
                  <c:v>6.1156007137144468E-2</c:v>
                </c:pt>
                <c:pt idx="2">
                  <c:v>6.2311094430018046E-2</c:v>
                </c:pt>
                <c:pt idx="3">
                  <c:v>6.3239973929883342E-2</c:v>
                </c:pt>
                <c:pt idx="4">
                  <c:v>6.360428418721327E-2</c:v>
                </c:pt>
                <c:pt idx="5">
                  <c:v>6.3626634622723777E-2</c:v>
                </c:pt>
                <c:pt idx="6">
                  <c:v>6.3885229503246807E-2</c:v>
                </c:pt>
                <c:pt idx="7">
                  <c:v>6.3817594243119613E-2</c:v>
                </c:pt>
                <c:pt idx="8">
                  <c:v>6.3823192734555403E-2</c:v>
                </c:pt>
                <c:pt idx="9">
                  <c:v>6.3844875102403137E-2</c:v>
                </c:pt>
                <c:pt idx="10">
                  <c:v>6.3817483158778082E-2</c:v>
                </c:pt>
              </c:numCache>
            </c:numRef>
          </c:val>
          <c:extLst>
            <c:ext xmlns:c16="http://schemas.microsoft.com/office/drawing/2014/chart" uri="{C3380CC4-5D6E-409C-BE32-E72D297353CC}">
              <c16:uniqueId val="{00000003-9E83-4796-9807-34D908B13266}"/>
            </c:ext>
          </c:extLst>
        </c:ser>
        <c:dLbls>
          <c:dLblPos val="ctr"/>
          <c:showLegendKey val="0"/>
          <c:showVal val="1"/>
          <c:showCatName val="0"/>
          <c:showSerName val="0"/>
          <c:showPercent val="0"/>
          <c:showBubbleSize val="0"/>
        </c:dLbls>
        <c:gapWidth val="150"/>
        <c:overlap val="100"/>
        <c:axId val="504722527"/>
        <c:axId val="672761839"/>
        <c:extLst>
          <c:ext xmlns:c15="http://schemas.microsoft.com/office/drawing/2012/chart" uri="{02D57815-91ED-43cb-92C2-25804820EDAC}">
            <c15:filteredBarSeries>
              <c15:ser>
                <c:idx val="4"/>
                <c:order val="4"/>
                <c:tx>
                  <c:strRef>
                    <c:extLst>
                      <c:ext uri="{02D57815-91ED-43cb-92C2-25804820EDAC}">
                        <c15:formulaRef>
                          <c15:sqref>'Biểu đồ - CP'!$B$21</c15:sqref>
                        </c15:formulaRef>
                      </c:ext>
                    </c:extLst>
                    <c:strCache>
                      <c:ptCount val="1"/>
                      <c:pt idx="0">
                        <c:v>Tổng CP</c:v>
                      </c:pt>
                    </c:strCache>
                  </c:strRef>
                </c:tx>
                <c:spPr>
                  <a:solidFill>
                    <a:schemeClr val="accent4">
                      <a:tint val="54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'Biểu đồ - CP'!$C$16:$P$16</c15:sqref>
                        </c15:fullRef>
                        <c15:formulaRef>
                          <c15:sqref>'Biểu đồ - CP'!$F$16:$P$16</c15:sqref>
                        </c15:formulaRef>
                      </c:ext>
                    </c:extLst>
                    <c:strCache>
                      <c:ptCount val="11"/>
                      <c:pt idx="0">
                        <c:v>2023</c:v>
                      </c:pt>
                      <c:pt idx="1">
                        <c:v>2024</c:v>
                      </c:pt>
                      <c:pt idx="2">
                        <c:v>2025</c:v>
                      </c:pt>
                      <c:pt idx="3">
                        <c:v>2026</c:v>
                      </c:pt>
                      <c:pt idx="4">
                        <c:v>2027</c:v>
                      </c:pt>
                      <c:pt idx="5">
                        <c:v>2028</c:v>
                      </c:pt>
                      <c:pt idx="6">
                        <c:v>2029</c:v>
                      </c:pt>
                      <c:pt idx="7">
                        <c:v>2030</c:v>
                      </c:pt>
                      <c:pt idx="8">
                        <c:v>2031</c:v>
                      </c:pt>
                      <c:pt idx="9">
                        <c:v>2032</c:v>
                      </c:pt>
                      <c:pt idx="10">
                        <c:v>2033</c:v>
                      </c:pt>
                    </c:strCache>
                  </c:strRef>
                </c:cat>
                <c:val>
                  <c:numRef>
                    <c:extLst>
                      <c:ext uri="{02D57815-91ED-43cb-92C2-25804820EDAC}">
                        <c15:fullRef>
                          <c15:sqref>'Biểu đồ - CP'!$C$21:$P$21</c15:sqref>
                        </c15:fullRef>
                        <c15:formulaRef>
                          <c15:sqref>'Biểu đồ - CP'!$F$21:$P$21</c15:sqref>
                        </c15:formulaRef>
                      </c:ext>
                    </c:extLst>
                    <c:numCache>
                      <c:formatCode>0%</c:formatCode>
                      <c:ptCount val="11"/>
                      <c:pt idx="0">
                        <c:v>1</c:v>
                      </c:pt>
                      <c:pt idx="1">
                        <c:v>1</c:v>
                      </c:pt>
                      <c:pt idx="2">
                        <c:v>1</c:v>
                      </c:pt>
                      <c:pt idx="3">
                        <c:v>1</c:v>
                      </c:pt>
                      <c:pt idx="4">
                        <c:v>1</c:v>
                      </c:pt>
                      <c:pt idx="5">
                        <c:v>1</c:v>
                      </c:pt>
                      <c:pt idx="6">
                        <c:v>1</c:v>
                      </c:pt>
                      <c:pt idx="7">
                        <c:v>1</c:v>
                      </c:pt>
                      <c:pt idx="8">
                        <c:v>1</c:v>
                      </c:pt>
                      <c:pt idx="9">
                        <c:v>1</c:v>
                      </c:pt>
                      <c:pt idx="10">
                        <c:v>1</c:v>
                      </c:pt>
                    </c:numCache>
                  </c:numRef>
                </c:val>
                <c:extLst>
                  <c:ext xmlns:c16="http://schemas.microsoft.com/office/drawing/2014/chart" uri="{C3380CC4-5D6E-409C-BE32-E72D297353CC}">
                    <c16:uniqueId val="{00000005-9E83-4796-9807-34D908B13266}"/>
                  </c:ext>
                </c:extLst>
              </c15:ser>
            </c15:filteredBarSeries>
          </c:ext>
        </c:extLst>
      </c:barChart>
      <c:catAx>
        <c:axId val="504722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672761839"/>
        <c:crosses val="autoZero"/>
        <c:auto val="1"/>
        <c:lblAlgn val="ctr"/>
        <c:lblOffset val="100"/>
        <c:noMultiLvlLbl val="0"/>
      </c:catAx>
      <c:valAx>
        <c:axId val="672761839"/>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047225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vi-VN" sz="1100" b="1"/>
              <a:t>Cơ cấu Chi phí/DTT</a:t>
            </a:r>
            <a:endParaRPr lang="en-GB" sz="1100" b="1"/>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1"/>
          <c:tx>
            <c:strRef>
              <c:f>'Biểu đồ - CP'!$B$53</c:f>
              <c:strCache>
                <c:ptCount val="1"/>
                <c:pt idx="0">
                  <c:v>GVHB</c:v>
                </c:pt>
              </c:strCache>
            </c:strRef>
          </c:tx>
          <c:spPr>
            <a:solidFill>
              <a:schemeClr val="accent4">
                <a:shade val="70000"/>
              </a:schemeClr>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'Biểu đồ - CP'!$C$52:$P$52</c15:sqref>
                  </c15:fullRef>
                </c:ext>
              </c:extLst>
              <c:f>'Biểu đồ - CP'!$F$52:$P$52</c:f>
              <c:strCache>
                <c:ptCount val="11"/>
                <c:pt idx="0">
                  <c:v>2023</c:v>
                </c:pt>
                <c:pt idx="1">
                  <c:v>2024</c:v>
                </c:pt>
                <c:pt idx="2">
                  <c:v>2025</c:v>
                </c:pt>
                <c:pt idx="3">
                  <c:v>2026</c:v>
                </c:pt>
                <c:pt idx="4">
                  <c:v>2027</c:v>
                </c:pt>
                <c:pt idx="5">
                  <c:v>2028</c:v>
                </c:pt>
                <c:pt idx="6">
                  <c:v>2029</c:v>
                </c:pt>
                <c:pt idx="7">
                  <c:v>2030</c:v>
                </c:pt>
                <c:pt idx="8">
                  <c:v>2031</c:v>
                </c:pt>
                <c:pt idx="9">
                  <c:v>2032</c:v>
                </c:pt>
                <c:pt idx="10">
                  <c:v>2033</c:v>
                </c:pt>
              </c:strCache>
            </c:strRef>
          </c:cat>
          <c:val>
            <c:numRef>
              <c:extLst>
                <c:ext xmlns:c15="http://schemas.microsoft.com/office/drawing/2012/chart" uri="{02D57815-91ED-43cb-92C2-25804820EDAC}">
                  <c15:fullRef>
                    <c15:sqref>'Biểu đồ - CP'!$C$53:$P$53</c15:sqref>
                  </c15:fullRef>
                </c:ext>
              </c:extLst>
              <c:f>'Biểu đồ - CP'!$F$53:$P$53</c:f>
              <c:numCache>
                <c:formatCode>0%</c:formatCode>
                <c:ptCount val="11"/>
                <c:pt idx="0">
                  <c:v>0.87504689639850619</c:v>
                </c:pt>
                <c:pt idx="1">
                  <c:v>0.84055832217616944</c:v>
                </c:pt>
                <c:pt idx="2">
                  <c:v>0.84113731243809131</c:v>
                </c:pt>
                <c:pt idx="3">
                  <c:v>0.83950621930882541</c:v>
                </c:pt>
                <c:pt idx="4">
                  <c:v>0.83698779891627062</c:v>
                </c:pt>
                <c:pt idx="5">
                  <c:v>0.83581660430899751</c:v>
                </c:pt>
                <c:pt idx="6">
                  <c:v>0.83151611783418322</c:v>
                </c:pt>
                <c:pt idx="7">
                  <c:v>0.83146304633937063</c:v>
                </c:pt>
                <c:pt idx="8">
                  <c:v>0.83102231251887593</c:v>
                </c:pt>
                <c:pt idx="9">
                  <c:v>0.82976862325600054</c:v>
                </c:pt>
                <c:pt idx="10">
                  <c:v>0.82942935911255233</c:v>
                </c:pt>
              </c:numCache>
            </c:numRef>
          </c:val>
          <c:extLst>
            <c:ext xmlns:c16="http://schemas.microsoft.com/office/drawing/2014/chart" uri="{C3380CC4-5D6E-409C-BE32-E72D297353CC}">
              <c16:uniqueId val="{00000001-7DEF-49A2-AEE4-031C0BE77068}"/>
            </c:ext>
          </c:extLst>
        </c:ser>
        <c:ser>
          <c:idx val="2"/>
          <c:order val="2"/>
          <c:tx>
            <c:strRef>
              <c:f>'Biểu đồ - CP'!$B$54</c:f>
              <c:strCache>
                <c:ptCount val="1"/>
                <c:pt idx="0">
                  <c:v>CPTC</c:v>
                </c:pt>
              </c:strCache>
            </c:strRef>
          </c:tx>
          <c:spPr>
            <a:solidFill>
              <a:schemeClr val="accent4">
                <a:shade val="90000"/>
              </a:schemeClr>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'Biểu đồ - CP'!$C$52:$P$52</c15:sqref>
                  </c15:fullRef>
                </c:ext>
              </c:extLst>
              <c:f>'Biểu đồ - CP'!$F$52:$P$52</c:f>
              <c:strCache>
                <c:ptCount val="11"/>
                <c:pt idx="0">
                  <c:v>2023</c:v>
                </c:pt>
                <c:pt idx="1">
                  <c:v>2024</c:v>
                </c:pt>
                <c:pt idx="2">
                  <c:v>2025</c:v>
                </c:pt>
                <c:pt idx="3">
                  <c:v>2026</c:v>
                </c:pt>
                <c:pt idx="4">
                  <c:v>2027</c:v>
                </c:pt>
                <c:pt idx="5">
                  <c:v>2028</c:v>
                </c:pt>
                <c:pt idx="6">
                  <c:v>2029</c:v>
                </c:pt>
                <c:pt idx="7">
                  <c:v>2030</c:v>
                </c:pt>
                <c:pt idx="8">
                  <c:v>2031</c:v>
                </c:pt>
                <c:pt idx="9">
                  <c:v>2032</c:v>
                </c:pt>
                <c:pt idx="10">
                  <c:v>2033</c:v>
                </c:pt>
              </c:strCache>
            </c:strRef>
          </c:cat>
          <c:val>
            <c:numRef>
              <c:extLst>
                <c:ext xmlns:c15="http://schemas.microsoft.com/office/drawing/2012/chart" uri="{02D57815-91ED-43cb-92C2-25804820EDAC}">
                  <c15:fullRef>
                    <c15:sqref>'Biểu đồ - CP'!$C$54:$P$54</c15:sqref>
                  </c15:fullRef>
                </c:ext>
              </c:extLst>
              <c:f>'Biểu đồ - CP'!$F$54:$P$54</c:f>
              <c:numCache>
                <c:formatCode>0%</c:formatCode>
                <c:ptCount val="11"/>
                <c:pt idx="0">
                  <c:v>3.4199966370052466E-2</c:v>
                </c:pt>
                <c:pt idx="1">
                  <c:v>3.5101278460722335E-2</c:v>
                </c:pt>
                <c:pt idx="2">
                  <c:v>1.725286953433687E-2</c:v>
                </c:pt>
                <c:pt idx="3">
                  <c:v>1.0268208449598012E-2</c:v>
                </c:pt>
                <c:pt idx="4">
                  <c:v>3.2224497558741047E-3</c:v>
                </c:pt>
                <c:pt idx="5">
                  <c:v>0</c:v>
                </c:pt>
                <c:pt idx="6">
                  <c:v>0</c:v>
                </c:pt>
                <c:pt idx="7">
                  <c:v>0</c:v>
                </c:pt>
                <c:pt idx="8">
                  <c:v>0</c:v>
                </c:pt>
                <c:pt idx="9">
                  <c:v>0</c:v>
                </c:pt>
                <c:pt idx="10">
                  <c:v>0</c:v>
                </c:pt>
              </c:numCache>
            </c:numRef>
          </c:val>
          <c:extLst>
            <c:ext xmlns:c16="http://schemas.microsoft.com/office/drawing/2014/chart" uri="{C3380CC4-5D6E-409C-BE32-E72D297353CC}">
              <c16:uniqueId val="{00000002-7DEF-49A2-AEE4-031C0BE77068}"/>
            </c:ext>
          </c:extLst>
        </c:ser>
        <c:ser>
          <c:idx val="3"/>
          <c:order val="3"/>
          <c:tx>
            <c:strRef>
              <c:f>'Biểu đồ - CP'!$B$55</c:f>
              <c:strCache>
                <c:ptCount val="1"/>
                <c:pt idx="0">
                  <c:v>CPBH</c:v>
                </c:pt>
              </c:strCache>
            </c:strRef>
          </c:tx>
          <c:spPr>
            <a:solidFill>
              <a:schemeClr val="accent4">
                <a:tint val="90000"/>
              </a:schemeClr>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'Biểu đồ - CP'!$C$52:$P$52</c15:sqref>
                  </c15:fullRef>
                </c:ext>
              </c:extLst>
              <c:f>'Biểu đồ - CP'!$F$52:$P$52</c:f>
              <c:strCache>
                <c:ptCount val="11"/>
                <c:pt idx="0">
                  <c:v>2023</c:v>
                </c:pt>
                <c:pt idx="1">
                  <c:v>2024</c:v>
                </c:pt>
                <c:pt idx="2">
                  <c:v>2025</c:v>
                </c:pt>
                <c:pt idx="3">
                  <c:v>2026</c:v>
                </c:pt>
                <c:pt idx="4">
                  <c:v>2027</c:v>
                </c:pt>
                <c:pt idx="5">
                  <c:v>2028</c:v>
                </c:pt>
                <c:pt idx="6">
                  <c:v>2029</c:v>
                </c:pt>
                <c:pt idx="7">
                  <c:v>2030</c:v>
                </c:pt>
                <c:pt idx="8">
                  <c:v>2031</c:v>
                </c:pt>
                <c:pt idx="9">
                  <c:v>2032</c:v>
                </c:pt>
                <c:pt idx="10">
                  <c:v>2033</c:v>
                </c:pt>
              </c:strCache>
            </c:strRef>
          </c:cat>
          <c:val>
            <c:numRef>
              <c:extLst>
                <c:ext xmlns:c15="http://schemas.microsoft.com/office/drawing/2012/chart" uri="{02D57815-91ED-43cb-92C2-25804820EDAC}">
                  <c15:fullRef>
                    <c15:sqref>'Biểu đồ - CP'!$C$55:$P$55</c15:sqref>
                  </c15:fullRef>
                </c:ext>
              </c:extLst>
              <c:f>'Biểu đồ - CP'!$F$55:$P$55</c:f>
              <c:numCache>
                <c:formatCode>0%</c:formatCode>
                <c:ptCount val="11"/>
                <c:pt idx="0">
                  <c:v>7.3324951105543408E-5</c:v>
                </c:pt>
                <c:pt idx="1">
                  <c:v>3.0985919680404341E-2</c:v>
                </c:pt>
                <c:pt idx="2">
                  <c:v>2.8974790990572589E-2</c:v>
                </c:pt>
                <c:pt idx="3">
                  <c:v>2.1712727766107619E-2</c:v>
                </c:pt>
                <c:pt idx="4">
                  <c:v>9.5591449060550525E-3</c:v>
                </c:pt>
                <c:pt idx="5">
                  <c:v>7.3180296773931904E-3</c:v>
                </c:pt>
                <c:pt idx="6">
                  <c:v>6.8921987968651793E-3</c:v>
                </c:pt>
                <c:pt idx="7">
                  <c:v>6.8224098032315886E-3</c:v>
                </c:pt>
                <c:pt idx="8">
                  <c:v>6.1232587159679736E-3</c:v>
                </c:pt>
                <c:pt idx="9">
                  <c:v>6.0228242113039504E-3</c:v>
                </c:pt>
                <c:pt idx="10">
                  <c:v>5.7047913441411885E-3</c:v>
                </c:pt>
              </c:numCache>
            </c:numRef>
          </c:val>
          <c:extLst>
            <c:ext xmlns:c16="http://schemas.microsoft.com/office/drawing/2014/chart" uri="{C3380CC4-5D6E-409C-BE32-E72D297353CC}">
              <c16:uniqueId val="{00000003-7DEF-49A2-AEE4-031C0BE77068}"/>
            </c:ext>
          </c:extLst>
        </c:ser>
        <c:ser>
          <c:idx val="4"/>
          <c:order val="4"/>
          <c:tx>
            <c:strRef>
              <c:f>'Biểu đồ - CP'!$B$56</c:f>
              <c:strCache>
                <c:ptCount val="1"/>
                <c:pt idx="0">
                  <c:v>CPQLDN</c:v>
                </c:pt>
              </c:strCache>
            </c:strRef>
          </c:tx>
          <c:spPr>
            <a:solidFill>
              <a:schemeClr val="accent4">
                <a:tint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'Biểu đồ - CP'!$C$52:$P$52</c15:sqref>
                  </c15:fullRef>
                </c:ext>
              </c:extLst>
              <c:f>'Biểu đồ - CP'!$F$52:$P$52</c:f>
              <c:strCache>
                <c:ptCount val="11"/>
                <c:pt idx="0">
                  <c:v>2023</c:v>
                </c:pt>
                <c:pt idx="1">
                  <c:v>2024</c:v>
                </c:pt>
                <c:pt idx="2">
                  <c:v>2025</c:v>
                </c:pt>
                <c:pt idx="3">
                  <c:v>2026</c:v>
                </c:pt>
                <c:pt idx="4">
                  <c:v>2027</c:v>
                </c:pt>
                <c:pt idx="5">
                  <c:v>2028</c:v>
                </c:pt>
                <c:pt idx="6">
                  <c:v>2029</c:v>
                </c:pt>
                <c:pt idx="7">
                  <c:v>2030</c:v>
                </c:pt>
                <c:pt idx="8">
                  <c:v>2031</c:v>
                </c:pt>
                <c:pt idx="9">
                  <c:v>2032</c:v>
                </c:pt>
                <c:pt idx="10">
                  <c:v>2033</c:v>
                </c:pt>
              </c:strCache>
            </c:strRef>
          </c:cat>
          <c:val>
            <c:numRef>
              <c:extLst>
                <c:ext xmlns:c15="http://schemas.microsoft.com/office/drawing/2012/chart" uri="{02D57815-91ED-43cb-92C2-25804820EDAC}">
                  <c15:fullRef>
                    <c15:sqref>'Biểu đồ - CP'!$C$56:$P$56</c15:sqref>
                  </c15:fullRef>
                </c:ext>
              </c:extLst>
              <c:f>'Biểu đồ - CP'!$F$56:$P$56</c:f>
              <c:numCache>
                <c:formatCode>0%</c:formatCode>
                <c:ptCount val="11"/>
                <c:pt idx="0">
                  <c:v>5.3048135875670102E-2</c:v>
                </c:pt>
                <c:pt idx="1">
                  <c:v>5.9058608600464448E-2</c:v>
                </c:pt>
                <c:pt idx="2">
                  <c:v>5.8966979662170411E-2</c:v>
                </c:pt>
                <c:pt idx="3">
                  <c:v>5.8833450896499211E-2</c:v>
                </c:pt>
                <c:pt idx="4">
                  <c:v>5.7720227773393279E-2</c:v>
                </c:pt>
                <c:pt idx="5">
                  <c:v>5.7291056407613082E-2</c:v>
                </c:pt>
                <c:pt idx="6">
                  <c:v>5.7217244523321109E-2</c:v>
                </c:pt>
                <c:pt idx="7">
                  <c:v>5.7144164183224246E-2</c:v>
                </c:pt>
                <c:pt idx="8">
                  <c:v>5.7071808151140747E-2</c:v>
                </c:pt>
                <c:pt idx="9">
                  <c:v>5.7000169262592874E-2</c:v>
                </c:pt>
                <c:pt idx="10">
                  <c:v>5.692924042409734E-2</c:v>
                </c:pt>
              </c:numCache>
            </c:numRef>
          </c:val>
          <c:extLst>
            <c:ext xmlns:c16="http://schemas.microsoft.com/office/drawing/2014/chart" uri="{C3380CC4-5D6E-409C-BE32-E72D297353CC}">
              <c16:uniqueId val="{00000005-7DEF-49A2-AEE4-031C0BE77068}"/>
            </c:ext>
          </c:extLst>
        </c:ser>
        <c:dLbls>
          <c:showLegendKey val="0"/>
          <c:showVal val="0"/>
          <c:showCatName val="0"/>
          <c:showSerName val="0"/>
          <c:showPercent val="0"/>
          <c:showBubbleSize val="0"/>
        </c:dLbls>
        <c:gapWidth val="150"/>
        <c:overlap val="100"/>
        <c:axId val="775018575"/>
        <c:axId val="1118670463"/>
        <c:extLst>
          <c:ext xmlns:c15="http://schemas.microsoft.com/office/drawing/2012/chart" uri="{02D57815-91ED-43cb-92C2-25804820EDAC}">
            <c15:filteredBarSeries>
              <c15:ser>
                <c:idx val="0"/>
                <c:order val="0"/>
                <c:tx>
                  <c:strRef>
                    <c:extLst>
                      <c:ext uri="{02D57815-91ED-43cb-92C2-25804820EDAC}">
                        <c15:formulaRef>
                          <c15:sqref>'Biểu đồ - CP'!$B$52</c15:sqref>
                        </c15:formulaRef>
                      </c:ext>
                    </c:extLst>
                    <c:strCache>
                      <c:ptCount val="1"/>
                      <c:pt idx="0">
                        <c:v>Chỉ tiêu</c:v>
                      </c:pt>
                    </c:strCache>
                  </c:strRef>
                </c:tx>
                <c:spPr>
                  <a:solidFill>
                    <a:schemeClr val="accent4">
                      <a:shade val="50000"/>
                    </a:schemeClr>
                  </a:solidFill>
                  <a:ln>
                    <a:noFill/>
                  </a:ln>
                  <a:effectLst/>
                </c:spPr>
                <c:invertIfNegative val="0"/>
                <c:cat>
                  <c:strRef>
                    <c:extLst>
                      <c:ext uri="{02D57815-91ED-43cb-92C2-25804820EDAC}">
                        <c15:fullRef>
                          <c15:sqref>'Biểu đồ - CP'!$C$52:$P$52</c15:sqref>
                        </c15:fullRef>
                        <c15:formulaRef>
                          <c15:sqref>'Biểu đồ - CP'!$F$52:$P$52</c15:sqref>
                        </c15:formulaRef>
                      </c:ext>
                    </c:extLst>
                    <c:strCache>
                      <c:ptCount val="11"/>
                      <c:pt idx="0">
                        <c:v>2023</c:v>
                      </c:pt>
                      <c:pt idx="1">
                        <c:v>2024</c:v>
                      </c:pt>
                      <c:pt idx="2">
                        <c:v>2025</c:v>
                      </c:pt>
                      <c:pt idx="3">
                        <c:v>2026</c:v>
                      </c:pt>
                      <c:pt idx="4">
                        <c:v>2027</c:v>
                      </c:pt>
                      <c:pt idx="5">
                        <c:v>2028</c:v>
                      </c:pt>
                      <c:pt idx="6">
                        <c:v>2029</c:v>
                      </c:pt>
                      <c:pt idx="7">
                        <c:v>2030</c:v>
                      </c:pt>
                      <c:pt idx="8">
                        <c:v>2031</c:v>
                      </c:pt>
                      <c:pt idx="9">
                        <c:v>2032</c:v>
                      </c:pt>
                      <c:pt idx="10">
                        <c:v>2033</c:v>
                      </c:pt>
                    </c:strCache>
                  </c:strRef>
                </c:cat>
                <c:val>
                  <c:numRef>
                    <c:extLst>
                      <c:ext uri="{02D57815-91ED-43cb-92C2-25804820EDAC}">
                        <c15:fullRef>
                          <c15:sqref>'Biểu đồ - CP'!$C$52:$P$52</c15:sqref>
                        </c15:fullRef>
                        <c15:formulaRef>
                          <c15:sqref>'Biểu đồ - CP'!$F$52:$P$52</c15:sqref>
                        </c15:formulaRef>
                      </c:ext>
                    </c:extLst>
                    <c:numCache>
                      <c:formatCode>General</c:formatCode>
                      <c:ptCount val="11"/>
                      <c:pt idx="0">
                        <c:v>0</c:v>
                      </c:pt>
                      <c:pt idx="1">
                        <c:v>2024</c:v>
                      </c:pt>
                      <c:pt idx="2">
                        <c:v>2025</c:v>
                      </c:pt>
                      <c:pt idx="3">
                        <c:v>2026</c:v>
                      </c:pt>
                      <c:pt idx="4">
                        <c:v>2027</c:v>
                      </c:pt>
                      <c:pt idx="5">
                        <c:v>2028</c:v>
                      </c:pt>
                      <c:pt idx="6">
                        <c:v>2029</c:v>
                      </c:pt>
                      <c:pt idx="7">
                        <c:v>2030</c:v>
                      </c:pt>
                      <c:pt idx="8">
                        <c:v>2031</c:v>
                      </c:pt>
                      <c:pt idx="9">
                        <c:v>2032</c:v>
                      </c:pt>
                      <c:pt idx="10">
                        <c:v>2033</c:v>
                      </c:pt>
                    </c:numCache>
                  </c:numRef>
                </c:val>
                <c:extLst>
                  <c:ext xmlns:c16="http://schemas.microsoft.com/office/drawing/2014/chart" uri="{C3380CC4-5D6E-409C-BE32-E72D297353CC}">
                    <c16:uniqueId val="{00000000-7DEF-49A2-AEE4-031C0BE77068}"/>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'Biểu đồ - CP'!$B$57</c15:sqref>
                        </c15:formulaRef>
                      </c:ext>
                    </c:extLst>
                    <c:strCache>
                      <c:ptCount val="1"/>
                      <c:pt idx="0">
                        <c:v>Tổng CP/DTT</c:v>
                      </c:pt>
                    </c:strCache>
                  </c:strRef>
                </c:tx>
                <c:spPr>
                  <a:solidFill>
                    <a:schemeClr val="accent4">
                      <a:tint val="50000"/>
                    </a:schemeClr>
                  </a:solidFill>
                  <a:ln>
                    <a:noFill/>
                  </a:ln>
                  <a:effectLst/>
                </c:spPr>
                <c:invertIfNegative val="0"/>
                <c:cat>
                  <c:strRef>
                    <c:extLst>
                      <c:ext xmlns:c15="http://schemas.microsoft.com/office/drawing/2012/chart" uri="{02D57815-91ED-43cb-92C2-25804820EDAC}">
                        <c15:fullRef>
                          <c15:sqref>'Biểu đồ - CP'!$C$52:$P$52</c15:sqref>
                        </c15:fullRef>
                        <c15:formulaRef>
                          <c15:sqref>'Biểu đồ - CP'!$F$52:$P$52</c15:sqref>
                        </c15:formulaRef>
                      </c:ext>
                    </c:extLst>
                    <c:strCache>
                      <c:ptCount val="11"/>
                      <c:pt idx="0">
                        <c:v>2023</c:v>
                      </c:pt>
                      <c:pt idx="1">
                        <c:v>2024</c:v>
                      </c:pt>
                      <c:pt idx="2">
                        <c:v>2025</c:v>
                      </c:pt>
                      <c:pt idx="3">
                        <c:v>2026</c:v>
                      </c:pt>
                      <c:pt idx="4">
                        <c:v>2027</c:v>
                      </c:pt>
                      <c:pt idx="5">
                        <c:v>2028</c:v>
                      </c:pt>
                      <c:pt idx="6">
                        <c:v>2029</c:v>
                      </c:pt>
                      <c:pt idx="7">
                        <c:v>2030</c:v>
                      </c:pt>
                      <c:pt idx="8">
                        <c:v>2031</c:v>
                      </c:pt>
                      <c:pt idx="9">
                        <c:v>2032</c:v>
                      </c:pt>
                      <c:pt idx="10">
                        <c:v>2033</c:v>
                      </c:pt>
                    </c:strCache>
                  </c:strRef>
                </c:cat>
                <c:val>
                  <c:numRef>
                    <c:extLst>
                      <c:ext xmlns:c15="http://schemas.microsoft.com/office/drawing/2012/chart" uri="{02D57815-91ED-43cb-92C2-25804820EDAC}">
                        <c15:fullRef>
                          <c15:sqref>'Biểu đồ - CP'!$C$57:$P$57</c15:sqref>
                        </c15:fullRef>
                        <c15:formulaRef>
                          <c15:sqref>'Biểu đồ - CP'!$F$57:$P$57</c15:sqref>
                        </c15:formulaRef>
                      </c:ext>
                    </c:extLst>
                    <c:numCache>
                      <c:formatCode>0%</c:formatCode>
                      <c:ptCount val="11"/>
                      <c:pt idx="0">
                        <c:v>0.96236832359533442</c:v>
                      </c:pt>
                      <c:pt idx="1">
                        <c:v>0.96570412891776047</c:v>
                      </c:pt>
                      <c:pt idx="2">
                        <c:v>0.94633195262517122</c:v>
                      </c:pt>
                      <c:pt idx="3">
                        <c:v>0.93032060642103021</c:v>
                      </c:pt>
                      <c:pt idx="4">
                        <c:v>0.90748962135159306</c:v>
                      </c:pt>
                      <c:pt idx="5">
                        <c:v>0.90042569039400377</c:v>
                      </c:pt>
                      <c:pt idx="6">
                        <c:v>0.89562556115436953</c:v>
                      </c:pt>
                      <c:pt idx="7">
                        <c:v>0.8954296203258264</c:v>
                      </c:pt>
                      <c:pt idx="8">
                        <c:v>0.89421737938598467</c:v>
                      </c:pt>
                      <c:pt idx="9">
                        <c:v>0.89279161672989737</c:v>
                      </c:pt>
                      <c:pt idx="10">
                        <c:v>0.89206339088079079</c:v>
                      </c:pt>
                    </c:numCache>
                  </c:numRef>
                </c:val>
                <c:extLst xmlns:c15="http://schemas.microsoft.com/office/drawing/2012/chart">
                  <c:ext xmlns:c16="http://schemas.microsoft.com/office/drawing/2014/chart" uri="{C3380CC4-5D6E-409C-BE32-E72D297353CC}">
                    <c16:uniqueId val="{00000006-7DEF-49A2-AEE4-031C0BE77068}"/>
                  </c:ext>
                </c:extLst>
              </c15:ser>
            </c15:filteredBarSeries>
          </c:ext>
        </c:extLst>
      </c:barChart>
      <c:catAx>
        <c:axId val="775018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118670463"/>
        <c:crosses val="autoZero"/>
        <c:auto val="1"/>
        <c:lblAlgn val="ctr"/>
        <c:lblOffset val="100"/>
        <c:noMultiLvlLbl val="0"/>
      </c:catAx>
      <c:valAx>
        <c:axId val="111867046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750185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sz="1050" b="1" i="0" u="none" strike="noStrike" baseline="0">
                <a:effectLst/>
              </a:rPr>
              <a:t>So sánh Cơ cấu Chi phí/DTT với ngành (2023)</a:t>
            </a:r>
            <a:endParaRPr lang="en-GB" sz="105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1"/>
          <c:tx>
            <c:strRef>
              <c:f>'Biểu đồ - CP'!$B$84</c:f>
              <c:strCache>
                <c:ptCount val="1"/>
                <c:pt idx="0">
                  <c:v>CPTC</c:v>
                </c:pt>
              </c:strCache>
            </c:strRef>
          </c:tx>
          <c:spPr>
            <a:ln w="28575" cap="rnd">
              <a:noFill/>
              <a:round/>
            </a:ln>
            <a:effectLst/>
          </c:spPr>
          <c:marker>
            <c:symbol val="triangle"/>
            <c:size val="10"/>
            <c:spPr>
              <a:solidFill>
                <a:srgbClr val="006934"/>
              </a:solidFill>
              <a:ln w="9525">
                <a:noFill/>
              </a:ln>
              <a:effectLst/>
            </c:spPr>
          </c:marker>
          <c:dPt>
            <c:idx val="1"/>
            <c:marker>
              <c:symbol val="triangle"/>
              <c:size val="10"/>
              <c:spPr>
                <a:solidFill>
                  <a:srgbClr val="006934"/>
                </a:solidFill>
                <a:ln w="9525">
                  <a:noFill/>
                </a:ln>
                <a:effectLst/>
              </c:spPr>
            </c:marker>
            <c:bubble3D val="0"/>
            <c:spPr>
              <a:ln w="28575" cap="rnd">
                <a:noFill/>
                <a:round/>
              </a:ln>
              <a:effectLst/>
            </c:spPr>
            <c:extLst>
              <c:ext xmlns:c16="http://schemas.microsoft.com/office/drawing/2014/chart" uri="{C3380CC4-5D6E-409C-BE32-E72D297353CC}">
                <c16:uniqueId val="{00000001-FEEE-4937-9926-4F4A6D6294BE}"/>
              </c:ext>
            </c:extLst>
          </c:dPt>
          <c:dPt>
            <c:idx val="2"/>
            <c:marker>
              <c:symbol val="triangle"/>
              <c:size val="10"/>
              <c:spPr>
                <a:solidFill>
                  <a:srgbClr val="006934"/>
                </a:solidFill>
                <a:ln w="9525">
                  <a:noFill/>
                </a:ln>
                <a:effectLst/>
              </c:spPr>
            </c:marker>
            <c:bubble3D val="0"/>
            <c:spPr>
              <a:ln w="28575" cap="rnd">
                <a:noFill/>
                <a:round/>
              </a:ln>
              <a:effectLst/>
            </c:spPr>
            <c:extLst>
              <c:ext xmlns:c16="http://schemas.microsoft.com/office/drawing/2014/chart" uri="{C3380CC4-5D6E-409C-BE32-E72D297353CC}">
                <c16:uniqueId val="{00000003-FEEE-4937-9926-4F4A6D6294BE}"/>
              </c:ext>
            </c:extLst>
          </c:dPt>
          <c:dLbls>
            <c:dLbl>
              <c:idx val="1"/>
              <c:layout>
                <c:manualLayout>
                  <c:x val="-1.457547470365993E-2"/>
                  <c:y val="2.364514663884024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EEE-4937-9926-4F4A6D6294B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('Biểu đồ - CP'!$C$82,'Biểu đồ - CP'!$D$82,'Biểu đồ - CP'!$E$82)</c:f>
              <c:strCache>
                <c:ptCount val="3"/>
                <c:pt idx="0">
                  <c:v>Ngành (all)</c:v>
                </c:pt>
                <c:pt idx="1">
                  <c:v>Ngành (TĐ)</c:v>
                </c:pt>
                <c:pt idx="2">
                  <c:v>QP- TB 10 năm</c:v>
                </c:pt>
              </c:strCache>
            </c:strRef>
          </c:cat>
          <c:val>
            <c:numRef>
              <c:f>'Biểu đồ - CP'!$C$84:$E$84</c:f>
              <c:numCache>
                <c:formatCode>0%</c:formatCode>
                <c:ptCount val="3"/>
                <c:pt idx="0">
                  <c:v>2.3961525528945385E-2</c:v>
                </c:pt>
                <c:pt idx="1">
                  <c:v>1.1641105898936912E-2</c:v>
                </c:pt>
                <c:pt idx="2">
                  <c:v>6.5844806200531323E-3</c:v>
                </c:pt>
              </c:numCache>
            </c:numRef>
          </c:val>
          <c:smooth val="0"/>
          <c:extLst>
            <c:ext xmlns:c16="http://schemas.microsoft.com/office/drawing/2014/chart" uri="{C3380CC4-5D6E-409C-BE32-E72D297353CC}">
              <c16:uniqueId val="{00000004-FEEE-4937-9926-4F4A6D6294BE}"/>
            </c:ext>
          </c:extLst>
        </c:ser>
        <c:ser>
          <c:idx val="2"/>
          <c:order val="2"/>
          <c:tx>
            <c:strRef>
              <c:f>'Biểu đồ - CP'!$B$85</c:f>
              <c:strCache>
                <c:ptCount val="1"/>
                <c:pt idx="0">
                  <c:v>CPBH</c:v>
                </c:pt>
              </c:strCache>
            </c:strRef>
          </c:tx>
          <c:spPr>
            <a:ln w="28575" cap="rnd">
              <a:noFill/>
              <a:round/>
            </a:ln>
            <a:effectLst/>
          </c:spPr>
          <c:marker>
            <c:symbol val="square"/>
            <c:size val="10"/>
            <c:spPr>
              <a:solidFill>
                <a:srgbClr val="D71920"/>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('Biểu đồ - CP'!$C$82,'Biểu đồ - CP'!$D$82,'Biểu đồ - CP'!$E$82)</c:f>
              <c:strCache>
                <c:ptCount val="3"/>
                <c:pt idx="0">
                  <c:v>Ngành (all)</c:v>
                </c:pt>
                <c:pt idx="1">
                  <c:v>Ngành (TĐ)</c:v>
                </c:pt>
                <c:pt idx="2">
                  <c:v>QP- TB 10 năm</c:v>
                </c:pt>
              </c:strCache>
            </c:strRef>
          </c:cat>
          <c:val>
            <c:numRef>
              <c:f>'Biểu đồ - CP'!$C$85:$E$85</c:f>
              <c:numCache>
                <c:formatCode>0%</c:formatCode>
                <c:ptCount val="3"/>
                <c:pt idx="0">
                  <c:v>4.8620917632404545E-2</c:v>
                </c:pt>
                <c:pt idx="1">
                  <c:v>7.6272085549174418E-2</c:v>
                </c:pt>
                <c:pt idx="2">
                  <c:v>1.3011609589204267E-2</c:v>
                </c:pt>
              </c:numCache>
            </c:numRef>
          </c:val>
          <c:smooth val="0"/>
          <c:extLst>
            <c:ext xmlns:c16="http://schemas.microsoft.com/office/drawing/2014/chart" uri="{C3380CC4-5D6E-409C-BE32-E72D297353CC}">
              <c16:uniqueId val="{00000005-FEEE-4937-9926-4F4A6D6294BE}"/>
            </c:ext>
          </c:extLst>
        </c:ser>
        <c:ser>
          <c:idx val="3"/>
          <c:order val="3"/>
          <c:tx>
            <c:strRef>
              <c:f>'Biểu đồ - CP'!$B$86</c:f>
              <c:strCache>
                <c:ptCount val="1"/>
                <c:pt idx="0">
                  <c:v>CPQLDN</c:v>
                </c:pt>
              </c:strCache>
            </c:strRef>
          </c:tx>
          <c:spPr>
            <a:ln w="25400" cap="rnd">
              <a:noFill/>
              <a:round/>
            </a:ln>
            <a:effectLst/>
          </c:spPr>
          <c:marker>
            <c:symbol val="circle"/>
            <c:size val="10"/>
            <c:spPr>
              <a:solidFill>
                <a:srgbClr val="AB6831"/>
              </a:solidFill>
              <a:ln w="9525">
                <a:noFill/>
              </a:ln>
              <a:effectLst/>
            </c:spPr>
          </c:marker>
          <c:dLbls>
            <c:dLbl>
              <c:idx val="1"/>
              <c:layout>
                <c:manualLayout>
                  <c:x val="3.4622480021874865E-3"/>
                  <c:y val="8.287793971967678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EEE-4937-9926-4F4A6D6294B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('Biểu đồ - CP'!$C$82,'Biểu đồ - CP'!$D$82,'Biểu đồ - CP'!$E$82)</c:f>
              <c:strCache>
                <c:ptCount val="3"/>
                <c:pt idx="0">
                  <c:v>Ngành (all)</c:v>
                </c:pt>
                <c:pt idx="1">
                  <c:v>Ngành (TĐ)</c:v>
                </c:pt>
                <c:pt idx="2">
                  <c:v>QP- TB 10 năm</c:v>
                </c:pt>
              </c:strCache>
            </c:strRef>
          </c:cat>
          <c:val>
            <c:numRef>
              <c:f>'Biểu đồ - CP'!$C$86:$E$86</c:f>
              <c:numCache>
                <c:formatCode>0%</c:formatCode>
                <c:ptCount val="3"/>
                <c:pt idx="0">
                  <c:v>4.1230169892597167E-2</c:v>
                </c:pt>
                <c:pt idx="1">
                  <c:v>3.6467462054052151E-2</c:v>
                </c:pt>
                <c:pt idx="2">
                  <c:v>5.7723294988451669E-2</c:v>
                </c:pt>
              </c:numCache>
            </c:numRef>
          </c:val>
          <c:smooth val="0"/>
          <c:extLst>
            <c:ext xmlns:c16="http://schemas.microsoft.com/office/drawing/2014/chart" uri="{C3380CC4-5D6E-409C-BE32-E72D297353CC}">
              <c16:uniqueId val="{00000007-FEEE-4937-9926-4F4A6D6294BE}"/>
            </c:ext>
          </c:extLst>
        </c:ser>
        <c:dLbls>
          <c:dLblPos val="r"/>
          <c:showLegendKey val="0"/>
          <c:showVal val="1"/>
          <c:showCatName val="0"/>
          <c:showSerName val="0"/>
          <c:showPercent val="0"/>
          <c:showBubbleSize val="0"/>
        </c:dLbls>
        <c:marker val="1"/>
        <c:smooth val="0"/>
        <c:axId val="1392657887"/>
        <c:axId val="1394268367"/>
        <c:extLst>
          <c:ext xmlns:c15="http://schemas.microsoft.com/office/drawing/2012/chart" uri="{02D57815-91ED-43cb-92C2-25804820EDAC}">
            <c15:filteredLineSeries>
              <c15:ser>
                <c:idx val="0"/>
                <c:order val="0"/>
                <c:tx>
                  <c:strRef>
                    <c:extLst>
                      <c:ext uri="{02D57815-91ED-43cb-92C2-25804820EDAC}">
                        <c15:formulaRef>
                          <c15:sqref>'Biểu đồ - CP'!$B$83</c15:sqref>
                        </c15:formulaRef>
                      </c:ext>
                    </c:extLst>
                    <c:strCache>
                      <c:ptCount val="1"/>
                      <c:pt idx="0">
                        <c:v>GVHB</c:v>
                      </c:pt>
                    </c:strCache>
                  </c:strRef>
                </c:tx>
                <c:spPr>
                  <a:ln w="28575" cap="rnd">
                    <a:solidFill>
                      <a:schemeClr val="accent4">
                        <a:shade val="6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('Biểu đồ - CP'!$C$82,'Biểu đồ - CP'!$D$82,'Biểu đồ - CP'!$E$82)</c15:sqref>
                        </c15:formulaRef>
                      </c:ext>
                    </c:extLst>
                    <c:strCache>
                      <c:ptCount val="3"/>
                      <c:pt idx="0">
                        <c:v>Ngành (all)</c:v>
                      </c:pt>
                      <c:pt idx="1">
                        <c:v>Ngành (TĐ)</c:v>
                      </c:pt>
                      <c:pt idx="2">
                        <c:v>QP- TB 10 năm</c:v>
                      </c:pt>
                    </c:strCache>
                  </c:strRef>
                </c:cat>
                <c:val>
                  <c:numRef>
                    <c:extLst>
                      <c:ext uri="{02D57815-91ED-43cb-92C2-25804820EDAC}">
                        <c15:formulaRef>
                          <c15:sqref>'Biểu đồ - CP'!$C$83:$E$83</c15:sqref>
                        </c15:formulaRef>
                      </c:ext>
                    </c:extLst>
                    <c:numCache>
                      <c:formatCode>0%</c:formatCode>
                      <c:ptCount val="3"/>
                      <c:pt idx="0">
                        <c:v>0.82742075030556073</c:v>
                      </c:pt>
                      <c:pt idx="1">
                        <c:v>0.8032687807428307</c:v>
                      </c:pt>
                      <c:pt idx="2">
                        <c:v>0.8347205716209336</c:v>
                      </c:pt>
                    </c:numCache>
                  </c:numRef>
                </c:val>
                <c:smooth val="0"/>
                <c:extLst>
                  <c:ext xmlns:c16="http://schemas.microsoft.com/office/drawing/2014/chart" uri="{C3380CC4-5D6E-409C-BE32-E72D297353CC}">
                    <c16:uniqueId val="{00000008-FEEE-4937-9926-4F4A6D6294BE}"/>
                  </c:ext>
                </c:extLst>
              </c15:ser>
            </c15:filteredLineSeries>
          </c:ext>
        </c:extLst>
      </c:lineChart>
      <c:catAx>
        <c:axId val="13926578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268367"/>
        <c:crosses val="autoZero"/>
        <c:auto val="1"/>
        <c:lblAlgn val="ctr"/>
        <c:lblOffset val="100"/>
        <c:noMultiLvlLbl val="0"/>
      </c:catAx>
      <c:valAx>
        <c:axId val="139426836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6578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sz="1050" b="1" i="0" u="none" strike="noStrike" baseline="0">
                <a:effectLst/>
              </a:rPr>
              <a:t>So sánh Cơ cấu Chi phí/DTT với ngành (2023)</a:t>
            </a:r>
            <a:endParaRPr lang="en-GB" sz="105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1"/>
          <c:tx>
            <c:strRef>
              <c:f>'Biểu đồ - CP'!$B$84</c:f>
              <c:strCache>
                <c:ptCount val="1"/>
                <c:pt idx="0">
                  <c:v>CPTC</c:v>
                </c:pt>
              </c:strCache>
            </c:strRef>
          </c:tx>
          <c:spPr>
            <a:ln w="28575" cap="rnd">
              <a:solidFill>
                <a:srgbClr val="006934"/>
              </a:solidFill>
              <a:round/>
            </a:ln>
            <a:effectLst/>
          </c:spPr>
          <c:marker>
            <c:symbol val="triangle"/>
            <c:size val="10"/>
            <c:spPr>
              <a:solidFill>
                <a:srgbClr val="006934"/>
              </a:solidFill>
              <a:ln w="9525">
                <a:noFill/>
              </a:ln>
              <a:effectLst/>
            </c:spPr>
          </c:marker>
          <c:dPt>
            <c:idx val="1"/>
            <c:marker>
              <c:symbol val="triangle"/>
              <c:size val="10"/>
              <c:spPr>
                <a:solidFill>
                  <a:srgbClr val="006934"/>
                </a:solidFill>
                <a:ln w="9525">
                  <a:noFill/>
                </a:ln>
                <a:effectLst/>
              </c:spPr>
            </c:marker>
            <c:bubble3D val="0"/>
            <c:spPr>
              <a:ln w="28575" cap="rnd">
                <a:solidFill>
                  <a:srgbClr val="006934"/>
                </a:solidFill>
                <a:round/>
              </a:ln>
              <a:effectLst/>
            </c:spPr>
            <c:extLst>
              <c:ext xmlns:c16="http://schemas.microsoft.com/office/drawing/2014/chart" uri="{C3380CC4-5D6E-409C-BE32-E72D297353CC}">
                <c16:uniqueId val="{00000001-3408-4F39-969E-1BA3B29A905F}"/>
              </c:ext>
            </c:extLst>
          </c:dPt>
          <c:dPt>
            <c:idx val="2"/>
            <c:marker>
              <c:symbol val="triangle"/>
              <c:size val="10"/>
              <c:spPr>
                <a:solidFill>
                  <a:srgbClr val="006934"/>
                </a:solidFill>
                <a:ln w="9525">
                  <a:noFill/>
                </a:ln>
                <a:effectLst/>
              </c:spPr>
            </c:marker>
            <c:bubble3D val="0"/>
            <c:spPr>
              <a:ln w="28575" cap="rnd">
                <a:solidFill>
                  <a:srgbClr val="006934"/>
                </a:solidFill>
                <a:round/>
              </a:ln>
              <a:effectLst/>
            </c:spPr>
            <c:extLst>
              <c:ext xmlns:c16="http://schemas.microsoft.com/office/drawing/2014/chart" uri="{C3380CC4-5D6E-409C-BE32-E72D297353CC}">
                <c16:uniqueId val="{00000003-3408-4F39-969E-1BA3B29A905F}"/>
              </c:ext>
            </c:extLst>
          </c:dPt>
          <c:dLbls>
            <c:dLbl>
              <c:idx val="1"/>
              <c:layout>
                <c:manualLayout>
                  <c:x val="8.6556200054686526E-3"/>
                  <c:y val="2.76259799065589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08-4F39-969E-1BA3B29A905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('Biểu đồ - CP'!$C$82,'Biểu đồ - CP'!$D$82,'Biểu đồ - CP'!$E$82)</c:f>
              <c:strCache>
                <c:ptCount val="3"/>
                <c:pt idx="0">
                  <c:v>Ngành (all)</c:v>
                </c:pt>
                <c:pt idx="1">
                  <c:v>Ngành (TĐ)</c:v>
                </c:pt>
                <c:pt idx="2">
                  <c:v>QP- TB 10 năm</c:v>
                </c:pt>
              </c:strCache>
            </c:strRef>
          </c:cat>
          <c:val>
            <c:numRef>
              <c:f>'Biểu đồ - CP'!$C$84:$E$84</c:f>
              <c:numCache>
                <c:formatCode>0%</c:formatCode>
                <c:ptCount val="3"/>
                <c:pt idx="0">
                  <c:v>2.3961525528945385E-2</c:v>
                </c:pt>
                <c:pt idx="1">
                  <c:v>1.1641105898936912E-2</c:v>
                </c:pt>
                <c:pt idx="2">
                  <c:v>6.5844806200531323E-3</c:v>
                </c:pt>
              </c:numCache>
            </c:numRef>
          </c:val>
          <c:smooth val="0"/>
          <c:extLst>
            <c:ext xmlns:c16="http://schemas.microsoft.com/office/drawing/2014/chart" uri="{C3380CC4-5D6E-409C-BE32-E72D297353CC}">
              <c16:uniqueId val="{00000004-3408-4F39-969E-1BA3B29A905F}"/>
            </c:ext>
          </c:extLst>
        </c:ser>
        <c:ser>
          <c:idx val="2"/>
          <c:order val="2"/>
          <c:tx>
            <c:strRef>
              <c:f>'Biểu đồ - CP'!$B$85</c:f>
              <c:strCache>
                <c:ptCount val="1"/>
                <c:pt idx="0">
                  <c:v>CPBH</c:v>
                </c:pt>
              </c:strCache>
            </c:strRef>
          </c:tx>
          <c:spPr>
            <a:ln w="28575" cap="rnd">
              <a:solidFill>
                <a:srgbClr val="C00000"/>
              </a:solidFill>
              <a:round/>
            </a:ln>
            <a:effectLst/>
          </c:spPr>
          <c:marker>
            <c:symbol val="square"/>
            <c:size val="10"/>
            <c:spPr>
              <a:solidFill>
                <a:srgbClr val="D71920"/>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('Biểu đồ - CP'!$C$82,'Biểu đồ - CP'!$D$82,'Biểu đồ - CP'!$E$82)</c:f>
              <c:strCache>
                <c:ptCount val="3"/>
                <c:pt idx="0">
                  <c:v>Ngành (all)</c:v>
                </c:pt>
                <c:pt idx="1">
                  <c:v>Ngành (TĐ)</c:v>
                </c:pt>
                <c:pt idx="2">
                  <c:v>QP- TB 10 năm</c:v>
                </c:pt>
              </c:strCache>
            </c:strRef>
          </c:cat>
          <c:val>
            <c:numRef>
              <c:f>'Biểu đồ - CP'!$C$85:$E$85</c:f>
              <c:numCache>
                <c:formatCode>0%</c:formatCode>
                <c:ptCount val="3"/>
                <c:pt idx="0">
                  <c:v>4.8620917632404545E-2</c:v>
                </c:pt>
                <c:pt idx="1">
                  <c:v>7.6272085549174418E-2</c:v>
                </c:pt>
                <c:pt idx="2">
                  <c:v>1.3011609589204267E-2</c:v>
                </c:pt>
              </c:numCache>
            </c:numRef>
          </c:val>
          <c:smooth val="0"/>
          <c:extLst>
            <c:ext xmlns:c16="http://schemas.microsoft.com/office/drawing/2014/chart" uri="{C3380CC4-5D6E-409C-BE32-E72D297353CC}">
              <c16:uniqueId val="{00000005-3408-4F39-969E-1BA3B29A905F}"/>
            </c:ext>
          </c:extLst>
        </c:ser>
        <c:ser>
          <c:idx val="3"/>
          <c:order val="3"/>
          <c:tx>
            <c:strRef>
              <c:f>'Biểu đồ - CP'!$B$86</c:f>
              <c:strCache>
                <c:ptCount val="1"/>
                <c:pt idx="0">
                  <c:v>CPQLDN</c:v>
                </c:pt>
              </c:strCache>
            </c:strRef>
          </c:tx>
          <c:spPr>
            <a:ln w="28575" cap="rnd">
              <a:solidFill>
                <a:srgbClr val="8E6C00"/>
              </a:solidFill>
              <a:round/>
            </a:ln>
            <a:effectLst/>
          </c:spPr>
          <c:marker>
            <c:symbol val="circle"/>
            <c:size val="10"/>
            <c:spPr>
              <a:solidFill>
                <a:srgbClr val="AB6831"/>
              </a:solidFill>
              <a:ln w="9525">
                <a:noFill/>
              </a:ln>
              <a:effectLst/>
            </c:spPr>
          </c:marker>
          <c:dLbls>
            <c:dLbl>
              <c:idx val="1"/>
              <c:layout>
                <c:manualLayout>
                  <c:x val="3.4622480021874865E-3"/>
                  <c:y val="8.287793971967678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408-4F39-969E-1BA3B29A905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('Biểu đồ - CP'!$C$82,'Biểu đồ - CP'!$D$82,'Biểu đồ - CP'!$E$82)</c:f>
              <c:strCache>
                <c:ptCount val="3"/>
                <c:pt idx="0">
                  <c:v>Ngành (all)</c:v>
                </c:pt>
                <c:pt idx="1">
                  <c:v>Ngành (TĐ)</c:v>
                </c:pt>
                <c:pt idx="2">
                  <c:v>QP- TB 10 năm</c:v>
                </c:pt>
              </c:strCache>
            </c:strRef>
          </c:cat>
          <c:val>
            <c:numRef>
              <c:f>'Biểu đồ - CP'!$C$86:$E$86</c:f>
              <c:numCache>
                <c:formatCode>0%</c:formatCode>
                <c:ptCount val="3"/>
                <c:pt idx="0">
                  <c:v>4.1230169892597167E-2</c:v>
                </c:pt>
                <c:pt idx="1">
                  <c:v>3.6467462054052151E-2</c:v>
                </c:pt>
                <c:pt idx="2">
                  <c:v>5.7723294988451669E-2</c:v>
                </c:pt>
              </c:numCache>
            </c:numRef>
          </c:val>
          <c:smooth val="0"/>
          <c:extLst>
            <c:ext xmlns:c16="http://schemas.microsoft.com/office/drawing/2014/chart" uri="{C3380CC4-5D6E-409C-BE32-E72D297353CC}">
              <c16:uniqueId val="{00000007-3408-4F39-969E-1BA3B29A905F}"/>
            </c:ext>
          </c:extLst>
        </c:ser>
        <c:dLbls>
          <c:dLblPos val="r"/>
          <c:showLegendKey val="0"/>
          <c:showVal val="1"/>
          <c:showCatName val="0"/>
          <c:showSerName val="0"/>
          <c:showPercent val="0"/>
          <c:showBubbleSize val="0"/>
        </c:dLbls>
        <c:marker val="1"/>
        <c:smooth val="0"/>
        <c:axId val="1392657887"/>
        <c:axId val="1394268367"/>
        <c:extLst>
          <c:ext xmlns:c15="http://schemas.microsoft.com/office/drawing/2012/chart" uri="{02D57815-91ED-43cb-92C2-25804820EDAC}">
            <c15:filteredLineSeries>
              <c15:ser>
                <c:idx val="0"/>
                <c:order val="0"/>
                <c:tx>
                  <c:strRef>
                    <c:extLst>
                      <c:ext uri="{02D57815-91ED-43cb-92C2-25804820EDAC}">
                        <c15:formulaRef>
                          <c15:sqref>'Biểu đồ - CP'!$B$83</c15:sqref>
                        </c15:formulaRef>
                      </c:ext>
                    </c:extLst>
                    <c:strCache>
                      <c:ptCount val="1"/>
                      <c:pt idx="0">
                        <c:v>GVHB</c:v>
                      </c:pt>
                    </c:strCache>
                  </c:strRef>
                </c:tx>
                <c:spPr>
                  <a:ln w="28575" cap="rnd">
                    <a:solidFill>
                      <a:schemeClr val="accent4">
                        <a:shade val="65000"/>
                      </a:schemeClr>
                    </a:solidFill>
                    <a:round/>
                  </a:ln>
                  <a:effectLst/>
                </c:spPr>
                <c:marker>
                  <c:symbol val="circle"/>
                  <c:size val="5"/>
                  <c:spPr>
                    <a:solidFill>
                      <a:schemeClr val="accent4">
                        <a:shade val="58000"/>
                      </a:schemeClr>
                    </a:solidFill>
                    <a:ln w="9525">
                      <a:solidFill>
                        <a:schemeClr val="accent4">
                          <a:shade val="58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('Biểu đồ - CP'!$C$82,'Biểu đồ - CP'!$D$82,'Biểu đồ - CP'!$E$82)</c15:sqref>
                        </c15:formulaRef>
                      </c:ext>
                    </c:extLst>
                    <c:strCache>
                      <c:ptCount val="3"/>
                      <c:pt idx="0">
                        <c:v>Ngành (all)</c:v>
                      </c:pt>
                      <c:pt idx="1">
                        <c:v>Ngành (TĐ)</c:v>
                      </c:pt>
                      <c:pt idx="2">
                        <c:v>QP- TB 10 năm</c:v>
                      </c:pt>
                    </c:strCache>
                  </c:strRef>
                </c:cat>
                <c:val>
                  <c:numRef>
                    <c:extLst>
                      <c:ext uri="{02D57815-91ED-43cb-92C2-25804820EDAC}">
                        <c15:formulaRef>
                          <c15:sqref>'Biểu đồ - CP'!$C$83:$E$83</c15:sqref>
                        </c15:formulaRef>
                      </c:ext>
                    </c:extLst>
                    <c:numCache>
                      <c:formatCode>0%</c:formatCode>
                      <c:ptCount val="3"/>
                      <c:pt idx="0">
                        <c:v>0.82742075030556073</c:v>
                      </c:pt>
                      <c:pt idx="1">
                        <c:v>0.8032687807428307</c:v>
                      </c:pt>
                      <c:pt idx="2">
                        <c:v>0.8347205716209336</c:v>
                      </c:pt>
                    </c:numCache>
                  </c:numRef>
                </c:val>
                <c:smooth val="0"/>
                <c:extLst>
                  <c:ext xmlns:c16="http://schemas.microsoft.com/office/drawing/2014/chart" uri="{C3380CC4-5D6E-409C-BE32-E72D297353CC}">
                    <c16:uniqueId val="{00000008-3408-4F39-969E-1BA3B29A905F}"/>
                  </c:ext>
                </c:extLst>
              </c15:ser>
            </c15:filteredLineSeries>
          </c:ext>
        </c:extLst>
      </c:lineChart>
      <c:catAx>
        <c:axId val="13926578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268367"/>
        <c:crosses val="autoZero"/>
        <c:auto val="1"/>
        <c:lblAlgn val="ctr"/>
        <c:lblOffset val="100"/>
        <c:noMultiLvlLbl val="0"/>
      </c:catAx>
      <c:valAx>
        <c:axId val="139426836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6578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GB" sz="1100" b="1"/>
              <a:t>So sánh</a:t>
            </a:r>
            <a:r>
              <a:rPr lang="en-GB" sz="1100" b="1" baseline="0"/>
              <a:t> </a:t>
            </a:r>
            <a:r>
              <a:rPr lang="en-GB" sz="1100" b="1"/>
              <a:t>ROA Hợp</a:t>
            </a:r>
            <a:r>
              <a:rPr lang="en-GB" sz="1100" b="1" baseline="0"/>
              <a:t> nhất với Ngành </a:t>
            </a:r>
            <a:endParaRPr lang="en-GB" sz="1100" b="1"/>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065879452497015"/>
          <c:y val="0.18665783788324769"/>
          <c:w val="0.84996332262569907"/>
          <c:h val="0.64768825482654391"/>
        </c:manualLayout>
      </c:layout>
      <c:lineChart>
        <c:grouping val="standard"/>
        <c:varyColors val="0"/>
        <c:ser>
          <c:idx val="0"/>
          <c:order val="0"/>
          <c:tx>
            <c:strRef>
              <c:f>'Biểu đồ - LN'!$B$135</c:f>
              <c:strCache>
                <c:ptCount val="1"/>
                <c:pt idx="0">
                  <c:v>Quang Phát</c:v>
                </c:pt>
              </c:strCache>
            </c:strRef>
          </c:tx>
          <c:spPr>
            <a:ln w="28575" cap="rnd">
              <a:solidFill>
                <a:schemeClr val="accent6">
                  <a:lumMod val="7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'Biểu đồ - LN'!$C$134:$P$134</c15:sqref>
                  </c15:fullRef>
                </c:ext>
              </c:extLst>
              <c:f>'Biểu đồ - LN'!$F$134:$P$134</c:f>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cat>
          <c:val>
            <c:numRef>
              <c:extLst>
                <c:ext xmlns:c15="http://schemas.microsoft.com/office/drawing/2012/chart" uri="{02D57815-91ED-43cb-92C2-25804820EDAC}">
                  <c15:fullRef>
                    <c15:sqref>'Biểu đồ - LN'!$C$135:$P$135</c15:sqref>
                  </c15:fullRef>
                </c:ext>
              </c:extLst>
              <c:f>'Biểu đồ - LN'!$F$135:$P$135</c:f>
              <c:numCache>
                <c:formatCode>0.0%</c:formatCode>
                <c:ptCount val="11"/>
                <c:pt idx="0">
                  <c:v>1.8819051466731199E-2</c:v>
                </c:pt>
                <c:pt idx="1">
                  <c:v>1.8609102641334856E-2</c:v>
                </c:pt>
                <c:pt idx="2">
                  <c:v>4.6411430264459964E-2</c:v>
                </c:pt>
                <c:pt idx="3">
                  <c:v>7.3003139400410894E-2</c:v>
                </c:pt>
                <c:pt idx="4">
                  <c:v>0.10775407682951273</c:v>
                </c:pt>
                <c:pt idx="5">
                  <c:v>0.10670534915338828</c:v>
                </c:pt>
                <c:pt idx="6">
                  <c:v>0.10257137259908125</c:v>
                </c:pt>
                <c:pt idx="7">
                  <c:v>9.4082962165876194E-2</c:v>
                </c:pt>
                <c:pt idx="8">
                  <c:v>8.7925756088807552E-2</c:v>
                </c:pt>
                <c:pt idx="9">
                  <c:v>8.2818940391855361E-2</c:v>
                </c:pt>
                <c:pt idx="10">
                  <c:v>7.7797726260247724E-2</c:v>
                </c:pt>
              </c:numCache>
            </c:numRef>
          </c:val>
          <c:smooth val="0"/>
          <c:extLst>
            <c:ext xmlns:c16="http://schemas.microsoft.com/office/drawing/2014/chart" uri="{C3380CC4-5D6E-409C-BE32-E72D297353CC}">
              <c16:uniqueId val="{00000000-69D4-4BF8-8856-5700E57416F3}"/>
            </c:ext>
          </c:extLst>
        </c:ser>
        <c:ser>
          <c:idx val="1"/>
          <c:order val="1"/>
          <c:tx>
            <c:strRef>
              <c:f>'Biểu đồ - LN'!$B$136</c:f>
              <c:strCache>
                <c:ptCount val="1"/>
                <c:pt idx="0">
                  <c:v>Ngành (all)</c:v>
                </c:pt>
              </c:strCache>
            </c:strRef>
          </c:tx>
          <c:spPr>
            <a:ln w="28575" cap="rnd">
              <a:solidFill>
                <a:schemeClr val="tx1">
                  <a:lumMod val="95000"/>
                  <a:lumOff val="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'Biểu đồ - LN'!$C$134:$P$134</c15:sqref>
                  </c15:fullRef>
                </c:ext>
              </c:extLst>
              <c:f>'Biểu đồ - LN'!$F$134:$P$134</c:f>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cat>
          <c:val>
            <c:numRef>
              <c:extLst>
                <c:ext xmlns:c15="http://schemas.microsoft.com/office/drawing/2012/chart" uri="{02D57815-91ED-43cb-92C2-25804820EDAC}">
                  <c15:fullRef>
                    <c15:sqref>'Biểu đồ - LN'!$C$136:$P$136</c15:sqref>
                  </c15:fullRef>
                </c:ext>
              </c:extLst>
              <c:f>'Biểu đồ - LN'!$F$136:$P$136</c:f>
              <c:numCache>
                <c:formatCode>0.0%</c:formatCode>
                <c:ptCount val="11"/>
                <c:pt idx="0">
                  <c:v>4.7670676698702875E-2</c:v>
                </c:pt>
                <c:pt idx="1">
                  <c:v>4.7670676698702875E-2</c:v>
                </c:pt>
                <c:pt idx="2">
                  <c:v>4.7670676698702875E-2</c:v>
                </c:pt>
                <c:pt idx="3">
                  <c:v>4.7670676698702875E-2</c:v>
                </c:pt>
                <c:pt idx="4">
                  <c:v>4.7670676698702875E-2</c:v>
                </c:pt>
                <c:pt idx="5">
                  <c:v>4.7670676698702875E-2</c:v>
                </c:pt>
                <c:pt idx="6">
                  <c:v>4.7670676698702875E-2</c:v>
                </c:pt>
                <c:pt idx="7">
                  <c:v>4.7670676698702875E-2</c:v>
                </c:pt>
                <c:pt idx="8">
                  <c:v>4.7670676698702875E-2</c:v>
                </c:pt>
                <c:pt idx="9">
                  <c:v>4.7670676698702875E-2</c:v>
                </c:pt>
                <c:pt idx="10">
                  <c:v>4.7670676698702875E-2</c:v>
                </c:pt>
              </c:numCache>
            </c:numRef>
          </c:val>
          <c:smooth val="0"/>
          <c:extLst>
            <c:ext xmlns:c16="http://schemas.microsoft.com/office/drawing/2014/chart" uri="{C3380CC4-5D6E-409C-BE32-E72D297353CC}">
              <c16:uniqueId val="{00000001-69D4-4BF8-8856-5700E57416F3}"/>
            </c:ext>
          </c:extLst>
        </c:ser>
        <c:ser>
          <c:idx val="2"/>
          <c:order val="2"/>
          <c:tx>
            <c:strRef>
              <c:f>'Biểu đồ - LN'!$B$137</c:f>
              <c:strCache>
                <c:ptCount val="1"/>
                <c:pt idx="0">
                  <c:v>Ngành (phù hợp)</c:v>
                </c:pt>
              </c:strCache>
            </c:strRef>
          </c:tx>
          <c:spPr>
            <a:ln w="28575" cap="rnd">
              <a:solidFill>
                <a:schemeClr val="accent4">
                  <a:lumMod val="7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'Biểu đồ - LN'!$C$134:$P$134</c15:sqref>
                  </c15:fullRef>
                </c:ext>
              </c:extLst>
              <c:f>'Biểu đồ - LN'!$F$134:$P$134</c:f>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cat>
          <c:val>
            <c:numRef>
              <c:extLst>
                <c:ext xmlns:c15="http://schemas.microsoft.com/office/drawing/2012/chart" uri="{02D57815-91ED-43cb-92C2-25804820EDAC}">
                  <c15:fullRef>
                    <c15:sqref>'Biểu đồ - LN'!$C$137:$P$137</c15:sqref>
                  </c15:fullRef>
                </c:ext>
              </c:extLst>
              <c:f>'Biểu đồ - LN'!$F$137:$P$137</c:f>
              <c:numCache>
                <c:formatCode>0.0%</c:formatCode>
                <c:ptCount val="11"/>
                <c:pt idx="0">
                  <c:v>7.3175417156430556E-2</c:v>
                </c:pt>
                <c:pt idx="1">
                  <c:v>7.3175417156430556E-2</c:v>
                </c:pt>
                <c:pt idx="2">
                  <c:v>7.3175417156430556E-2</c:v>
                </c:pt>
                <c:pt idx="3">
                  <c:v>7.3175417156430556E-2</c:v>
                </c:pt>
                <c:pt idx="4">
                  <c:v>7.3175417156430556E-2</c:v>
                </c:pt>
                <c:pt idx="5">
                  <c:v>7.3175417156430556E-2</c:v>
                </c:pt>
                <c:pt idx="6">
                  <c:v>7.3175417156430556E-2</c:v>
                </c:pt>
                <c:pt idx="7">
                  <c:v>7.3175417156430556E-2</c:v>
                </c:pt>
                <c:pt idx="8">
                  <c:v>7.3175417156430556E-2</c:v>
                </c:pt>
                <c:pt idx="9">
                  <c:v>7.3175417156430556E-2</c:v>
                </c:pt>
                <c:pt idx="10">
                  <c:v>7.3175417156430556E-2</c:v>
                </c:pt>
              </c:numCache>
            </c:numRef>
          </c:val>
          <c:smooth val="0"/>
          <c:extLst>
            <c:ext xmlns:c15="http://schemas.microsoft.com/office/drawing/2012/chart" uri="{02D57815-91ED-43cb-92C2-25804820EDAC}">
              <c15:categoryFilterExceptions>
                <c15:categoryFilterException>
                  <c15:sqref>'Biểu đồ - LN'!$D$137</c15:sqref>
                  <c15:dLbl>
                    <c:idx val="-1"/>
                    <c:layout>
                      <c:manualLayout>
                        <c:x val="-3.7936354828659209E-2"/>
                        <c:y val="-0.13470070368198511"/>
                      </c:manualLayout>
                    </c:layout>
                    <c:dLblPos val="r"/>
                    <c:showLegendKey val="0"/>
                    <c:showVal val="1"/>
                    <c:showCatName val="0"/>
                    <c:showSerName val="0"/>
                    <c:showPercent val="0"/>
                    <c:showBubbleSize val="0"/>
                    <c:extLst>
                      <c:ext uri="{CE6537A1-D6FC-4f65-9D91-7224C49458BB}"/>
                      <c:ext xmlns:c16="http://schemas.microsoft.com/office/drawing/2014/chart" uri="{C3380CC4-5D6E-409C-BE32-E72D297353CC}">
                        <c16:uniqueId val="{00000000-F4C2-4BAF-85E2-54034C472391}"/>
                      </c:ext>
                    </c:extLst>
                  </c15:dLbl>
                </c15:categoryFilterException>
                <c15:categoryFilterException>
                  <c15:sqref>'Biểu đồ - LN'!$E$137</c15:sqref>
                  <c15:dLbl>
                    <c:idx val="-1"/>
                    <c:layout>
                      <c:manualLayout>
                        <c:x val="-4.3356779158255247E-2"/>
                        <c:y val="-0.14939932409493534"/>
                      </c:manualLayout>
                    </c:layout>
                    <c:dLblPos val="r"/>
                    <c:showLegendKey val="0"/>
                    <c:showVal val="1"/>
                    <c:showCatName val="0"/>
                    <c:showSerName val="0"/>
                    <c:showPercent val="0"/>
                    <c:showBubbleSize val="0"/>
                    <c:extLst>
                      <c:ext uri="{CE6537A1-D6FC-4f65-9D91-7224C49458BB}"/>
                      <c:ext xmlns:c16="http://schemas.microsoft.com/office/drawing/2014/chart" uri="{C3380CC4-5D6E-409C-BE32-E72D297353CC}">
                        <c16:uniqueId val="{00000001-F4C2-4BAF-85E2-54034C472391}"/>
                      </c:ext>
                    </c:extLst>
                  </c15:dLbl>
                </c15:categoryFilterException>
              </c15:categoryFilterExceptions>
            </c:ext>
            <c:ext xmlns:c16="http://schemas.microsoft.com/office/drawing/2014/chart" uri="{C3380CC4-5D6E-409C-BE32-E72D297353CC}">
              <c16:uniqueId val="{00000004-69D4-4BF8-8856-5700E57416F3}"/>
            </c:ext>
          </c:extLst>
        </c:ser>
        <c:dLbls>
          <c:dLblPos val="t"/>
          <c:showLegendKey val="0"/>
          <c:showVal val="1"/>
          <c:showCatName val="0"/>
          <c:showSerName val="0"/>
          <c:showPercent val="0"/>
          <c:showBubbleSize val="0"/>
        </c:dLbls>
        <c:smooth val="0"/>
        <c:axId val="1157527135"/>
        <c:axId val="1098496655"/>
      </c:lineChart>
      <c:catAx>
        <c:axId val="1157527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496655"/>
        <c:crosses val="autoZero"/>
        <c:auto val="1"/>
        <c:lblAlgn val="ctr"/>
        <c:lblOffset val="100"/>
        <c:noMultiLvlLbl val="0"/>
      </c:catAx>
      <c:valAx>
        <c:axId val="1098496655"/>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5271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spc="0" baseline="0">
                <a:solidFill>
                  <a:sysClr val="windowText" lastClr="000000">
                    <a:lumMod val="65000"/>
                    <a:lumOff val="35000"/>
                  </a:sysClr>
                </a:solidFill>
                <a:latin typeface="+mn-lt"/>
                <a:ea typeface="+mn-ea"/>
                <a:cs typeface="+mn-cs"/>
              </a:defRPr>
            </a:pPr>
            <a:r>
              <a:rPr lang="en-GB" sz="1100" b="1" i="0" u="none" strike="noStrike" kern="1200" spc="0" baseline="0">
                <a:solidFill>
                  <a:sysClr val="windowText" lastClr="000000">
                    <a:lumMod val="65000"/>
                    <a:lumOff val="35000"/>
                  </a:sysClr>
                </a:solidFill>
              </a:rPr>
              <a:t>So sánh ROE Hợp nhất với Ngành (2023)</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lineChart>
        <c:grouping val="standard"/>
        <c:varyColors val="0"/>
        <c:ser>
          <c:idx val="0"/>
          <c:order val="0"/>
          <c:tx>
            <c:strRef>
              <c:f>'Biểu đồ - LN'!$B$165</c:f>
              <c:strCache>
                <c:ptCount val="1"/>
                <c:pt idx="0">
                  <c:v>Quang Phát</c:v>
                </c:pt>
              </c:strCache>
            </c:strRef>
          </c:tx>
          <c:spPr>
            <a:ln w="28575" cap="rnd">
              <a:solidFill>
                <a:srgbClr val="00693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'Biểu đồ - LN'!$C$164:$P$164</c15:sqref>
                  </c15:fullRef>
                </c:ext>
              </c:extLst>
              <c:f>'Biểu đồ - LN'!$F$164:$P$164</c:f>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cat>
          <c:val>
            <c:numRef>
              <c:extLst>
                <c:ext xmlns:c15="http://schemas.microsoft.com/office/drawing/2012/chart" uri="{02D57815-91ED-43cb-92C2-25804820EDAC}">
                  <c15:fullRef>
                    <c15:sqref>'Biểu đồ - LN'!$C$165:$P$165</c15:sqref>
                  </c15:fullRef>
                </c:ext>
              </c:extLst>
              <c:f>'Biểu đồ - LN'!$F$165:$P$165</c:f>
              <c:numCache>
                <c:formatCode>0.0%</c:formatCode>
                <c:ptCount val="11"/>
                <c:pt idx="0">
                  <c:v>0.21230280997595077</c:v>
                </c:pt>
                <c:pt idx="1">
                  <c:v>9.3268369070688001E-2</c:v>
                </c:pt>
                <c:pt idx="2">
                  <c:v>0.19169220102025375</c:v>
                </c:pt>
                <c:pt idx="3">
                  <c:v>0.23067807876173829</c:v>
                </c:pt>
                <c:pt idx="4">
                  <c:v>0.26461069148297728</c:v>
                </c:pt>
                <c:pt idx="5">
                  <c:v>0.22936805376028174</c:v>
                </c:pt>
                <c:pt idx="6">
                  <c:v>0.19853374876586716</c:v>
                </c:pt>
                <c:pt idx="7">
                  <c:v>0.16755575592642319</c:v>
                </c:pt>
                <c:pt idx="8">
                  <c:v>0.14679602085292379</c:v>
                </c:pt>
                <c:pt idx="9">
                  <c:v>0.131237646407487</c:v>
                </c:pt>
                <c:pt idx="10">
                  <c:v>0.1180507761024903</c:v>
                </c:pt>
              </c:numCache>
            </c:numRef>
          </c:val>
          <c:smooth val="0"/>
          <c:extLst>
            <c:ext xmlns:c16="http://schemas.microsoft.com/office/drawing/2014/chart" uri="{C3380CC4-5D6E-409C-BE32-E72D297353CC}">
              <c16:uniqueId val="{00000000-4B0E-494C-AF1F-9210CE91E774}"/>
            </c:ext>
          </c:extLst>
        </c:ser>
        <c:ser>
          <c:idx val="1"/>
          <c:order val="1"/>
          <c:tx>
            <c:strRef>
              <c:f>'Biểu đồ - LN'!$B$166</c:f>
              <c:strCache>
                <c:ptCount val="1"/>
                <c:pt idx="0">
                  <c:v>Ngành (all)</c:v>
                </c:pt>
              </c:strCache>
            </c:strRef>
          </c:tx>
          <c:spPr>
            <a:ln w="28575" cap="rnd">
              <a:solidFill>
                <a:schemeClr val="tx1">
                  <a:lumMod val="75000"/>
                  <a:lumOff val="2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'Biểu đồ - LN'!$C$164:$P$164</c15:sqref>
                  </c15:fullRef>
                </c:ext>
              </c:extLst>
              <c:f>'Biểu đồ - LN'!$F$164:$P$164</c:f>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cat>
          <c:val>
            <c:numRef>
              <c:extLst>
                <c:ext xmlns:c15="http://schemas.microsoft.com/office/drawing/2012/chart" uri="{02D57815-91ED-43cb-92C2-25804820EDAC}">
                  <c15:fullRef>
                    <c15:sqref>'Biểu đồ - LN'!$C$166:$P$166</c15:sqref>
                  </c15:fullRef>
                </c:ext>
              </c:extLst>
              <c:f>'Biểu đồ - LN'!$F$166:$P$166</c:f>
              <c:numCache>
                <c:formatCode>0.0%</c:formatCode>
                <c:ptCount val="11"/>
                <c:pt idx="0">
                  <c:v>9.4638344139851907E-2</c:v>
                </c:pt>
                <c:pt idx="1">
                  <c:v>9.4638344139851907E-2</c:v>
                </c:pt>
                <c:pt idx="2">
                  <c:v>9.4638344139851907E-2</c:v>
                </c:pt>
                <c:pt idx="3">
                  <c:v>9.4638344139851907E-2</c:v>
                </c:pt>
                <c:pt idx="4">
                  <c:v>9.4638344139851907E-2</c:v>
                </c:pt>
                <c:pt idx="5">
                  <c:v>9.4638344139851907E-2</c:v>
                </c:pt>
                <c:pt idx="6">
                  <c:v>9.4638344139851907E-2</c:v>
                </c:pt>
                <c:pt idx="7">
                  <c:v>9.4638344139851907E-2</c:v>
                </c:pt>
                <c:pt idx="8">
                  <c:v>9.4638344139851907E-2</c:v>
                </c:pt>
                <c:pt idx="9">
                  <c:v>9.4638344139851907E-2</c:v>
                </c:pt>
                <c:pt idx="10">
                  <c:v>9.4638344139851907E-2</c:v>
                </c:pt>
              </c:numCache>
            </c:numRef>
          </c:val>
          <c:smooth val="0"/>
          <c:extLst>
            <c:ext xmlns:c16="http://schemas.microsoft.com/office/drawing/2014/chart" uri="{C3380CC4-5D6E-409C-BE32-E72D297353CC}">
              <c16:uniqueId val="{00000001-4B0E-494C-AF1F-9210CE91E774}"/>
            </c:ext>
          </c:extLst>
        </c:ser>
        <c:ser>
          <c:idx val="2"/>
          <c:order val="2"/>
          <c:tx>
            <c:strRef>
              <c:f>'Biểu đồ - LN'!$B$167</c:f>
              <c:strCache>
                <c:ptCount val="1"/>
                <c:pt idx="0">
                  <c:v>Ngành (phù hợp)</c:v>
                </c:pt>
              </c:strCache>
            </c:strRef>
          </c:tx>
          <c:spPr>
            <a:ln w="28575" cap="rnd">
              <a:solidFill>
                <a:srgbClr val="FFC0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'Biểu đồ - LN'!$C$164:$P$164</c15:sqref>
                  </c15:fullRef>
                </c:ext>
              </c:extLst>
              <c:f>'Biểu đồ - LN'!$F$164:$P$164</c:f>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cat>
          <c:val>
            <c:numRef>
              <c:extLst>
                <c:ext xmlns:c15="http://schemas.microsoft.com/office/drawing/2012/chart" uri="{02D57815-91ED-43cb-92C2-25804820EDAC}">
                  <c15:fullRef>
                    <c15:sqref>'Biểu đồ - LN'!$C$167:$P$167</c15:sqref>
                  </c15:fullRef>
                </c:ext>
              </c:extLst>
              <c:f>'Biểu đồ - LN'!$F$167:$P$167</c:f>
              <c:numCache>
                <c:formatCode>0.0%</c:formatCode>
                <c:ptCount val="11"/>
                <c:pt idx="0">
                  <c:v>0.22083523079952558</c:v>
                </c:pt>
                <c:pt idx="1">
                  <c:v>0.22083523079952558</c:v>
                </c:pt>
                <c:pt idx="2">
                  <c:v>0.22083523079952558</c:v>
                </c:pt>
                <c:pt idx="3">
                  <c:v>0.22083523079952558</c:v>
                </c:pt>
                <c:pt idx="4">
                  <c:v>0.22083523079952558</c:v>
                </c:pt>
                <c:pt idx="5">
                  <c:v>0.22083523079952558</c:v>
                </c:pt>
                <c:pt idx="6">
                  <c:v>0.22083523079952558</c:v>
                </c:pt>
                <c:pt idx="7">
                  <c:v>0.22083523079952558</c:v>
                </c:pt>
                <c:pt idx="8">
                  <c:v>0.22083523079952558</c:v>
                </c:pt>
                <c:pt idx="9">
                  <c:v>0.22083523079952558</c:v>
                </c:pt>
                <c:pt idx="10">
                  <c:v>0.22083523079952558</c:v>
                </c:pt>
              </c:numCache>
            </c:numRef>
          </c:val>
          <c:smooth val="0"/>
          <c:extLst>
            <c:ext xmlns:c16="http://schemas.microsoft.com/office/drawing/2014/chart" uri="{C3380CC4-5D6E-409C-BE32-E72D297353CC}">
              <c16:uniqueId val="{00000002-4B0E-494C-AF1F-9210CE91E774}"/>
            </c:ext>
          </c:extLst>
        </c:ser>
        <c:dLbls>
          <c:dLblPos val="t"/>
          <c:showLegendKey val="0"/>
          <c:showVal val="1"/>
          <c:showCatName val="0"/>
          <c:showSerName val="0"/>
          <c:showPercent val="0"/>
          <c:showBubbleSize val="0"/>
        </c:dLbls>
        <c:smooth val="0"/>
        <c:axId val="1150219311"/>
        <c:axId val="1098515855"/>
      </c:lineChart>
      <c:catAx>
        <c:axId val="115021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515855"/>
        <c:crosses val="autoZero"/>
        <c:auto val="1"/>
        <c:lblAlgn val="ctr"/>
        <c:lblOffset val="100"/>
        <c:noMultiLvlLbl val="0"/>
      </c:catAx>
      <c:valAx>
        <c:axId val="1098515855"/>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2193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100" b="1" i="0" u="none" strike="noStrike" baseline="0">
                <a:effectLst/>
              </a:rPr>
              <a:t>So sánh ROS Hợp nhất với Ngành (2023)</a:t>
            </a:r>
            <a:endParaRPr lang="en-GB" sz="11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'Biểu đồ - LN'!$B$101</c:f>
              <c:strCache>
                <c:ptCount val="1"/>
                <c:pt idx="0">
                  <c:v>Quang Phát</c:v>
                </c:pt>
              </c:strCache>
            </c:strRef>
          </c:tx>
          <c:spPr>
            <a:ln w="28575" cap="rnd">
              <a:solidFill>
                <a:srgbClr val="00693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'Biểu đồ - LN'!$C$100:$P$100</c15:sqref>
                  </c15:fullRef>
                </c:ext>
              </c:extLst>
              <c:f>'Biểu đồ - LN'!$F$100:$P$100</c:f>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cat>
          <c:val>
            <c:numRef>
              <c:extLst>
                <c:ext xmlns:c15="http://schemas.microsoft.com/office/drawing/2012/chart" uri="{02D57815-91ED-43cb-92C2-25804820EDAC}">
                  <c15:fullRef>
                    <c15:sqref>'Biểu đồ - LN'!$C$101:$P$101</c15:sqref>
                  </c15:fullRef>
                </c:ext>
              </c:extLst>
              <c:f>'Biểu đồ - LN'!$F$101:$P$101</c:f>
              <c:numCache>
                <c:formatCode>0%</c:formatCode>
                <c:ptCount val="11"/>
                <c:pt idx="0" formatCode="0.0%">
                  <c:v>0</c:v>
                </c:pt>
                <c:pt idx="1" formatCode="0.0%">
                  <c:v>1.1436696865791501E-2</c:v>
                </c:pt>
                <c:pt idx="2" formatCode="0.0%">
                  <c:v>2.6934437899863019E-2</c:v>
                </c:pt>
                <c:pt idx="3" formatCode="0.0%">
                  <c:v>3.9743514863175823E-2</c:v>
                </c:pt>
                <c:pt idx="4" formatCode="0.0%">
                  <c:v>5.8008302918725607E-2</c:v>
                </c:pt>
                <c:pt idx="5" formatCode="0.0%">
                  <c:v>6.3659447684796991E-2</c:v>
                </c:pt>
                <c:pt idx="6" formatCode="0.0%">
                  <c:v>6.7499551076504419E-2</c:v>
                </c:pt>
                <c:pt idx="7" formatCode="0.0%">
                  <c:v>6.7656303739338869E-2</c:v>
                </c:pt>
                <c:pt idx="8" formatCode="0.0%">
                  <c:v>6.8626096491212263E-2</c:v>
                </c:pt>
                <c:pt idx="9" formatCode="0.0%">
                  <c:v>6.9766706616082086E-2</c:v>
                </c:pt>
                <c:pt idx="10" formatCode="0.0%">
                  <c:v>7.0349287295367366E-2</c:v>
                </c:pt>
              </c:numCache>
            </c:numRef>
          </c:val>
          <c:smooth val="0"/>
          <c:extLst>
            <c:ext xmlns:c16="http://schemas.microsoft.com/office/drawing/2014/chart" uri="{C3380CC4-5D6E-409C-BE32-E72D297353CC}">
              <c16:uniqueId val="{00000000-08E2-47DA-BC14-F420E6D4F175}"/>
            </c:ext>
          </c:extLst>
        </c:ser>
        <c:ser>
          <c:idx val="1"/>
          <c:order val="1"/>
          <c:tx>
            <c:strRef>
              <c:f>'Biểu đồ - LN'!$B$102</c:f>
              <c:strCache>
                <c:ptCount val="1"/>
                <c:pt idx="0">
                  <c:v>Ngành (all)</c:v>
                </c:pt>
              </c:strCache>
            </c:strRef>
          </c:tx>
          <c:spPr>
            <a:ln w="28575" cap="rnd">
              <a:solidFill>
                <a:schemeClr val="tx1">
                  <a:lumMod val="75000"/>
                  <a:lumOff val="2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'Biểu đồ - LN'!$C$100:$P$100</c15:sqref>
                  </c15:fullRef>
                </c:ext>
              </c:extLst>
              <c:f>'Biểu đồ - LN'!$F$100:$P$100</c:f>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cat>
          <c:val>
            <c:numRef>
              <c:extLst>
                <c:ext xmlns:c15="http://schemas.microsoft.com/office/drawing/2012/chart" uri="{02D57815-91ED-43cb-92C2-25804820EDAC}">
                  <c15:fullRef>
                    <c15:sqref>'Biểu đồ - LN'!$C$102:$P$102</c15:sqref>
                  </c15:fullRef>
                </c:ext>
              </c:extLst>
              <c:f>'Biểu đồ - LN'!$F$102:$P$102</c:f>
              <c:numCache>
                <c:formatCode>0.0%</c:formatCode>
                <c:ptCount val="11"/>
                <c:pt idx="0">
                  <c:v>7.2610424198671364E-2</c:v>
                </c:pt>
                <c:pt idx="1">
                  <c:v>7.2610424198671364E-2</c:v>
                </c:pt>
                <c:pt idx="2">
                  <c:v>7.2610424198671364E-2</c:v>
                </c:pt>
                <c:pt idx="3">
                  <c:v>7.2610424198671364E-2</c:v>
                </c:pt>
                <c:pt idx="4">
                  <c:v>7.2610424198671364E-2</c:v>
                </c:pt>
                <c:pt idx="5">
                  <c:v>7.2610424198671364E-2</c:v>
                </c:pt>
                <c:pt idx="6">
                  <c:v>7.2610424198671364E-2</c:v>
                </c:pt>
                <c:pt idx="7">
                  <c:v>7.2610424198671364E-2</c:v>
                </c:pt>
                <c:pt idx="8">
                  <c:v>7.2610424198671364E-2</c:v>
                </c:pt>
                <c:pt idx="9">
                  <c:v>7.2610424198671364E-2</c:v>
                </c:pt>
                <c:pt idx="10">
                  <c:v>7.2610424198671364E-2</c:v>
                </c:pt>
              </c:numCache>
            </c:numRef>
          </c:val>
          <c:smooth val="0"/>
          <c:extLst>
            <c:ext xmlns:c16="http://schemas.microsoft.com/office/drawing/2014/chart" uri="{C3380CC4-5D6E-409C-BE32-E72D297353CC}">
              <c16:uniqueId val="{00000001-08E2-47DA-BC14-F420E6D4F175}"/>
            </c:ext>
          </c:extLst>
        </c:ser>
        <c:ser>
          <c:idx val="2"/>
          <c:order val="2"/>
          <c:tx>
            <c:strRef>
              <c:f>'Biểu đồ - LN'!$B$103</c:f>
              <c:strCache>
                <c:ptCount val="1"/>
                <c:pt idx="0">
                  <c:v>Ngành (phù hợp)</c:v>
                </c:pt>
              </c:strCache>
            </c:strRef>
          </c:tx>
          <c:spPr>
            <a:ln w="28575" cap="rnd">
              <a:solidFill>
                <a:srgbClr val="FFC0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'Biểu đồ - LN'!$C$100:$P$100</c15:sqref>
                  </c15:fullRef>
                </c:ext>
              </c:extLst>
              <c:f>'Biểu đồ - LN'!$F$100:$P$100</c:f>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cat>
          <c:val>
            <c:numRef>
              <c:extLst>
                <c:ext xmlns:c15="http://schemas.microsoft.com/office/drawing/2012/chart" uri="{02D57815-91ED-43cb-92C2-25804820EDAC}">
                  <c15:fullRef>
                    <c15:sqref>'Biểu đồ - LN'!$C$103:$P$103</c15:sqref>
                  </c15:fullRef>
                </c:ext>
              </c:extLst>
              <c:f>'Biểu đồ - LN'!$F$103:$P$103</c:f>
              <c:numCache>
                <c:formatCode>0.0%</c:formatCode>
                <c:ptCount val="11"/>
                <c:pt idx="0">
                  <c:v>9.0367573144351815E-2</c:v>
                </c:pt>
                <c:pt idx="1">
                  <c:v>9.0367573144351815E-2</c:v>
                </c:pt>
                <c:pt idx="2">
                  <c:v>9.0367573144351815E-2</c:v>
                </c:pt>
                <c:pt idx="3">
                  <c:v>9.0367573144351815E-2</c:v>
                </c:pt>
                <c:pt idx="4">
                  <c:v>9.0367573144351815E-2</c:v>
                </c:pt>
                <c:pt idx="5">
                  <c:v>9.0367573144351815E-2</c:v>
                </c:pt>
                <c:pt idx="6">
                  <c:v>9.0367573144351815E-2</c:v>
                </c:pt>
                <c:pt idx="7">
                  <c:v>9.0367573144351815E-2</c:v>
                </c:pt>
                <c:pt idx="8">
                  <c:v>9.0367573144351815E-2</c:v>
                </c:pt>
                <c:pt idx="9">
                  <c:v>9.0367573144351815E-2</c:v>
                </c:pt>
                <c:pt idx="10">
                  <c:v>9.0367573144351815E-2</c:v>
                </c:pt>
              </c:numCache>
            </c:numRef>
          </c:val>
          <c:smooth val="0"/>
          <c:extLst>
            <c:ext xmlns:c16="http://schemas.microsoft.com/office/drawing/2014/chart" uri="{C3380CC4-5D6E-409C-BE32-E72D297353CC}">
              <c16:uniqueId val="{00000002-08E2-47DA-BC14-F420E6D4F175}"/>
            </c:ext>
          </c:extLst>
        </c:ser>
        <c:dLbls>
          <c:dLblPos val="t"/>
          <c:showLegendKey val="0"/>
          <c:showVal val="1"/>
          <c:showCatName val="0"/>
          <c:showSerName val="0"/>
          <c:showPercent val="0"/>
          <c:showBubbleSize val="0"/>
        </c:dLbls>
        <c:smooth val="0"/>
        <c:axId val="1667589119"/>
        <c:axId val="1641214479"/>
      </c:lineChart>
      <c:catAx>
        <c:axId val="1667589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214479"/>
        <c:crosses val="autoZero"/>
        <c:auto val="1"/>
        <c:lblAlgn val="ctr"/>
        <c:lblOffset val="100"/>
        <c:noMultiLvlLbl val="0"/>
      </c:catAx>
      <c:valAx>
        <c:axId val="164121447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5891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100" b="1" i="0" u="none" strike="noStrike" baseline="0">
                <a:effectLst/>
              </a:rPr>
              <a:t>Lợi nhuận sau thuế - tỷ</a:t>
            </a:r>
            <a:r>
              <a:rPr lang="en-GB" sz="1100" b="0" i="0" u="none" strike="noStrike" baseline="0"/>
              <a:t> </a:t>
            </a:r>
            <a:endParaRPr lang="en-GB" sz="11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'Biểu đồ - LN'!$B$66</c:f>
              <c:strCache>
                <c:ptCount val="1"/>
                <c:pt idx="0">
                  <c:v>QP</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'Biểu đồ - LN'!$C$65:$P$65</c15:sqref>
                  </c15:fullRef>
                </c:ext>
              </c:extLst>
              <c:f>'Biểu đồ - LN'!$F$65:$P$65</c:f>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cat>
          <c:val>
            <c:numRef>
              <c:extLst>
                <c:ext xmlns:c15="http://schemas.microsoft.com/office/drawing/2012/chart" uri="{02D57815-91ED-43cb-92C2-25804820EDAC}">
                  <c15:fullRef>
                    <c15:sqref>'Biểu đồ - LN'!$C$66:$P$66</c15:sqref>
                  </c15:fullRef>
                </c:ext>
              </c:extLst>
              <c:f>'Biểu đồ - LN'!$F$66:$P$66</c:f>
              <c:numCache>
                <c:formatCode>_(* #,##0_);_(* \(#,##0\);_(* "-"??_);_(@_)</c:formatCode>
                <c:ptCount val="11"/>
                <c:pt idx="0">
                  <c:v>11.731729394000032</c:v>
                </c:pt>
                <c:pt idx="1">
                  <c:v>5.4060629888953873</c:v>
                </c:pt>
                <c:pt idx="2">
                  <c:v>12.86185824094121</c:v>
                </c:pt>
                <c:pt idx="3">
                  <c:v>19.172480477676874</c:v>
                </c:pt>
                <c:pt idx="4">
                  <c:v>28.269579474354455</c:v>
                </c:pt>
                <c:pt idx="5">
                  <c:v>31.340805030269905</c:v>
                </c:pt>
                <c:pt idx="6">
                  <c:v>33.571226208495048</c:v>
                </c:pt>
                <c:pt idx="7">
                  <c:v>33.993398086752975</c:v>
                </c:pt>
                <c:pt idx="8">
                  <c:v>34.833456056697749</c:v>
                </c:pt>
                <c:pt idx="9">
                  <c:v>35.774816976051767</c:v>
                </c:pt>
                <c:pt idx="10">
                  <c:v>36.44280617701007</c:v>
                </c:pt>
              </c:numCache>
            </c:numRef>
          </c:val>
          <c:extLst>
            <c:ext xmlns:c16="http://schemas.microsoft.com/office/drawing/2014/chart" uri="{C3380CC4-5D6E-409C-BE32-E72D297353CC}">
              <c16:uniqueId val="{00000000-12AF-49BD-8C52-C29DE0713709}"/>
            </c:ext>
          </c:extLst>
        </c:ser>
        <c:dLbls>
          <c:dLblPos val="outEnd"/>
          <c:showLegendKey val="0"/>
          <c:showVal val="1"/>
          <c:showCatName val="0"/>
          <c:showSerName val="0"/>
          <c:showPercent val="0"/>
          <c:showBubbleSize val="0"/>
        </c:dLbls>
        <c:gapWidth val="219"/>
        <c:overlap val="-27"/>
        <c:axId val="1674012495"/>
        <c:axId val="1098507215"/>
      </c:barChart>
      <c:lineChart>
        <c:grouping val="standard"/>
        <c:varyColors val="0"/>
        <c:ser>
          <c:idx val="1"/>
          <c:order val="1"/>
          <c:tx>
            <c:strRef>
              <c:f>'Biểu đồ - LN'!$B$67</c:f>
              <c:strCache>
                <c:ptCount val="1"/>
                <c:pt idx="0">
                  <c:v>Tăng trưởng</c:v>
                </c:pt>
              </c:strCache>
            </c:strRef>
          </c:tx>
          <c:spPr>
            <a:ln w="28575" cap="rnd">
              <a:solidFill>
                <a:schemeClr val="accent4">
                  <a:tint val="77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'Biểu đồ - LN'!$C$65:$P$65</c15:sqref>
                  </c15:fullRef>
                </c:ext>
              </c:extLst>
              <c:f>'Biểu đồ - LN'!$F$65:$P$65</c:f>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cat>
          <c:val>
            <c:numRef>
              <c:extLst>
                <c:ext xmlns:c15="http://schemas.microsoft.com/office/drawing/2012/chart" uri="{02D57815-91ED-43cb-92C2-25804820EDAC}">
                  <c15:fullRef>
                    <c15:sqref>'Biểu đồ - LN'!$C$67:$P$67</c15:sqref>
                  </c15:fullRef>
                </c:ext>
              </c:extLst>
              <c:f>'Biểu đồ - LN'!$F$67:$P$67</c:f>
              <c:numCache>
                <c:formatCode>_(* #,##0.00_);_(* \(#,##0.00\);_(* "-"??_);_(@_)</c:formatCode>
                <c:ptCount val="11"/>
                <c:pt idx="0" formatCode="0.00%">
                  <c:v>2.6839377586652837</c:v>
                </c:pt>
                <c:pt idx="1" formatCode="0.00%">
                  <c:v>-1.1701059381102696</c:v>
                </c:pt>
                <c:pt idx="2" formatCode="0.00%">
                  <c:v>0.57968258647983817</c:v>
                </c:pt>
                <c:pt idx="3" formatCode="0.00%">
                  <c:v>0.32915001499588548</c:v>
                </c:pt>
                <c:pt idx="4" formatCode="0.00%">
                  <c:v>0.32179817195124072</c:v>
                </c:pt>
                <c:pt idx="5" formatCode="0.00%">
                  <c:v>9.7994469285302893E-2</c:v>
                </c:pt>
                <c:pt idx="6" formatCode="0.00%">
                  <c:v>6.6438478129248218E-2</c:v>
                </c:pt>
                <c:pt idx="7" formatCode="0.00%">
                  <c:v>1.2419231439602539E-2</c:v>
                </c:pt>
                <c:pt idx="8" formatCode="0.00%">
                  <c:v>2.4116411778877956E-2</c:v>
                </c:pt>
                <c:pt idx="9" formatCode="0.00%">
                  <c:v>2.6313507627004219E-2</c:v>
                </c:pt>
                <c:pt idx="10" formatCode="0.00%">
                  <c:v>1.8329795946935162E-2</c:v>
                </c:pt>
              </c:numCache>
            </c:numRef>
          </c:val>
          <c:smooth val="0"/>
          <c:extLst>
            <c:ext xmlns:c16="http://schemas.microsoft.com/office/drawing/2014/chart" uri="{C3380CC4-5D6E-409C-BE32-E72D297353CC}">
              <c16:uniqueId val="{00000001-12AF-49BD-8C52-C29DE0713709}"/>
            </c:ext>
          </c:extLst>
        </c:ser>
        <c:dLbls>
          <c:showLegendKey val="0"/>
          <c:showVal val="0"/>
          <c:showCatName val="0"/>
          <c:showSerName val="0"/>
          <c:showPercent val="0"/>
          <c:showBubbleSize val="0"/>
        </c:dLbls>
        <c:marker val="1"/>
        <c:smooth val="0"/>
        <c:axId val="501114415"/>
        <c:axId val="1936714959"/>
      </c:lineChart>
      <c:catAx>
        <c:axId val="1674012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507215"/>
        <c:crosses val="autoZero"/>
        <c:auto val="1"/>
        <c:lblAlgn val="ctr"/>
        <c:lblOffset val="100"/>
        <c:noMultiLvlLbl val="0"/>
      </c:catAx>
      <c:valAx>
        <c:axId val="1098507215"/>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012495"/>
        <c:crosses val="autoZero"/>
        <c:crossBetween val="between"/>
      </c:valAx>
      <c:valAx>
        <c:axId val="1936714959"/>
        <c:scaling>
          <c:orientation val="minMax"/>
        </c:scaling>
        <c:delete val="0"/>
        <c:axPos val="r"/>
        <c:numFmt formatCode="_(* #,##0.00_);_(* \(#,##0.0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114415"/>
        <c:crosses val="max"/>
        <c:crossBetween val="between"/>
      </c:valAx>
      <c:catAx>
        <c:axId val="501114415"/>
        <c:scaling>
          <c:orientation val="minMax"/>
        </c:scaling>
        <c:delete val="1"/>
        <c:axPos val="b"/>
        <c:numFmt formatCode="General" sourceLinked="1"/>
        <c:majorTickMark val="out"/>
        <c:minorTickMark val="none"/>
        <c:tickLblPos val="nextTo"/>
        <c:crossAx val="193671495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100" b="1" i="0" u="none" strike="noStrike" baseline="0">
                <a:effectLst/>
              </a:rPr>
              <a:t>Biên lợi nhuận gộp</a:t>
            </a:r>
            <a:r>
              <a:rPr lang="en-GB" sz="1100" b="0" i="0" u="none" strike="noStrike" baseline="0"/>
              <a:t> </a:t>
            </a:r>
            <a:endParaRPr lang="en-GB" sz="11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'Biểu đồ - LN'!$B$10</c:f>
              <c:strCache>
                <c:ptCount val="1"/>
                <c:pt idx="0">
                  <c:v>Quang Phát</c:v>
                </c:pt>
              </c:strCache>
            </c:strRef>
          </c:tx>
          <c:spPr>
            <a:ln w="28575" cap="rnd">
              <a:solidFill>
                <a:srgbClr val="00693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'Biểu đồ - LN'!$C$9:$P$9</c:f>
              <c:numCache>
                <c:formatCode>General</c:formatCode>
                <c:ptCount val="14"/>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numCache>
            </c:numRef>
          </c:cat>
          <c:val>
            <c:numRef>
              <c:f>'Biểu đồ - LN'!$C$10:$P$10</c:f>
              <c:numCache>
                <c:formatCode>0%</c:formatCode>
                <c:ptCount val="14"/>
                <c:pt idx="0">
                  <c:v>0.15944167782383051</c:v>
                </c:pt>
                <c:pt idx="1">
                  <c:v>5.7070205973867277E-2</c:v>
                </c:pt>
                <c:pt idx="2">
                  <c:v>2.9040627182587417E-2</c:v>
                </c:pt>
                <c:pt idx="3">
                  <c:v>0.1249531036014938</c:v>
                </c:pt>
                <c:pt idx="4">
                  <c:v>0.15944167782383051</c:v>
                </c:pt>
                <c:pt idx="5">
                  <c:v>0.15886268756190863</c:v>
                </c:pt>
                <c:pt idx="6">
                  <c:v>0.16049378069117456</c:v>
                </c:pt>
                <c:pt idx="7">
                  <c:v>0.16301220108372944</c:v>
                </c:pt>
                <c:pt idx="8">
                  <c:v>0.16418339569100251</c:v>
                </c:pt>
                <c:pt idx="9">
                  <c:v>0.16848388216581681</c:v>
                </c:pt>
                <c:pt idx="10">
                  <c:v>0.1685369536606294</c:v>
                </c:pt>
                <c:pt idx="11">
                  <c:v>0.16897768748112404</c:v>
                </c:pt>
                <c:pt idx="12">
                  <c:v>0.17023137674399941</c:v>
                </c:pt>
                <c:pt idx="13">
                  <c:v>0.17057064088744769</c:v>
                </c:pt>
              </c:numCache>
            </c:numRef>
          </c:val>
          <c:smooth val="0"/>
          <c:extLst>
            <c:ext xmlns:c16="http://schemas.microsoft.com/office/drawing/2014/chart" uri="{C3380CC4-5D6E-409C-BE32-E72D297353CC}">
              <c16:uniqueId val="{00000000-07E3-407E-BBDA-05E5D3DD0551}"/>
            </c:ext>
          </c:extLst>
        </c:ser>
        <c:ser>
          <c:idx val="1"/>
          <c:order val="1"/>
          <c:tx>
            <c:strRef>
              <c:f>'Biểu đồ - LN'!$B$11</c:f>
              <c:strCache>
                <c:ptCount val="1"/>
                <c:pt idx="0">
                  <c:v>Ngành (all) </c:v>
                </c:pt>
              </c:strCache>
            </c:strRef>
          </c:tx>
          <c:spPr>
            <a:ln w="28575" cap="rnd">
              <a:solidFill>
                <a:schemeClr val="tx1">
                  <a:lumMod val="75000"/>
                  <a:lumOff val="2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'Biểu đồ - LN'!$C$9:$P$9</c:f>
              <c:numCache>
                <c:formatCode>General</c:formatCode>
                <c:ptCount val="14"/>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numCache>
            </c:numRef>
          </c:cat>
          <c:val>
            <c:numRef>
              <c:f>'Biểu đồ - LN'!$C$11:$P$11</c:f>
              <c:numCache>
                <c:formatCode>0%</c:formatCode>
                <c:ptCount val="14"/>
                <c:pt idx="0">
                  <c:v>0.1187163335302746</c:v>
                </c:pt>
                <c:pt idx="1">
                  <c:v>0.1187163335302746</c:v>
                </c:pt>
                <c:pt idx="2">
                  <c:v>0.1187163335302746</c:v>
                </c:pt>
                <c:pt idx="3">
                  <c:v>0.1187163335302746</c:v>
                </c:pt>
                <c:pt idx="4">
                  <c:v>0.1187163335302746</c:v>
                </c:pt>
                <c:pt idx="5">
                  <c:v>0.1187163335302746</c:v>
                </c:pt>
                <c:pt idx="6">
                  <c:v>0.1187163335302746</c:v>
                </c:pt>
                <c:pt idx="7">
                  <c:v>0.1187163335302746</c:v>
                </c:pt>
                <c:pt idx="8">
                  <c:v>0.1187163335302746</c:v>
                </c:pt>
                <c:pt idx="9">
                  <c:v>0.1187163335302746</c:v>
                </c:pt>
                <c:pt idx="10">
                  <c:v>0.1187163335302746</c:v>
                </c:pt>
                <c:pt idx="11">
                  <c:v>0.1187163335302746</c:v>
                </c:pt>
                <c:pt idx="12">
                  <c:v>0.1187163335302746</c:v>
                </c:pt>
                <c:pt idx="13">
                  <c:v>0.1187163335302746</c:v>
                </c:pt>
              </c:numCache>
            </c:numRef>
          </c:val>
          <c:smooth val="0"/>
          <c:extLst>
            <c:ext xmlns:c16="http://schemas.microsoft.com/office/drawing/2014/chart" uri="{C3380CC4-5D6E-409C-BE32-E72D297353CC}">
              <c16:uniqueId val="{00000001-07E3-407E-BBDA-05E5D3DD0551}"/>
            </c:ext>
          </c:extLst>
        </c:ser>
        <c:ser>
          <c:idx val="2"/>
          <c:order val="2"/>
          <c:tx>
            <c:strRef>
              <c:f>'Biểu đồ - LN'!$B$12</c:f>
              <c:strCache>
                <c:ptCount val="1"/>
                <c:pt idx="0">
                  <c:v>Ngành (Phù hợp) </c:v>
                </c:pt>
              </c:strCache>
            </c:strRef>
          </c:tx>
          <c:spPr>
            <a:ln w="28575" cap="rnd">
              <a:solidFill>
                <a:srgbClr val="FFC0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'Biểu đồ - LN'!$C$9:$P$9</c:f>
              <c:numCache>
                <c:formatCode>General</c:formatCode>
                <c:ptCount val="14"/>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numCache>
            </c:numRef>
          </c:cat>
          <c:val>
            <c:numRef>
              <c:f>'Biểu đồ - LN'!$C$12:$P$12</c:f>
              <c:numCache>
                <c:formatCode>0%</c:formatCode>
                <c:ptCount val="14"/>
                <c:pt idx="0">
                  <c:v>0.13157484512906603</c:v>
                </c:pt>
                <c:pt idx="1">
                  <c:v>0.13157484512906603</c:v>
                </c:pt>
                <c:pt idx="2">
                  <c:v>0.13157484512906603</c:v>
                </c:pt>
                <c:pt idx="3">
                  <c:v>0.13157484512906603</c:v>
                </c:pt>
                <c:pt idx="4">
                  <c:v>0.13157484512906603</c:v>
                </c:pt>
                <c:pt idx="5">
                  <c:v>0.13157484512906603</c:v>
                </c:pt>
                <c:pt idx="6">
                  <c:v>0.13157484512906603</c:v>
                </c:pt>
                <c:pt idx="7">
                  <c:v>0.13157484512906603</c:v>
                </c:pt>
                <c:pt idx="8">
                  <c:v>0.13157484512906603</c:v>
                </c:pt>
                <c:pt idx="9">
                  <c:v>0.13157484512906603</c:v>
                </c:pt>
                <c:pt idx="10">
                  <c:v>0.13157484512906603</c:v>
                </c:pt>
                <c:pt idx="11">
                  <c:v>0.13157484512906603</c:v>
                </c:pt>
                <c:pt idx="12">
                  <c:v>0.13157484512906603</c:v>
                </c:pt>
                <c:pt idx="13">
                  <c:v>0.13157484512906603</c:v>
                </c:pt>
              </c:numCache>
            </c:numRef>
          </c:val>
          <c:smooth val="0"/>
          <c:extLst>
            <c:ext xmlns:c16="http://schemas.microsoft.com/office/drawing/2014/chart" uri="{C3380CC4-5D6E-409C-BE32-E72D297353CC}">
              <c16:uniqueId val="{00000002-07E3-407E-BBDA-05E5D3DD0551}"/>
            </c:ext>
          </c:extLst>
        </c:ser>
        <c:dLbls>
          <c:dLblPos val="t"/>
          <c:showLegendKey val="0"/>
          <c:showVal val="1"/>
          <c:showCatName val="0"/>
          <c:showSerName val="0"/>
          <c:showPercent val="0"/>
          <c:showBubbleSize val="0"/>
        </c:dLbls>
        <c:smooth val="0"/>
        <c:axId val="103008960"/>
        <c:axId val="2107241088"/>
      </c:lineChart>
      <c:catAx>
        <c:axId val="10300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241088"/>
        <c:crosses val="autoZero"/>
        <c:auto val="1"/>
        <c:lblAlgn val="ctr"/>
        <c:lblOffset val="100"/>
        <c:noMultiLvlLbl val="0"/>
      </c:catAx>
      <c:valAx>
        <c:axId val="210724108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0089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a:t>Biên</a:t>
            </a:r>
            <a:r>
              <a:rPr lang="en-US" sz="1100" b="1" baseline="0"/>
              <a:t> lợi nhuận gộp theo Hoạt động - </a:t>
            </a:r>
            <a:r>
              <a:rPr lang="en-US" sz="1100" b="1"/>
              <a:t>Bình quân 2023-2033</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'Biểu đồ - LN'!$E$39</c:f>
              <c:strCache>
                <c:ptCount val="1"/>
              </c:strCache>
            </c:strRef>
          </c:tx>
          <c:spPr>
            <a:ln w="25400" cap="rnd">
              <a:noFill/>
              <a:round/>
            </a:ln>
            <a:effectLst/>
          </c:spPr>
          <c:marker>
            <c:symbol val="diamond"/>
            <c:size val="9"/>
            <c:spPr>
              <a:solidFill>
                <a:srgbClr val="006934"/>
              </a:solidFill>
              <a:ln w="9525">
                <a:noFill/>
              </a:ln>
              <a:effectLst/>
            </c:spPr>
          </c:marker>
          <c:dPt>
            <c:idx val="0"/>
            <c:marker>
              <c:symbol val="diamond"/>
              <c:size val="9"/>
              <c:spPr>
                <a:solidFill>
                  <a:schemeClr val="tx1">
                    <a:lumMod val="65000"/>
                    <a:lumOff val="35000"/>
                  </a:schemeClr>
                </a:solidFill>
                <a:ln w="9525">
                  <a:noFill/>
                </a:ln>
                <a:effectLst/>
              </c:spPr>
            </c:marker>
            <c:bubble3D val="0"/>
            <c:extLst>
              <c:ext xmlns:c16="http://schemas.microsoft.com/office/drawing/2014/chart" uri="{C3380CC4-5D6E-409C-BE32-E72D297353CC}">
                <c16:uniqueId val="{00000000-8629-48F0-9F8E-D4589FA87963}"/>
              </c:ext>
            </c:extLst>
          </c:dPt>
          <c:dPt>
            <c:idx val="1"/>
            <c:marker>
              <c:symbol val="diamond"/>
              <c:size val="9"/>
              <c:spPr>
                <a:solidFill>
                  <a:schemeClr val="bg1">
                    <a:lumMod val="85000"/>
                  </a:schemeClr>
                </a:solidFill>
                <a:ln w="9525">
                  <a:noFill/>
                </a:ln>
                <a:effectLst/>
              </c:spPr>
            </c:marker>
            <c:bubble3D val="0"/>
            <c:extLst>
              <c:ext xmlns:c16="http://schemas.microsoft.com/office/drawing/2014/chart" uri="{C3380CC4-5D6E-409C-BE32-E72D297353CC}">
                <c16:uniqueId val="{00000001-8629-48F0-9F8E-D4589FA87963}"/>
              </c:ext>
            </c:extLst>
          </c:dPt>
          <c:dPt>
            <c:idx val="2"/>
            <c:marker>
              <c:symbol val="diamond"/>
              <c:size val="9"/>
              <c:spPr>
                <a:solidFill>
                  <a:schemeClr val="accent4">
                    <a:lumMod val="75000"/>
                  </a:schemeClr>
                </a:solidFill>
                <a:ln w="9525">
                  <a:noFill/>
                </a:ln>
                <a:effectLst/>
              </c:spPr>
            </c:marker>
            <c:bubble3D val="0"/>
            <c:extLst>
              <c:ext xmlns:c16="http://schemas.microsoft.com/office/drawing/2014/chart" uri="{C3380CC4-5D6E-409C-BE32-E72D297353CC}">
                <c16:uniqueId val="{00000002-8629-48F0-9F8E-D4589FA87963}"/>
              </c:ext>
            </c:extLst>
          </c:dPt>
          <c:dPt>
            <c:idx val="3"/>
            <c:marker>
              <c:symbol val="diamond"/>
              <c:size val="9"/>
              <c:spPr>
                <a:solidFill>
                  <a:schemeClr val="accent6">
                    <a:lumMod val="50000"/>
                  </a:schemeClr>
                </a:solidFill>
                <a:ln w="9525">
                  <a:noFill/>
                </a:ln>
                <a:effectLst/>
              </c:spPr>
            </c:marker>
            <c:bubble3D val="0"/>
            <c:extLst>
              <c:ext xmlns:c16="http://schemas.microsoft.com/office/drawing/2014/chart" uri="{C3380CC4-5D6E-409C-BE32-E72D297353CC}">
                <c16:uniqueId val="{00000003-8629-48F0-9F8E-D4589FA87963}"/>
              </c:ext>
            </c:extLst>
          </c:dPt>
          <c:dPt>
            <c:idx val="4"/>
            <c:marker>
              <c:symbol val="diamond"/>
              <c:size val="9"/>
              <c:spPr>
                <a:solidFill>
                  <a:schemeClr val="accent6">
                    <a:lumMod val="50000"/>
                  </a:schemeClr>
                </a:solidFill>
                <a:ln w="9525">
                  <a:noFill/>
                </a:ln>
                <a:effectLst/>
              </c:spPr>
            </c:marker>
            <c:bubble3D val="0"/>
            <c:extLst>
              <c:ext xmlns:c16="http://schemas.microsoft.com/office/drawing/2014/chart" uri="{C3380CC4-5D6E-409C-BE32-E72D297353CC}">
                <c16:uniqueId val="{00000004-8629-48F0-9F8E-D4589FA87963}"/>
              </c:ext>
            </c:extLst>
          </c:dPt>
          <c:cat>
            <c:strRef>
              <c:f>'Biểu đồ - LN'!$B$40:$B$43</c:f>
              <c:strCache>
                <c:ptCount val="4"/>
                <c:pt idx="0">
                  <c:v>Bê tông</c:v>
                </c:pt>
                <c:pt idx="1">
                  <c:v>Xi măng + Thép</c:v>
                </c:pt>
                <c:pt idx="2">
                  <c:v>Xăng</c:v>
                </c:pt>
                <c:pt idx="3">
                  <c:v>Gạch</c:v>
                </c:pt>
              </c:strCache>
            </c:strRef>
          </c:cat>
          <c:val>
            <c:numRef>
              <c:f>'Biểu đồ - LN'!$E$40:$E$43</c:f>
              <c:numCache>
                <c:formatCode>0.0%</c:formatCode>
                <c:ptCount val="4"/>
                <c:pt idx="0">
                  <c:v>0.30901263936611889</c:v>
                </c:pt>
                <c:pt idx="1">
                  <c:v>3.5148910341364976E-2</c:v>
                </c:pt>
                <c:pt idx="2">
                  <c:v>2.2592073183688006E-2</c:v>
                </c:pt>
                <c:pt idx="3">
                  <c:v>-0.71119488362127048</c:v>
                </c:pt>
              </c:numCache>
            </c:numRef>
          </c:val>
          <c:smooth val="0"/>
          <c:extLst>
            <c:ext xmlns:c16="http://schemas.microsoft.com/office/drawing/2014/chart" uri="{C3380CC4-5D6E-409C-BE32-E72D297353CC}">
              <c16:uniqueId val="{00000005-8629-48F0-9F8E-D4589FA87963}"/>
            </c:ext>
          </c:extLst>
        </c:ser>
        <c:dLbls>
          <c:showLegendKey val="0"/>
          <c:showVal val="0"/>
          <c:showCatName val="0"/>
          <c:showSerName val="0"/>
          <c:showPercent val="0"/>
          <c:showBubbleSize val="0"/>
        </c:dLbls>
        <c:marker val="1"/>
        <c:smooth val="0"/>
        <c:axId val="706918896"/>
        <c:axId val="662105152"/>
      </c:lineChart>
      <c:catAx>
        <c:axId val="7069188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105152"/>
        <c:crosses val="autoZero"/>
        <c:auto val="1"/>
        <c:lblAlgn val="ctr"/>
        <c:lblOffset val="100"/>
        <c:noMultiLvlLbl val="0"/>
      </c:catAx>
      <c:valAx>
        <c:axId val="662105152"/>
        <c:scaling>
          <c:orientation val="minMax"/>
        </c:scaling>
        <c:delete val="1"/>
        <c:axPos val="l"/>
        <c:numFmt formatCode="0.0%" sourceLinked="1"/>
        <c:majorTickMark val="none"/>
        <c:minorTickMark val="none"/>
        <c:tickLblPos val="nextTo"/>
        <c:crossAx val="706918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GB" sz="1100" b="1"/>
              <a:t>Cơ</a:t>
            </a:r>
            <a:r>
              <a:rPr lang="en-GB" sz="1100" b="1" baseline="0"/>
              <a:t> cấu </a:t>
            </a:r>
            <a:r>
              <a:rPr lang="vi-VN" sz="1100" b="1" baseline="0"/>
              <a:t>T</a:t>
            </a:r>
            <a:r>
              <a:rPr lang="en-GB" sz="1100" b="1" baseline="0"/>
              <a:t>ài sản</a:t>
            </a:r>
            <a:r>
              <a:rPr lang="vi-VN" sz="1100" b="1" baseline="0"/>
              <a:t> - </a:t>
            </a:r>
            <a:r>
              <a:rPr lang="vi-VN" sz="1100" b="1" baseline="0">
                <a:latin typeface="Calibri" panose="020F0502020204030204" pitchFamily="34" charset="0"/>
                <a:ea typeface="Calibri" panose="020F0502020204030204" pitchFamily="34" charset="0"/>
                <a:cs typeface="Calibri" panose="020F0502020204030204" pitchFamily="34" charset="0"/>
              </a:rPr>
              <a:t>Tổng Nguồn vốn</a:t>
            </a:r>
            <a:r>
              <a:rPr lang="en-GB" sz="1100" b="1" baseline="0"/>
              <a:t> - </a:t>
            </a:r>
            <a:r>
              <a:rPr lang="vi-VN" sz="1100" b="1" baseline="0"/>
              <a:t>H</a:t>
            </a:r>
            <a:r>
              <a:rPr lang="en-GB" sz="1100" b="1" baseline="0"/>
              <a:t>ợp nhất</a:t>
            </a:r>
            <a:endParaRPr lang="en-GB" sz="1100" b="1"/>
          </a:p>
        </c:rich>
      </c:tx>
      <c:layout>
        <c:manualLayout>
          <c:xMode val="edge"/>
          <c:yMode val="edge"/>
          <c:x val="0.2399995902191745"/>
          <c:y val="2.4623386594601792E-2"/>
        </c:manualLayout>
      </c:layout>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'Biểu đồ - TS'!$B$22</c:f>
              <c:strCache>
                <c:ptCount val="1"/>
                <c:pt idx="0">
                  <c:v>TS DH</c:v>
                </c:pt>
              </c:strCache>
            </c:strRef>
          </c:tx>
          <c:spPr>
            <a:solidFill>
              <a:schemeClr val="tx1">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'Biểu đồ - TS'!$C$19:$AD$20</c15:sqref>
                  </c15:fullRef>
                </c:ext>
              </c:extLst>
              <c:f>'Biểu đồ - TS'!$I$19:$AD$20</c:f>
              <c:multiLvlStrCache>
                <c:ptCount val="22"/>
                <c:lvl>
                  <c:pt idx="0">
                    <c:v>TS</c:v>
                  </c:pt>
                  <c:pt idx="1">
                    <c:v>NV</c:v>
                  </c:pt>
                  <c:pt idx="2">
                    <c:v>TS</c:v>
                  </c:pt>
                  <c:pt idx="3">
                    <c:v>NV</c:v>
                  </c:pt>
                  <c:pt idx="4">
                    <c:v>TS</c:v>
                  </c:pt>
                  <c:pt idx="5">
                    <c:v>NV</c:v>
                  </c:pt>
                  <c:pt idx="6">
                    <c:v>TS</c:v>
                  </c:pt>
                  <c:pt idx="7">
                    <c:v>NV</c:v>
                  </c:pt>
                  <c:pt idx="8">
                    <c:v>TS</c:v>
                  </c:pt>
                  <c:pt idx="9">
                    <c:v>NV</c:v>
                  </c:pt>
                  <c:pt idx="10">
                    <c:v>TS</c:v>
                  </c:pt>
                  <c:pt idx="11">
                    <c:v>NV</c:v>
                  </c:pt>
                  <c:pt idx="12">
                    <c:v>TS</c:v>
                  </c:pt>
                  <c:pt idx="13">
                    <c:v>NV</c:v>
                  </c:pt>
                  <c:pt idx="14">
                    <c:v>TS</c:v>
                  </c:pt>
                  <c:pt idx="15">
                    <c:v>NV</c:v>
                  </c:pt>
                  <c:pt idx="16">
                    <c:v>TS</c:v>
                  </c:pt>
                  <c:pt idx="17">
                    <c:v>NV</c:v>
                  </c:pt>
                  <c:pt idx="18">
                    <c:v>TS</c:v>
                  </c:pt>
                  <c:pt idx="19">
                    <c:v>NV</c:v>
                  </c:pt>
                  <c:pt idx="20">
                    <c:v>TS</c:v>
                  </c:pt>
                  <c:pt idx="21">
                    <c:v>NV</c:v>
                  </c:pt>
                </c:lvl>
                <c:lvl>
                  <c:pt idx="0">
                    <c:v>2023</c:v>
                  </c:pt>
                  <c:pt idx="2">
                    <c:v>2024</c:v>
                  </c:pt>
                  <c:pt idx="4">
                    <c:v>2025</c:v>
                  </c:pt>
                  <c:pt idx="6">
                    <c:v>2026</c:v>
                  </c:pt>
                  <c:pt idx="8">
                    <c:v>2027</c:v>
                  </c:pt>
                  <c:pt idx="10">
                    <c:v>2028</c:v>
                  </c:pt>
                  <c:pt idx="12">
                    <c:v>2029</c:v>
                  </c:pt>
                  <c:pt idx="14">
                    <c:v>2030</c:v>
                  </c:pt>
                  <c:pt idx="16">
                    <c:v>2031</c:v>
                  </c:pt>
                  <c:pt idx="18">
                    <c:v>2032</c:v>
                  </c:pt>
                  <c:pt idx="20">
                    <c:v>2033</c:v>
                  </c:pt>
                </c:lvl>
              </c:multiLvlStrCache>
            </c:multiLvlStrRef>
          </c:cat>
          <c:val>
            <c:numRef>
              <c:extLst>
                <c:ext xmlns:c15="http://schemas.microsoft.com/office/drawing/2012/chart" uri="{02D57815-91ED-43cb-92C2-25804820EDAC}">
                  <c15:fullRef>
                    <c15:sqref>'Biểu đồ - TS'!$C$22:$AD$22</c15:sqref>
                  </c15:fullRef>
                </c:ext>
              </c:extLst>
              <c:f>'Biểu đồ - TS'!$I$22:$AD$22</c:f>
              <c:numCache>
                <c:formatCode>0%</c:formatCode>
                <c:ptCount val="22"/>
                <c:pt idx="0">
                  <c:v>0.25299849006625597</c:v>
                </c:pt>
                <c:pt idx="2">
                  <c:v>0.3961759104159403</c:v>
                </c:pt>
                <c:pt idx="4">
                  <c:v>0.42439629105034798</c:v>
                </c:pt>
                <c:pt idx="6">
                  <c:v>0.29598325996952046</c:v>
                </c:pt>
                <c:pt idx="8">
                  <c:v>0.36311682126313238</c:v>
                </c:pt>
                <c:pt idx="10">
                  <c:v>0.26026607989019962</c:v>
                </c:pt>
                <c:pt idx="12">
                  <c:v>0.26606833247845824</c:v>
                </c:pt>
                <c:pt idx="14">
                  <c:v>0.24318117513929322</c:v>
                </c:pt>
                <c:pt idx="16">
                  <c:v>0.20231409317789509</c:v>
                </c:pt>
                <c:pt idx="18">
                  <c:v>0.230589482706647</c:v>
                </c:pt>
                <c:pt idx="20">
                  <c:v>0.16683802821927279</c:v>
                </c:pt>
              </c:numCache>
            </c:numRef>
          </c:val>
          <c:extLst>
            <c:ext xmlns:c16="http://schemas.microsoft.com/office/drawing/2014/chart" uri="{C3380CC4-5D6E-409C-BE32-E72D297353CC}">
              <c16:uniqueId val="{00000001-59A6-4660-A604-6F7EE8B6737D}"/>
            </c:ext>
          </c:extLst>
        </c:ser>
        <c:ser>
          <c:idx val="1"/>
          <c:order val="1"/>
          <c:tx>
            <c:strRef>
              <c:f>'Biểu đồ - TS'!$B$21</c:f>
              <c:strCache>
                <c:ptCount val="1"/>
                <c:pt idx="0">
                  <c:v>TS NH</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'Biểu đồ - TS'!$C$19:$AD$20</c15:sqref>
                  </c15:fullRef>
                </c:ext>
              </c:extLst>
              <c:f>'Biểu đồ - TS'!$I$19:$AD$20</c:f>
              <c:multiLvlStrCache>
                <c:ptCount val="22"/>
                <c:lvl>
                  <c:pt idx="0">
                    <c:v>TS</c:v>
                  </c:pt>
                  <c:pt idx="1">
                    <c:v>NV</c:v>
                  </c:pt>
                  <c:pt idx="2">
                    <c:v>TS</c:v>
                  </c:pt>
                  <c:pt idx="3">
                    <c:v>NV</c:v>
                  </c:pt>
                  <c:pt idx="4">
                    <c:v>TS</c:v>
                  </c:pt>
                  <c:pt idx="5">
                    <c:v>NV</c:v>
                  </c:pt>
                  <c:pt idx="6">
                    <c:v>TS</c:v>
                  </c:pt>
                  <c:pt idx="7">
                    <c:v>NV</c:v>
                  </c:pt>
                  <c:pt idx="8">
                    <c:v>TS</c:v>
                  </c:pt>
                  <c:pt idx="9">
                    <c:v>NV</c:v>
                  </c:pt>
                  <c:pt idx="10">
                    <c:v>TS</c:v>
                  </c:pt>
                  <c:pt idx="11">
                    <c:v>NV</c:v>
                  </c:pt>
                  <c:pt idx="12">
                    <c:v>TS</c:v>
                  </c:pt>
                  <c:pt idx="13">
                    <c:v>NV</c:v>
                  </c:pt>
                  <c:pt idx="14">
                    <c:v>TS</c:v>
                  </c:pt>
                  <c:pt idx="15">
                    <c:v>NV</c:v>
                  </c:pt>
                  <c:pt idx="16">
                    <c:v>TS</c:v>
                  </c:pt>
                  <c:pt idx="17">
                    <c:v>NV</c:v>
                  </c:pt>
                  <c:pt idx="18">
                    <c:v>TS</c:v>
                  </c:pt>
                  <c:pt idx="19">
                    <c:v>NV</c:v>
                  </c:pt>
                  <c:pt idx="20">
                    <c:v>TS</c:v>
                  </c:pt>
                  <c:pt idx="21">
                    <c:v>NV</c:v>
                  </c:pt>
                </c:lvl>
                <c:lvl>
                  <c:pt idx="0">
                    <c:v>2023</c:v>
                  </c:pt>
                  <c:pt idx="2">
                    <c:v>2024</c:v>
                  </c:pt>
                  <c:pt idx="4">
                    <c:v>2025</c:v>
                  </c:pt>
                  <c:pt idx="6">
                    <c:v>2026</c:v>
                  </c:pt>
                  <c:pt idx="8">
                    <c:v>2027</c:v>
                  </c:pt>
                  <c:pt idx="10">
                    <c:v>2028</c:v>
                  </c:pt>
                  <c:pt idx="12">
                    <c:v>2029</c:v>
                  </c:pt>
                  <c:pt idx="14">
                    <c:v>2030</c:v>
                  </c:pt>
                  <c:pt idx="16">
                    <c:v>2031</c:v>
                  </c:pt>
                  <c:pt idx="18">
                    <c:v>2032</c:v>
                  </c:pt>
                  <c:pt idx="20">
                    <c:v>2033</c:v>
                  </c:pt>
                </c:lvl>
              </c:multiLvlStrCache>
            </c:multiLvlStrRef>
          </c:cat>
          <c:val>
            <c:numRef>
              <c:extLst>
                <c:ext xmlns:c15="http://schemas.microsoft.com/office/drawing/2012/chart" uri="{02D57815-91ED-43cb-92C2-25804820EDAC}">
                  <c15:fullRef>
                    <c15:sqref>'Biểu đồ - TS'!$C$21:$AD$21</c15:sqref>
                  </c15:fullRef>
                </c:ext>
              </c:extLst>
              <c:f>'Biểu đồ - TS'!$I$21:$AD$21</c:f>
              <c:numCache>
                <c:formatCode>0%</c:formatCode>
                <c:ptCount val="22"/>
                <c:pt idx="0">
                  <c:v>0.74700150993374392</c:v>
                </c:pt>
                <c:pt idx="2">
                  <c:v>0.44356522299206852</c:v>
                </c:pt>
                <c:pt idx="4">
                  <c:v>0.57560370894965185</c:v>
                </c:pt>
                <c:pt idx="6">
                  <c:v>0.46316486574979832</c:v>
                </c:pt>
                <c:pt idx="8">
                  <c:v>0.63688317873686762</c:v>
                </c:pt>
                <c:pt idx="10">
                  <c:v>0.58874569436338353</c:v>
                </c:pt>
                <c:pt idx="12">
                  <c:v>0.73393166752154171</c:v>
                </c:pt>
                <c:pt idx="14">
                  <c:v>0.8012344350603835</c:v>
                </c:pt>
                <c:pt idx="16">
                  <c:v>0.79768590682210494</c:v>
                </c:pt>
                <c:pt idx="18">
                  <c:v>1.0180512767648442</c:v>
                </c:pt>
                <c:pt idx="20">
                  <c:v>0.83316197178072715</c:v>
                </c:pt>
              </c:numCache>
            </c:numRef>
          </c:val>
          <c:extLst>
            <c:ext xmlns:c16="http://schemas.microsoft.com/office/drawing/2014/chart" uri="{C3380CC4-5D6E-409C-BE32-E72D297353CC}">
              <c16:uniqueId val="{00000000-59A6-4660-A604-6F7EE8B6737D}"/>
            </c:ext>
          </c:extLst>
        </c:ser>
        <c:ser>
          <c:idx val="5"/>
          <c:order val="3"/>
          <c:tx>
            <c:strRef>
              <c:f>'Biểu đồ - TS'!$B$26</c:f>
              <c:strCache>
                <c:ptCount val="1"/>
                <c:pt idx="0">
                  <c:v>VCSH</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'Biểu đồ - TS'!$C$19:$AD$20</c15:sqref>
                  </c15:fullRef>
                </c:ext>
              </c:extLst>
              <c:f>'Biểu đồ - TS'!$I$19:$AD$20</c:f>
              <c:multiLvlStrCache>
                <c:ptCount val="22"/>
                <c:lvl>
                  <c:pt idx="0">
                    <c:v>TS</c:v>
                  </c:pt>
                  <c:pt idx="1">
                    <c:v>NV</c:v>
                  </c:pt>
                  <c:pt idx="2">
                    <c:v>TS</c:v>
                  </c:pt>
                  <c:pt idx="3">
                    <c:v>NV</c:v>
                  </c:pt>
                  <c:pt idx="4">
                    <c:v>TS</c:v>
                  </c:pt>
                  <c:pt idx="5">
                    <c:v>NV</c:v>
                  </c:pt>
                  <c:pt idx="6">
                    <c:v>TS</c:v>
                  </c:pt>
                  <c:pt idx="7">
                    <c:v>NV</c:v>
                  </c:pt>
                  <c:pt idx="8">
                    <c:v>TS</c:v>
                  </c:pt>
                  <c:pt idx="9">
                    <c:v>NV</c:v>
                  </c:pt>
                  <c:pt idx="10">
                    <c:v>TS</c:v>
                  </c:pt>
                  <c:pt idx="11">
                    <c:v>NV</c:v>
                  </c:pt>
                  <c:pt idx="12">
                    <c:v>TS</c:v>
                  </c:pt>
                  <c:pt idx="13">
                    <c:v>NV</c:v>
                  </c:pt>
                  <c:pt idx="14">
                    <c:v>TS</c:v>
                  </c:pt>
                  <c:pt idx="15">
                    <c:v>NV</c:v>
                  </c:pt>
                  <c:pt idx="16">
                    <c:v>TS</c:v>
                  </c:pt>
                  <c:pt idx="17">
                    <c:v>NV</c:v>
                  </c:pt>
                  <c:pt idx="18">
                    <c:v>TS</c:v>
                  </c:pt>
                  <c:pt idx="19">
                    <c:v>NV</c:v>
                  </c:pt>
                  <c:pt idx="20">
                    <c:v>TS</c:v>
                  </c:pt>
                  <c:pt idx="21">
                    <c:v>NV</c:v>
                  </c:pt>
                </c:lvl>
                <c:lvl>
                  <c:pt idx="0">
                    <c:v>2023</c:v>
                  </c:pt>
                  <c:pt idx="2">
                    <c:v>2024</c:v>
                  </c:pt>
                  <c:pt idx="4">
                    <c:v>2025</c:v>
                  </c:pt>
                  <c:pt idx="6">
                    <c:v>2026</c:v>
                  </c:pt>
                  <c:pt idx="8">
                    <c:v>2027</c:v>
                  </c:pt>
                  <c:pt idx="10">
                    <c:v>2028</c:v>
                  </c:pt>
                  <c:pt idx="12">
                    <c:v>2029</c:v>
                  </c:pt>
                  <c:pt idx="14">
                    <c:v>2030</c:v>
                  </c:pt>
                  <c:pt idx="16">
                    <c:v>2031</c:v>
                  </c:pt>
                  <c:pt idx="18">
                    <c:v>2032</c:v>
                  </c:pt>
                  <c:pt idx="20">
                    <c:v>2033</c:v>
                  </c:pt>
                </c:lvl>
              </c:multiLvlStrCache>
            </c:multiLvlStrRef>
          </c:cat>
          <c:val>
            <c:numRef>
              <c:extLst>
                <c:ext xmlns:c15="http://schemas.microsoft.com/office/drawing/2012/chart" uri="{02D57815-91ED-43cb-92C2-25804820EDAC}">
                  <c15:fullRef>
                    <c15:sqref>'Biểu đồ - TS'!$C$26:$AD$26</c15:sqref>
                  </c15:fullRef>
                </c:ext>
              </c:extLst>
              <c:f>'Biểu đồ - TS'!$I$26:$AD$26</c:f>
              <c:numCache>
                <c:formatCode>0%</c:formatCode>
                <c:ptCount val="22"/>
                <c:pt idx="1">
                  <c:v>0.16854397107540076</c:v>
                </c:pt>
                <c:pt idx="3">
                  <c:v>0.1753603448990223</c:v>
                </c:pt>
                <c:pt idx="5">
                  <c:v>0.22426204021383506</c:v>
                </c:pt>
                <c:pt idx="7">
                  <c:v>0.26795917930216601</c:v>
                </c:pt>
                <c:pt idx="9">
                  <c:v>0.36896268476006039</c:v>
                </c:pt>
                <c:pt idx="11">
                  <c:v>0.44026965438131427</c:v>
                </c:pt>
                <c:pt idx="13">
                  <c:v>0.56694761139585725</c:v>
                </c:pt>
                <c:pt idx="15">
                  <c:v>0.63557274808900877</c:v>
                </c:pt>
                <c:pt idx="17">
                  <c:v>0.7768729427730402</c:v>
                </c:pt>
                <c:pt idx="19">
                  <c:v>0.83967384845764392</c:v>
                </c:pt>
                <c:pt idx="21">
                  <c:v>0.99714028842393265</c:v>
                </c:pt>
              </c:numCache>
            </c:numRef>
          </c:val>
          <c:extLst>
            <c:ext xmlns:c16="http://schemas.microsoft.com/office/drawing/2014/chart" uri="{C3380CC4-5D6E-409C-BE32-E72D297353CC}">
              <c16:uniqueId val="{00000004-59A6-4660-A604-6F7EE8B6737D}"/>
            </c:ext>
          </c:extLst>
        </c:ser>
        <c:ser>
          <c:idx val="4"/>
          <c:order val="4"/>
          <c:tx>
            <c:strRef>
              <c:f>'Biểu đồ - TS'!$B$25</c:f>
              <c:strCache>
                <c:ptCount val="1"/>
                <c:pt idx="0">
                  <c:v>Nợ DH</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'Biểu đồ - TS'!$C$19:$AD$20</c15:sqref>
                  </c15:fullRef>
                </c:ext>
              </c:extLst>
              <c:f>'Biểu đồ - TS'!$I$19:$AD$20</c:f>
              <c:multiLvlStrCache>
                <c:ptCount val="22"/>
                <c:lvl>
                  <c:pt idx="0">
                    <c:v>TS</c:v>
                  </c:pt>
                  <c:pt idx="1">
                    <c:v>NV</c:v>
                  </c:pt>
                  <c:pt idx="2">
                    <c:v>TS</c:v>
                  </c:pt>
                  <c:pt idx="3">
                    <c:v>NV</c:v>
                  </c:pt>
                  <c:pt idx="4">
                    <c:v>TS</c:v>
                  </c:pt>
                  <c:pt idx="5">
                    <c:v>NV</c:v>
                  </c:pt>
                  <c:pt idx="6">
                    <c:v>TS</c:v>
                  </c:pt>
                  <c:pt idx="7">
                    <c:v>NV</c:v>
                  </c:pt>
                  <c:pt idx="8">
                    <c:v>TS</c:v>
                  </c:pt>
                  <c:pt idx="9">
                    <c:v>NV</c:v>
                  </c:pt>
                  <c:pt idx="10">
                    <c:v>TS</c:v>
                  </c:pt>
                  <c:pt idx="11">
                    <c:v>NV</c:v>
                  </c:pt>
                  <c:pt idx="12">
                    <c:v>TS</c:v>
                  </c:pt>
                  <c:pt idx="13">
                    <c:v>NV</c:v>
                  </c:pt>
                  <c:pt idx="14">
                    <c:v>TS</c:v>
                  </c:pt>
                  <c:pt idx="15">
                    <c:v>NV</c:v>
                  </c:pt>
                  <c:pt idx="16">
                    <c:v>TS</c:v>
                  </c:pt>
                  <c:pt idx="17">
                    <c:v>NV</c:v>
                  </c:pt>
                  <c:pt idx="18">
                    <c:v>TS</c:v>
                  </c:pt>
                  <c:pt idx="19">
                    <c:v>NV</c:v>
                  </c:pt>
                  <c:pt idx="20">
                    <c:v>TS</c:v>
                  </c:pt>
                  <c:pt idx="21">
                    <c:v>NV</c:v>
                  </c:pt>
                </c:lvl>
                <c:lvl>
                  <c:pt idx="0">
                    <c:v>2023</c:v>
                  </c:pt>
                  <c:pt idx="2">
                    <c:v>2024</c:v>
                  </c:pt>
                  <c:pt idx="4">
                    <c:v>2025</c:v>
                  </c:pt>
                  <c:pt idx="6">
                    <c:v>2026</c:v>
                  </c:pt>
                  <c:pt idx="8">
                    <c:v>2027</c:v>
                  </c:pt>
                  <c:pt idx="10">
                    <c:v>2028</c:v>
                  </c:pt>
                  <c:pt idx="12">
                    <c:v>2029</c:v>
                  </c:pt>
                  <c:pt idx="14">
                    <c:v>2030</c:v>
                  </c:pt>
                  <c:pt idx="16">
                    <c:v>2031</c:v>
                  </c:pt>
                  <c:pt idx="18">
                    <c:v>2032</c:v>
                  </c:pt>
                  <c:pt idx="20">
                    <c:v>2033</c:v>
                  </c:pt>
                </c:lvl>
              </c:multiLvlStrCache>
            </c:multiLvlStrRef>
          </c:cat>
          <c:val>
            <c:numRef>
              <c:extLst>
                <c:ext xmlns:c15="http://schemas.microsoft.com/office/drawing/2012/chart" uri="{02D57815-91ED-43cb-92C2-25804820EDAC}">
                  <c15:fullRef>
                    <c15:sqref>'Biểu đồ - TS'!$C$25:$AD$25</c15:sqref>
                  </c15:fullRef>
                </c:ext>
              </c:extLst>
              <c:f>'Biểu đồ - TS'!$I$25:$AD$25</c:f>
              <c:numCache>
                <c:formatCode>0%</c:formatCode>
                <c:ptCount val="22"/>
                <c:pt idx="1">
                  <c:v>9.7374079693670207E-2</c:v>
                </c:pt>
                <c:pt idx="3">
                  <c:v>5.5086159568391878E-2</c:v>
                </c:pt>
                <c:pt idx="5">
                  <c:v>2.7029564094787798E-2</c:v>
                </c:pt>
                <c:pt idx="7">
                  <c:v>6.8650582702095737E-3</c:v>
                </c:pt>
                <c:pt idx="9">
                  <c:v>0</c:v>
                </c:pt>
                <c:pt idx="11">
                  <c:v>0</c:v>
                </c:pt>
                <c:pt idx="13">
                  <c:v>0</c:v>
                </c:pt>
                <c:pt idx="15">
                  <c:v>0</c:v>
                </c:pt>
                <c:pt idx="17">
                  <c:v>0</c:v>
                </c:pt>
                <c:pt idx="19">
                  <c:v>0</c:v>
                </c:pt>
                <c:pt idx="21">
                  <c:v>0</c:v>
                </c:pt>
              </c:numCache>
            </c:numRef>
          </c:val>
          <c:extLst>
            <c:ext xmlns:c16="http://schemas.microsoft.com/office/drawing/2014/chart" uri="{C3380CC4-5D6E-409C-BE32-E72D297353CC}">
              <c16:uniqueId val="{00000003-59A6-4660-A604-6F7EE8B6737D}"/>
            </c:ext>
          </c:extLst>
        </c:ser>
        <c:ser>
          <c:idx val="3"/>
          <c:order val="5"/>
          <c:tx>
            <c:strRef>
              <c:f>'Biểu đồ - TS'!$B$24</c:f>
              <c:strCache>
                <c:ptCount val="1"/>
                <c:pt idx="0">
                  <c:v>Nợ NH</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'Biểu đồ - TS'!$C$19:$AD$20</c15:sqref>
                  </c15:fullRef>
                </c:ext>
              </c:extLst>
              <c:f>'Biểu đồ - TS'!$I$19:$AD$20</c:f>
              <c:multiLvlStrCache>
                <c:ptCount val="22"/>
                <c:lvl>
                  <c:pt idx="0">
                    <c:v>TS</c:v>
                  </c:pt>
                  <c:pt idx="1">
                    <c:v>NV</c:v>
                  </c:pt>
                  <c:pt idx="2">
                    <c:v>TS</c:v>
                  </c:pt>
                  <c:pt idx="3">
                    <c:v>NV</c:v>
                  </c:pt>
                  <c:pt idx="4">
                    <c:v>TS</c:v>
                  </c:pt>
                  <c:pt idx="5">
                    <c:v>NV</c:v>
                  </c:pt>
                  <c:pt idx="6">
                    <c:v>TS</c:v>
                  </c:pt>
                  <c:pt idx="7">
                    <c:v>NV</c:v>
                  </c:pt>
                  <c:pt idx="8">
                    <c:v>TS</c:v>
                  </c:pt>
                  <c:pt idx="9">
                    <c:v>NV</c:v>
                  </c:pt>
                  <c:pt idx="10">
                    <c:v>TS</c:v>
                  </c:pt>
                  <c:pt idx="11">
                    <c:v>NV</c:v>
                  </c:pt>
                  <c:pt idx="12">
                    <c:v>TS</c:v>
                  </c:pt>
                  <c:pt idx="13">
                    <c:v>NV</c:v>
                  </c:pt>
                  <c:pt idx="14">
                    <c:v>TS</c:v>
                  </c:pt>
                  <c:pt idx="15">
                    <c:v>NV</c:v>
                  </c:pt>
                  <c:pt idx="16">
                    <c:v>TS</c:v>
                  </c:pt>
                  <c:pt idx="17">
                    <c:v>NV</c:v>
                  </c:pt>
                  <c:pt idx="18">
                    <c:v>TS</c:v>
                  </c:pt>
                  <c:pt idx="19">
                    <c:v>NV</c:v>
                  </c:pt>
                  <c:pt idx="20">
                    <c:v>TS</c:v>
                  </c:pt>
                  <c:pt idx="21">
                    <c:v>NV</c:v>
                  </c:pt>
                </c:lvl>
                <c:lvl>
                  <c:pt idx="0">
                    <c:v>2023</c:v>
                  </c:pt>
                  <c:pt idx="2">
                    <c:v>2024</c:v>
                  </c:pt>
                  <c:pt idx="4">
                    <c:v>2025</c:v>
                  </c:pt>
                  <c:pt idx="6">
                    <c:v>2026</c:v>
                  </c:pt>
                  <c:pt idx="8">
                    <c:v>2027</c:v>
                  </c:pt>
                  <c:pt idx="10">
                    <c:v>2028</c:v>
                  </c:pt>
                  <c:pt idx="12">
                    <c:v>2029</c:v>
                  </c:pt>
                  <c:pt idx="14">
                    <c:v>2030</c:v>
                  </c:pt>
                  <c:pt idx="16">
                    <c:v>2031</c:v>
                  </c:pt>
                  <c:pt idx="18">
                    <c:v>2032</c:v>
                  </c:pt>
                  <c:pt idx="20">
                    <c:v>2033</c:v>
                  </c:pt>
                </c:lvl>
              </c:multiLvlStrCache>
            </c:multiLvlStrRef>
          </c:cat>
          <c:val>
            <c:numRef>
              <c:extLst>
                <c:ext xmlns:c15="http://schemas.microsoft.com/office/drawing/2012/chart" uri="{02D57815-91ED-43cb-92C2-25804820EDAC}">
                  <c15:fullRef>
                    <c15:sqref>'Biểu đồ - TS'!$C$24:$AD$24</c15:sqref>
                  </c15:fullRef>
                </c:ext>
              </c:extLst>
              <c:f>'Biểu đồ - TS'!$I$24:$AD$24</c:f>
              <c:numCache>
                <c:formatCode>0%</c:formatCode>
                <c:ptCount val="22"/>
                <c:pt idx="1">
                  <c:v>1.4873009664500501</c:v>
                </c:pt>
                <c:pt idx="3">
                  <c:v>0.46886900455503266</c:v>
                </c:pt>
                <c:pt idx="5">
                  <c:v>0.44578828697687056</c:v>
                </c:pt>
                <c:pt idx="7">
                  <c:v>0.3438982637613815</c:v>
                </c:pt>
                <c:pt idx="9">
                  <c:v>0.28305518371495042</c:v>
                </c:pt>
                <c:pt idx="11">
                  <c:v>0.26831649548670722</c:v>
                </c:pt>
                <c:pt idx="13">
                  <c:v>0.28315115185051865</c:v>
                </c:pt>
                <c:pt idx="15">
                  <c:v>0.26841723772510667</c:v>
                </c:pt>
                <c:pt idx="17">
                  <c:v>0.28329102129171119</c:v>
                </c:pt>
                <c:pt idx="19">
                  <c:v>0.26854128662828591</c:v>
                </c:pt>
                <c:pt idx="21">
                  <c:v>0.28342409708368238</c:v>
                </c:pt>
              </c:numCache>
            </c:numRef>
          </c:val>
          <c:extLst>
            <c:ext xmlns:c16="http://schemas.microsoft.com/office/drawing/2014/chart" uri="{C3380CC4-5D6E-409C-BE32-E72D297353CC}">
              <c16:uniqueId val="{00000002-59A6-4660-A604-6F7EE8B6737D}"/>
            </c:ext>
          </c:extLst>
        </c:ser>
        <c:dLbls>
          <c:showLegendKey val="0"/>
          <c:showVal val="1"/>
          <c:showCatName val="0"/>
          <c:showSerName val="0"/>
          <c:showPercent val="0"/>
          <c:showBubbleSize val="0"/>
        </c:dLbls>
        <c:gapWidth val="75"/>
        <c:overlap val="100"/>
        <c:axId val="1488042223"/>
        <c:axId val="1804888287"/>
        <c:extLst>
          <c:ext xmlns:c15="http://schemas.microsoft.com/office/drawing/2012/chart" uri="{02D57815-91ED-43cb-92C2-25804820EDAC}">
            <c15:filteredBarSeries>
              <c15:ser>
                <c:idx val="2"/>
                <c:order val="2"/>
                <c:tx>
                  <c:strRef>
                    <c:extLst>
                      <c:ext uri="{02D57815-91ED-43cb-92C2-25804820EDAC}">
                        <c15:formulaRef>
                          <c15:sqref>'Biểu đồ - TS'!$B$23</c15:sqref>
                        </c15:formulaRef>
                      </c:ext>
                    </c:extLst>
                    <c:strCache>
                      <c:ptCount val="1"/>
                      <c:pt idx="0">
                        <c:v>TTS</c:v>
                      </c:pt>
                    </c:strCache>
                  </c:strRef>
                </c:tx>
                <c:spPr>
                  <a:solidFill>
                    <a:schemeClr val="accent4">
                      <a:shade val="82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uri="{02D57815-91ED-43cb-92C2-25804820EDAC}">
                        <c15:fullRef>
                          <c15:sqref>'Biểu đồ - TS'!$C$19:$AD$20</c15:sqref>
                        </c15:fullRef>
                        <c15:formulaRef>
                          <c15:sqref>'Biểu đồ - TS'!$I$19:$AD$20</c15:sqref>
                        </c15:formulaRef>
                      </c:ext>
                    </c:extLst>
                    <c:multiLvlStrCache>
                      <c:ptCount val="22"/>
                      <c:lvl>
                        <c:pt idx="0">
                          <c:v>TS</c:v>
                        </c:pt>
                        <c:pt idx="1">
                          <c:v>NV</c:v>
                        </c:pt>
                        <c:pt idx="2">
                          <c:v>TS</c:v>
                        </c:pt>
                        <c:pt idx="3">
                          <c:v>NV</c:v>
                        </c:pt>
                        <c:pt idx="4">
                          <c:v>TS</c:v>
                        </c:pt>
                        <c:pt idx="5">
                          <c:v>NV</c:v>
                        </c:pt>
                        <c:pt idx="6">
                          <c:v>TS</c:v>
                        </c:pt>
                        <c:pt idx="7">
                          <c:v>NV</c:v>
                        </c:pt>
                        <c:pt idx="8">
                          <c:v>TS</c:v>
                        </c:pt>
                        <c:pt idx="9">
                          <c:v>NV</c:v>
                        </c:pt>
                        <c:pt idx="10">
                          <c:v>TS</c:v>
                        </c:pt>
                        <c:pt idx="11">
                          <c:v>NV</c:v>
                        </c:pt>
                        <c:pt idx="12">
                          <c:v>TS</c:v>
                        </c:pt>
                        <c:pt idx="13">
                          <c:v>NV</c:v>
                        </c:pt>
                        <c:pt idx="14">
                          <c:v>TS</c:v>
                        </c:pt>
                        <c:pt idx="15">
                          <c:v>NV</c:v>
                        </c:pt>
                        <c:pt idx="16">
                          <c:v>TS</c:v>
                        </c:pt>
                        <c:pt idx="17">
                          <c:v>NV</c:v>
                        </c:pt>
                        <c:pt idx="18">
                          <c:v>TS</c:v>
                        </c:pt>
                        <c:pt idx="19">
                          <c:v>NV</c:v>
                        </c:pt>
                        <c:pt idx="20">
                          <c:v>TS</c:v>
                        </c:pt>
                        <c:pt idx="21">
                          <c:v>NV</c:v>
                        </c:pt>
                      </c:lvl>
                      <c:lvl>
                        <c:pt idx="0">
                          <c:v>2023</c:v>
                        </c:pt>
                        <c:pt idx="2">
                          <c:v>2024</c:v>
                        </c:pt>
                        <c:pt idx="4">
                          <c:v>2025</c:v>
                        </c:pt>
                        <c:pt idx="6">
                          <c:v>2026</c:v>
                        </c:pt>
                        <c:pt idx="8">
                          <c:v>2027</c:v>
                        </c:pt>
                        <c:pt idx="10">
                          <c:v>2028</c:v>
                        </c:pt>
                        <c:pt idx="12">
                          <c:v>2029</c:v>
                        </c:pt>
                        <c:pt idx="14">
                          <c:v>2030</c:v>
                        </c:pt>
                        <c:pt idx="16">
                          <c:v>2031</c:v>
                        </c:pt>
                        <c:pt idx="18">
                          <c:v>2032</c:v>
                        </c:pt>
                        <c:pt idx="20">
                          <c:v>2033</c:v>
                        </c:pt>
                      </c:lvl>
                    </c:multiLvlStrCache>
                  </c:multiLvlStrRef>
                </c:cat>
                <c:val>
                  <c:numRef>
                    <c:extLst>
                      <c:ext uri="{02D57815-91ED-43cb-92C2-25804820EDAC}">
                        <c15:fullRef>
                          <c15:sqref>'Biểu đồ - TS'!$C$23:$AD$23</c15:sqref>
                        </c15:fullRef>
                        <c15:formulaRef>
                          <c15:sqref>'Biểu đồ - TS'!$I$23:$AD$23</c15:sqref>
                        </c15:formulaRef>
                      </c:ext>
                    </c:extLst>
                    <c:numCache>
                      <c:formatCode>0%</c:formatCode>
                      <c:ptCount val="22"/>
                      <c:pt idx="0">
                        <c:v>0.99999999999999989</c:v>
                      </c:pt>
                      <c:pt idx="2">
                        <c:v>0.83974113340800882</c:v>
                      </c:pt>
                      <c:pt idx="4">
                        <c:v>0.99999999999999978</c:v>
                      </c:pt>
                      <c:pt idx="6">
                        <c:v>0.75914812571931878</c:v>
                      </c:pt>
                      <c:pt idx="8">
                        <c:v>1</c:v>
                      </c:pt>
                      <c:pt idx="10">
                        <c:v>0.84901177425358321</c:v>
                      </c:pt>
                      <c:pt idx="12">
                        <c:v>1</c:v>
                      </c:pt>
                      <c:pt idx="14">
                        <c:v>1.0444156101996767</c:v>
                      </c:pt>
                      <c:pt idx="16">
                        <c:v>1</c:v>
                      </c:pt>
                      <c:pt idx="18">
                        <c:v>1.2486407594714912</c:v>
                      </c:pt>
                      <c:pt idx="20">
                        <c:v>1</c:v>
                      </c:pt>
                    </c:numCache>
                  </c:numRef>
                </c:val>
                <c:extLst>
                  <c:ext xmlns:c16="http://schemas.microsoft.com/office/drawing/2014/chart" uri="{C3380CC4-5D6E-409C-BE32-E72D297353CC}">
                    <c16:uniqueId val="{00000005-59A6-4660-A604-6F7EE8B6737D}"/>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'Biểu đồ - TS'!$B$27</c15:sqref>
                        </c15:formulaRef>
                      </c:ext>
                    </c:extLst>
                    <c:strCache>
                      <c:ptCount val="1"/>
                      <c:pt idx="0">
                        <c:v>NV</c:v>
                      </c:pt>
                    </c:strCache>
                  </c:strRef>
                </c:tx>
                <c:spPr>
                  <a:solidFill>
                    <a:schemeClr val="accent4">
                      <a:tint val="4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'Biểu đồ - TS'!$C$19:$AD$20</c15:sqref>
                        </c15:fullRef>
                        <c15:formulaRef>
                          <c15:sqref>'Biểu đồ - TS'!$I$19:$AD$20</c15:sqref>
                        </c15:formulaRef>
                      </c:ext>
                    </c:extLst>
                    <c:multiLvlStrCache>
                      <c:ptCount val="22"/>
                      <c:lvl>
                        <c:pt idx="0">
                          <c:v>TS</c:v>
                        </c:pt>
                        <c:pt idx="1">
                          <c:v>NV</c:v>
                        </c:pt>
                        <c:pt idx="2">
                          <c:v>TS</c:v>
                        </c:pt>
                        <c:pt idx="3">
                          <c:v>NV</c:v>
                        </c:pt>
                        <c:pt idx="4">
                          <c:v>TS</c:v>
                        </c:pt>
                        <c:pt idx="5">
                          <c:v>NV</c:v>
                        </c:pt>
                        <c:pt idx="6">
                          <c:v>TS</c:v>
                        </c:pt>
                        <c:pt idx="7">
                          <c:v>NV</c:v>
                        </c:pt>
                        <c:pt idx="8">
                          <c:v>TS</c:v>
                        </c:pt>
                        <c:pt idx="9">
                          <c:v>NV</c:v>
                        </c:pt>
                        <c:pt idx="10">
                          <c:v>TS</c:v>
                        </c:pt>
                        <c:pt idx="11">
                          <c:v>NV</c:v>
                        </c:pt>
                        <c:pt idx="12">
                          <c:v>TS</c:v>
                        </c:pt>
                        <c:pt idx="13">
                          <c:v>NV</c:v>
                        </c:pt>
                        <c:pt idx="14">
                          <c:v>TS</c:v>
                        </c:pt>
                        <c:pt idx="15">
                          <c:v>NV</c:v>
                        </c:pt>
                        <c:pt idx="16">
                          <c:v>TS</c:v>
                        </c:pt>
                        <c:pt idx="17">
                          <c:v>NV</c:v>
                        </c:pt>
                        <c:pt idx="18">
                          <c:v>TS</c:v>
                        </c:pt>
                        <c:pt idx="19">
                          <c:v>NV</c:v>
                        </c:pt>
                        <c:pt idx="20">
                          <c:v>TS</c:v>
                        </c:pt>
                        <c:pt idx="21">
                          <c:v>NV</c:v>
                        </c:pt>
                      </c:lvl>
                      <c:lvl>
                        <c:pt idx="0">
                          <c:v>2023</c:v>
                        </c:pt>
                        <c:pt idx="2">
                          <c:v>2024</c:v>
                        </c:pt>
                        <c:pt idx="4">
                          <c:v>2025</c:v>
                        </c:pt>
                        <c:pt idx="6">
                          <c:v>2026</c:v>
                        </c:pt>
                        <c:pt idx="8">
                          <c:v>2027</c:v>
                        </c:pt>
                        <c:pt idx="10">
                          <c:v>2028</c:v>
                        </c:pt>
                        <c:pt idx="12">
                          <c:v>2029</c:v>
                        </c:pt>
                        <c:pt idx="14">
                          <c:v>2030</c:v>
                        </c:pt>
                        <c:pt idx="16">
                          <c:v>2031</c:v>
                        </c:pt>
                        <c:pt idx="18">
                          <c:v>2032</c:v>
                        </c:pt>
                        <c:pt idx="20">
                          <c:v>2033</c:v>
                        </c:pt>
                      </c:lvl>
                    </c:multiLvlStrCache>
                  </c:multiLvlStrRef>
                </c:cat>
                <c:val>
                  <c:numRef>
                    <c:extLst>
                      <c:ext xmlns:c15="http://schemas.microsoft.com/office/drawing/2012/chart" uri="{02D57815-91ED-43cb-92C2-25804820EDAC}">
                        <c15:fullRef>
                          <c15:sqref>'Biểu đồ - TS'!$C$27:$AD$27</c15:sqref>
                        </c15:fullRef>
                        <c15:formulaRef>
                          <c15:sqref>'Biểu đồ - TS'!$I$27:$AD$27</c15:sqref>
                        </c15:formulaRef>
                      </c:ext>
                    </c:extLst>
                    <c:numCache>
                      <c:formatCode>0%</c:formatCode>
                      <c:ptCount val="22"/>
                      <c:pt idx="1">
                        <c:v>1.7532190172191209</c:v>
                      </c:pt>
                      <c:pt idx="3">
                        <c:v>0.69931550902244688</c:v>
                      </c:pt>
                      <c:pt idx="5">
                        <c:v>0.69707989128549341</c:v>
                      </c:pt>
                      <c:pt idx="7">
                        <c:v>0.61872250133375706</c:v>
                      </c:pt>
                      <c:pt idx="9">
                        <c:v>0.65201786847501086</c:v>
                      </c:pt>
                      <c:pt idx="11">
                        <c:v>0.70858614986802149</c:v>
                      </c:pt>
                      <c:pt idx="13">
                        <c:v>0.8500987632463759</c:v>
                      </c:pt>
                      <c:pt idx="15">
                        <c:v>0.90398998581411538</c:v>
                      </c:pt>
                      <c:pt idx="17">
                        <c:v>1.0601639640647513</c:v>
                      </c:pt>
                      <c:pt idx="19">
                        <c:v>1.1082151350859299</c:v>
                      </c:pt>
                      <c:pt idx="21">
                        <c:v>1.280564385507615</c:v>
                      </c:pt>
                    </c:numCache>
                  </c:numRef>
                </c:val>
                <c:extLst xmlns:c15="http://schemas.microsoft.com/office/drawing/2012/chart">
                  <c:ext xmlns:c16="http://schemas.microsoft.com/office/drawing/2014/chart" uri="{C3380CC4-5D6E-409C-BE32-E72D297353CC}">
                    <c16:uniqueId val="{00000006-59A6-4660-A604-6F7EE8B6737D}"/>
                  </c:ext>
                </c:extLst>
              </c15:ser>
            </c15:filteredBarSeries>
          </c:ext>
        </c:extLst>
      </c:barChart>
      <c:catAx>
        <c:axId val="1488042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804888287"/>
        <c:crosses val="autoZero"/>
        <c:auto val="1"/>
        <c:lblAlgn val="ctr"/>
        <c:lblOffset val="100"/>
        <c:noMultiLvlLbl val="0"/>
      </c:catAx>
      <c:valAx>
        <c:axId val="1804888287"/>
        <c:scaling>
          <c:orientation val="minMax"/>
        </c:scaling>
        <c:delete val="1"/>
        <c:axPos val="l"/>
        <c:numFmt formatCode="0%" sourceLinked="1"/>
        <c:majorTickMark val="none"/>
        <c:minorTickMark val="none"/>
        <c:tickLblPos val="nextTo"/>
        <c:crossAx val="1488042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vi-VN" sz="1100" b="1">
                <a:latin typeface="Calibri" panose="020F0502020204030204" pitchFamily="34" charset="0"/>
                <a:ea typeface="Calibri" panose="020F0502020204030204" pitchFamily="34" charset="0"/>
                <a:cs typeface="Calibri" panose="020F0502020204030204" pitchFamily="34" charset="0"/>
              </a:rPr>
              <a:t>So sánh Cơ cấu Tài sản - Tổng Nguồn vốn với DN Tương đồng (%)</a:t>
            </a:r>
            <a:endParaRPr lang="en-GB" sz="1100" b="1">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1"/>
          <c:order val="0"/>
          <c:tx>
            <c:strRef>
              <c:f>'Biểu đồ - TS'!$B$76</c:f>
              <c:strCache>
                <c:ptCount val="1"/>
                <c:pt idx="0">
                  <c:v>TS DH</c:v>
                </c:pt>
              </c:strCache>
            </c:strRef>
          </c:tx>
          <c:spPr>
            <a:solidFill>
              <a:schemeClr val="tx1">
                <a:lumMod val="50000"/>
                <a:lumOff val="50000"/>
              </a:schemeClr>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('Biểu đồ - TS'!$C$73:$D$74,'Biểu đồ - TS'!$E$73:$F$74,'Biểu đồ - TS'!$G$73:$H$74,'Biểu đồ - TS'!$I$73:$J$74)</c:f>
              <c:multiLvlStrCache>
                <c:ptCount val="8"/>
                <c:lvl>
                  <c:pt idx="0">
                    <c:v> TS </c:v>
                  </c:pt>
                  <c:pt idx="1">
                    <c:v> NV </c:v>
                  </c:pt>
                  <c:pt idx="2">
                    <c:v> TS </c:v>
                  </c:pt>
                  <c:pt idx="3">
                    <c:v> NV </c:v>
                  </c:pt>
                  <c:pt idx="4">
                    <c:v> TS </c:v>
                  </c:pt>
                  <c:pt idx="5">
                    <c:v> NV </c:v>
                  </c:pt>
                  <c:pt idx="6">
                    <c:v> TS </c:v>
                  </c:pt>
                  <c:pt idx="7">
                    <c:v> NV </c:v>
                  </c:pt>
                </c:lvl>
                <c:lvl>
                  <c:pt idx="0">
                    <c:v> Quang Phát </c:v>
                  </c:pt>
                  <c:pt idx="2">
                    <c:v> THG </c:v>
                  </c:pt>
                  <c:pt idx="4">
                    <c:v> HCC </c:v>
                  </c:pt>
                  <c:pt idx="6">
                    <c:v> PDB </c:v>
                  </c:pt>
                </c:lvl>
              </c:multiLvlStrCache>
            </c:multiLvlStrRef>
          </c:cat>
          <c:val>
            <c:numRef>
              <c:f>'Biểu đồ - TS'!$C$76:$J$76</c:f>
              <c:numCache>
                <c:formatCode>0%</c:formatCode>
                <c:ptCount val="8"/>
                <c:pt idx="0">
                  <c:v>0.25299849006625597</c:v>
                </c:pt>
                <c:pt idx="2">
                  <c:v>0.29115064016910674</c:v>
                </c:pt>
                <c:pt idx="4">
                  <c:v>0.32427567873252772</c:v>
                </c:pt>
                <c:pt idx="6">
                  <c:v>0.2718086438980194</c:v>
                </c:pt>
              </c:numCache>
            </c:numRef>
          </c:val>
          <c:extLst>
            <c:ext xmlns:c16="http://schemas.microsoft.com/office/drawing/2014/chart" uri="{C3380CC4-5D6E-409C-BE32-E72D297353CC}">
              <c16:uniqueId val="{00000000-623D-41CE-8A56-A573278092AE}"/>
            </c:ext>
          </c:extLst>
        </c:ser>
        <c:ser>
          <c:idx val="0"/>
          <c:order val="1"/>
          <c:tx>
            <c:strRef>
              <c:f>'Biểu đồ - TS'!$B$75</c:f>
              <c:strCache>
                <c:ptCount val="1"/>
                <c:pt idx="0">
                  <c:v>TS NH</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('Biểu đồ - TS'!$C$73:$D$74,'Biểu đồ - TS'!$E$73:$F$74,'Biểu đồ - TS'!$G$73:$H$74,'Biểu đồ - TS'!$I$73:$J$74)</c:f>
              <c:multiLvlStrCache>
                <c:ptCount val="8"/>
                <c:lvl>
                  <c:pt idx="0">
                    <c:v> TS </c:v>
                  </c:pt>
                  <c:pt idx="1">
                    <c:v> NV </c:v>
                  </c:pt>
                  <c:pt idx="2">
                    <c:v> TS </c:v>
                  </c:pt>
                  <c:pt idx="3">
                    <c:v> NV </c:v>
                  </c:pt>
                  <c:pt idx="4">
                    <c:v> TS </c:v>
                  </c:pt>
                  <c:pt idx="5">
                    <c:v> NV </c:v>
                  </c:pt>
                  <c:pt idx="6">
                    <c:v> TS </c:v>
                  </c:pt>
                  <c:pt idx="7">
                    <c:v> NV </c:v>
                  </c:pt>
                </c:lvl>
                <c:lvl>
                  <c:pt idx="0">
                    <c:v> Quang Phát </c:v>
                  </c:pt>
                  <c:pt idx="2">
                    <c:v> THG </c:v>
                  </c:pt>
                  <c:pt idx="4">
                    <c:v> HCC </c:v>
                  </c:pt>
                  <c:pt idx="6">
                    <c:v> PDB </c:v>
                  </c:pt>
                </c:lvl>
              </c:multiLvlStrCache>
            </c:multiLvlStrRef>
          </c:cat>
          <c:val>
            <c:numRef>
              <c:f>'Biểu đồ - TS'!$C$75:$J$75</c:f>
              <c:numCache>
                <c:formatCode>0%</c:formatCode>
                <c:ptCount val="8"/>
                <c:pt idx="0">
                  <c:v>0.74700150993374392</c:v>
                </c:pt>
                <c:pt idx="2">
                  <c:v>0.70884935983089326</c:v>
                </c:pt>
                <c:pt idx="4">
                  <c:v>0.67572432126747228</c:v>
                </c:pt>
                <c:pt idx="6">
                  <c:v>0.7281913561019806</c:v>
                </c:pt>
              </c:numCache>
            </c:numRef>
          </c:val>
          <c:extLst>
            <c:ext xmlns:c16="http://schemas.microsoft.com/office/drawing/2014/chart" uri="{C3380CC4-5D6E-409C-BE32-E72D297353CC}">
              <c16:uniqueId val="{00000001-623D-41CE-8A56-A573278092AE}"/>
            </c:ext>
          </c:extLst>
        </c:ser>
        <c:ser>
          <c:idx val="5"/>
          <c:order val="3"/>
          <c:tx>
            <c:strRef>
              <c:f>'Biểu đồ - TS'!$B$80</c:f>
              <c:strCache>
                <c:ptCount val="1"/>
                <c:pt idx="0">
                  <c:v>VCSH</c:v>
                </c:pt>
              </c:strCache>
            </c:strRef>
          </c:tx>
          <c:spPr>
            <a:solidFill>
              <a:srgbClr val="C00000"/>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('Biểu đồ - TS'!$C$73:$D$74,'Biểu đồ - TS'!$E$73:$F$74,'Biểu đồ - TS'!$G$73:$H$74,'Biểu đồ - TS'!$I$73:$J$74)</c:f>
              <c:multiLvlStrCache>
                <c:ptCount val="8"/>
                <c:lvl>
                  <c:pt idx="0">
                    <c:v> TS </c:v>
                  </c:pt>
                  <c:pt idx="1">
                    <c:v> NV </c:v>
                  </c:pt>
                  <c:pt idx="2">
                    <c:v> TS </c:v>
                  </c:pt>
                  <c:pt idx="3">
                    <c:v> NV </c:v>
                  </c:pt>
                  <c:pt idx="4">
                    <c:v> TS </c:v>
                  </c:pt>
                  <c:pt idx="5">
                    <c:v> NV </c:v>
                  </c:pt>
                  <c:pt idx="6">
                    <c:v> TS </c:v>
                  </c:pt>
                  <c:pt idx="7">
                    <c:v> NV </c:v>
                  </c:pt>
                </c:lvl>
                <c:lvl>
                  <c:pt idx="0">
                    <c:v> Quang Phát </c:v>
                  </c:pt>
                  <c:pt idx="2">
                    <c:v> THG </c:v>
                  </c:pt>
                  <c:pt idx="4">
                    <c:v> HCC </c:v>
                  </c:pt>
                  <c:pt idx="6">
                    <c:v> PDB </c:v>
                  </c:pt>
                </c:lvl>
              </c:multiLvlStrCache>
            </c:multiLvlStrRef>
          </c:cat>
          <c:val>
            <c:numRef>
              <c:f>'Biểu đồ - TS'!$C$80:$J$80</c:f>
              <c:numCache>
                <c:formatCode>0%</c:formatCode>
                <c:ptCount val="8"/>
                <c:pt idx="1">
                  <c:v>9.6134008027552537E-2</c:v>
                </c:pt>
                <c:pt idx="3">
                  <c:v>0.37170004942274482</c:v>
                </c:pt>
                <c:pt idx="5">
                  <c:v>0.61551424771615193</c:v>
                </c:pt>
                <c:pt idx="7">
                  <c:v>0.58051677496696585</c:v>
                </c:pt>
              </c:numCache>
            </c:numRef>
          </c:val>
          <c:extLst>
            <c:ext xmlns:c16="http://schemas.microsoft.com/office/drawing/2014/chart" uri="{C3380CC4-5D6E-409C-BE32-E72D297353CC}">
              <c16:uniqueId val="{00000002-623D-41CE-8A56-A573278092AE}"/>
            </c:ext>
          </c:extLst>
        </c:ser>
        <c:ser>
          <c:idx val="4"/>
          <c:order val="4"/>
          <c:tx>
            <c:strRef>
              <c:f>'Biểu đồ - TS'!$B$79</c:f>
              <c:strCache>
                <c:ptCount val="1"/>
                <c:pt idx="0">
                  <c:v>Nợ DH</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('Biểu đồ - TS'!$C$73:$D$74,'Biểu đồ - TS'!$E$73:$F$74,'Biểu đồ - TS'!$G$73:$H$74,'Biểu đồ - TS'!$I$73:$J$74)</c:f>
              <c:multiLvlStrCache>
                <c:ptCount val="8"/>
                <c:lvl>
                  <c:pt idx="0">
                    <c:v> TS </c:v>
                  </c:pt>
                  <c:pt idx="1">
                    <c:v> NV </c:v>
                  </c:pt>
                  <c:pt idx="2">
                    <c:v> TS </c:v>
                  </c:pt>
                  <c:pt idx="3">
                    <c:v> NV </c:v>
                  </c:pt>
                  <c:pt idx="4">
                    <c:v> TS </c:v>
                  </c:pt>
                  <c:pt idx="5">
                    <c:v> NV </c:v>
                  </c:pt>
                  <c:pt idx="6">
                    <c:v> TS </c:v>
                  </c:pt>
                  <c:pt idx="7">
                    <c:v> NV </c:v>
                  </c:pt>
                </c:lvl>
                <c:lvl>
                  <c:pt idx="0">
                    <c:v> Quang Phát </c:v>
                  </c:pt>
                  <c:pt idx="2">
                    <c:v> THG </c:v>
                  </c:pt>
                  <c:pt idx="4">
                    <c:v> HCC </c:v>
                  </c:pt>
                  <c:pt idx="6">
                    <c:v> PDB </c:v>
                  </c:pt>
                </c:lvl>
              </c:multiLvlStrCache>
            </c:multiLvlStrRef>
          </c:cat>
          <c:val>
            <c:numRef>
              <c:f>'Biểu đồ - TS'!$C$79:$J$79</c:f>
              <c:numCache>
                <c:formatCode>0%</c:formatCode>
                <c:ptCount val="8"/>
                <c:pt idx="1">
                  <c:v>5.5540168534174754E-2</c:v>
                </c:pt>
                <c:pt idx="3">
                  <c:v>9.346409431713372E-2</c:v>
                </c:pt>
                <c:pt idx="5">
                  <c:v>0</c:v>
                </c:pt>
                <c:pt idx="7">
                  <c:v>3.5381525199535925E-3</c:v>
                </c:pt>
              </c:numCache>
            </c:numRef>
          </c:val>
          <c:extLst>
            <c:ext xmlns:c16="http://schemas.microsoft.com/office/drawing/2014/chart" uri="{C3380CC4-5D6E-409C-BE32-E72D297353CC}">
              <c16:uniqueId val="{00000003-623D-41CE-8A56-A573278092AE}"/>
            </c:ext>
          </c:extLst>
        </c:ser>
        <c:ser>
          <c:idx val="3"/>
          <c:order val="5"/>
          <c:tx>
            <c:strRef>
              <c:f>'Biểu đồ - TS'!$B$78</c:f>
              <c:strCache>
                <c:ptCount val="1"/>
                <c:pt idx="0">
                  <c:v>Nợ NH</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('Biểu đồ - TS'!$C$73:$D$74,'Biểu đồ - TS'!$E$73:$F$74,'Biểu đồ - TS'!$G$73:$H$74,'Biểu đồ - TS'!$I$73:$J$74)</c:f>
              <c:multiLvlStrCache>
                <c:ptCount val="8"/>
                <c:lvl>
                  <c:pt idx="0">
                    <c:v> TS </c:v>
                  </c:pt>
                  <c:pt idx="1">
                    <c:v> NV </c:v>
                  </c:pt>
                  <c:pt idx="2">
                    <c:v> TS </c:v>
                  </c:pt>
                  <c:pt idx="3">
                    <c:v> NV </c:v>
                  </c:pt>
                  <c:pt idx="4">
                    <c:v> TS </c:v>
                  </c:pt>
                  <c:pt idx="5">
                    <c:v> NV </c:v>
                  </c:pt>
                  <c:pt idx="6">
                    <c:v> TS </c:v>
                  </c:pt>
                  <c:pt idx="7">
                    <c:v> NV </c:v>
                  </c:pt>
                </c:lvl>
                <c:lvl>
                  <c:pt idx="0">
                    <c:v> Quang Phát </c:v>
                  </c:pt>
                  <c:pt idx="2">
                    <c:v> THG </c:v>
                  </c:pt>
                  <c:pt idx="4">
                    <c:v> HCC </c:v>
                  </c:pt>
                  <c:pt idx="6">
                    <c:v> PDB </c:v>
                  </c:pt>
                </c:lvl>
              </c:multiLvlStrCache>
            </c:multiLvlStrRef>
          </c:cat>
          <c:val>
            <c:numRef>
              <c:f>'Biểu đồ - TS'!$C$78:$J$78</c:f>
              <c:numCache>
                <c:formatCode>0%</c:formatCode>
                <c:ptCount val="8"/>
                <c:pt idx="1">
                  <c:v>0.84832582343827279</c:v>
                </c:pt>
                <c:pt idx="3">
                  <c:v>0.53483585626012142</c:v>
                </c:pt>
                <c:pt idx="5">
                  <c:v>0.38448575228384818</c:v>
                </c:pt>
                <c:pt idx="7">
                  <c:v>0.41594507251308044</c:v>
                </c:pt>
              </c:numCache>
            </c:numRef>
          </c:val>
          <c:extLst>
            <c:ext xmlns:c16="http://schemas.microsoft.com/office/drawing/2014/chart" uri="{C3380CC4-5D6E-409C-BE32-E72D297353CC}">
              <c16:uniqueId val="{00000004-623D-41CE-8A56-A573278092AE}"/>
            </c:ext>
          </c:extLst>
        </c:ser>
        <c:dLbls>
          <c:showLegendKey val="0"/>
          <c:showVal val="1"/>
          <c:showCatName val="0"/>
          <c:showSerName val="0"/>
          <c:showPercent val="0"/>
          <c:showBubbleSize val="0"/>
        </c:dLbls>
        <c:gapWidth val="150"/>
        <c:overlap val="100"/>
        <c:axId val="448081647"/>
        <c:axId val="672771439"/>
        <c:extLst>
          <c:ext xmlns:c15="http://schemas.microsoft.com/office/drawing/2012/chart" uri="{02D57815-91ED-43cb-92C2-25804820EDAC}">
            <c15:filteredBarSeries>
              <c15:ser>
                <c:idx val="2"/>
                <c:order val="2"/>
                <c:tx>
                  <c:strRef>
                    <c:extLst>
                      <c:ext uri="{02D57815-91ED-43cb-92C2-25804820EDAC}">
                        <c15:formulaRef>
                          <c15:sqref>'Biểu đồ - TS'!$B$77</c15:sqref>
                        </c15:formulaRef>
                      </c:ext>
                    </c:extLst>
                    <c:strCache>
                      <c:ptCount val="1"/>
                      <c:pt idx="0">
                        <c:v>TTS</c:v>
                      </c:pt>
                    </c:strCache>
                  </c:strRef>
                </c:tx>
                <c:spPr>
                  <a:solidFill>
                    <a:schemeClr val="accent4">
                      <a:shade val="82000"/>
                    </a:schemeClr>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uri="{02D57815-91ED-43cb-92C2-25804820EDAC}">
                        <c15:formulaRef>
                          <c15:sqref>('Biểu đồ - TS'!$C$73:$D$74,'Biểu đồ - TS'!$E$73:$F$74,'Biểu đồ - TS'!$G$73:$H$74,'Biểu đồ - TS'!$I$73:$J$74)</c15:sqref>
                        </c15:formulaRef>
                      </c:ext>
                    </c:extLst>
                    <c:multiLvlStrCache>
                      <c:ptCount val="8"/>
                      <c:lvl>
                        <c:pt idx="0">
                          <c:v> TS </c:v>
                        </c:pt>
                        <c:pt idx="1">
                          <c:v> NV </c:v>
                        </c:pt>
                        <c:pt idx="2">
                          <c:v> TS </c:v>
                        </c:pt>
                        <c:pt idx="3">
                          <c:v> NV </c:v>
                        </c:pt>
                        <c:pt idx="4">
                          <c:v> TS </c:v>
                        </c:pt>
                        <c:pt idx="5">
                          <c:v> NV </c:v>
                        </c:pt>
                        <c:pt idx="6">
                          <c:v> TS </c:v>
                        </c:pt>
                        <c:pt idx="7">
                          <c:v> NV </c:v>
                        </c:pt>
                      </c:lvl>
                      <c:lvl>
                        <c:pt idx="0">
                          <c:v> Quang Phát </c:v>
                        </c:pt>
                        <c:pt idx="2">
                          <c:v> THG </c:v>
                        </c:pt>
                        <c:pt idx="4">
                          <c:v> HCC </c:v>
                        </c:pt>
                        <c:pt idx="6">
                          <c:v> PDB </c:v>
                        </c:pt>
                      </c:lvl>
                    </c:multiLvlStrCache>
                  </c:multiLvlStrRef>
                </c:cat>
                <c:val>
                  <c:numRef>
                    <c:extLst>
                      <c:ext uri="{02D57815-91ED-43cb-92C2-25804820EDAC}">
                        <c15:formulaRef>
                          <c15:sqref>'Biểu đồ - TS'!$C$77:$J$77</c15:sqref>
                        </c15:formulaRef>
                      </c:ext>
                    </c:extLst>
                    <c:numCache>
                      <c:formatCode>0%</c:formatCode>
                      <c:ptCount val="8"/>
                      <c:pt idx="0">
                        <c:v>0.99999999999999989</c:v>
                      </c:pt>
                      <c:pt idx="2">
                        <c:v>1</c:v>
                      </c:pt>
                      <c:pt idx="4">
                        <c:v>1</c:v>
                      </c:pt>
                      <c:pt idx="6">
                        <c:v>1</c:v>
                      </c:pt>
                    </c:numCache>
                  </c:numRef>
                </c:val>
                <c:extLst>
                  <c:ext xmlns:c16="http://schemas.microsoft.com/office/drawing/2014/chart" uri="{C3380CC4-5D6E-409C-BE32-E72D297353CC}">
                    <c16:uniqueId val="{00000005-623D-41CE-8A56-A573278092AE}"/>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'Biểu đồ - TS'!$B$81</c15:sqref>
                        </c15:formulaRef>
                      </c:ext>
                    </c:extLst>
                    <c:strCache>
                      <c:ptCount val="1"/>
                      <c:pt idx="0">
                        <c:v>NV</c:v>
                      </c:pt>
                    </c:strCache>
                  </c:strRef>
                </c:tx>
                <c:spPr>
                  <a:solidFill>
                    <a:schemeClr val="accent4">
                      <a:tint val="4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xmlns:c15="http://schemas.microsoft.com/office/drawing/2012/chart">
                      <c:ext xmlns:c15="http://schemas.microsoft.com/office/drawing/2012/chart" uri="{02D57815-91ED-43cb-92C2-25804820EDAC}">
                        <c15:formulaRef>
                          <c15:sqref>('Biểu đồ - TS'!$C$73:$D$74,'Biểu đồ - TS'!$E$73:$F$74,'Biểu đồ - TS'!$G$73:$H$74,'Biểu đồ - TS'!$I$73:$J$74)</c15:sqref>
                        </c15:formulaRef>
                      </c:ext>
                    </c:extLst>
                    <c:multiLvlStrCache>
                      <c:ptCount val="8"/>
                      <c:lvl>
                        <c:pt idx="0">
                          <c:v> TS </c:v>
                        </c:pt>
                        <c:pt idx="1">
                          <c:v> NV </c:v>
                        </c:pt>
                        <c:pt idx="2">
                          <c:v> TS </c:v>
                        </c:pt>
                        <c:pt idx="3">
                          <c:v> NV </c:v>
                        </c:pt>
                        <c:pt idx="4">
                          <c:v> TS </c:v>
                        </c:pt>
                        <c:pt idx="5">
                          <c:v> NV </c:v>
                        </c:pt>
                        <c:pt idx="6">
                          <c:v> TS </c:v>
                        </c:pt>
                        <c:pt idx="7">
                          <c:v> NV </c:v>
                        </c:pt>
                      </c:lvl>
                      <c:lvl>
                        <c:pt idx="0">
                          <c:v> Quang Phát </c:v>
                        </c:pt>
                        <c:pt idx="2">
                          <c:v> THG </c:v>
                        </c:pt>
                        <c:pt idx="4">
                          <c:v> HCC </c:v>
                        </c:pt>
                        <c:pt idx="6">
                          <c:v> PDB </c:v>
                        </c:pt>
                      </c:lvl>
                    </c:multiLvlStrCache>
                  </c:multiLvlStrRef>
                </c:cat>
                <c:val>
                  <c:numRef>
                    <c:extLst xmlns:c15="http://schemas.microsoft.com/office/drawing/2012/chart">
                      <c:ext xmlns:c15="http://schemas.microsoft.com/office/drawing/2012/chart" uri="{02D57815-91ED-43cb-92C2-25804820EDAC}">
                        <c15:formulaRef>
                          <c15:sqref>'Biểu đồ - TS'!$C$81:$J$81</c15:sqref>
                        </c15:formulaRef>
                      </c:ext>
                    </c:extLst>
                    <c:numCache>
                      <c:formatCode>0%</c:formatCode>
                      <c:ptCount val="8"/>
                      <c:pt idx="1">
                        <c:v>1</c:v>
                      </c:pt>
                      <c:pt idx="3">
                        <c:v>1</c:v>
                      </c:pt>
                      <c:pt idx="5">
                        <c:v>1</c:v>
                      </c:pt>
                      <c:pt idx="7">
                        <c:v>0.99999999999999989</c:v>
                      </c:pt>
                    </c:numCache>
                  </c:numRef>
                </c:val>
                <c:extLst xmlns:c15="http://schemas.microsoft.com/office/drawing/2012/chart">
                  <c:ext xmlns:c16="http://schemas.microsoft.com/office/drawing/2014/chart" uri="{C3380CC4-5D6E-409C-BE32-E72D297353CC}">
                    <c16:uniqueId val="{00000006-623D-41CE-8A56-A573278092AE}"/>
                  </c:ext>
                </c:extLst>
              </c15:ser>
            </c15:filteredBarSeries>
          </c:ext>
        </c:extLst>
      </c:barChart>
      <c:catAx>
        <c:axId val="448081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672771439"/>
        <c:crosses val="autoZero"/>
        <c:auto val="1"/>
        <c:lblAlgn val="ctr"/>
        <c:lblOffset val="100"/>
        <c:noMultiLvlLbl val="0"/>
      </c:catAx>
      <c:valAx>
        <c:axId val="672771439"/>
        <c:scaling>
          <c:orientation val="minMax"/>
        </c:scaling>
        <c:delete val="1"/>
        <c:axPos val="l"/>
        <c:numFmt formatCode="0%" sourceLinked="1"/>
        <c:majorTickMark val="none"/>
        <c:minorTickMark val="none"/>
        <c:tickLblPos val="nextTo"/>
        <c:crossAx val="448081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100" b="1" i="0" u="none" strike="noStrike" kern="1200" spc="0" baseline="0">
                <a:solidFill>
                  <a:sysClr val="windowText" lastClr="000000">
                    <a:lumMod val="65000"/>
                    <a:lumOff val="35000"/>
                  </a:sysClr>
                </a:solidFill>
              </a:rPr>
              <a:t>Biến động </a:t>
            </a:r>
            <a:r>
              <a:rPr lang="vi-VN" sz="1100" b="1" i="0" u="none" strike="noStrike" kern="1200" spc="0" baseline="0">
                <a:solidFill>
                  <a:sysClr val="windowText" lastClr="000000">
                    <a:lumMod val="65000"/>
                    <a:lumOff val="35000"/>
                  </a:sysClr>
                </a:solidFill>
              </a:rPr>
              <a:t>T</a:t>
            </a:r>
            <a:r>
              <a:rPr lang="en-GB" sz="1100" b="1" i="0" u="none" strike="noStrike" kern="1200" spc="0" baseline="0">
                <a:solidFill>
                  <a:sysClr val="windowText" lastClr="000000">
                    <a:lumMod val="65000"/>
                    <a:lumOff val="35000"/>
                  </a:sysClr>
                </a:solidFill>
              </a:rPr>
              <a:t>ài sản</a:t>
            </a:r>
            <a:r>
              <a:rPr lang="vi-VN" sz="1100" b="1" i="0" u="none" strike="noStrike" kern="1200" spc="0" baseline="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rPr>
              <a:t> &amp; Tổng Nguồn vốn </a:t>
            </a:r>
            <a:r>
              <a:rPr lang="en-GB" sz="1100" b="1" i="0" u="none" strike="noStrike" kern="1200" spc="0" baseline="0">
                <a:solidFill>
                  <a:sysClr val="windowText" lastClr="000000">
                    <a:lumMod val="65000"/>
                    <a:lumOff val="35000"/>
                  </a:sysClr>
                </a:solidFill>
              </a:rPr>
              <a:t>- Hợp nhất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'Biểu đồ - TS'!$B$11</c:f>
              <c:strCache>
                <c:ptCount val="1"/>
                <c:pt idx="0">
                  <c:v>TS DH</c:v>
                </c:pt>
              </c:strCache>
            </c:strRef>
          </c:tx>
          <c:spPr>
            <a:solidFill>
              <a:schemeClr val="tx1">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'Biểu đồ - TS'!$I$8:$AD$9</c:f>
              <c:multiLvlStrCache>
                <c:ptCount val="22"/>
                <c:lvl>
                  <c:pt idx="0">
                    <c:v>TS</c:v>
                  </c:pt>
                  <c:pt idx="1">
                    <c:v>NV</c:v>
                  </c:pt>
                  <c:pt idx="2">
                    <c:v>TS</c:v>
                  </c:pt>
                  <c:pt idx="3">
                    <c:v>NV</c:v>
                  </c:pt>
                  <c:pt idx="4">
                    <c:v>TS</c:v>
                  </c:pt>
                  <c:pt idx="5">
                    <c:v>NV</c:v>
                  </c:pt>
                  <c:pt idx="6">
                    <c:v>TS</c:v>
                  </c:pt>
                  <c:pt idx="7">
                    <c:v>NV</c:v>
                  </c:pt>
                  <c:pt idx="8">
                    <c:v>TS</c:v>
                  </c:pt>
                  <c:pt idx="9">
                    <c:v>NV</c:v>
                  </c:pt>
                  <c:pt idx="10">
                    <c:v>TS</c:v>
                  </c:pt>
                  <c:pt idx="11">
                    <c:v>NV</c:v>
                  </c:pt>
                  <c:pt idx="12">
                    <c:v>TS</c:v>
                  </c:pt>
                  <c:pt idx="13">
                    <c:v>NV</c:v>
                  </c:pt>
                  <c:pt idx="14">
                    <c:v>TS</c:v>
                  </c:pt>
                  <c:pt idx="15">
                    <c:v>NV</c:v>
                  </c:pt>
                  <c:pt idx="16">
                    <c:v>TS</c:v>
                  </c:pt>
                  <c:pt idx="17">
                    <c:v>NV</c:v>
                  </c:pt>
                  <c:pt idx="18">
                    <c:v>TS</c:v>
                  </c:pt>
                  <c:pt idx="19">
                    <c:v>NV</c:v>
                  </c:pt>
                  <c:pt idx="20">
                    <c:v>TS</c:v>
                  </c:pt>
                  <c:pt idx="21">
                    <c:v>NV</c:v>
                  </c:pt>
                </c:lvl>
                <c:lvl>
                  <c:pt idx="0">
                    <c:v>2023</c:v>
                  </c:pt>
                  <c:pt idx="2">
                    <c:v>2024</c:v>
                  </c:pt>
                  <c:pt idx="4">
                    <c:v>2025</c:v>
                  </c:pt>
                  <c:pt idx="6">
                    <c:v>2026</c:v>
                  </c:pt>
                  <c:pt idx="8">
                    <c:v>2027</c:v>
                  </c:pt>
                  <c:pt idx="10">
                    <c:v>2028</c:v>
                  </c:pt>
                  <c:pt idx="12">
                    <c:v>2029</c:v>
                  </c:pt>
                  <c:pt idx="14">
                    <c:v>2030</c:v>
                  </c:pt>
                  <c:pt idx="16">
                    <c:v>2031</c:v>
                  </c:pt>
                  <c:pt idx="18">
                    <c:v>2032</c:v>
                  </c:pt>
                  <c:pt idx="20">
                    <c:v>2033</c:v>
                  </c:pt>
                </c:lvl>
              </c:multiLvlStrCache>
            </c:multiLvlStrRef>
          </c:cat>
          <c:val>
            <c:numRef>
              <c:f>'Biểu đồ - TS'!$I$11:$AD$11</c:f>
              <c:numCache>
                <c:formatCode>_(* #,##0_);_(* \(#,##0\);_(* "-"??_);_(@_)</c:formatCode>
                <c:ptCount val="22"/>
                <c:pt idx="0">
                  <c:v>157.71835407299997</c:v>
                </c:pt>
                <c:pt idx="2">
                  <c:v>137.05608054597997</c:v>
                </c:pt>
                <c:pt idx="4">
                  <c:v>117.61165088787891</c:v>
                </c:pt>
                <c:pt idx="6">
                  <c:v>102.39467986848128</c:v>
                </c:pt>
                <c:pt idx="8">
                  <c:v>95.264700317691947</c:v>
                </c:pt>
                <c:pt idx="10">
                  <c:v>90.038409380739623</c:v>
                </c:pt>
                <c:pt idx="12">
                  <c:v>87.08316901894905</c:v>
                </c:pt>
                <c:pt idx="14">
                  <c:v>84.127928657158478</c:v>
                </c:pt>
                <c:pt idx="16">
                  <c:v>79.771863669645469</c:v>
                </c:pt>
                <c:pt idx="18">
                  <c:v>79.771863669645469</c:v>
                </c:pt>
                <c:pt idx="20">
                  <c:v>78.151974583558157</c:v>
                </c:pt>
              </c:numCache>
            </c:numRef>
          </c:val>
          <c:extLst>
            <c:ext xmlns:c16="http://schemas.microsoft.com/office/drawing/2014/chart" uri="{C3380CC4-5D6E-409C-BE32-E72D297353CC}">
              <c16:uniqueId val="{00000000-D2A8-469B-A57B-8D92E7D83192}"/>
            </c:ext>
          </c:extLst>
        </c:ser>
        <c:ser>
          <c:idx val="1"/>
          <c:order val="1"/>
          <c:tx>
            <c:strRef>
              <c:f>'Biểu đồ - TS'!$B$10</c:f>
              <c:strCache>
                <c:ptCount val="1"/>
                <c:pt idx="0">
                  <c:v>TS NH</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'Biểu đồ - TS'!$I$8:$AD$9</c:f>
              <c:multiLvlStrCache>
                <c:ptCount val="22"/>
                <c:lvl>
                  <c:pt idx="0">
                    <c:v>TS</c:v>
                  </c:pt>
                  <c:pt idx="1">
                    <c:v>NV</c:v>
                  </c:pt>
                  <c:pt idx="2">
                    <c:v>TS</c:v>
                  </c:pt>
                  <c:pt idx="3">
                    <c:v>NV</c:v>
                  </c:pt>
                  <c:pt idx="4">
                    <c:v>TS</c:v>
                  </c:pt>
                  <c:pt idx="5">
                    <c:v>NV</c:v>
                  </c:pt>
                  <c:pt idx="6">
                    <c:v>TS</c:v>
                  </c:pt>
                  <c:pt idx="7">
                    <c:v>NV</c:v>
                  </c:pt>
                  <c:pt idx="8">
                    <c:v>TS</c:v>
                  </c:pt>
                  <c:pt idx="9">
                    <c:v>NV</c:v>
                  </c:pt>
                  <c:pt idx="10">
                    <c:v>TS</c:v>
                  </c:pt>
                  <c:pt idx="11">
                    <c:v>NV</c:v>
                  </c:pt>
                  <c:pt idx="12">
                    <c:v>TS</c:v>
                  </c:pt>
                  <c:pt idx="13">
                    <c:v>NV</c:v>
                  </c:pt>
                  <c:pt idx="14">
                    <c:v>TS</c:v>
                  </c:pt>
                  <c:pt idx="15">
                    <c:v>NV</c:v>
                  </c:pt>
                  <c:pt idx="16">
                    <c:v>TS</c:v>
                  </c:pt>
                  <c:pt idx="17">
                    <c:v>NV</c:v>
                  </c:pt>
                  <c:pt idx="18">
                    <c:v>TS</c:v>
                  </c:pt>
                  <c:pt idx="19">
                    <c:v>NV</c:v>
                  </c:pt>
                  <c:pt idx="20">
                    <c:v>TS</c:v>
                  </c:pt>
                  <c:pt idx="21">
                    <c:v>NV</c:v>
                  </c:pt>
                </c:lvl>
                <c:lvl>
                  <c:pt idx="0">
                    <c:v>2023</c:v>
                  </c:pt>
                  <c:pt idx="2">
                    <c:v>2024</c:v>
                  </c:pt>
                  <c:pt idx="4">
                    <c:v>2025</c:v>
                  </c:pt>
                  <c:pt idx="6">
                    <c:v>2026</c:v>
                  </c:pt>
                  <c:pt idx="8">
                    <c:v>2027</c:v>
                  </c:pt>
                  <c:pt idx="10">
                    <c:v>2028</c:v>
                  </c:pt>
                  <c:pt idx="12">
                    <c:v>2029</c:v>
                  </c:pt>
                  <c:pt idx="14">
                    <c:v>2030</c:v>
                  </c:pt>
                  <c:pt idx="16">
                    <c:v>2031</c:v>
                  </c:pt>
                  <c:pt idx="18">
                    <c:v>2032</c:v>
                  </c:pt>
                  <c:pt idx="20">
                    <c:v>2033</c:v>
                  </c:pt>
                </c:lvl>
              </c:multiLvlStrCache>
            </c:multiLvlStrRef>
          </c:cat>
          <c:val>
            <c:numRef>
              <c:f>'Biểu đồ - TS'!$I$10:$AD$10</c:f>
              <c:numCache>
                <c:formatCode>_(* #,##0_);_(* \(#,##0\);_(* "-"??_);_(@_)</c:formatCode>
                <c:ptCount val="22"/>
                <c:pt idx="0">
                  <c:v>465.67807027599997</c:v>
                </c:pt>
                <c:pt idx="2">
                  <c:v>153.45029652603145</c:v>
                </c:pt>
                <c:pt idx="4">
                  <c:v>159.51530184019313</c:v>
                </c:pt>
                <c:pt idx="6">
                  <c:v>160.23074467002786</c:v>
                </c:pt>
                <c:pt idx="8">
                  <c:v>167.08805983895869</c:v>
                </c:pt>
                <c:pt idx="10">
                  <c:v>203.67512306099104</c:v>
                </c:pt>
                <c:pt idx="12">
                  <c:v>240.21308682540095</c:v>
                </c:pt>
                <c:pt idx="14">
                  <c:v>277.18507960909648</c:v>
                </c:pt>
                <c:pt idx="16">
                  <c:v>314.52525333595014</c:v>
                </c:pt>
                <c:pt idx="18">
                  <c:v>352.19233204191858</c:v>
                </c:pt>
                <c:pt idx="20">
                  <c:v>390.27824733709502</c:v>
                </c:pt>
              </c:numCache>
            </c:numRef>
          </c:val>
          <c:extLst>
            <c:ext xmlns:c16="http://schemas.microsoft.com/office/drawing/2014/chart" uri="{C3380CC4-5D6E-409C-BE32-E72D297353CC}">
              <c16:uniqueId val="{00000001-D2A8-469B-A57B-8D92E7D83192}"/>
            </c:ext>
          </c:extLst>
        </c:ser>
        <c:ser>
          <c:idx val="5"/>
          <c:order val="3"/>
          <c:tx>
            <c:strRef>
              <c:f>'Biểu đồ - TS'!$B$15</c:f>
              <c:strCache>
                <c:ptCount val="1"/>
                <c:pt idx="0">
                  <c:v>VCSH</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'Biểu đồ - TS'!$I$8:$AD$9</c:f>
              <c:multiLvlStrCache>
                <c:ptCount val="22"/>
                <c:lvl>
                  <c:pt idx="0">
                    <c:v>TS</c:v>
                  </c:pt>
                  <c:pt idx="1">
                    <c:v>NV</c:v>
                  </c:pt>
                  <c:pt idx="2">
                    <c:v>TS</c:v>
                  </c:pt>
                  <c:pt idx="3">
                    <c:v>NV</c:v>
                  </c:pt>
                  <c:pt idx="4">
                    <c:v>TS</c:v>
                  </c:pt>
                  <c:pt idx="5">
                    <c:v>NV</c:v>
                  </c:pt>
                  <c:pt idx="6">
                    <c:v>TS</c:v>
                  </c:pt>
                  <c:pt idx="7">
                    <c:v>NV</c:v>
                  </c:pt>
                  <c:pt idx="8">
                    <c:v>TS</c:v>
                  </c:pt>
                  <c:pt idx="9">
                    <c:v>NV</c:v>
                  </c:pt>
                  <c:pt idx="10">
                    <c:v>TS</c:v>
                  </c:pt>
                  <c:pt idx="11">
                    <c:v>NV</c:v>
                  </c:pt>
                  <c:pt idx="12">
                    <c:v>TS</c:v>
                  </c:pt>
                  <c:pt idx="13">
                    <c:v>NV</c:v>
                  </c:pt>
                  <c:pt idx="14">
                    <c:v>TS</c:v>
                  </c:pt>
                  <c:pt idx="15">
                    <c:v>NV</c:v>
                  </c:pt>
                  <c:pt idx="16">
                    <c:v>TS</c:v>
                  </c:pt>
                  <c:pt idx="17">
                    <c:v>NV</c:v>
                  </c:pt>
                  <c:pt idx="18">
                    <c:v>TS</c:v>
                  </c:pt>
                  <c:pt idx="19">
                    <c:v>NV</c:v>
                  </c:pt>
                  <c:pt idx="20">
                    <c:v>TS</c:v>
                  </c:pt>
                  <c:pt idx="21">
                    <c:v>NV</c:v>
                  </c:pt>
                </c:lvl>
                <c:lvl>
                  <c:pt idx="0">
                    <c:v>2023</c:v>
                  </c:pt>
                  <c:pt idx="2">
                    <c:v>2024</c:v>
                  </c:pt>
                  <c:pt idx="4">
                    <c:v>2025</c:v>
                  </c:pt>
                  <c:pt idx="6">
                    <c:v>2026</c:v>
                  </c:pt>
                  <c:pt idx="8">
                    <c:v>2027</c:v>
                  </c:pt>
                  <c:pt idx="10">
                    <c:v>2028</c:v>
                  </c:pt>
                  <c:pt idx="12">
                    <c:v>2029</c:v>
                  </c:pt>
                  <c:pt idx="14">
                    <c:v>2030</c:v>
                  </c:pt>
                  <c:pt idx="16">
                    <c:v>2031</c:v>
                  </c:pt>
                  <c:pt idx="18">
                    <c:v>2032</c:v>
                  </c:pt>
                  <c:pt idx="20">
                    <c:v>2033</c:v>
                  </c:pt>
                </c:lvl>
              </c:multiLvlStrCache>
            </c:multiLvlStrRef>
          </c:cat>
          <c:val>
            <c:numRef>
              <c:f>'Biểu đồ - TS'!$I$15:$AD$15</c:f>
              <c:numCache>
                <c:formatCode>_(* #,##0_);_(* \(#,##0\);_(* "-"??_);_(@_)</c:formatCode>
                <c:ptCount val="22"/>
                <c:pt idx="1">
                  <c:v>55.259416469000001</c:v>
                </c:pt>
                <c:pt idx="3">
                  <c:v>60.665479457895387</c:v>
                </c:pt>
                <c:pt idx="5">
                  <c:v>73.52733769883659</c:v>
                </c:pt>
                <c:pt idx="7">
                  <c:v>92.699818176513475</c:v>
                </c:pt>
                <c:pt idx="9">
                  <c:v>120.96939765086793</c:v>
                </c:pt>
                <c:pt idx="11">
                  <c:v>152.31020268113784</c:v>
                </c:pt>
                <c:pt idx="13">
                  <c:v>185.88142888963287</c:v>
                </c:pt>
                <c:pt idx="15">
                  <c:v>219.87482697638586</c:v>
                </c:pt>
                <c:pt idx="17">
                  <c:v>254.7082830330836</c:v>
                </c:pt>
                <c:pt idx="19">
                  <c:v>290.48310000913534</c:v>
                </c:pt>
                <c:pt idx="21">
                  <c:v>326.92590618614543</c:v>
                </c:pt>
              </c:numCache>
            </c:numRef>
          </c:val>
          <c:extLst>
            <c:ext xmlns:c16="http://schemas.microsoft.com/office/drawing/2014/chart" uri="{C3380CC4-5D6E-409C-BE32-E72D297353CC}">
              <c16:uniqueId val="{00000004-D2A8-469B-A57B-8D92E7D83192}"/>
            </c:ext>
          </c:extLst>
        </c:ser>
        <c:ser>
          <c:idx val="4"/>
          <c:order val="4"/>
          <c:tx>
            <c:strRef>
              <c:f>'Biểu đồ - TS'!$B$14</c:f>
              <c:strCache>
                <c:ptCount val="1"/>
                <c:pt idx="0">
                  <c:v>Nợ DH</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'Biểu đồ - TS'!$I$8:$AD$9</c:f>
              <c:multiLvlStrCache>
                <c:ptCount val="22"/>
                <c:lvl>
                  <c:pt idx="0">
                    <c:v>TS</c:v>
                  </c:pt>
                  <c:pt idx="1">
                    <c:v>NV</c:v>
                  </c:pt>
                  <c:pt idx="2">
                    <c:v>TS</c:v>
                  </c:pt>
                  <c:pt idx="3">
                    <c:v>NV</c:v>
                  </c:pt>
                  <c:pt idx="4">
                    <c:v>TS</c:v>
                  </c:pt>
                  <c:pt idx="5">
                    <c:v>NV</c:v>
                  </c:pt>
                  <c:pt idx="6">
                    <c:v>TS</c:v>
                  </c:pt>
                  <c:pt idx="7">
                    <c:v>NV</c:v>
                  </c:pt>
                  <c:pt idx="8">
                    <c:v>TS</c:v>
                  </c:pt>
                  <c:pt idx="9">
                    <c:v>NV</c:v>
                  </c:pt>
                  <c:pt idx="10">
                    <c:v>TS</c:v>
                  </c:pt>
                  <c:pt idx="11">
                    <c:v>NV</c:v>
                  </c:pt>
                  <c:pt idx="12">
                    <c:v>TS</c:v>
                  </c:pt>
                  <c:pt idx="13">
                    <c:v>NV</c:v>
                  </c:pt>
                  <c:pt idx="14">
                    <c:v>TS</c:v>
                  </c:pt>
                  <c:pt idx="15">
                    <c:v>NV</c:v>
                  </c:pt>
                  <c:pt idx="16">
                    <c:v>TS</c:v>
                  </c:pt>
                  <c:pt idx="17">
                    <c:v>NV</c:v>
                  </c:pt>
                  <c:pt idx="18">
                    <c:v>TS</c:v>
                  </c:pt>
                  <c:pt idx="19">
                    <c:v>NV</c:v>
                  </c:pt>
                  <c:pt idx="20">
                    <c:v>TS</c:v>
                  </c:pt>
                  <c:pt idx="21">
                    <c:v>NV</c:v>
                  </c:pt>
                </c:lvl>
                <c:lvl>
                  <c:pt idx="0">
                    <c:v>2023</c:v>
                  </c:pt>
                  <c:pt idx="2">
                    <c:v>2024</c:v>
                  </c:pt>
                  <c:pt idx="4">
                    <c:v>2025</c:v>
                  </c:pt>
                  <c:pt idx="6">
                    <c:v>2026</c:v>
                  </c:pt>
                  <c:pt idx="8">
                    <c:v>2027</c:v>
                  </c:pt>
                  <c:pt idx="10">
                    <c:v>2028</c:v>
                  </c:pt>
                  <c:pt idx="12">
                    <c:v>2029</c:v>
                  </c:pt>
                  <c:pt idx="14">
                    <c:v>2030</c:v>
                  </c:pt>
                  <c:pt idx="16">
                    <c:v>2031</c:v>
                  </c:pt>
                  <c:pt idx="18">
                    <c:v>2032</c:v>
                  </c:pt>
                  <c:pt idx="20">
                    <c:v>2033</c:v>
                  </c:pt>
                </c:lvl>
              </c:multiLvlStrCache>
            </c:multiLvlStrRef>
          </c:cat>
          <c:val>
            <c:numRef>
              <c:f>'Biểu đồ - TS'!$I$14:$AD$14</c:f>
              <c:numCache>
                <c:formatCode>_(* #,##0_);_(* \(#,##0\);_(* "-"??_);_(@_)</c:formatCode>
                <c:ptCount val="22"/>
                <c:pt idx="1">
                  <c:v>31.925406698000003</c:v>
                </c:pt>
                <c:pt idx="3">
                  <c:v>19.056921242000001</c:v>
                </c:pt>
                <c:pt idx="5">
                  <c:v>8.8620075210000007</c:v>
                </c:pt>
                <c:pt idx="7">
                  <c:v>2.3749500020000003</c:v>
                </c:pt>
                <c:pt idx="9">
                  <c:v>0</c:v>
                </c:pt>
                <c:pt idx="11">
                  <c:v>0</c:v>
                </c:pt>
                <c:pt idx="13">
                  <c:v>0</c:v>
                </c:pt>
                <c:pt idx="15">
                  <c:v>0</c:v>
                </c:pt>
                <c:pt idx="17">
                  <c:v>0</c:v>
                </c:pt>
                <c:pt idx="19">
                  <c:v>0</c:v>
                </c:pt>
                <c:pt idx="21">
                  <c:v>0</c:v>
                </c:pt>
              </c:numCache>
            </c:numRef>
          </c:val>
          <c:extLst>
            <c:ext xmlns:c16="http://schemas.microsoft.com/office/drawing/2014/chart" uri="{C3380CC4-5D6E-409C-BE32-E72D297353CC}">
              <c16:uniqueId val="{00000003-D2A8-469B-A57B-8D92E7D83192}"/>
            </c:ext>
          </c:extLst>
        </c:ser>
        <c:ser>
          <c:idx val="3"/>
          <c:order val="5"/>
          <c:tx>
            <c:strRef>
              <c:f>'Biểu đồ - TS'!$B$13</c:f>
              <c:strCache>
                <c:ptCount val="1"/>
                <c:pt idx="0">
                  <c:v>Nợ NH</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'Biểu đồ - TS'!$I$8:$AD$9</c:f>
              <c:multiLvlStrCache>
                <c:ptCount val="22"/>
                <c:lvl>
                  <c:pt idx="0">
                    <c:v>TS</c:v>
                  </c:pt>
                  <c:pt idx="1">
                    <c:v>NV</c:v>
                  </c:pt>
                  <c:pt idx="2">
                    <c:v>TS</c:v>
                  </c:pt>
                  <c:pt idx="3">
                    <c:v>NV</c:v>
                  </c:pt>
                  <c:pt idx="4">
                    <c:v>TS</c:v>
                  </c:pt>
                  <c:pt idx="5">
                    <c:v>NV</c:v>
                  </c:pt>
                  <c:pt idx="6">
                    <c:v>TS</c:v>
                  </c:pt>
                  <c:pt idx="7">
                    <c:v>NV</c:v>
                  </c:pt>
                  <c:pt idx="8">
                    <c:v>TS</c:v>
                  </c:pt>
                  <c:pt idx="9">
                    <c:v>NV</c:v>
                  </c:pt>
                  <c:pt idx="10">
                    <c:v>TS</c:v>
                  </c:pt>
                  <c:pt idx="11">
                    <c:v>NV</c:v>
                  </c:pt>
                  <c:pt idx="12">
                    <c:v>TS</c:v>
                  </c:pt>
                  <c:pt idx="13">
                    <c:v>NV</c:v>
                  </c:pt>
                  <c:pt idx="14">
                    <c:v>TS</c:v>
                  </c:pt>
                  <c:pt idx="15">
                    <c:v>NV</c:v>
                  </c:pt>
                  <c:pt idx="16">
                    <c:v>TS</c:v>
                  </c:pt>
                  <c:pt idx="17">
                    <c:v>NV</c:v>
                  </c:pt>
                  <c:pt idx="18">
                    <c:v>TS</c:v>
                  </c:pt>
                  <c:pt idx="19">
                    <c:v>NV</c:v>
                  </c:pt>
                  <c:pt idx="20">
                    <c:v>TS</c:v>
                  </c:pt>
                  <c:pt idx="21">
                    <c:v>NV</c:v>
                  </c:pt>
                </c:lvl>
                <c:lvl>
                  <c:pt idx="0">
                    <c:v>2023</c:v>
                  </c:pt>
                  <c:pt idx="2">
                    <c:v>2024</c:v>
                  </c:pt>
                  <c:pt idx="4">
                    <c:v>2025</c:v>
                  </c:pt>
                  <c:pt idx="6">
                    <c:v>2026</c:v>
                  </c:pt>
                  <c:pt idx="8">
                    <c:v>2027</c:v>
                  </c:pt>
                  <c:pt idx="10">
                    <c:v>2028</c:v>
                  </c:pt>
                  <c:pt idx="12">
                    <c:v>2029</c:v>
                  </c:pt>
                  <c:pt idx="14">
                    <c:v>2030</c:v>
                  </c:pt>
                  <c:pt idx="16">
                    <c:v>2031</c:v>
                  </c:pt>
                  <c:pt idx="18">
                    <c:v>2032</c:v>
                  </c:pt>
                  <c:pt idx="20">
                    <c:v>2033</c:v>
                  </c:pt>
                </c:lvl>
              </c:multiLvlStrCache>
            </c:multiLvlStrRef>
          </c:cat>
          <c:val>
            <c:numRef>
              <c:f>'Biểu đồ - TS'!$I$13:$AD$13</c:f>
              <c:numCache>
                <c:formatCode>_(* #,##0_);_(* \(#,##0\);_(* "-"??_);_(@_)</c:formatCode>
                <c:ptCount val="22"/>
                <c:pt idx="1">
                  <c:v>487.63170225199997</c:v>
                </c:pt>
                <c:pt idx="3">
                  <c:v>162.20407744211604</c:v>
                </c:pt>
                <c:pt idx="5">
                  <c:v>146.15770857823551</c:v>
                </c:pt>
                <c:pt idx="7">
                  <c:v>118.97075742999577</c:v>
                </c:pt>
                <c:pt idx="9">
                  <c:v>92.803463575782843</c:v>
                </c:pt>
                <c:pt idx="11">
                  <c:v>92.82343083059294</c:v>
                </c:pt>
                <c:pt idx="13">
                  <c:v>92.834928024717343</c:v>
                </c:pt>
                <c:pt idx="15">
                  <c:v>92.858282359869307</c:v>
                </c:pt>
                <c:pt idx="17">
                  <c:v>92.880786109422644</c:v>
                </c:pt>
                <c:pt idx="19">
                  <c:v>92.901196772428932</c:v>
                </c:pt>
                <c:pt idx="21">
                  <c:v>92.924416804508084</c:v>
                </c:pt>
              </c:numCache>
            </c:numRef>
          </c:val>
          <c:extLst>
            <c:ext xmlns:c16="http://schemas.microsoft.com/office/drawing/2014/chart" uri="{C3380CC4-5D6E-409C-BE32-E72D297353CC}">
              <c16:uniqueId val="{00000002-D2A8-469B-A57B-8D92E7D83192}"/>
            </c:ext>
          </c:extLst>
        </c:ser>
        <c:dLbls>
          <c:showLegendKey val="0"/>
          <c:showVal val="1"/>
          <c:showCatName val="0"/>
          <c:showSerName val="0"/>
          <c:showPercent val="0"/>
          <c:showBubbleSize val="0"/>
        </c:dLbls>
        <c:gapWidth val="150"/>
        <c:overlap val="100"/>
        <c:axId val="2135199231"/>
        <c:axId val="395208735"/>
        <c:extLst>
          <c:ext xmlns:c15="http://schemas.microsoft.com/office/drawing/2012/chart" uri="{02D57815-91ED-43cb-92C2-25804820EDAC}">
            <c15:filteredBarSeries>
              <c15:ser>
                <c:idx val="2"/>
                <c:order val="2"/>
                <c:tx>
                  <c:strRef>
                    <c:extLst>
                      <c:ext uri="{02D57815-91ED-43cb-92C2-25804820EDAC}">
                        <c15:formulaRef>
                          <c15:sqref>'Biểu đồ - TS'!$B$12</c15:sqref>
                        </c15:formulaRef>
                      </c:ext>
                    </c:extLst>
                    <c:strCache>
                      <c:ptCount val="1"/>
                      <c:pt idx="0">
                        <c:v>TTS</c:v>
                      </c:pt>
                    </c:strCache>
                  </c:strRef>
                </c:tx>
                <c:spPr>
                  <a:solidFill>
                    <a:schemeClr val="accent4">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uri="{02D57815-91ED-43cb-92C2-25804820EDAC}">
                        <c15:formulaRef>
                          <c15:sqref>'Biểu đồ - TS'!$I$8:$AD$9</c15:sqref>
                        </c15:formulaRef>
                      </c:ext>
                    </c:extLst>
                    <c:multiLvlStrCache>
                      <c:ptCount val="22"/>
                      <c:lvl>
                        <c:pt idx="0">
                          <c:v>TS</c:v>
                        </c:pt>
                        <c:pt idx="1">
                          <c:v>NV</c:v>
                        </c:pt>
                        <c:pt idx="2">
                          <c:v>TS</c:v>
                        </c:pt>
                        <c:pt idx="3">
                          <c:v>NV</c:v>
                        </c:pt>
                        <c:pt idx="4">
                          <c:v>TS</c:v>
                        </c:pt>
                        <c:pt idx="5">
                          <c:v>NV</c:v>
                        </c:pt>
                        <c:pt idx="6">
                          <c:v>TS</c:v>
                        </c:pt>
                        <c:pt idx="7">
                          <c:v>NV</c:v>
                        </c:pt>
                        <c:pt idx="8">
                          <c:v>TS</c:v>
                        </c:pt>
                        <c:pt idx="9">
                          <c:v>NV</c:v>
                        </c:pt>
                        <c:pt idx="10">
                          <c:v>TS</c:v>
                        </c:pt>
                        <c:pt idx="11">
                          <c:v>NV</c:v>
                        </c:pt>
                        <c:pt idx="12">
                          <c:v>TS</c:v>
                        </c:pt>
                        <c:pt idx="13">
                          <c:v>NV</c:v>
                        </c:pt>
                        <c:pt idx="14">
                          <c:v>TS</c:v>
                        </c:pt>
                        <c:pt idx="15">
                          <c:v>NV</c:v>
                        </c:pt>
                        <c:pt idx="16">
                          <c:v>TS</c:v>
                        </c:pt>
                        <c:pt idx="17">
                          <c:v>NV</c:v>
                        </c:pt>
                        <c:pt idx="18">
                          <c:v>TS</c:v>
                        </c:pt>
                        <c:pt idx="19">
                          <c:v>NV</c:v>
                        </c:pt>
                        <c:pt idx="20">
                          <c:v>TS</c:v>
                        </c:pt>
                        <c:pt idx="21">
                          <c:v>NV</c:v>
                        </c:pt>
                      </c:lvl>
                      <c:lvl>
                        <c:pt idx="0">
                          <c:v>2023</c:v>
                        </c:pt>
                        <c:pt idx="2">
                          <c:v>2024</c:v>
                        </c:pt>
                        <c:pt idx="4">
                          <c:v>2025</c:v>
                        </c:pt>
                        <c:pt idx="6">
                          <c:v>2026</c:v>
                        </c:pt>
                        <c:pt idx="8">
                          <c:v>2027</c:v>
                        </c:pt>
                        <c:pt idx="10">
                          <c:v>2028</c:v>
                        </c:pt>
                        <c:pt idx="12">
                          <c:v>2029</c:v>
                        </c:pt>
                        <c:pt idx="14">
                          <c:v>2030</c:v>
                        </c:pt>
                        <c:pt idx="16">
                          <c:v>2031</c:v>
                        </c:pt>
                        <c:pt idx="18">
                          <c:v>2032</c:v>
                        </c:pt>
                        <c:pt idx="20">
                          <c:v>2033</c:v>
                        </c:pt>
                      </c:lvl>
                    </c:multiLvlStrCache>
                  </c:multiLvlStrRef>
                </c:cat>
                <c:val>
                  <c:numRef>
                    <c:extLst>
                      <c:ext uri="{02D57815-91ED-43cb-92C2-25804820EDAC}">
                        <c15:formulaRef>
                          <c15:sqref>'Biểu đồ - TS'!$I$12:$AD$12</c15:sqref>
                        </c15:formulaRef>
                      </c:ext>
                    </c:extLst>
                    <c:numCache>
                      <c:formatCode>_(* #,##0_);_(* \(#,##0\);_(* "-"??_);_(@_)</c:formatCode>
                      <c:ptCount val="22"/>
                      <c:pt idx="0">
                        <c:v>623.39642434899997</c:v>
                      </c:pt>
                      <c:pt idx="2">
                        <c:v>290.50637707201145</c:v>
                      </c:pt>
                      <c:pt idx="4">
                        <c:v>277.12695272807207</c:v>
                      </c:pt>
                      <c:pt idx="6">
                        <c:v>262.62542453850915</c:v>
                      </c:pt>
                      <c:pt idx="8">
                        <c:v>262.35276015665062</c:v>
                      </c:pt>
                      <c:pt idx="10">
                        <c:v>293.71353244173065</c:v>
                      </c:pt>
                      <c:pt idx="12">
                        <c:v>327.29625584435001</c:v>
                      </c:pt>
                      <c:pt idx="14">
                        <c:v>361.31300826625494</c:v>
                      </c:pt>
                      <c:pt idx="16">
                        <c:v>394.29711700559562</c:v>
                      </c:pt>
                      <c:pt idx="18">
                        <c:v>431.96419571156406</c:v>
                      </c:pt>
                      <c:pt idx="20">
                        <c:v>468.4302219206532</c:v>
                      </c:pt>
                    </c:numCache>
                  </c:numRef>
                </c:val>
                <c:extLst>
                  <c:ext xmlns:c16="http://schemas.microsoft.com/office/drawing/2014/chart" uri="{C3380CC4-5D6E-409C-BE32-E72D297353CC}">
                    <c16:uniqueId val="{00000006-D2A8-469B-A57B-8D92E7D83192}"/>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'Biểu đồ - TS'!$B$16</c15:sqref>
                        </c15:formulaRef>
                      </c:ext>
                    </c:extLst>
                    <c:strCache>
                      <c:ptCount val="1"/>
                      <c:pt idx="0">
                        <c:v>NV</c:v>
                      </c:pt>
                    </c:strCache>
                  </c:strRef>
                </c:tx>
                <c:spPr>
                  <a:solidFill>
                    <a:schemeClr val="accent4">
                      <a:tint val="62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xmlns:c15="http://schemas.microsoft.com/office/drawing/2012/chart">
                      <c:ext xmlns:c15="http://schemas.microsoft.com/office/drawing/2012/chart" uri="{02D57815-91ED-43cb-92C2-25804820EDAC}">
                        <c15:formulaRef>
                          <c15:sqref>'Biểu đồ - TS'!$I$8:$AD$9</c15:sqref>
                        </c15:formulaRef>
                      </c:ext>
                    </c:extLst>
                    <c:multiLvlStrCache>
                      <c:ptCount val="22"/>
                      <c:lvl>
                        <c:pt idx="0">
                          <c:v>TS</c:v>
                        </c:pt>
                        <c:pt idx="1">
                          <c:v>NV</c:v>
                        </c:pt>
                        <c:pt idx="2">
                          <c:v>TS</c:v>
                        </c:pt>
                        <c:pt idx="3">
                          <c:v>NV</c:v>
                        </c:pt>
                        <c:pt idx="4">
                          <c:v>TS</c:v>
                        </c:pt>
                        <c:pt idx="5">
                          <c:v>NV</c:v>
                        </c:pt>
                        <c:pt idx="6">
                          <c:v>TS</c:v>
                        </c:pt>
                        <c:pt idx="7">
                          <c:v>NV</c:v>
                        </c:pt>
                        <c:pt idx="8">
                          <c:v>TS</c:v>
                        </c:pt>
                        <c:pt idx="9">
                          <c:v>NV</c:v>
                        </c:pt>
                        <c:pt idx="10">
                          <c:v>TS</c:v>
                        </c:pt>
                        <c:pt idx="11">
                          <c:v>NV</c:v>
                        </c:pt>
                        <c:pt idx="12">
                          <c:v>TS</c:v>
                        </c:pt>
                        <c:pt idx="13">
                          <c:v>NV</c:v>
                        </c:pt>
                        <c:pt idx="14">
                          <c:v>TS</c:v>
                        </c:pt>
                        <c:pt idx="15">
                          <c:v>NV</c:v>
                        </c:pt>
                        <c:pt idx="16">
                          <c:v>TS</c:v>
                        </c:pt>
                        <c:pt idx="17">
                          <c:v>NV</c:v>
                        </c:pt>
                        <c:pt idx="18">
                          <c:v>TS</c:v>
                        </c:pt>
                        <c:pt idx="19">
                          <c:v>NV</c:v>
                        </c:pt>
                        <c:pt idx="20">
                          <c:v>TS</c:v>
                        </c:pt>
                        <c:pt idx="21">
                          <c:v>NV</c:v>
                        </c:pt>
                      </c:lvl>
                      <c:lvl>
                        <c:pt idx="0">
                          <c:v>2023</c:v>
                        </c:pt>
                        <c:pt idx="2">
                          <c:v>2024</c:v>
                        </c:pt>
                        <c:pt idx="4">
                          <c:v>2025</c:v>
                        </c:pt>
                        <c:pt idx="6">
                          <c:v>2026</c:v>
                        </c:pt>
                        <c:pt idx="8">
                          <c:v>2027</c:v>
                        </c:pt>
                        <c:pt idx="10">
                          <c:v>2028</c:v>
                        </c:pt>
                        <c:pt idx="12">
                          <c:v>2029</c:v>
                        </c:pt>
                        <c:pt idx="14">
                          <c:v>2030</c:v>
                        </c:pt>
                        <c:pt idx="16">
                          <c:v>2031</c:v>
                        </c:pt>
                        <c:pt idx="18">
                          <c:v>2032</c:v>
                        </c:pt>
                        <c:pt idx="20">
                          <c:v>2033</c:v>
                        </c:pt>
                      </c:lvl>
                    </c:multiLvlStrCache>
                  </c:multiLvlStrRef>
                </c:cat>
                <c:val>
                  <c:numRef>
                    <c:extLst xmlns:c15="http://schemas.microsoft.com/office/drawing/2012/chart">
                      <c:ext xmlns:c15="http://schemas.microsoft.com/office/drawing/2012/chart" uri="{02D57815-91ED-43cb-92C2-25804820EDAC}">
                        <c15:formulaRef>
                          <c15:sqref>'Biểu đồ - TS'!$I$16:$AD$16</c15:sqref>
                        </c15:formulaRef>
                      </c:ext>
                    </c:extLst>
                    <c:numCache>
                      <c:formatCode>_(* #,##0_);_(* \(#,##0\);_(* "-"??_);_(@_)</c:formatCode>
                      <c:ptCount val="22"/>
                      <c:pt idx="1">
                        <c:v>574.81652541899996</c:v>
                      </c:pt>
                      <c:pt idx="3">
                        <c:v>241.92647814201143</c:v>
                      </c:pt>
                      <c:pt idx="5">
                        <c:v>228.54705379807211</c:v>
                      </c:pt>
                      <c:pt idx="7">
                        <c:v>214.04552560850925</c:v>
                      </c:pt>
                      <c:pt idx="9">
                        <c:v>213.77286122665078</c:v>
                      </c:pt>
                      <c:pt idx="11">
                        <c:v>245.13363351173078</c:v>
                      </c:pt>
                      <c:pt idx="13">
                        <c:v>278.71635691435023</c:v>
                      </c:pt>
                      <c:pt idx="15">
                        <c:v>312.73310933625515</c:v>
                      </c:pt>
                      <c:pt idx="17">
                        <c:v>347.58906914250622</c:v>
                      </c:pt>
                      <c:pt idx="19">
                        <c:v>383.38429678156427</c:v>
                      </c:pt>
                      <c:pt idx="21">
                        <c:v>419.85032299065352</c:v>
                      </c:pt>
                    </c:numCache>
                  </c:numRef>
                </c:val>
                <c:extLst xmlns:c15="http://schemas.microsoft.com/office/drawing/2012/chart">
                  <c:ext xmlns:c16="http://schemas.microsoft.com/office/drawing/2014/chart" uri="{C3380CC4-5D6E-409C-BE32-E72D297353CC}">
                    <c16:uniqueId val="{00000007-D2A8-469B-A57B-8D92E7D83192}"/>
                  </c:ext>
                </c:extLst>
              </c15:ser>
            </c15:filteredBarSeries>
          </c:ext>
        </c:extLst>
      </c:barChart>
      <c:scatterChart>
        <c:scatterStyle val="lineMarker"/>
        <c:varyColors val="0"/>
        <c:ser>
          <c:idx val="7"/>
          <c:order val="7"/>
          <c:tx>
            <c:strRef>
              <c:f>'Biểu đồ - TS'!$B$17</c:f>
              <c:strCache>
                <c:ptCount val="1"/>
                <c:pt idx="0">
                  <c:v>Tốc độ tăng</c:v>
                </c:pt>
              </c:strCache>
            </c:strRef>
          </c:tx>
          <c:spPr>
            <a:ln w="25400" cap="rnd">
              <a:solidFill>
                <a:schemeClr val="tx1"/>
              </a:solidFill>
              <a:round/>
            </a:ln>
            <a:effectLst/>
          </c:spPr>
          <c:marker>
            <c:symbol val="circle"/>
            <c:size val="8"/>
            <c:spPr>
              <a:solidFill>
                <a:schemeClr val="tx1"/>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multiLvlStrRef>
              <c:f>'Biểu đồ - TS'!$I$8:$AD$9</c:f>
              <c:multiLvlStrCache>
                <c:ptCount val="22"/>
                <c:lvl>
                  <c:pt idx="0">
                    <c:v>TS</c:v>
                  </c:pt>
                  <c:pt idx="1">
                    <c:v>NV</c:v>
                  </c:pt>
                  <c:pt idx="2">
                    <c:v>TS</c:v>
                  </c:pt>
                  <c:pt idx="3">
                    <c:v>NV</c:v>
                  </c:pt>
                  <c:pt idx="4">
                    <c:v>TS</c:v>
                  </c:pt>
                  <c:pt idx="5">
                    <c:v>NV</c:v>
                  </c:pt>
                  <c:pt idx="6">
                    <c:v>TS</c:v>
                  </c:pt>
                  <c:pt idx="7">
                    <c:v>NV</c:v>
                  </c:pt>
                  <c:pt idx="8">
                    <c:v>TS</c:v>
                  </c:pt>
                  <c:pt idx="9">
                    <c:v>NV</c:v>
                  </c:pt>
                  <c:pt idx="10">
                    <c:v>TS</c:v>
                  </c:pt>
                  <c:pt idx="11">
                    <c:v>NV</c:v>
                  </c:pt>
                  <c:pt idx="12">
                    <c:v>TS</c:v>
                  </c:pt>
                  <c:pt idx="13">
                    <c:v>NV</c:v>
                  </c:pt>
                  <c:pt idx="14">
                    <c:v>TS</c:v>
                  </c:pt>
                  <c:pt idx="15">
                    <c:v>NV</c:v>
                  </c:pt>
                  <c:pt idx="16">
                    <c:v>TS</c:v>
                  </c:pt>
                  <c:pt idx="17">
                    <c:v>NV</c:v>
                  </c:pt>
                  <c:pt idx="18">
                    <c:v>TS</c:v>
                  </c:pt>
                  <c:pt idx="19">
                    <c:v>NV</c:v>
                  </c:pt>
                  <c:pt idx="20">
                    <c:v>TS</c:v>
                  </c:pt>
                  <c:pt idx="21">
                    <c:v>NV</c:v>
                  </c:pt>
                </c:lvl>
                <c:lvl>
                  <c:pt idx="0">
                    <c:v>2023</c:v>
                  </c:pt>
                  <c:pt idx="2">
                    <c:v>2024</c:v>
                  </c:pt>
                  <c:pt idx="4">
                    <c:v>2025</c:v>
                  </c:pt>
                  <c:pt idx="6">
                    <c:v>2026</c:v>
                  </c:pt>
                  <c:pt idx="8">
                    <c:v>2027</c:v>
                  </c:pt>
                  <c:pt idx="10">
                    <c:v>2028</c:v>
                  </c:pt>
                  <c:pt idx="12">
                    <c:v>2029</c:v>
                  </c:pt>
                  <c:pt idx="14">
                    <c:v>2030</c:v>
                  </c:pt>
                  <c:pt idx="16">
                    <c:v>2031</c:v>
                  </c:pt>
                  <c:pt idx="18">
                    <c:v>2032</c:v>
                  </c:pt>
                  <c:pt idx="20">
                    <c:v>2033</c:v>
                  </c:pt>
                </c:lvl>
              </c:multiLvlStrCache>
            </c:multiLvlStrRef>
          </c:xVal>
          <c:yVal>
            <c:numRef>
              <c:f>'Biểu đồ - TS'!$I$17:$AD$17</c:f>
              <c:numCache>
                <c:formatCode>0%</c:formatCode>
                <c:ptCount val="22"/>
                <c:pt idx="0">
                  <c:v>0.50360807635808458</c:v>
                </c:pt>
                <c:pt idx="1">
                  <c:v>0.38643618543081137</c:v>
                </c:pt>
                <c:pt idx="2">
                  <c:v>-0.53399415568451292</c:v>
                </c:pt>
                <c:pt idx="3">
                  <c:v>-0.57912400314924062</c:v>
                </c:pt>
                <c:pt idx="4">
                  <c:v>-4.6055527175649091E-2</c:v>
                </c:pt>
                <c:pt idx="5">
                  <c:v>-5.5303679228056901E-2</c:v>
                </c:pt>
                <c:pt idx="6">
                  <c:v>-5.2328104671191644E-2</c:v>
                </c:pt>
                <c:pt idx="7">
                  <c:v>-6.3450952215622913E-2</c:v>
                </c:pt>
                <c:pt idx="8">
                  <c:v>-1.0382253825488297E-3</c:v>
                </c:pt>
                <c:pt idx="9">
                  <c:v>-1.2738616286573912E-3</c:v>
                </c:pt>
                <c:pt idx="10">
                  <c:v>0.11953665845312456</c:v>
                </c:pt>
                <c:pt idx="11">
                  <c:v>0.1467013731543314</c:v>
                </c:pt>
                <c:pt idx="12">
                  <c:v>0.1143383592966789</c:v>
                </c:pt>
                <c:pt idx="13">
                  <c:v>0.1369976160411801</c:v>
                </c:pt>
                <c:pt idx="14">
                  <c:v>0.10393260483273603</c:v>
                </c:pt>
                <c:pt idx="15">
                  <c:v>0.12204792283632737</c:v>
                </c:pt>
                <c:pt idx="16">
                  <c:v>9.1289568835657198E-2</c:v>
                </c:pt>
                <c:pt idx="17">
                  <c:v>0.11145593084221028</c:v>
                </c:pt>
                <c:pt idx="18">
                  <c:v>9.5529683280524358E-2</c:v>
                </c:pt>
                <c:pt idx="19">
                  <c:v>0.10298145372454903</c:v>
                </c:pt>
                <c:pt idx="20">
                  <c:v>8.4419094385865812E-2</c:v>
                </c:pt>
                <c:pt idx="21">
                  <c:v>9.5116118514019465E-2</c:v>
                </c:pt>
              </c:numCache>
            </c:numRef>
          </c:yVal>
          <c:smooth val="0"/>
          <c:extLst>
            <c:ext xmlns:c16="http://schemas.microsoft.com/office/drawing/2014/chart" uri="{C3380CC4-5D6E-409C-BE32-E72D297353CC}">
              <c16:uniqueId val="{00000005-D2A8-469B-A57B-8D92E7D83192}"/>
            </c:ext>
          </c:extLst>
        </c:ser>
        <c:dLbls>
          <c:dLblPos val="ctr"/>
          <c:showLegendKey val="0"/>
          <c:showVal val="1"/>
          <c:showCatName val="0"/>
          <c:showSerName val="0"/>
          <c:showPercent val="0"/>
          <c:showBubbleSize val="0"/>
        </c:dLbls>
        <c:axId val="395169375"/>
        <c:axId val="395159775"/>
      </c:scatterChart>
      <c:catAx>
        <c:axId val="213519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208735"/>
        <c:crosses val="autoZero"/>
        <c:auto val="1"/>
        <c:lblAlgn val="ctr"/>
        <c:lblOffset val="100"/>
        <c:noMultiLvlLbl val="0"/>
      </c:catAx>
      <c:valAx>
        <c:axId val="395208735"/>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199231"/>
        <c:crosses val="autoZero"/>
        <c:crossBetween val="between"/>
      </c:valAx>
      <c:valAx>
        <c:axId val="395159775"/>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169375"/>
        <c:crosses val="max"/>
        <c:crossBetween val="midCat"/>
      </c:valAx>
      <c:valAx>
        <c:axId val="395169375"/>
        <c:scaling>
          <c:orientation val="minMax"/>
        </c:scaling>
        <c:delete val="1"/>
        <c:axPos val="b"/>
        <c:majorTickMark val="out"/>
        <c:minorTickMark val="none"/>
        <c:tickLblPos val="nextTo"/>
        <c:crossAx val="395159775"/>
        <c:crosses val="autoZero"/>
        <c:crossBetween val="midCat"/>
      </c:valAx>
      <c:spPr>
        <a:noFill/>
        <a:ln>
          <a:noFill/>
        </a:ln>
        <a:effectLst/>
      </c:spPr>
    </c:plotArea>
    <c:legend>
      <c:legendPos val="r"/>
      <c:layout>
        <c:manualLayout>
          <c:xMode val="edge"/>
          <c:yMode val="edge"/>
          <c:x val="0.89889025579842674"/>
          <c:y val="0.37930981502386196"/>
          <c:w val="7.6481465227958595E-2"/>
          <c:h val="0.217106789369519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100" b="1" i="0" u="none" strike="noStrike" baseline="0">
                <a:effectLst/>
              </a:rPr>
              <a:t>Vốn chủ sở hữu/ Tổng nguồn vốn</a:t>
            </a:r>
            <a:r>
              <a:rPr lang="en-GB" sz="1100" b="0" i="0" u="none" strike="noStrike" baseline="0"/>
              <a:t> </a:t>
            </a:r>
            <a:endParaRPr lang="en-GB" sz="11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'Biểu đồ - NV'!$B$57</c:f>
              <c:strCache>
                <c:ptCount val="1"/>
                <c:pt idx="0">
                  <c:v>Quang Phát</c:v>
                </c:pt>
              </c:strCache>
            </c:strRef>
          </c:tx>
          <c:spPr>
            <a:ln w="28575" cap="rnd">
              <a:solidFill>
                <a:srgbClr val="00693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'Biểu đồ - NV'!$C$56:$P$56</c15:sqref>
                  </c15:fullRef>
                </c:ext>
              </c:extLst>
              <c:f>'Biểu đồ - NV'!$F$56:$P$56</c:f>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cat>
          <c:val>
            <c:numRef>
              <c:extLst>
                <c:ext xmlns:c15="http://schemas.microsoft.com/office/drawing/2012/chart" uri="{02D57815-91ED-43cb-92C2-25804820EDAC}">
                  <c15:fullRef>
                    <c15:sqref>'Biểu đồ - NV'!$C$57:$P$57</c15:sqref>
                  </c15:fullRef>
                </c:ext>
              </c:extLst>
              <c:f>'Biểu đồ - NV'!$F$57:$P$57</c:f>
              <c:numCache>
                <c:formatCode>0%</c:formatCode>
                <c:ptCount val="11"/>
                <c:pt idx="0">
                  <c:v>9.6134008027552537E-2</c:v>
                </c:pt>
                <c:pt idx="1">
                  <c:v>0.2507599826352393</c:v>
                </c:pt>
                <c:pt idx="2">
                  <c:v>0.32171641015245861</c:v>
                </c:pt>
                <c:pt idx="3">
                  <c:v>0.43308458755667745</c:v>
                </c:pt>
                <c:pt idx="4">
                  <c:v>0.56587818003058488</c:v>
                </c:pt>
                <c:pt idx="5">
                  <c:v>0.6213353936755851</c:v>
                </c:pt>
                <c:pt idx="6">
                  <c:v>0.66691969910741333</c:v>
                </c:pt>
                <c:pt idx="7">
                  <c:v>0.70307498762458587</c:v>
                </c:pt>
                <c:pt idx="8">
                  <c:v>0.73278565307431198</c:v>
                </c:pt>
                <c:pt idx="9">
                  <c:v>0.75768126771931921</c:v>
                </c:pt>
                <c:pt idx="10">
                  <c:v>0.77867251323615938</c:v>
                </c:pt>
              </c:numCache>
            </c:numRef>
          </c:val>
          <c:smooth val="0"/>
          <c:extLst>
            <c:ext xmlns:c16="http://schemas.microsoft.com/office/drawing/2014/chart" uri="{C3380CC4-5D6E-409C-BE32-E72D297353CC}">
              <c16:uniqueId val="{00000000-CF62-4239-A940-9365ADB9FB71}"/>
            </c:ext>
          </c:extLst>
        </c:ser>
        <c:ser>
          <c:idx val="1"/>
          <c:order val="1"/>
          <c:tx>
            <c:strRef>
              <c:f>'Biểu đồ - NV'!$B$58</c:f>
              <c:strCache>
                <c:ptCount val="1"/>
                <c:pt idx="0">
                  <c:v>Ngành (all)</c:v>
                </c:pt>
              </c:strCache>
            </c:strRef>
          </c:tx>
          <c:spPr>
            <a:ln w="28575" cap="rnd">
              <a:solidFill>
                <a:schemeClr val="tx1">
                  <a:lumMod val="75000"/>
                  <a:lumOff val="2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'Biểu đồ - NV'!$C$56:$P$56</c15:sqref>
                  </c15:fullRef>
                </c:ext>
              </c:extLst>
              <c:f>'Biểu đồ - NV'!$F$56:$P$56</c:f>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cat>
          <c:val>
            <c:numRef>
              <c:extLst>
                <c:ext xmlns:c15="http://schemas.microsoft.com/office/drawing/2012/chart" uri="{02D57815-91ED-43cb-92C2-25804820EDAC}">
                  <c15:fullRef>
                    <c15:sqref>'Biểu đồ - NV'!$C$58:$P$58</c15:sqref>
                  </c15:fullRef>
                </c:ext>
              </c:extLst>
              <c:f>'Biểu đồ - NV'!$F$58:$P$58</c:f>
              <c:numCache>
                <c:formatCode>0%</c:formatCode>
                <c:ptCount val="11"/>
                <c:pt idx="0">
                  <c:v>0.51486882816109347</c:v>
                </c:pt>
                <c:pt idx="1">
                  <c:v>0.51486882816109347</c:v>
                </c:pt>
                <c:pt idx="2">
                  <c:v>0.51486882816109347</c:v>
                </c:pt>
                <c:pt idx="3">
                  <c:v>0.51486882816109347</c:v>
                </c:pt>
                <c:pt idx="4">
                  <c:v>0.51486882816109347</c:v>
                </c:pt>
                <c:pt idx="5">
                  <c:v>0.51486882816109347</c:v>
                </c:pt>
                <c:pt idx="6">
                  <c:v>0.51486882816109347</c:v>
                </c:pt>
                <c:pt idx="7">
                  <c:v>0.51486882816109347</c:v>
                </c:pt>
                <c:pt idx="8">
                  <c:v>0.51486882816109347</c:v>
                </c:pt>
                <c:pt idx="9">
                  <c:v>0.51486882816109347</c:v>
                </c:pt>
                <c:pt idx="10">
                  <c:v>0.51486882816109347</c:v>
                </c:pt>
              </c:numCache>
            </c:numRef>
          </c:val>
          <c:smooth val="0"/>
          <c:extLst>
            <c:ext xmlns:c16="http://schemas.microsoft.com/office/drawing/2014/chart" uri="{C3380CC4-5D6E-409C-BE32-E72D297353CC}">
              <c16:uniqueId val="{00000001-CF62-4239-A940-9365ADB9FB71}"/>
            </c:ext>
          </c:extLst>
        </c:ser>
        <c:ser>
          <c:idx val="2"/>
          <c:order val="2"/>
          <c:tx>
            <c:strRef>
              <c:f>'Biểu đồ - NV'!$B$59</c:f>
              <c:strCache>
                <c:ptCount val="1"/>
                <c:pt idx="0">
                  <c:v>Ngành (phù hợp)</c:v>
                </c:pt>
              </c:strCache>
            </c:strRef>
          </c:tx>
          <c:spPr>
            <a:ln w="28575" cap="rnd">
              <a:solidFill>
                <a:srgbClr val="FFC0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'Biểu đồ - NV'!$C$56:$P$56</c15:sqref>
                  </c15:fullRef>
                </c:ext>
              </c:extLst>
              <c:f>'Biểu đồ - NV'!$F$56:$P$56</c:f>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cat>
          <c:val>
            <c:numRef>
              <c:extLst>
                <c:ext xmlns:c15="http://schemas.microsoft.com/office/drawing/2012/chart" uri="{02D57815-91ED-43cb-92C2-25804820EDAC}">
                  <c15:fullRef>
                    <c15:sqref>'Biểu đồ - NV'!$C$59:$P$59</c15:sqref>
                  </c15:fullRef>
                </c:ext>
              </c:extLst>
              <c:f>'Biểu đồ - NV'!$F$59:$P$59</c:f>
              <c:numCache>
                <c:formatCode>0%</c:formatCode>
                <c:ptCount val="11"/>
                <c:pt idx="0">
                  <c:v>0.40733004261135841</c:v>
                </c:pt>
                <c:pt idx="1">
                  <c:v>0.40733004261135841</c:v>
                </c:pt>
                <c:pt idx="2">
                  <c:v>0.40733004261135841</c:v>
                </c:pt>
                <c:pt idx="3">
                  <c:v>0.40733004261135841</c:v>
                </c:pt>
                <c:pt idx="4">
                  <c:v>0.40733004261135841</c:v>
                </c:pt>
                <c:pt idx="5">
                  <c:v>0.40733004261135841</c:v>
                </c:pt>
                <c:pt idx="6">
                  <c:v>0.40733004261135841</c:v>
                </c:pt>
                <c:pt idx="7">
                  <c:v>0.40733004261135841</c:v>
                </c:pt>
                <c:pt idx="8">
                  <c:v>0.40733004261135841</c:v>
                </c:pt>
                <c:pt idx="9">
                  <c:v>0.40733004261135841</c:v>
                </c:pt>
                <c:pt idx="10">
                  <c:v>0.40733004261135841</c:v>
                </c:pt>
              </c:numCache>
            </c:numRef>
          </c:val>
          <c:smooth val="0"/>
          <c:extLst>
            <c:ext xmlns:c16="http://schemas.microsoft.com/office/drawing/2014/chart" uri="{C3380CC4-5D6E-409C-BE32-E72D297353CC}">
              <c16:uniqueId val="{00000002-CF62-4239-A940-9365ADB9FB71}"/>
            </c:ext>
          </c:extLst>
        </c:ser>
        <c:dLbls>
          <c:dLblPos val="t"/>
          <c:showLegendKey val="0"/>
          <c:showVal val="1"/>
          <c:showCatName val="0"/>
          <c:showSerName val="0"/>
          <c:showPercent val="0"/>
          <c:showBubbleSize val="0"/>
        </c:dLbls>
        <c:smooth val="0"/>
        <c:axId val="1216151679"/>
        <c:axId val="1098489455"/>
      </c:lineChart>
      <c:catAx>
        <c:axId val="1216151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489455"/>
        <c:crosses val="autoZero"/>
        <c:auto val="1"/>
        <c:lblAlgn val="ctr"/>
        <c:lblOffset val="100"/>
        <c:noMultiLvlLbl val="0"/>
      </c:catAx>
      <c:valAx>
        <c:axId val="109848945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1516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100" b="1" i="0" u="none" strike="noStrike" kern="1200" spc="0" baseline="0">
                <a:solidFill>
                  <a:sysClr val="windowText" lastClr="000000">
                    <a:lumMod val="65000"/>
                    <a:lumOff val="35000"/>
                  </a:sysClr>
                </a:solidFill>
              </a:rPr>
              <a:t>Cơ cấu nguồn vốn (Tỷ)</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2"/>
          <c:order val="0"/>
          <c:tx>
            <c:strRef>
              <c:f>'Biểu đồ - NV'!$B$12</c:f>
              <c:strCache>
                <c:ptCount val="1"/>
                <c:pt idx="0">
                  <c:v>VCSH</c:v>
                </c:pt>
              </c:strCache>
            </c:strRef>
          </c:tx>
          <c:spPr>
            <a:solidFill>
              <a:srgbClr val="C00000"/>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'Biểu đồ - NV'!$C$9:$P$9</c15:sqref>
                  </c15:fullRef>
                </c:ext>
              </c:extLst>
              <c:f>'Biểu đồ - NV'!$F$9:$P$9</c:f>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cat>
          <c:val>
            <c:numRef>
              <c:extLst>
                <c:ext xmlns:c15="http://schemas.microsoft.com/office/drawing/2012/chart" uri="{02D57815-91ED-43cb-92C2-25804820EDAC}">
                  <c15:fullRef>
                    <c15:sqref>'Biểu đồ - NV'!$C$12:$P$12</c15:sqref>
                  </c15:fullRef>
                </c:ext>
              </c:extLst>
              <c:f>'Biểu đồ - NV'!$F$12:$P$12</c:f>
              <c:numCache>
                <c:formatCode>_(* #,##0_);_(* \(#,##0\);_(* "-"??_);_(@_)</c:formatCode>
                <c:ptCount val="11"/>
                <c:pt idx="0">
                  <c:v>55.259416469000001</c:v>
                </c:pt>
                <c:pt idx="1">
                  <c:v>60.665479457895387</c:v>
                </c:pt>
                <c:pt idx="2">
                  <c:v>73.52733769883659</c:v>
                </c:pt>
                <c:pt idx="3">
                  <c:v>92.699818176513475</c:v>
                </c:pt>
                <c:pt idx="4">
                  <c:v>120.96939765086793</c:v>
                </c:pt>
                <c:pt idx="5">
                  <c:v>152.31020268113784</c:v>
                </c:pt>
                <c:pt idx="6">
                  <c:v>185.88142888963287</c:v>
                </c:pt>
                <c:pt idx="7">
                  <c:v>219.87482697638586</c:v>
                </c:pt>
                <c:pt idx="8">
                  <c:v>254.7082830330836</c:v>
                </c:pt>
                <c:pt idx="9">
                  <c:v>290.48310000913534</c:v>
                </c:pt>
                <c:pt idx="10">
                  <c:v>326.92590618614543</c:v>
                </c:pt>
              </c:numCache>
            </c:numRef>
          </c:val>
          <c:extLst>
            <c:ext xmlns:c16="http://schemas.microsoft.com/office/drawing/2014/chart" uri="{C3380CC4-5D6E-409C-BE32-E72D297353CC}">
              <c16:uniqueId val="{00000002-52E3-4790-A067-25E2950F73A9}"/>
            </c:ext>
          </c:extLst>
        </c:ser>
        <c:ser>
          <c:idx val="1"/>
          <c:order val="1"/>
          <c:tx>
            <c:strRef>
              <c:f>'Biểu đồ - NV'!$B$11</c:f>
              <c:strCache>
                <c:ptCount val="1"/>
                <c:pt idx="0">
                  <c:v>Nợ DH</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'Biểu đồ - NV'!$C$9:$P$9</c15:sqref>
                  </c15:fullRef>
                </c:ext>
              </c:extLst>
              <c:f>'Biểu đồ - NV'!$F$9:$P$9</c:f>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cat>
          <c:val>
            <c:numRef>
              <c:extLst>
                <c:ext xmlns:c15="http://schemas.microsoft.com/office/drawing/2012/chart" uri="{02D57815-91ED-43cb-92C2-25804820EDAC}">
                  <c15:fullRef>
                    <c15:sqref>'Biểu đồ - NV'!$C$11:$P$11</c15:sqref>
                  </c15:fullRef>
                </c:ext>
              </c:extLst>
              <c:f>'Biểu đồ - NV'!$F$11:$P$11</c:f>
              <c:numCache>
                <c:formatCode>_(* #,##0_);_(* \(#,##0\);_(* "-"??_);_(@_)</c:formatCode>
                <c:ptCount val="11"/>
                <c:pt idx="0">
                  <c:v>31.925406698000003</c:v>
                </c:pt>
                <c:pt idx="1">
                  <c:v>19.056921242000001</c:v>
                </c:pt>
                <c:pt idx="2">
                  <c:v>8.8620075210000007</c:v>
                </c:pt>
                <c:pt idx="3">
                  <c:v>2.3749500020000003</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1-52E3-4790-A067-25E2950F73A9}"/>
            </c:ext>
          </c:extLst>
        </c:ser>
        <c:ser>
          <c:idx val="0"/>
          <c:order val="2"/>
          <c:tx>
            <c:strRef>
              <c:f>'Biểu đồ - NV'!$B$10</c:f>
              <c:strCache>
                <c:ptCount val="1"/>
                <c:pt idx="0">
                  <c:v>Nợ NH</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'Biểu đồ - NV'!$C$9:$P$9</c15:sqref>
                  </c15:fullRef>
                </c:ext>
              </c:extLst>
              <c:f>'Biểu đồ - NV'!$F$9:$P$9</c:f>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cat>
          <c:val>
            <c:numRef>
              <c:extLst>
                <c:ext xmlns:c15="http://schemas.microsoft.com/office/drawing/2012/chart" uri="{02D57815-91ED-43cb-92C2-25804820EDAC}">
                  <c15:fullRef>
                    <c15:sqref>'Biểu đồ - NV'!$C$10:$P$10</c15:sqref>
                  </c15:fullRef>
                </c:ext>
              </c:extLst>
              <c:f>'Biểu đồ - NV'!$F$10:$P$10</c:f>
              <c:numCache>
                <c:formatCode>0</c:formatCode>
                <c:ptCount val="11"/>
                <c:pt idx="0">
                  <c:v>487.63170225199997</c:v>
                </c:pt>
                <c:pt idx="1">
                  <c:v>162.20407744211604</c:v>
                </c:pt>
                <c:pt idx="2">
                  <c:v>146.15770857823551</c:v>
                </c:pt>
                <c:pt idx="3">
                  <c:v>118.97075742999577</c:v>
                </c:pt>
                <c:pt idx="4">
                  <c:v>92.803463575782843</c:v>
                </c:pt>
                <c:pt idx="5">
                  <c:v>92.82343083059294</c:v>
                </c:pt>
                <c:pt idx="6">
                  <c:v>92.834928024717343</c:v>
                </c:pt>
                <c:pt idx="7">
                  <c:v>92.858282359869307</c:v>
                </c:pt>
                <c:pt idx="8">
                  <c:v>92.880786109422644</c:v>
                </c:pt>
                <c:pt idx="9">
                  <c:v>92.901196772428932</c:v>
                </c:pt>
                <c:pt idx="10">
                  <c:v>92.924416804508084</c:v>
                </c:pt>
              </c:numCache>
            </c:numRef>
          </c:val>
          <c:extLst>
            <c:ext xmlns:c16="http://schemas.microsoft.com/office/drawing/2014/chart" uri="{C3380CC4-5D6E-409C-BE32-E72D297353CC}">
              <c16:uniqueId val="{00000000-52E3-4790-A067-25E2950F73A9}"/>
            </c:ext>
          </c:extLst>
        </c:ser>
        <c:dLbls>
          <c:dLblPos val="ctr"/>
          <c:showLegendKey val="0"/>
          <c:showVal val="1"/>
          <c:showCatName val="0"/>
          <c:showSerName val="0"/>
          <c:showPercent val="0"/>
          <c:showBubbleSize val="0"/>
        </c:dLbls>
        <c:gapWidth val="219"/>
        <c:overlap val="100"/>
        <c:axId val="894271776"/>
        <c:axId val="800714864"/>
      </c:barChart>
      <c:catAx>
        <c:axId val="894271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714864"/>
        <c:crosses val="autoZero"/>
        <c:auto val="1"/>
        <c:lblAlgn val="ctr"/>
        <c:lblOffset val="100"/>
        <c:noMultiLvlLbl val="0"/>
      </c:catAx>
      <c:valAx>
        <c:axId val="800714864"/>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271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GB" sz="1100" b="1" i="0" u="none" strike="noStrike" kern="1200" spc="0" baseline="0">
                <a:solidFill>
                  <a:sysClr val="windowText" lastClr="000000">
                    <a:lumMod val="65000"/>
                    <a:lumOff val="35000"/>
                  </a:sysClr>
                </a:solidFill>
              </a:rPr>
              <a:t>Cơ cấu nguồn vốn (%)</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'Biểu đồ - NV'!$B$19</c:f>
              <c:strCache>
                <c:ptCount val="1"/>
                <c:pt idx="0">
                  <c:v>VCSH</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'Biểu đồ - NV'!$C$16:$P$16</c15:sqref>
                  </c15:fullRef>
                </c:ext>
              </c:extLst>
              <c:f>'Biểu đồ - NV'!$F$16:$P$16</c:f>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cat>
          <c:val>
            <c:numRef>
              <c:extLst>
                <c:ext xmlns:c15="http://schemas.microsoft.com/office/drawing/2012/chart" uri="{02D57815-91ED-43cb-92C2-25804820EDAC}">
                  <c15:fullRef>
                    <c15:sqref>'Biểu đồ - NV'!$C$19:$P$19</c15:sqref>
                  </c15:fullRef>
                </c:ext>
              </c:extLst>
              <c:f>'Biểu đồ - NV'!$F$19:$P$19</c:f>
              <c:numCache>
                <c:formatCode>0%</c:formatCode>
                <c:ptCount val="11"/>
                <c:pt idx="0">
                  <c:v>9.6134008027552537E-2</c:v>
                </c:pt>
                <c:pt idx="1">
                  <c:v>0.2507599826352393</c:v>
                </c:pt>
                <c:pt idx="2">
                  <c:v>0.32171641015245861</c:v>
                </c:pt>
                <c:pt idx="3">
                  <c:v>0.43308458755667745</c:v>
                </c:pt>
                <c:pt idx="4">
                  <c:v>0.56587818003058488</c:v>
                </c:pt>
                <c:pt idx="5">
                  <c:v>0.6213353936755851</c:v>
                </c:pt>
                <c:pt idx="6">
                  <c:v>0.66691969910741333</c:v>
                </c:pt>
                <c:pt idx="7">
                  <c:v>0.70307498762458587</c:v>
                </c:pt>
                <c:pt idx="8">
                  <c:v>0.73278565307431198</c:v>
                </c:pt>
                <c:pt idx="9">
                  <c:v>0.75768126771931921</c:v>
                </c:pt>
                <c:pt idx="10">
                  <c:v>0.77867251323615938</c:v>
                </c:pt>
              </c:numCache>
            </c:numRef>
          </c:val>
          <c:extLst>
            <c:ext xmlns:c16="http://schemas.microsoft.com/office/drawing/2014/chart" uri="{C3380CC4-5D6E-409C-BE32-E72D297353CC}">
              <c16:uniqueId val="{00000002-F820-49C7-8A03-A0010B955A5F}"/>
            </c:ext>
          </c:extLst>
        </c:ser>
        <c:ser>
          <c:idx val="1"/>
          <c:order val="1"/>
          <c:tx>
            <c:strRef>
              <c:f>'Biểu đồ - NV'!$B$18</c:f>
              <c:strCache>
                <c:ptCount val="1"/>
                <c:pt idx="0">
                  <c:v>Nợ DH</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'Biểu đồ - NV'!$C$16:$P$16</c15:sqref>
                  </c15:fullRef>
                </c:ext>
              </c:extLst>
              <c:f>'Biểu đồ - NV'!$F$16:$P$16</c:f>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cat>
          <c:val>
            <c:numRef>
              <c:extLst>
                <c:ext xmlns:c15="http://schemas.microsoft.com/office/drawing/2012/chart" uri="{02D57815-91ED-43cb-92C2-25804820EDAC}">
                  <c15:fullRef>
                    <c15:sqref>'Biểu đồ - NV'!$C$18:$P$18</c15:sqref>
                  </c15:fullRef>
                </c:ext>
              </c:extLst>
              <c:f>'Biểu đồ - NV'!$F$18:$P$18</c:f>
              <c:numCache>
                <c:formatCode>0%</c:formatCode>
                <c:ptCount val="11"/>
                <c:pt idx="0">
                  <c:v>5.5540168534174754E-2</c:v>
                </c:pt>
                <c:pt idx="1">
                  <c:v>7.8771539966838777E-2</c:v>
                </c:pt>
                <c:pt idx="2">
                  <c:v>3.8775417900726208E-2</c:v>
                </c:pt>
                <c:pt idx="3">
                  <c:v>1.1095536780076404E-2</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1-F820-49C7-8A03-A0010B955A5F}"/>
            </c:ext>
          </c:extLst>
        </c:ser>
        <c:ser>
          <c:idx val="2"/>
          <c:order val="2"/>
          <c:tx>
            <c:strRef>
              <c:f>'Biểu đồ - NV'!$B$17</c:f>
              <c:strCache>
                <c:ptCount val="1"/>
                <c:pt idx="0">
                  <c:v>Nợ NH</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'Biểu đồ - NV'!$C$16:$P$16</c15:sqref>
                  </c15:fullRef>
                </c:ext>
              </c:extLst>
              <c:f>'Biểu đồ - NV'!$F$16:$P$16</c:f>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cat>
          <c:val>
            <c:numRef>
              <c:extLst>
                <c:ext xmlns:c15="http://schemas.microsoft.com/office/drawing/2012/chart" uri="{02D57815-91ED-43cb-92C2-25804820EDAC}">
                  <c15:fullRef>
                    <c15:sqref>'Biểu đồ - NV'!$C$17:$P$17</c15:sqref>
                  </c15:fullRef>
                </c:ext>
              </c:extLst>
              <c:f>'Biểu đồ - NV'!$F$17:$P$17</c:f>
              <c:numCache>
                <c:formatCode>0%</c:formatCode>
                <c:ptCount val="11"/>
                <c:pt idx="0">
                  <c:v>0.84832582343827279</c:v>
                </c:pt>
                <c:pt idx="1">
                  <c:v>0.67046847739792192</c:v>
                </c:pt>
                <c:pt idx="2">
                  <c:v>0.6395081719468152</c:v>
                </c:pt>
                <c:pt idx="3">
                  <c:v>0.55581987566324609</c:v>
                </c:pt>
                <c:pt idx="4">
                  <c:v>0.43412181996941507</c:v>
                </c:pt>
                <c:pt idx="5">
                  <c:v>0.3786646063244149</c:v>
                </c:pt>
                <c:pt idx="6">
                  <c:v>0.33308030089258661</c:v>
                </c:pt>
                <c:pt idx="7">
                  <c:v>0.29692501237541413</c:v>
                </c:pt>
                <c:pt idx="8">
                  <c:v>0.26721434692568807</c:v>
                </c:pt>
                <c:pt idx="9">
                  <c:v>0.24231873228068077</c:v>
                </c:pt>
                <c:pt idx="10">
                  <c:v>0.22132748676384065</c:v>
                </c:pt>
              </c:numCache>
            </c:numRef>
          </c:val>
          <c:extLst>
            <c:ext xmlns:c16="http://schemas.microsoft.com/office/drawing/2014/chart" uri="{C3380CC4-5D6E-409C-BE32-E72D297353CC}">
              <c16:uniqueId val="{00000000-F820-49C7-8A03-A0010B955A5F}"/>
            </c:ext>
          </c:extLst>
        </c:ser>
        <c:dLbls>
          <c:dLblPos val="ctr"/>
          <c:showLegendKey val="0"/>
          <c:showVal val="1"/>
          <c:showCatName val="0"/>
          <c:showSerName val="0"/>
          <c:showPercent val="0"/>
          <c:showBubbleSize val="0"/>
        </c:dLbls>
        <c:gapWidth val="150"/>
        <c:overlap val="100"/>
        <c:axId val="768191391"/>
        <c:axId val="761531567"/>
      </c:barChart>
      <c:catAx>
        <c:axId val="768191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531567"/>
        <c:crosses val="autoZero"/>
        <c:auto val="1"/>
        <c:lblAlgn val="ctr"/>
        <c:lblOffset val="100"/>
        <c:noMultiLvlLbl val="0"/>
      </c:catAx>
      <c:valAx>
        <c:axId val="761531567"/>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191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Tỷ trọng các phương pháp định giá và</a:t>
            </a:r>
            <a:r>
              <a:rPr lang="en-US" baseline="0"/>
              <a:t> Giá trị định giá</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2449950171677766E-2"/>
          <c:y val="0.14631163708086786"/>
          <c:w val="0.67842224095530868"/>
          <c:h val="0.76217645871189177"/>
        </c:manualLayout>
      </c:layout>
      <c:barChart>
        <c:barDir val="col"/>
        <c:grouping val="percentStacked"/>
        <c:varyColors val="0"/>
        <c:ser>
          <c:idx val="0"/>
          <c:order val="0"/>
          <c:tx>
            <c:strRef>
              <c:f>'5. ĐG- Tổng'!$G$7</c:f>
              <c:strCache>
                <c:ptCount val="1"/>
                <c:pt idx="0">
                  <c:v> 1. PP TS </c:v>
                </c:pt>
              </c:strCache>
            </c:strRef>
          </c:tx>
          <c:spPr>
            <a:solidFill>
              <a:srgbClr val="92D050"/>
            </a:solidFill>
            <a:ln>
              <a:noFill/>
            </a:ln>
            <a:effectLst/>
          </c:spPr>
          <c:invertIfNegative val="0"/>
          <c:cat>
            <c:strRef>
              <c:f>'5. ĐG- Tổng'!$H$5:$R$5</c:f>
              <c:strCache>
                <c:ptCount val="11"/>
                <c:pt idx="0">
                  <c:v>PA0</c:v>
                </c:pt>
                <c:pt idx="1">
                  <c:v>PA1</c:v>
                </c:pt>
                <c:pt idx="2">
                  <c:v>PA2</c:v>
                </c:pt>
                <c:pt idx="3">
                  <c:v>PA3</c:v>
                </c:pt>
                <c:pt idx="4">
                  <c:v>PA4</c:v>
                </c:pt>
                <c:pt idx="5">
                  <c:v>PA5</c:v>
                </c:pt>
                <c:pt idx="6">
                  <c:v>PA6</c:v>
                </c:pt>
                <c:pt idx="7">
                  <c:v>PA7</c:v>
                </c:pt>
                <c:pt idx="8">
                  <c:v>PA8</c:v>
                </c:pt>
                <c:pt idx="9">
                  <c:v>PA9</c:v>
                </c:pt>
                <c:pt idx="10">
                  <c:v>PA10</c:v>
                </c:pt>
              </c:strCache>
            </c:strRef>
          </c:cat>
          <c:val>
            <c:numRef>
              <c:f>'5. ĐG- Tổng'!$H$7:$R$7</c:f>
              <c:numCache>
                <c:formatCode>0%</c:formatCode>
                <c:ptCount val="11"/>
                <c:pt idx="0">
                  <c:v>0</c:v>
                </c:pt>
                <c:pt idx="1">
                  <c:v>5.0000000000000044E-2</c:v>
                </c:pt>
                <c:pt idx="2">
                  <c:v>9.9999999999999978E-2</c:v>
                </c:pt>
                <c:pt idx="3">
                  <c:v>0.15000000000000002</c:v>
                </c:pt>
                <c:pt idx="4">
                  <c:v>0.19999999999999996</c:v>
                </c:pt>
                <c:pt idx="5">
                  <c:v>0.25</c:v>
                </c:pt>
                <c:pt idx="6">
                  <c:v>0.30000000000000004</c:v>
                </c:pt>
                <c:pt idx="7">
                  <c:v>0.35</c:v>
                </c:pt>
                <c:pt idx="8">
                  <c:v>0.4</c:v>
                </c:pt>
                <c:pt idx="9">
                  <c:v>0.44999999999999996</c:v>
                </c:pt>
                <c:pt idx="10">
                  <c:v>0.5</c:v>
                </c:pt>
              </c:numCache>
            </c:numRef>
          </c:val>
          <c:extLst>
            <c:ext xmlns:c16="http://schemas.microsoft.com/office/drawing/2014/chart" uri="{C3380CC4-5D6E-409C-BE32-E72D297353CC}">
              <c16:uniqueId val="{00000000-69E4-4853-ACE1-5D95B44EF977}"/>
            </c:ext>
          </c:extLst>
        </c:ser>
        <c:ser>
          <c:idx val="1"/>
          <c:order val="1"/>
          <c:tx>
            <c:strRef>
              <c:f>'5. ĐG- Tổng'!$G$9</c:f>
              <c:strCache>
                <c:ptCount val="1"/>
                <c:pt idx="0">
                  <c:v> 2. PP DCF1 </c:v>
                </c:pt>
              </c:strCache>
            </c:strRef>
          </c:tx>
          <c:spPr>
            <a:solidFill>
              <a:schemeClr val="accent2">
                <a:lumMod val="40000"/>
                <a:lumOff val="60000"/>
              </a:schemeClr>
            </a:solidFill>
            <a:ln>
              <a:noFill/>
            </a:ln>
            <a:effectLst/>
          </c:spPr>
          <c:invertIfNegative val="0"/>
          <c:cat>
            <c:strRef>
              <c:f>'5. ĐG- Tổng'!$H$5:$R$5</c:f>
              <c:strCache>
                <c:ptCount val="11"/>
                <c:pt idx="0">
                  <c:v>PA0</c:v>
                </c:pt>
                <c:pt idx="1">
                  <c:v>PA1</c:v>
                </c:pt>
                <c:pt idx="2">
                  <c:v>PA2</c:v>
                </c:pt>
                <c:pt idx="3">
                  <c:v>PA3</c:v>
                </c:pt>
                <c:pt idx="4">
                  <c:v>PA4</c:v>
                </c:pt>
                <c:pt idx="5">
                  <c:v>PA5</c:v>
                </c:pt>
                <c:pt idx="6">
                  <c:v>PA6</c:v>
                </c:pt>
                <c:pt idx="7">
                  <c:v>PA7</c:v>
                </c:pt>
                <c:pt idx="8">
                  <c:v>PA8</c:v>
                </c:pt>
                <c:pt idx="9">
                  <c:v>PA9</c:v>
                </c:pt>
                <c:pt idx="10">
                  <c:v>PA10</c:v>
                </c:pt>
              </c:strCache>
            </c:strRef>
          </c:cat>
          <c:val>
            <c:numRef>
              <c:f>'5. ĐG- Tổng'!$H$9:$R$9</c:f>
              <c:numCache>
                <c:formatCode>0%</c:formatCode>
                <c:ptCount val="11"/>
                <c:pt idx="0">
                  <c:v>0.3</c:v>
                </c:pt>
                <c:pt idx="1">
                  <c:v>0.28499999999999998</c:v>
                </c:pt>
                <c:pt idx="2">
                  <c:v>0.27</c:v>
                </c:pt>
                <c:pt idx="3">
                  <c:v>0.255</c:v>
                </c:pt>
                <c:pt idx="4">
                  <c:v>0.24</c:v>
                </c:pt>
                <c:pt idx="5">
                  <c:v>0.22499999999999998</c:v>
                </c:pt>
                <c:pt idx="6">
                  <c:v>0.21</c:v>
                </c:pt>
                <c:pt idx="7">
                  <c:v>0.19500000000000001</c:v>
                </c:pt>
                <c:pt idx="8">
                  <c:v>0.18</c:v>
                </c:pt>
                <c:pt idx="9">
                  <c:v>0.16500000000000001</c:v>
                </c:pt>
                <c:pt idx="10">
                  <c:v>0.15</c:v>
                </c:pt>
              </c:numCache>
            </c:numRef>
          </c:val>
          <c:extLst>
            <c:ext xmlns:c16="http://schemas.microsoft.com/office/drawing/2014/chart" uri="{C3380CC4-5D6E-409C-BE32-E72D297353CC}">
              <c16:uniqueId val="{00000001-69E4-4853-ACE1-5D95B44EF977}"/>
            </c:ext>
          </c:extLst>
        </c:ser>
        <c:ser>
          <c:idx val="2"/>
          <c:order val="2"/>
          <c:tx>
            <c:strRef>
              <c:f>'5. ĐG- Tổng'!$G$10</c:f>
              <c:strCache>
                <c:ptCount val="1"/>
                <c:pt idx="0">
                  <c:v> 3. PP DCF2 </c:v>
                </c:pt>
              </c:strCache>
            </c:strRef>
          </c:tx>
          <c:spPr>
            <a:solidFill>
              <a:schemeClr val="tx1"/>
            </a:solidFill>
            <a:ln>
              <a:noFill/>
            </a:ln>
            <a:effectLst/>
          </c:spPr>
          <c:invertIfNegative val="0"/>
          <c:cat>
            <c:strRef>
              <c:f>'5. ĐG- Tổng'!$H$5:$R$5</c:f>
              <c:strCache>
                <c:ptCount val="11"/>
                <c:pt idx="0">
                  <c:v>PA0</c:v>
                </c:pt>
                <c:pt idx="1">
                  <c:v>PA1</c:v>
                </c:pt>
                <c:pt idx="2">
                  <c:v>PA2</c:v>
                </c:pt>
                <c:pt idx="3">
                  <c:v>PA3</c:v>
                </c:pt>
                <c:pt idx="4">
                  <c:v>PA4</c:v>
                </c:pt>
                <c:pt idx="5">
                  <c:v>PA5</c:v>
                </c:pt>
                <c:pt idx="6">
                  <c:v>PA6</c:v>
                </c:pt>
                <c:pt idx="7">
                  <c:v>PA7</c:v>
                </c:pt>
                <c:pt idx="8">
                  <c:v>PA8</c:v>
                </c:pt>
                <c:pt idx="9">
                  <c:v>PA9</c:v>
                </c:pt>
                <c:pt idx="10">
                  <c:v>PA10</c:v>
                </c:pt>
              </c:strCache>
            </c:strRef>
          </c:cat>
          <c:val>
            <c:numRef>
              <c:f>'5. ĐG- Tổng'!$H$10:$R$10</c:f>
              <c:numCache>
                <c:formatCode>0%</c:formatCode>
                <c:ptCount val="11"/>
                <c:pt idx="0">
                  <c:v>0.19999999999999996</c:v>
                </c:pt>
                <c:pt idx="1">
                  <c:v>0.18999999999999995</c:v>
                </c:pt>
                <c:pt idx="2">
                  <c:v>0.17999999999999997</c:v>
                </c:pt>
                <c:pt idx="3">
                  <c:v>0.16999999999999996</c:v>
                </c:pt>
                <c:pt idx="4">
                  <c:v>0.15999999999999998</c:v>
                </c:pt>
                <c:pt idx="5">
                  <c:v>0.14999999999999997</c:v>
                </c:pt>
                <c:pt idx="6">
                  <c:v>0.13999999999999996</c:v>
                </c:pt>
                <c:pt idx="7">
                  <c:v>0.12999999999999998</c:v>
                </c:pt>
                <c:pt idx="8">
                  <c:v>0.11999999999999997</c:v>
                </c:pt>
                <c:pt idx="9">
                  <c:v>0.10999999999999999</c:v>
                </c:pt>
                <c:pt idx="10">
                  <c:v>9.9999999999999978E-2</c:v>
                </c:pt>
              </c:numCache>
            </c:numRef>
          </c:val>
          <c:extLst>
            <c:ext xmlns:c16="http://schemas.microsoft.com/office/drawing/2014/chart" uri="{C3380CC4-5D6E-409C-BE32-E72D297353CC}">
              <c16:uniqueId val="{00000002-69E4-4853-ACE1-5D95B44EF977}"/>
            </c:ext>
          </c:extLst>
        </c:ser>
        <c:dLbls>
          <c:showLegendKey val="0"/>
          <c:showVal val="0"/>
          <c:showCatName val="0"/>
          <c:showSerName val="0"/>
          <c:showPercent val="0"/>
          <c:showBubbleSize val="0"/>
        </c:dLbls>
        <c:gapWidth val="150"/>
        <c:overlap val="100"/>
        <c:axId val="877316792"/>
        <c:axId val="877314168"/>
      </c:barChart>
      <c:lineChart>
        <c:grouping val="standard"/>
        <c:varyColors val="0"/>
        <c:ser>
          <c:idx val="3"/>
          <c:order val="3"/>
          <c:tx>
            <c:strRef>
              <c:f>'5. ĐG- Tổng'!$G$13</c:f>
              <c:strCache>
                <c:ptCount val="1"/>
                <c:pt idx="0">
                  <c:v>Giá trị định giá</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ĐG- Tổng'!$H$5:$R$5</c:f>
              <c:strCache>
                <c:ptCount val="11"/>
                <c:pt idx="0">
                  <c:v>PA0</c:v>
                </c:pt>
                <c:pt idx="1">
                  <c:v>PA1</c:v>
                </c:pt>
                <c:pt idx="2">
                  <c:v>PA2</c:v>
                </c:pt>
                <c:pt idx="3">
                  <c:v>PA3</c:v>
                </c:pt>
                <c:pt idx="4">
                  <c:v>PA4</c:v>
                </c:pt>
                <c:pt idx="5">
                  <c:v>PA5</c:v>
                </c:pt>
                <c:pt idx="6">
                  <c:v>PA6</c:v>
                </c:pt>
                <c:pt idx="7">
                  <c:v>PA7</c:v>
                </c:pt>
                <c:pt idx="8">
                  <c:v>PA8</c:v>
                </c:pt>
                <c:pt idx="9">
                  <c:v>PA9</c:v>
                </c:pt>
                <c:pt idx="10">
                  <c:v>PA10</c:v>
                </c:pt>
              </c:strCache>
            </c:strRef>
          </c:cat>
          <c:val>
            <c:numRef>
              <c:f>'5. ĐG- Tổng'!$H$13:$R$13</c:f>
              <c:numCache>
                <c:formatCode>_(* #,##0_);_(* \(#,##0\);_(* "-"??_);_(@_)</c:formatCode>
                <c:ptCount val="11"/>
                <c:pt idx="0">
                  <c:v>190.42357289138062</c:v>
                </c:pt>
                <c:pt idx="1">
                  <c:v>183.6653650702616</c:v>
                </c:pt>
                <c:pt idx="2">
                  <c:v>176.90715724914256</c:v>
                </c:pt>
                <c:pt idx="3">
                  <c:v>170.14894942802354</c:v>
                </c:pt>
                <c:pt idx="4">
                  <c:v>163.3907416069045</c:v>
                </c:pt>
                <c:pt idx="5">
                  <c:v>156.63253378578548</c:v>
                </c:pt>
                <c:pt idx="6">
                  <c:v>149.87432596466644</c:v>
                </c:pt>
                <c:pt idx="7">
                  <c:v>143.11611814354742</c:v>
                </c:pt>
                <c:pt idx="8">
                  <c:v>136.35791032242838</c:v>
                </c:pt>
                <c:pt idx="9">
                  <c:v>129.59970250130937</c:v>
                </c:pt>
                <c:pt idx="10">
                  <c:v>122.84149468019032</c:v>
                </c:pt>
              </c:numCache>
            </c:numRef>
          </c:val>
          <c:smooth val="0"/>
          <c:extLst>
            <c:ext xmlns:c16="http://schemas.microsoft.com/office/drawing/2014/chart" uri="{C3380CC4-5D6E-409C-BE32-E72D297353CC}">
              <c16:uniqueId val="{00000003-69E4-4853-ACE1-5D95B44EF977}"/>
            </c:ext>
          </c:extLst>
        </c:ser>
        <c:dLbls>
          <c:showLegendKey val="0"/>
          <c:showVal val="0"/>
          <c:showCatName val="0"/>
          <c:showSerName val="0"/>
          <c:showPercent val="0"/>
          <c:showBubbleSize val="0"/>
        </c:dLbls>
        <c:marker val="1"/>
        <c:smooth val="0"/>
        <c:axId val="146307344"/>
        <c:axId val="146304016"/>
      </c:lineChart>
      <c:catAx>
        <c:axId val="877316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314168"/>
        <c:crosses val="autoZero"/>
        <c:auto val="1"/>
        <c:lblAlgn val="ctr"/>
        <c:lblOffset val="100"/>
        <c:noMultiLvlLbl val="0"/>
      </c:catAx>
      <c:valAx>
        <c:axId val="8773141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316792"/>
        <c:crosses val="autoZero"/>
        <c:crossBetween val="between"/>
      </c:valAx>
      <c:valAx>
        <c:axId val="146304016"/>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07344"/>
        <c:crosses val="max"/>
        <c:crossBetween val="between"/>
      </c:valAx>
      <c:catAx>
        <c:axId val="146307344"/>
        <c:scaling>
          <c:orientation val="minMax"/>
        </c:scaling>
        <c:delete val="1"/>
        <c:axPos val="b"/>
        <c:numFmt formatCode="General" sourceLinked="1"/>
        <c:majorTickMark val="out"/>
        <c:minorTickMark val="none"/>
        <c:tickLblPos val="nextTo"/>
        <c:crossAx val="14630401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withinLinear" id="17">
  <a:schemeClr val="accent4"/>
</cs:colorStyle>
</file>

<file path=xl/charts/colors14.xml><?xml version="1.0" encoding="utf-8"?>
<cs:colorStyle xmlns:cs="http://schemas.microsoft.com/office/drawing/2012/chartStyle" xmlns:a="http://schemas.openxmlformats.org/drawingml/2006/main" meth="withinLinear" id="17">
  <a:schemeClr val="accent4"/>
</cs:colorStyle>
</file>

<file path=xl/charts/colors15.xml><?xml version="1.0" encoding="utf-8"?>
<cs:colorStyle xmlns:cs="http://schemas.microsoft.com/office/drawing/2012/chartStyle" xmlns:a="http://schemas.openxmlformats.org/drawingml/2006/main" meth="withinLinear" id="17">
  <a:schemeClr val="accent4"/>
</cs:colorStyle>
</file>

<file path=xl/charts/colors16.xml><?xml version="1.0" encoding="utf-8"?>
<cs:colorStyle xmlns:cs="http://schemas.microsoft.com/office/drawing/2012/chartStyle" xmlns:a="http://schemas.openxmlformats.org/drawingml/2006/main" meth="withinLinear" id="17">
  <a:schemeClr val="accent4"/>
</cs:colorStyle>
</file>

<file path=xl/charts/colors17.xml><?xml version="1.0" encoding="utf-8"?>
<cs:colorStyle xmlns:cs="http://schemas.microsoft.com/office/drawing/2012/chartStyle" xmlns:a="http://schemas.openxmlformats.org/drawingml/2006/main" meth="withinLinear" id="17">
  <a:schemeClr val="accent4"/>
</cs:colorStyle>
</file>

<file path=xl/charts/colors18.xml><?xml version="1.0" encoding="utf-8"?>
<cs:colorStyle xmlns:cs="http://schemas.microsoft.com/office/drawing/2012/chartStyle" xmlns:a="http://schemas.openxmlformats.org/drawingml/2006/main" meth="withinLinear" id="17">
  <a:schemeClr val="accent4"/>
</cs:colorStyle>
</file>

<file path=xl/charts/colors19.xml><?xml version="1.0" encoding="utf-8"?>
<cs:colorStyle xmlns:cs="http://schemas.microsoft.com/office/drawing/2012/chartStyle" xmlns:a="http://schemas.openxmlformats.org/drawingml/2006/main" meth="withinLinear" id="17">
  <a:schemeClr val="accent4"/>
</cs:colorStyle>
</file>

<file path=xl/charts/colors20.xml><?xml version="1.0" encoding="utf-8"?>
<cs:colorStyle xmlns:cs="http://schemas.microsoft.com/office/drawing/2012/chartStyle" xmlns:a="http://schemas.openxmlformats.org/drawingml/2006/main" meth="withinLinear" id="17">
  <a:schemeClr val="accent4"/>
</cs:colorStyle>
</file>

<file path=xl/charts/colors21.xml><?xml version="1.0" encoding="utf-8"?>
<cs:colorStyle xmlns:cs="http://schemas.microsoft.com/office/drawing/2012/chartStyle" xmlns:a="http://schemas.openxmlformats.org/drawingml/2006/main" meth="withinLinear" id="17">
  <a:schemeClr val="accent4"/>
</cs:colorStyle>
</file>

<file path=xl/charts/colors22.xml><?xml version="1.0" encoding="utf-8"?>
<cs:colorStyle xmlns:cs="http://schemas.microsoft.com/office/drawing/2012/chartStyle" xmlns:a="http://schemas.openxmlformats.org/drawingml/2006/main" meth="withinLinear" id="17">
  <a:schemeClr val="accent4"/>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withinLinear" id="17">
  <a:schemeClr val="accent4"/>
</cs:colorStyle>
</file>

<file path=xl/charts/colors25.xml><?xml version="1.0" encoding="utf-8"?>
<cs:colorStyle xmlns:cs="http://schemas.microsoft.com/office/drawing/2012/chartStyle" xmlns:a="http://schemas.openxmlformats.org/drawingml/2006/main" meth="withinLinear" id="17">
  <a:schemeClr val="accent4"/>
</cs:colorStyle>
</file>

<file path=xl/charts/colors26.xml><?xml version="1.0" encoding="utf-8"?>
<cs:colorStyle xmlns:cs="http://schemas.microsoft.com/office/drawing/2012/chartStyle" xmlns:a="http://schemas.openxmlformats.org/drawingml/2006/main" meth="withinLinear" id="17">
  <a:schemeClr val="accent4"/>
</cs:colorStyle>
</file>

<file path=xl/charts/colors27.xml><?xml version="1.0" encoding="utf-8"?>
<cs:colorStyle xmlns:cs="http://schemas.microsoft.com/office/drawing/2012/chartStyle" xmlns:a="http://schemas.openxmlformats.org/drawingml/2006/main" meth="withinLinear" id="17">
  <a:schemeClr val="accent4"/>
</cs:colorStyle>
</file>

<file path=xl/charts/colors28.xml><?xml version="1.0" encoding="utf-8"?>
<cs:colorStyle xmlns:cs="http://schemas.microsoft.com/office/drawing/2012/chartStyle" xmlns:a="http://schemas.openxmlformats.org/drawingml/2006/main" meth="withinLinear" id="17">
  <a:schemeClr val="accent4"/>
</cs:colorStyle>
</file>

<file path=xl/charts/colors29.xml><?xml version="1.0" encoding="utf-8"?>
<cs:colorStyle xmlns:cs="http://schemas.microsoft.com/office/drawing/2012/chartStyle" xmlns:a="http://schemas.openxmlformats.org/drawingml/2006/main" meth="withinLinear" id="17">
  <a:schemeClr val="accent4"/>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4" Type="http://schemas.openxmlformats.org/officeDocument/2006/relationships/chart" Target="../charts/chart1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 Id="rId6" Type="http://schemas.openxmlformats.org/officeDocument/2006/relationships/chart" Target="../charts/chart23.xml"/><Relationship Id="rId5" Type="http://schemas.openxmlformats.org/officeDocument/2006/relationships/chart" Target="../charts/chart22.xml"/><Relationship Id="rId4" Type="http://schemas.openxmlformats.org/officeDocument/2006/relationships/chart" Target="../charts/chart21.xml"/></Relationships>
</file>

<file path=xl/drawings/_rels/drawing9.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29.xml"/><Relationship Id="rId2" Type="http://schemas.openxmlformats.org/officeDocument/2006/relationships/chart" Target="../charts/chart28.xml"/><Relationship Id="rId1" Type="http://schemas.openxmlformats.org/officeDocument/2006/relationships/chart" Target="../charts/chart27.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30.xml"/></Relationships>
</file>

<file path=xl/drawings/drawing1.xml><?xml version="1.0" encoding="utf-8"?>
<xdr:wsDr xmlns:xdr="http://schemas.openxmlformats.org/drawingml/2006/spreadsheetDrawing" xmlns:a="http://schemas.openxmlformats.org/drawingml/2006/main">
  <xdr:twoCellAnchor>
    <xdr:from>
      <xdr:col>2</xdr:col>
      <xdr:colOff>207819</xdr:colOff>
      <xdr:row>181</xdr:row>
      <xdr:rowOff>92374</xdr:rowOff>
    </xdr:from>
    <xdr:to>
      <xdr:col>9</xdr:col>
      <xdr:colOff>34636</xdr:colOff>
      <xdr:row>196</xdr:row>
      <xdr:rowOff>80818</xdr:rowOff>
    </xdr:to>
    <xdr:graphicFrame macro="">
      <xdr:nvGraphicFramePr>
        <xdr:cNvPr id="2" name="Chart 1">
          <a:extLst>
            <a:ext uri="{FF2B5EF4-FFF2-40B4-BE49-F238E27FC236}">
              <a16:creationId xmlns:a16="http://schemas.microsoft.com/office/drawing/2014/main" id="{00000000-0008-0000-0C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222662</xdr:colOff>
      <xdr:row>181</xdr:row>
      <xdr:rowOff>65149</xdr:rowOff>
    </xdr:from>
    <xdr:to>
      <xdr:col>16</xdr:col>
      <xdr:colOff>80818</xdr:colOff>
      <xdr:row>196</xdr:row>
      <xdr:rowOff>94176</xdr:rowOff>
    </xdr:to>
    <xdr:graphicFrame macro="">
      <xdr:nvGraphicFramePr>
        <xdr:cNvPr id="3" name="Chart 2">
          <a:extLst>
            <a:ext uri="{FF2B5EF4-FFF2-40B4-BE49-F238E27FC236}">
              <a16:creationId xmlns:a16="http://schemas.microsoft.com/office/drawing/2014/main" id="{00000000-0008-0000-0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242454</xdr:colOff>
      <xdr:row>199</xdr:row>
      <xdr:rowOff>23091</xdr:rowOff>
    </xdr:from>
    <xdr:to>
      <xdr:col>10</xdr:col>
      <xdr:colOff>3660</xdr:colOff>
      <xdr:row>220</xdr:row>
      <xdr:rowOff>2383</xdr:rowOff>
    </xdr:to>
    <xdr:grpSp>
      <xdr:nvGrpSpPr>
        <xdr:cNvPr id="4" name="Group 3">
          <a:extLst>
            <a:ext uri="{FF2B5EF4-FFF2-40B4-BE49-F238E27FC236}">
              <a16:creationId xmlns:a16="http://schemas.microsoft.com/office/drawing/2014/main" id="{00000000-0008-0000-0C00-000004000000}"/>
            </a:ext>
          </a:extLst>
        </xdr:cNvPr>
        <xdr:cNvGrpSpPr/>
      </xdr:nvGrpSpPr>
      <xdr:grpSpPr>
        <a:xfrm>
          <a:off x="596240" y="24475127"/>
          <a:ext cx="7109063" cy="3979792"/>
          <a:chOff x="4864504" y="3481409"/>
          <a:chExt cx="4566540" cy="2727110"/>
        </a:xfrm>
      </xdr:grpSpPr>
      <xdr:graphicFrame macro="">
        <xdr:nvGraphicFramePr>
          <xdr:cNvPr id="5" name="Chart 4">
            <a:extLst>
              <a:ext uri="{FF2B5EF4-FFF2-40B4-BE49-F238E27FC236}">
                <a16:creationId xmlns:a16="http://schemas.microsoft.com/office/drawing/2014/main" id="{00000000-0008-0000-0C00-000005000000}"/>
              </a:ext>
            </a:extLst>
          </xdr:cNvPr>
          <xdr:cNvGraphicFramePr/>
        </xdr:nvGraphicFramePr>
        <xdr:xfrm>
          <a:off x="4864504" y="3481409"/>
          <a:ext cx="4566540" cy="2727110"/>
        </xdr:xfrm>
        <a:graphic>
          <a:graphicData uri="http://schemas.openxmlformats.org/drawingml/2006/chart">
            <c:chart xmlns:c="http://schemas.openxmlformats.org/drawingml/2006/chart" xmlns:r="http://schemas.openxmlformats.org/officeDocument/2006/relationships" r:id="rId3"/>
          </a:graphicData>
        </a:graphic>
      </xdr:graphicFrame>
      <xdr:cxnSp macro="">
        <xdr:nvCxnSpPr>
          <xdr:cNvPr id="6" name="Straight Arrow Connector 5">
            <a:extLst>
              <a:ext uri="{FF2B5EF4-FFF2-40B4-BE49-F238E27FC236}">
                <a16:creationId xmlns:a16="http://schemas.microsoft.com/office/drawing/2014/main" id="{00000000-0008-0000-0C00-000006000000}"/>
              </a:ext>
            </a:extLst>
          </xdr:cNvPr>
          <xdr:cNvCxnSpPr/>
        </xdr:nvCxnSpPr>
        <xdr:spPr>
          <a:xfrm flipV="1">
            <a:off x="5488297" y="4531396"/>
            <a:ext cx="438878" cy="9572"/>
          </a:xfrm>
          <a:prstGeom prst="straightConnector1">
            <a:avLst/>
          </a:prstGeom>
          <a:ln>
            <a:solidFill>
              <a:srgbClr val="FF0000"/>
            </a:solidFill>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 name="Straight Arrow Connector 6">
            <a:extLst>
              <a:ext uri="{FF2B5EF4-FFF2-40B4-BE49-F238E27FC236}">
                <a16:creationId xmlns:a16="http://schemas.microsoft.com/office/drawing/2014/main" id="{00000000-0008-0000-0C00-000007000000}"/>
              </a:ext>
            </a:extLst>
          </xdr:cNvPr>
          <xdr:cNvCxnSpPr/>
        </xdr:nvCxnSpPr>
        <xdr:spPr>
          <a:xfrm flipV="1">
            <a:off x="6914360" y="4625731"/>
            <a:ext cx="451640" cy="3222"/>
          </a:xfrm>
          <a:prstGeom prst="straightConnector1">
            <a:avLst/>
          </a:prstGeom>
          <a:ln>
            <a:solidFill>
              <a:srgbClr val="FF0000"/>
            </a:solidFill>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8" name="Straight Arrow Connector 7">
            <a:extLst>
              <a:ext uri="{FF2B5EF4-FFF2-40B4-BE49-F238E27FC236}">
                <a16:creationId xmlns:a16="http://schemas.microsoft.com/office/drawing/2014/main" id="{00000000-0008-0000-0C00-000008000000}"/>
              </a:ext>
            </a:extLst>
          </xdr:cNvPr>
          <xdr:cNvCxnSpPr/>
        </xdr:nvCxnSpPr>
        <xdr:spPr>
          <a:xfrm flipV="1">
            <a:off x="8343477" y="4704312"/>
            <a:ext cx="441932" cy="9572"/>
          </a:xfrm>
          <a:prstGeom prst="straightConnector1">
            <a:avLst/>
          </a:prstGeom>
          <a:ln>
            <a:solidFill>
              <a:srgbClr val="FF0000"/>
            </a:solidFill>
            <a:prstDash val="dash"/>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242455</xdr:colOff>
      <xdr:row>221</xdr:row>
      <xdr:rowOff>127001</xdr:rowOff>
    </xdr:from>
    <xdr:to>
      <xdr:col>10</xdr:col>
      <xdr:colOff>335</xdr:colOff>
      <xdr:row>246</xdr:row>
      <xdr:rowOff>106293</xdr:rowOff>
    </xdr:to>
    <xdr:grpSp>
      <xdr:nvGrpSpPr>
        <xdr:cNvPr id="9" name="Group 8">
          <a:extLst>
            <a:ext uri="{FF2B5EF4-FFF2-40B4-BE49-F238E27FC236}">
              <a16:creationId xmlns:a16="http://schemas.microsoft.com/office/drawing/2014/main" id="{00000000-0008-0000-0C00-000009000000}"/>
            </a:ext>
          </a:extLst>
        </xdr:cNvPr>
        <xdr:cNvGrpSpPr/>
      </xdr:nvGrpSpPr>
      <xdr:grpSpPr>
        <a:xfrm>
          <a:off x="596241" y="28770037"/>
          <a:ext cx="7105737" cy="4741792"/>
          <a:chOff x="310029" y="3466468"/>
          <a:chExt cx="4561944" cy="2727110"/>
        </a:xfrm>
      </xdr:grpSpPr>
      <xdr:graphicFrame macro="">
        <xdr:nvGraphicFramePr>
          <xdr:cNvPr id="10" name="Chart 9">
            <a:extLst>
              <a:ext uri="{FF2B5EF4-FFF2-40B4-BE49-F238E27FC236}">
                <a16:creationId xmlns:a16="http://schemas.microsoft.com/office/drawing/2014/main" id="{00000000-0008-0000-0C00-00000A000000}"/>
              </a:ext>
            </a:extLst>
          </xdr:cNvPr>
          <xdr:cNvGraphicFramePr/>
        </xdr:nvGraphicFramePr>
        <xdr:xfrm>
          <a:off x="310029" y="3466468"/>
          <a:ext cx="4561944" cy="2727110"/>
        </xdr:xfrm>
        <a:graphic>
          <a:graphicData uri="http://schemas.openxmlformats.org/drawingml/2006/chart">
            <c:chart xmlns:c="http://schemas.openxmlformats.org/drawingml/2006/chart" xmlns:r="http://schemas.openxmlformats.org/officeDocument/2006/relationships" r:id="rId4"/>
          </a:graphicData>
        </a:graphic>
      </xdr:graphicFrame>
      <xdr:cxnSp macro="">
        <xdr:nvCxnSpPr>
          <xdr:cNvPr id="11" name="Straight Arrow Connector 10">
            <a:extLst>
              <a:ext uri="{FF2B5EF4-FFF2-40B4-BE49-F238E27FC236}">
                <a16:creationId xmlns:a16="http://schemas.microsoft.com/office/drawing/2014/main" id="{00000000-0008-0000-0C00-00000B000000}"/>
              </a:ext>
            </a:extLst>
          </xdr:cNvPr>
          <xdr:cNvCxnSpPr/>
        </xdr:nvCxnSpPr>
        <xdr:spPr>
          <a:xfrm flipV="1">
            <a:off x="1551584" y="3864592"/>
            <a:ext cx="635000" cy="20055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2" name="TextBox 11">
            <a:extLst>
              <a:ext uri="{FF2B5EF4-FFF2-40B4-BE49-F238E27FC236}">
                <a16:creationId xmlns:a16="http://schemas.microsoft.com/office/drawing/2014/main" id="{00000000-0008-0000-0C00-00000C000000}"/>
              </a:ext>
            </a:extLst>
          </xdr:cNvPr>
          <xdr:cNvSpPr txBox="1"/>
        </xdr:nvSpPr>
        <xdr:spPr>
          <a:xfrm>
            <a:off x="1551585" y="3716330"/>
            <a:ext cx="455706" cy="3039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10%</a:t>
            </a:r>
          </a:p>
        </xdr:txBody>
      </xdr:sp>
      <xdr:sp macro="" textlink="">
        <xdr:nvSpPr>
          <xdr:cNvPr id="13" name="TextBox 12">
            <a:extLst>
              <a:ext uri="{FF2B5EF4-FFF2-40B4-BE49-F238E27FC236}">
                <a16:creationId xmlns:a16="http://schemas.microsoft.com/office/drawing/2014/main" id="{00000000-0008-0000-0C00-00000D000000}"/>
              </a:ext>
            </a:extLst>
          </xdr:cNvPr>
          <xdr:cNvSpPr txBox="1"/>
        </xdr:nvSpPr>
        <xdr:spPr>
          <a:xfrm>
            <a:off x="3090927" y="3637142"/>
            <a:ext cx="455706" cy="305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5%</a:t>
            </a:r>
          </a:p>
        </xdr:txBody>
      </xdr:sp>
      <xdr:cxnSp macro="">
        <xdr:nvCxnSpPr>
          <xdr:cNvPr id="14" name="Straight Arrow Connector 13">
            <a:extLst>
              <a:ext uri="{FF2B5EF4-FFF2-40B4-BE49-F238E27FC236}">
                <a16:creationId xmlns:a16="http://schemas.microsoft.com/office/drawing/2014/main" id="{00000000-0008-0000-0C00-00000E000000}"/>
              </a:ext>
            </a:extLst>
          </xdr:cNvPr>
          <xdr:cNvCxnSpPr/>
        </xdr:nvCxnSpPr>
        <xdr:spPr>
          <a:xfrm flipV="1">
            <a:off x="3192527" y="3879533"/>
            <a:ext cx="328706" cy="9711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10</xdr:col>
      <xdr:colOff>92363</xdr:colOff>
      <xdr:row>204</xdr:row>
      <xdr:rowOff>173182</xdr:rowOff>
    </xdr:from>
    <xdr:to>
      <xdr:col>16</xdr:col>
      <xdr:colOff>69273</xdr:colOff>
      <xdr:row>215</xdr:row>
      <xdr:rowOff>184726</xdr:rowOff>
    </xdr:to>
    <xdr:sp macro="" textlink="">
      <xdr:nvSpPr>
        <xdr:cNvPr id="15" name="Rectangle 14">
          <a:extLst>
            <a:ext uri="{FF2B5EF4-FFF2-40B4-BE49-F238E27FC236}">
              <a16:creationId xmlns:a16="http://schemas.microsoft.com/office/drawing/2014/main" id="{00000000-0008-0000-0C00-00000F000000}"/>
            </a:ext>
          </a:extLst>
        </xdr:cNvPr>
        <xdr:cNvSpPr/>
      </xdr:nvSpPr>
      <xdr:spPr>
        <a:xfrm>
          <a:off x="6668423" y="39599062"/>
          <a:ext cx="2422930" cy="2023224"/>
        </a:xfrm>
        <a:prstGeom prst="rect">
          <a:avLst/>
        </a:prstGeom>
        <a:solidFill>
          <a:schemeClr val="accent1">
            <a:lumMod val="10000"/>
            <a:lumOff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rgbClr val="FF0000"/>
              </a:solidFill>
            </a:rPr>
            <a:t>Mất</a:t>
          </a:r>
          <a:r>
            <a:rPr lang="en-US" sz="1100" b="1" baseline="0">
              <a:solidFill>
                <a:srgbClr val="FF0000"/>
              </a:solidFill>
            </a:rPr>
            <a:t> Cân đối Tài sản ngăn hạn và dài hạn</a:t>
          </a:r>
        </a:p>
        <a:p>
          <a:pPr algn="l"/>
          <a:endParaRPr lang="en-US" sz="1100" baseline="0">
            <a:solidFill>
              <a:schemeClr val="tx1"/>
            </a:solidFill>
          </a:endParaRPr>
        </a:p>
        <a:p>
          <a:pPr algn="l"/>
          <a:r>
            <a:rPr lang="en-US" sz="1100" baseline="0">
              <a:solidFill>
                <a:schemeClr val="tx1"/>
              </a:solidFill>
            </a:rPr>
            <a:t>Nguyên nhân ban đầu có thể là do Công ty dùng nguồn vốn vay ngắn hạn tài trợ cho việc hình thành tài sản dài hạn </a:t>
          </a:r>
          <a:r>
            <a:rPr lang="en-US" sz="1100" b="1" i="1" baseline="0">
              <a:solidFill>
                <a:srgbClr val="FF0000"/>
              </a:solidFill>
            </a:rPr>
            <a:t>(cần kiểm tra lại) - Đặc biệt là ĐV 4.VietAvis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65313</xdr:colOff>
      <xdr:row>2</xdr:row>
      <xdr:rowOff>119742</xdr:rowOff>
    </xdr:from>
    <xdr:to>
      <xdr:col>15</xdr:col>
      <xdr:colOff>992131</xdr:colOff>
      <xdr:row>19</xdr:row>
      <xdr:rowOff>155756</xdr:rowOff>
    </xdr:to>
    <xdr:pic>
      <xdr:nvPicPr>
        <xdr:cNvPr id="2" name="Picture 1">
          <a:extLst>
            <a:ext uri="{FF2B5EF4-FFF2-40B4-BE49-F238E27FC236}">
              <a16:creationId xmlns:a16="http://schemas.microsoft.com/office/drawing/2014/main" id="{64349C3E-D1DF-4826-B85F-3CEE72CC1D39}"/>
            </a:ext>
          </a:extLst>
        </xdr:cNvPr>
        <xdr:cNvPicPr>
          <a:picLocks noChangeAspect="1"/>
        </xdr:cNvPicPr>
      </xdr:nvPicPr>
      <xdr:blipFill>
        <a:blip xmlns:r="http://schemas.openxmlformats.org/officeDocument/2006/relationships" r:embed="rId1"/>
        <a:stretch>
          <a:fillRect/>
        </a:stretch>
      </xdr:blipFill>
      <xdr:spPr>
        <a:xfrm>
          <a:off x="11510553" y="515982"/>
          <a:ext cx="10954738" cy="4577534"/>
        </a:xfrm>
        <a:prstGeom prst="rect">
          <a:avLst/>
        </a:prstGeom>
      </xdr:spPr>
    </xdr:pic>
    <xdr:clientData/>
  </xdr:twoCellAnchor>
  <xdr:twoCellAnchor editAs="oneCell">
    <xdr:from>
      <xdr:col>7</xdr:col>
      <xdr:colOff>97971</xdr:colOff>
      <xdr:row>19</xdr:row>
      <xdr:rowOff>163286</xdr:rowOff>
    </xdr:from>
    <xdr:to>
      <xdr:col>15</xdr:col>
      <xdr:colOff>1005736</xdr:colOff>
      <xdr:row>27</xdr:row>
      <xdr:rowOff>107849</xdr:rowOff>
    </xdr:to>
    <xdr:pic>
      <xdr:nvPicPr>
        <xdr:cNvPr id="3" name="Picture 2">
          <a:extLst>
            <a:ext uri="{FF2B5EF4-FFF2-40B4-BE49-F238E27FC236}">
              <a16:creationId xmlns:a16="http://schemas.microsoft.com/office/drawing/2014/main" id="{98C679C0-AE9E-4D0D-B3D2-B3D68FD02891}"/>
            </a:ext>
          </a:extLst>
        </xdr:cNvPr>
        <xdr:cNvPicPr>
          <a:picLocks noChangeAspect="1"/>
        </xdr:cNvPicPr>
      </xdr:nvPicPr>
      <xdr:blipFill>
        <a:blip xmlns:r="http://schemas.openxmlformats.org/officeDocument/2006/relationships" r:embed="rId2"/>
        <a:stretch>
          <a:fillRect/>
        </a:stretch>
      </xdr:blipFill>
      <xdr:spPr>
        <a:xfrm>
          <a:off x="11543211" y="5101046"/>
          <a:ext cx="10935685" cy="2535363"/>
        </a:xfrm>
        <a:prstGeom prst="rect">
          <a:avLst/>
        </a:prstGeom>
      </xdr:spPr>
    </xdr:pic>
    <xdr:clientData/>
  </xdr:twoCellAnchor>
  <xdr:twoCellAnchor editAs="oneCell">
    <xdr:from>
      <xdr:col>7</xdr:col>
      <xdr:colOff>100692</xdr:colOff>
      <xdr:row>28</xdr:row>
      <xdr:rowOff>27214</xdr:rowOff>
    </xdr:from>
    <xdr:to>
      <xdr:col>13</xdr:col>
      <xdr:colOff>102870</xdr:colOff>
      <xdr:row>38</xdr:row>
      <xdr:rowOff>18506</xdr:rowOff>
    </xdr:to>
    <xdr:pic>
      <xdr:nvPicPr>
        <xdr:cNvPr id="4" name="Picture 3">
          <a:extLst>
            <a:ext uri="{FF2B5EF4-FFF2-40B4-BE49-F238E27FC236}">
              <a16:creationId xmlns:a16="http://schemas.microsoft.com/office/drawing/2014/main" id="{DFDEE3A8-3FFF-4797-ACA5-06234B8451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545932" y="7753894"/>
          <a:ext cx="7195458" cy="19724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19</xdr:col>
      <xdr:colOff>560294</xdr:colOff>
      <xdr:row>74</xdr:row>
      <xdr:rowOff>0</xdr:rowOff>
    </xdr:from>
    <xdr:ext cx="184731" cy="264560"/>
    <xdr:sp macro="" textlink="">
      <xdr:nvSpPr>
        <xdr:cNvPr id="2" name="TextBox 1">
          <a:extLst>
            <a:ext uri="{FF2B5EF4-FFF2-40B4-BE49-F238E27FC236}">
              <a16:creationId xmlns:a16="http://schemas.microsoft.com/office/drawing/2014/main" id="{00000000-0008-0000-1300-000002000000}"/>
            </a:ext>
          </a:extLst>
        </xdr:cNvPr>
        <xdr:cNvSpPr txBox="1"/>
      </xdr:nvSpPr>
      <xdr:spPr>
        <a:xfrm>
          <a:off x="12390120" y="147370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16</xdr:col>
      <xdr:colOff>174170</xdr:colOff>
      <xdr:row>1</xdr:row>
      <xdr:rowOff>125188</xdr:rowOff>
    </xdr:from>
    <xdr:to>
      <xdr:col>27</xdr:col>
      <xdr:colOff>337456</xdr:colOff>
      <xdr:row>32</xdr:row>
      <xdr:rowOff>87088</xdr:rowOff>
    </xdr:to>
    <xdr:graphicFrame macro="">
      <xdr:nvGraphicFramePr>
        <xdr:cNvPr id="3" name="Chart 2">
          <a:extLst>
            <a:ext uri="{FF2B5EF4-FFF2-40B4-BE49-F238E27FC236}">
              <a16:creationId xmlns:a16="http://schemas.microsoft.com/office/drawing/2014/main" id="{256A4279-CA68-4977-976B-8597A32B0F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14</xdr:col>
      <xdr:colOff>476259</xdr:colOff>
      <xdr:row>33</xdr:row>
      <xdr:rowOff>76209</xdr:rowOff>
    </xdr:from>
    <xdr:to>
      <xdr:col>22</xdr:col>
      <xdr:colOff>57159</xdr:colOff>
      <xdr:row>47</xdr:row>
      <xdr:rowOff>76209</xdr:rowOff>
    </xdr:to>
    <xdr:graphicFrame macro="">
      <xdr:nvGraphicFramePr>
        <xdr:cNvPr id="2" name="Chart 1">
          <a:extLst>
            <a:ext uri="{FF2B5EF4-FFF2-40B4-BE49-F238E27FC236}">
              <a16:creationId xmlns:a16="http://schemas.microsoft.com/office/drawing/2014/main" id="{97B52A29-4393-4445-83FA-D3179E8AD3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17</xdr:col>
      <xdr:colOff>370114</xdr:colOff>
      <xdr:row>55</xdr:row>
      <xdr:rowOff>21770</xdr:rowOff>
    </xdr:from>
    <xdr:to>
      <xdr:col>34</xdr:col>
      <xdr:colOff>32656</xdr:colOff>
      <xdr:row>89</xdr:row>
      <xdr:rowOff>76198</xdr:rowOff>
    </xdr:to>
    <xdr:graphicFrame macro="">
      <xdr:nvGraphicFramePr>
        <xdr:cNvPr id="2" name="Chart 1">
          <a:extLst>
            <a:ext uri="{FF2B5EF4-FFF2-40B4-BE49-F238E27FC236}">
              <a16:creationId xmlns:a16="http://schemas.microsoft.com/office/drawing/2014/main" id="{8E0C1FFC-0498-425D-80A5-9832B977D7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239486</xdr:colOff>
      <xdr:row>95</xdr:row>
      <xdr:rowOff>76200</xdr:rowOff>
    </xdr:from>
    <xdr:to>
      <xdr:col>34</xdr:col>
      <xdr:colOff>10886</xdr:colOff>
      <xdr:row>127</xdr:row>
      <xdr:rowOff>141513</xdr:rowOff>
    </xdr:to>
    <xdr:graphicFrame macro="">
      <xdr:nvGraphicFramePr>
        <xdr:cNvPr id="3" name="Chart 2">
          <a:extLst>
            <a:ext uri="{FF2B5EF4-FFF2-40B4-BE49-F238E27FC236}">
              <a16:creationId xmlns:a16="http://schemas.microsoft.com/office/drawing/2014/main" id="{F17F00B7-D0E4-4D45-8055-792D493516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292923</xdr:colOff>
      <xdr:row>132</xdr:row>
      <xdr:rowOff>132609</xdr:rowOff>
    </xdr:from>
    <xdr:to>
      <xdr:col>33</xdr:col>
      <xdr:colOff>609598</xdr:colOff>
      <xdr:row>160</xdr:row>
      <xdr:rowOff>174171</xdr:rowOff>
    </xdr:to>
    <xdr:graphicFrame macro="">
      <xdr:nvGraphicFramePr>
        <xdr:cNvPr id="11" name="Chart 10">
          <a:extLst>
            <a:ext uri="{FF2B5EF4-FFF2-40B4-BE49-F238E27FC236}">
              <a16:creationId xmlns:a16="http://schemas.microsoft.com/office/drawing/2014/main" id="{C64BF9B1-D71E-4B89-8320-CEF4229A9C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500742</xdr:colOff>
      <xdr:row>163</xdr:row>
      <xdr:rowOff>10884</xdr:rowOff>
    </xdr:from>
    <xdr:to>
      <xdr:col>34</xdr:col>
      <xdr:colOff>424541</xdr:colOff>
      <xdr:row>195</xdr:row>
      <xdr:rowOff>-1</xdr:rowOff>
    </xdr:to>
    <xdr:graphicFrame macro="">
      <xdr:nvGraphicFramePr>
        <xdr:cNvPr id="12" name="Chart 11">
          <a:extLst>
            <a:ext uri="{FF2B5EF4-FFF2-40B4-BE49-F238E27FC236}">
              <a16:creationId xmlns:a16="http://schemas.microsoft.com/office/drawing/2014/main" id="{1690B79A-C378-44F4-A1CF-25CD6715E7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125186</xdr:colOff>
      <xdr:row>8</xdr:row>
      <xdr:rowOff>59871</xdr:rowOff>
    </xdr:from>
    <xdr:to>
      <xdr:col>17</xdr:col>
      <xdr:colOff>43542</xdr:colOff>
      <xdr:row>29</xdr:row>
      <xdr:rowOff>54429</xdr:rowOff>
    </xdr:to>
    <xdr:graphicFrame macro="">
      <xdr:nvGraphicFramePr>
        <xdr:cNvPr id="13" name="Chart 12">
          <a:extLst>
            <a:ext uri="{FF2B5EF4-FFF2-40B4-BE49-F238E27FC236}">
              <a16:creationId xmlns:a16="http://schemas.microsoft.com/office/drawing/2014/main" id="{303FFC46-84D8-4D64-B51C-0D02D4486F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141514</xdr:colOff>
      <xdr:row>30</xdr:row>
      <xdr:rowOff>163286</xdr:rowOff>
    </xdr:from>
    <xdr:to>
      <xdr:col>30</xdr:col>
      <xdr:colOff>435428</xdr:colOff>
      <xdr:row>51</xdr:row>
      <xdr:rowOff>21771</xdr:rowOff>
    </xdr:to>
    <xdr:graphicFrame macro="">
      <xdr:nvGraphicFramePr>
        <xdr:cNvPr id="14" name="Chart 13">
          <a:extLst>
            <a:ext uri="{FF2B5EF4-FFF2-40B4-BE49-F238E27FC236}">
              <a16:creationId xmlns:a16="http://schemas.microsoft.com/office/drawing/2014/main" id="{F7BF0E39-A448-4984-BF9A-C4372A7EF3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31</xdr:col>
      <xdr:colOff>346363</xdr:colOff>
      <xdr:row>30</xdr:row>
      <xdr:rowOff>69272</xdr:rowOff>
    </xdr:from>
    <xdr:to>
      <xdr:col>45</xdr:col>
      <xdr:colOff>180109</xdr:colOff>
      <xdr:row>53</xdr:row>
      <xdr:rowOff>13854</xdr:rowOff>
    </xdr:to>
    <xdr:graphicFrame macro="">
      <xdr:nvGraphicFramePr>
        <xdr:cNvPr id="15" name="Chart 14">
          <a:extLst>
            <a:ext uri="{FF2B5EF4-FFF2-40B4-BE49-F238E27FC236}">
              <a16:creationId xmlns:a16="http://schemas.microsoft.com/office/drawing/2014/main" id="{E8EA4E19-A216-47CF-84ED-9AC1D156D1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424545</xdr:colOff>
      <xdr:row>22</xdr:row>
      <xdr:rowOff>62982</xdr:rowOff>
    </xdr:from>
    <xdr:to>
      <xdr:col>15</xdr:col>
      <xdr:colOff>620486</xdr:colOff>
      <xdr:row>47</xdr:row>
      <xdr:rowOff>21772</xdr:rowOff>
    </xdr:to>
    <xdr:graphicFrame macro="">
      <xdr:nvGraphicFramePr>
        <xdr:cNvPr id="2" name="Chart 1">
          <a:extLst>
            <a:ext uri="{FF2B5EF4-FFF2-40B4-BE49-F238E27FC236}">
              <a16:creationId xmlns:a16="http://schemas.microsoft.com/office/drawing/2014/main" id="{FA1C05BB-C224-4625-8A93-F5B46411A6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402771</xdr:colOff>
      <xdr:row>58</xdr:row>
      <xdr:rowOff>-1</xdr:rowOff>
    </xdr:from>
    <xdr:to>
      <xdr:col>16</xdr:col>
      <xdr:colOff>32656</xdr:colOff>
      <xdr:row>77</xdr:row>
      <xdr:rowOff>87086</xdr:rowOff>
    </xdr:to>
    <xdr:graphicFrame macro="">
      <xdr:nvGraphicFramePr>
        <xdr:cNvPr id="3" name="Chart 2">
          <a:extLst>
            <a:ext uri="{FF2B5EF4-FFF2-40B4-BE49-F238E27FC236}">
              <a16:creationId xmlns:a16="http://schemas.microsoft.com/office/drawing/2014/main" id="{F5D35C28-7562-4807-AB72-599D60A08B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617765</xdr:colOff>
      <xdr:row>88</xdr:row>
      <xdr:rowOff>111330</xdr:rowOff>
    </xdr:from>
    <xdr:to>
      <xdr:col>5</xdr:col>
      <xdr:colOff>13607</xdr:colOff>
      <xdr:row>105</xdr:row>
      <xdr:rowOff>63083</xdr:rowOff>
    </xdr:to>
    <xdr:graphicFrame macro="">
      <xdr:nvGraphicFramePr>
        <xdr:cNvPr id="4" name="Chart 3">
          <a:extLst>
            <a:ext uri="{FF2B5EF4-FFF2-40B4-BE49-F238E27FC236}">
              <a16:creationId xmlns:a16="http://schemas.microsoft.com/office/drawing/2014/main" id="{6EF4BA3D-FC04-452D-A308-EB380106DA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1018723</xdr:colOff>
      <xdr:row>60</xdr:row>
      <xdr:rowOff>43543</xdr:rowOff>
    </xdr:from>
    <xdr:to>
      <xdr:col>15</xdr:col>
      <xdr:colOff>424543</xdr:colOff>
      <xdr:row>60</xdr:row>
      <xdr:rowOff>56960</xdr:rowOff>
    </xdr:to>
    <xdr:cxnSp macro="">
      <xdr:nvCxnSpPr>
        <xdr:cNvPr id="5" name="Straight Connector 4">
          <a:extLst>
            <a:ext uri="{FF2B5EF4-FFF2-40B4-BE49-F238E27FC236}">
              <a16:creationId xmlns:a16="http://schemas.microsoft.com/office/drawing/2014/main" id="{15C166C8-DCB8-446D-8373-0226F4DCE3B8}"/>
            </a:ext>
          </a:extLst>
        </xdr:cNvPr>
        <xdr:cNvCxnSpPr/>
      </xdr:nvCxnSpPr>
      <xdr:spPr>
        <a:xfrm flipV="1">
          <a:off x="1726294" y="11244943"/>
          <a:ext cx="10041163" cy="13417"/>
        </a:xfrm>
        <a:prstGeom prst="line">
          <a:avLst/>
        </a:prstGeom>
        <a:ln w="12700">
          <a:solidFill>
            <a:srgbClr val="C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306158</xdr:colOff>
      <xdr:row>88</xdr:row>
      <xdr:rowOff>182087</xdr:rowOff>
    </xdr:from>
    <xdr:to>
      <xdr:col>12</xdr:col>
      <xdr:colOff>585882</xdr:colOff>
      <xdr:row>105</xdr:row>
      <xdr:rowOff>139282</xdr:rowOff>
    </xdr:to>
    <xdr:graphicFrame macro="">
      <xdr:nvGraphicFramePr>
        <xdr:cNvPr id="6" name="Chart 5">
          <a:extLst>
            <a:ext uri="{FF2B5EF4-FFF2-40B4-BE49-F238E27FC236}">
              <a16:creationId xmlns:a16="http://schemas.microsoft.com/office/drawing/2014/main" id="{D48595CD-57A5-46C0-B10B-BEE52FE5B6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446315</xdr:colOff>
      <xdr:row>139</xdr:row>
      <xdr:rowOff>76200</xdr:rowOff>
    </xdr:from>
    <xdr:to>
      <xdr:col>16</xdr:col>
      <xdr:colOff>10885</xdr:colOff>
      <xdr:row>155</xdr:row>
      <xdr:rowOff>144234</xdr:rowOff>
    </xdr:to>
    <xdr:graphicFrame macro="">
      <xdr:nvGraphicFramePr>
        <xdr:cNvPr id="3" name="Chart 2">
          <a:extLst>
            <a:ext uri="{FF2B5EF4-FFF2-40B4-BE49-F238E27FC236}">
              <a16:creationId xmlns:a16="http://schemas.microsoft.com/office/drawing/2014/main" id="{22163A69-9082-4578-A13F-E8C837AC81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247834</xdr:colOff>
      <xdr:row>169</xdr:row>
      <xdr:rowOff>174808</xdr:rowOff>
    </xdr:from>
    <xdr:to>
      <xdr:col>16</xdr:col>
      <xdr:colOff>0</xdr:colOff>
      <xdr:row>189</xdr:row>
      <xdr:rowOff>163285</xdr:rowOff>
    </xdr:to>
    <xdr:graphicFrame macro="">
      <xdr:nvGraphicFramePr>
        <xdr:cNvPr id="4" name="Chart 3">
          <a:extLst>
            <a:ext uri="{FF2B5EF4-FFF2-40B4-BE49-F238E27FC236}">
              <a16:creationId xmlns:a16="http://schemas.microsoft.com/office/drawing/2014/main" id="{628559D8-1BF7-4F89-A507-C8FFD37B0D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457200</xdr:colOff>
      <xdr:row>104</xdr:row>
      <xdr:rowOff>97972</xdr:rowOff>
    </xdr:from>
    <xdr:to>
      <xdr:col>15</xdr:col>
      <xdr:colOff>1066800</xdr:colOff>
      <xdr:row>119</xdr:row>
      <xdr:rowOff>174172</xdr:rowOff>
    </xdr:to>
    <xdr:graphicFrame macro="">
      <xdr:nvGraphicFramePr>
        <xdr:cNvPr id="5" name="Chart 4">
          <a:extLst>
            <a:ext uri="{FF2B5EF4-FFF2-40B4-BE49-F238E27FC236}">
              <a16:creationId xmlns:a16="http://schemas.microsoft.com/office/drawing/2014/main" id="{6EE69783-DDDC-4845-AE3D-8DB8038393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653144</xdr:colOff>
      <xdr:row>67</xdr:row>
      <xdr:rowOff>141514</xdr:rowOff>
    </xdr:from>
    <xdr:to>
      <xdr:col>16</xdr:col>
      <xdr:colOff>65314</xdr:colOff>
      <xdr:row>91</xdr:row>
      <xdr:rowOff>169032</xdr:rowOff>
    </xdr:to>
    <xdr:graphicFrame macro="">
      <xdr:nvGraphicFramePr>
        <xdr:cNvPr id="6" name="Chart 5">
          <a:extLst>
            <a:ext uri="{FF2B5EF4-FFF2-40B4-BE49-F238E27FC236}">
              <a16:creationId xmlns:a16="http://schemas.microsoft.com/office/drawing/2014/main" id="{9D520B1F-B991-47B4-8802-756303E0FE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519974</xdr:colOff>
      <xdr:row>13</xdr:row>
      <xdr:rowOff>97972</xdr:rowOff>
    </xdr:from>
    <xdr:to>
      <xdr:col>15</xdr:col>
      <xdr:colOff>914400</xdr:colOff>
      <xdr:row>27</xdr:row>
      <xdr:rowOff>141515</xdr:rowOff>
    </xdr:to>
    <xdr:graphicFrame macro="">
      <xdr:nvGraphicFramePr>
        <xdr:cNvPr id="8" name="Chart 7">
          <a:extLst>
            <a:ext uri="{FF2B5EF4-FFF2-40B4-BE49-F238E27FC236}">
              <a16:creationId xmlns:a16="http://schemas.microsoft.com/office/drawing/2014/main" id="{F5B1CC4A-E309-4F71-95C8-0635CC6826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41004</xdr:colOff>
      <xdr:row>44</xdr:row>
      <xdr:rowOff>1989</xdr:rowOff>
    </xdr:from>
    <xdr:to>
      <xdr:col>7</xdr:col>
      <xdr:colOff>327532</xdr:colOff>
      <xdr:row>57</xdr:row>
      <xdr:rowOff>152400</xdr:rowOff>
    </xdr:to>
    <xdr:graphicFrame macro="">
      <xdr:nvGraphicFramePr>
        <xdr:cNvPr id="10" name="Chart 9">
          <a:extLst>
            <a:ext uri="{FF2B5EF4-FFF2-40B4-BE49-F238E27FC236}">
              <a16:creationId xmlns:a16="http://schemas.microsoft.com/office/drawing/2014/main" id="{3EBEEC24-B220-4812-8658-A3BED5A0E9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18</xdr:col>
      <xdr:colOff>337393</xdr:colOff>
      <xdr:row>27</xdr:row>
      <xdr:rowOff>83604</xdr:rowOff>
    </xdr:from>
    <xdr:to>
      <xdr:col>39</xdr:col>
      <xdr:colOff>744682</xdr:colOff>
      <xdr:row>58</xdr:row>
      <xdr:rowOff>121228</xdr:rowOff>
    </xdr:to>
    <xdr:graphicFrame macro="">
      <xdr:nvGraphicFramePr>
        <xdr:cNvPr id="2" name="Chart 1">
          <a:extLst>
            <a:ext uri="{FF2B5EF4-FFF2-40B4-BE49-F238E27FC236}">
              <a16:creationId xmlns:a16="http://schemas.microsoft.com/office/drawing/2014/main" id="{2D85D8CB-4608-485D-B136-F861A1036D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270596</xdr:colOff>
      <xdr:row>61</xdr:row>
      <xdr:rowOff>119809</xdr:rowOff>
    </xdr:from>
    <xdr:to>
      <xdr:col>27</xdr:col>
      <xdr:colOff>484909</xdr:colOff>
      <xdr:row>84</xdr:row>
      <xdr:rowOff>103909</xdr:rowOff>
    </xdr:to>
    <xdr:graphicFrame macro="">
      <xdr:nvGraphicFramePr>
        <xdr:cNvPr id="3" name="Chart 2">
          <a:extLst>
            <a:ext uri="{FF2B5EF4-FFF2-40B4-BE49-F238E27FC236}">
              <a16:creationId xmlns:a16="http://schemas.microsoft.com/office/drawing/2014/main" id="{3192D679-0C87-41EF-9FD3-2B526D1B8A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658090</xdr:colOff>
      <xdr:row>27</xdr:row>
      <xdr:rowOff>103911</xdr:rowOff>
    </xdr:from>
    <xdr:to>
      <xdr:col>18</xdr:col>
      <xdr:colOff>51954</xdr:colOff>
      <xdr:row>58</xdr:row>
      <xdr:rowOff>121229</xdr:rowOff>
    </xdr:to>
    <xdr:graphicFrame macro="">
      <xdr:nvGraphicFramePr>
        <xdr:cNvPr id="5" name="Chart 4">
          <a:extLst>
            <a:ext uri="{FF2B5EF4-FFF2-40B4-BE49-F238E27FC236}">
              <a16:creationId xmlns:a16="http://schemas.microsoft.com/office/drawing/2014/main" id="{23606FC3-EA50-487E-B668-CB5BBCC734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651594</xdr:colOff>
      <xdr:row>60</xdr:row>
      <xdr:rowOff>28932</xdr:rowOff>
    </xdr:from>
    <xdr:to>
      <xdr:col>16</xdr:col>
      <xdr:colOff>17318</xdr:colOff>
      <xdr:row>84</xdr:row>
      <xdr:rowOff>69273</xdr:rowOff>
    </xdr:to>
    <xdr:graphicFrame macro="">
      <xdr:nvGraphicFramePr>
        <xdr:cNvPr id="2" name="Chart 1">
          <a:extLst>
            <a:ext uri="{FF2B5EF4-FFF2-40B4-BE49-F238E27FC236}">
              <a16:creationId xmlns:a16="http://schemas.microsoft.com/office/drawing/2014/main" id="{9EF6D2D0-3DA0-430B-831E-64620373C2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599639</xdr:colOff>
      <xdr:row>21</xdr:row>
      <xdr:rowOff>59866</xdr:rowOff>
    </xdr:from>
    <xdr:to>
      <xdr:col>15</xdr:col>
      <xdr:colOff>571500</xdr:colOff>
      <xdr:row>51</xdr:row>
      <xdr:rowOff>17319</xdr:rowOff>
    </xdr:to>
    <xdr:graphicFrame macro="">
      <xdr:nvGraphicFramePr>
        <xdr:cNvPr id="3" name="Chart 2">
          <a:extLst>
            <a:ext uri="{FF2B5EF4-FFF2-40B4-BE49-F238E27FC236}">
              <a16:creationId xmlns:a16="http://schemas.microsoft.com/office/drawing/2014/main" id="{6D21D5A8-3EE1-446C-AED3-302E487360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357840</xdr:colOff>
      <xdr:row>21</xdr:row>
      <xdr:rowOff>94501</xdr:rowOff>
    </xdr:from>
    <xdr:to>
      <xdr:col>29</xdr:col>
      <xdr:colOff>536864</xdr:colOff>
      <xdr:row>51</xdr:row>
      <xdr:rowOff>51955</xdr:rowOff>
    </xdr:to>
    <xdr:graphicFrame macro="">
      <xdr:nvGraphicFramePr>
        <xdr:cNvPr id="6" name="Chart 5">
          <a:extLst>
            <a:ext uri="{FF2B5EF4-FFF2-40B4-BE49-F238E27FC236}">
              <a16:creationId xmlns:a16="http://schemas.microsoft.com/office/drawing/2014/main" id="{5CA3B676-80E3-40A8-AA7B-51A030CB75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21957</xdr:colOff>
      <xdr:row>17</xdr:row>
      <xdr:rowOff>69513</xdr:rowOff>
    </xdr:from>
    <xdr:to>
      <xdr:col>9</xdr:col>
      <xdr:colOff>48054</xdr:colOff>
      <xdr:row>35</xdr:row>
      <xdr:rowOff>144162</xdr:rowOff>
    </xdr:to>
    <xdr:graphicFrame macro="">
      <xdr:nvGraphicFramePr>
        <xdr:cNvPr id="3" name="Chart 2">
          <a:extLst>
            <a:ext uri="{FF2B5EF4-FFF2-40B4-BE49-F238E27FC236}">
              <a16:creationId xmlns:a16="http://schemas.microsoft.com/office/drawing/2014/main" id="{00000000-0008-0000-3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J:\Dung%20Quat\Goi3\PNT-P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ACKUP_SERVER\Audit%20Backup\My%20Documents\Formosa\FPM\F-Inventori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hi_kh\huong_xl1\Congviec\Tam.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hailt/Desktop/Green%20Park%20Phuong%20Dong/T&#224;i%20s&#7843;n%20h&#236;nh%20th&#224;nh%20trong%20t&#432;&#417;ng%20lai/Bao%20cao/A/BCNCKT/B_Can/Ba_be"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Chi\N%20gui%20anh%20Chi\Projects\LPG%20Godau\Rev.C\CONG%20VIEC\NAM2008\NC\Viet\THANH\DD%20CA%20MAU\6823%20PS%20170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hailt/Desktop/Green%20Park%20Phuong%20Dong/T&#224;i%20s&#7843;n%20h&#236;nh%20th&#224;nh%20trong%20t&#432;&#417;ng%20lai/Bao%20cao/A/DoAn/MLCN/Thach2"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Documents%20and%20Settings\Administrator\Desktop\thuongthuong\BC%20HB\CheckPig2007.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uong_kh\dung_chung\My%20Documents\TAMKY\tantt\tantt\tantt\BSQ3.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omputer\acc\ACC\HAI\DOMPUR\PUR03.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poochai\Conversion\Phase3.1\&#3619;&#3629;&#3610;&#3649;&#3619;&#3585;\rule\11109&#3585;&#3619;&#3632;&#3610;&#3637;&#365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uong_kh\dung_chung\My%20Documents\tantt\tantt\tantt\BSQ3.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hi_kh\huong_xl1\DO-HUONG\GT-BO\TKTC10-8\phong%20nen\DT-THL7.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Think\Desktop\Users\Administrator\Desktop\APPE%20bieu%20mau\Bao%20cao%20cua%20Tr&#7841;i%20APPE\New%20folder\TR&#7840;I%20V&#296;NH%20PH&#218;C\NGAY%208-4\BC%20QUAN-LY.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Users\Think\Desktop\Nhap%20xuat%20thuoc,%20vac%20xin.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TA022-N2\Construction\WORKS\6787\civil\final\option\6787CWFASE2CASE2_00.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Lu_thanh_binh\d\Luu_Tru\Ltb_ktkh\DZ220KV_Dau_Noi_sau_tram_500kV_Ha_Tinh\Gia_thau.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Presario\c\My%20Documents\HSMAU\KHUTEN.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C:\C:\Users\Mr.Nam\Downloads\k&#7871;%20ho&#7841;ch%20l&#432;&#417;ng%20vav.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J:\WINDOWS\TEMP\IBASE2.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uong_kh\dung_chung\My%20Documents\QTCNVHHK.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Suong_kh\dung_chung\My%20Documents\CTNTTH.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Documents%20and%20Settings\sonca\My%20Documents\CS3408\Standard\RP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M:\KHONGNEN.LUU\CHIHANH\DIA2\B-CAOQ~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resario\c\My%20Documents\XUANHA\tantt\QTCNVHHK.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H:\My%20Drive\C&#244;ng%20ty%20Th&#432;&#417;ng%20m&#7841;i%20S&#224;i%20G&#242;n\2022%20-%20Satra%20-%20H&#7907;p%20nh&#7845;t%20BCTC\BCKT%20HN%20SATRA%202022%20-10h30-05.06%20-%20TM%20Tr&#7843;%20tr&#432;&#7899;c%20Ng&#432;&#7901;i%20b&#225;n.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Tin\Policy&amp;Contract\Heo\Fattening%20income-11-2011%20.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C:\Users\HP\OneDrive\Documents\IVMA%202023\IPO\PHU%20GIA\5.%20Tai%20lieu%20PGG_g&#7917;i%20KH\BC%20r&#224;%20so&#225;t\BHM_PGG%20-%20BCTC%20tong%20hop%20(2023.10.26)%20-%20Copy.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Users\admin\Desktop\PGG%20-%20Dinh%20gia%20DN\Dinh%20gia\PGG-PP2%20DCF%20-%20KB2%20(V1-%2024.03.27).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C:\Users\admin\Desktop\BHM-%20Quang%20Phat\FM%20QP\IVMA-%20KVF%20Chung%20thu%20Gia%20tri%20VCSHDN%20V16%20(final).xlsm"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C:\Users\admin\Documents\Zalo%20Received%20Files\5.%20KHTSCD%202023%202.xlsm"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Zalo%20Received%20Files/BHM-QPG%20_%20(M&#7851;u%204)%20PH&#194;N%20T&#205;CH%20T&#192;I%20CH&#205;NH%20(V3-24.04.03)%20(1).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F:\Work\BHM\Quang%20Ph&#225;t\BC%20b&#225;n%20h&#224;ng\BHM%20-%20QPG%20_%20TH%20Bao%20cao%20ban%20hang%202020%20-%202023%20%20(V4%20-%2024.04.01).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Users\admin\Desktop\Quang-%20Camel-%20&#272;G%20PP%20Ty%20so%20Ver%20%20v11.xlsx" TargetMode="External"/></Relationships>
</file>

<file path=xl/externalLinks/_rels/externalLink34.xml.rels><?xml version="1.0" encoding="UTF-8" standalone="yes"?>
<Relationships xmlns="http://schemas.openxmlformats.org/package/2006/relationships"><Relationship Id="rId2" Type="http://schemas.openxmlformats.org/officeDocument/2006/relationships/externalLinkPath" Target="file:///F:\Work\BHM\Ph&#250;%20Gia\BHM_PGG%20-%20BCTC%20tong%20hop%20(2023.11.02)%20v3.xlsx" TargetMode="External"/><Relationship Id="rId1" Type="http://schemas.openxmlformats.org/officeDocument/2006/relationships/externalLinkPath" Target="file:///F:\Work\BHM\Ph&#250;%20Gia\BHM_PGG%20-%20BCTC%20tong%20hop%20(2023.11.02)%20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NT-QUOT-#3"/>
      <sheetName val="COAT&amp;WRAP-QIOT-#3"/>
      <sheetName val="XL4Poppy"/>
      <sheetName val="tmt4"/>
      <sheetName val="Sheet1"/>
      <sheetName val="t3-01"/>
      <sheetName val="t4-01"/>
      <sheetName val="t5-01"/>
      <sheetName val="t6-01"/>
      <sheetName val="t7-01"/>
      <sheetName val="t8-01"/>
      <sheetName val="t9-01"/>
      <sheetName val="t10-01"/>
      <sheetName val="t11-01"/>
      <sheetName val="t12-"/>
      <sheetName val="t1"/>
      <sheetName val="t2"/>
      <sheetName val="t3"/>
      <sheetName val="t4"/>
      <sheetName val="t5"/>
      <sheetName val="t06"/>
      <sheetName val="t07"/>
      <sheetName val="t08"/>
      <sheetName val="t09"/>
      <sheetName val="t10"/>
      <sheetName val="t11"/>
      <sheetName val="t12"/>
      <sheetName val="0103"/>
      <sheetName val="0203"/>
      <sheetName val="th-nop"/>
      <sheetName val="th"/>
      <sheetName val="00000000"/>
      <sheetName val="CVden ngoai TCT (1)"/>
      <sheetName val="CV den ngoai TCT (2)"/>
      <sheetName val="CV den ngoai TCT (3)"/>
      <sheetName val="QDcua TGD"/>
      <sheetName val="QD cua HDQT"/>
      <sheetName val="QD cua HDQT (2)"/>
      <sheetName val="CV di ngoai tong"/>
      <sheetName val="CV di ngoai tong (2)"/>
      <sheetName val="Chart1"/>
      <sheetName val="To trinh"/>
      <sheetName val="Giao nhiem vu"/>
      <sheetName val="QDcua TGD (2)"/>
      <sheetName val="Thong tu"/>
      <sheetName val="CV di trong  tong"/>
      <sheetName val="nghi dinh-CP"/>
      <sheetName val="CV den trong tong"/>
      <sheetName val="Sheet2"/>
      <sheetName val="Sheet3"/>
      <sheetName val="So Do"/>
      <sheetName val="KTTSCD - DLNA"/>
      <sheetName val="quÝ1"/>
      <sheetName val="10000000"/>
      <sheetName val="20000000"/>
      <sheetName val="30000000"/>
      <sheetName val="40000000"/>
      <sheetName val="50000000"/>
      <sheetName val="60000000"/>
      <sheetName val="Tuongchan"/>
      <sheetName val="Matduong"/>
      <sheetName val="Km274"/>
      <sheetName val="Km275"/>
      <sheetName val="Km276"/>
      <sheetName val="Km277 "/>
      <sheetName val="Km278"/>
      <sheetName val="Km279"/>
      <sheetName val="Km280"/>
      <sheetName val="Km281"/>
      <sheetName val="Km282"/>
      <sheetName val="Km283"/>
      <sheetName val="Km284"/>
      <sheetName val="Op mai 274"/>
      <sheetName val="Op mai 275"/>
      <sheetName val="Op mai 276"/>
      <sheetName val="Op mai 277"/>
      <sheetName val="Op mai 278"/>
      <sheetName val="Op mai 279"/>
      <sheetName val="Op mai 280"/>
      <sheetName val="Op mai 281"/>
      <sheetName val="Op mai 282"/>
      <sheetName val="Op mai 283"/>
      <sheetName val="Op mai 284"/>
      <sheetName val="Op mai"/>
      <sheetName val="XXXXXXXX"/>
      <sheetName val="Cong D75"/>
      <sheetName val="Cong D100"/>
      <sheetName val="Cong D150"/>
      <sheetName val="Cong 2D150"/>
      <sheetName val="Cong ban 0,7x0,7"/>
      <sheetName val="Cong ban 0,8x0,8"/>
      <sheetName val="Cong ban 1x1"/>
      <sheetName val="Cong ban 1x1,2"/>
      <sheetName val="Cong ban 1,5x1,5"/>
      <sheetName val="Cong ban 2x1,5"/>
      <sheetName val="Cong ban 2x2"/>
      <sheetName val="Tong hop"/>
      <sheetName val="Tong hop (2)"/>
      <sheetName val="Cong"/>
      <sheetName val="Cong cu"/>
      <sheetName val="Dinhhinh"/>
      <sheetName val="Cot thep"/>
      <sheetName val="Km274 - Km275"/>
      <sheetName val="Km275 - Km276"/>
      <sheetName val="Km276 - Km277"/>
      <sheetName val="Km277 - Km278"/>
      <sheetName val="Km278 - Km279"/>
      <sheetName val="Km279 - Km280"/>
      <sheetName val="Km280 - Km281"/>
      <sheetName val="Km281 - Km282"/>
      <sheetName val="Km282 - Km283"/>
      <sheetName val="Km283 - Km284"/>
      <sheetName val="Km284 - Km285"/>
      <sheetName val="Tong hop Op mai"/>
      <sheetName val="Km277 - Km278 "/>
      <sheetName val="Tong hop Matduong"/>
      <sheetName val="Kluong phu"/>
      <sheetName val="Lan can"/>
      <sheetName val="Ho lan"/>
      <sheetName val="Coc tieu"/>
      <sheetName val="Bien bao"/>
      <sheetName val="Ranh"/>
      <sheetName val="Muatb"/>
      <sheetName val="lapdat TB "/>
      <sheetName val="TNghiªm TB "/>
      <sheetName val="VËt liÖu"/>
      <sheetName val="vc-TBA"/>
      <sheetName val="Lap ®at ®iÖn"/>
      <sheetName val="TNghiÖm VL"/>
      <sheetName val="tt-TBA"/>
      <sheetName val="TDT"/>
      <sheetName val="TDT-TBA"/>
      <sheetName val="KSTK"/>
      <sheetName val="th "/>
      <sheetName val="tien luong"/>
      <sheetName val="dutoan"/>
      <sheetName val="CLech"/>
      <sheetName val="mong"/>
      <sheetName val="T6"/>
      <sheetName val="T.7"/>
      <sheetName val="T.8"/>
      <sheetName val="T8 (2)"/>
      <sheetName val="T.9"/>
      <sheetName val="T.10"/>
      <sheetName val="T.11"/>
      <sheetName val="T.12"/>
      <sheetName val="T11 "/>
      <sheetName val="5 nam (tach)"/>
      <sheetName val="5 nam (tach) (2)"/>
      <sheetName val="KH 2003"/>
      <sheetName val="CamPha"/>
      <sheetName val="MongCai"/>
      <sheetName val="70000000"/>
      <sheetName val="fOOD"/>
      <sheetName val="FORM hc"/>
      <sheetName val="FORM pc"/>
      <sheetName val="TH  goi 4-x"/>
      <sheetName val="TH Ky Anh"/>
      <sheetName val="Sheet2 (2)"/>
      <sheetName val="t7"/>
      <sheetName val="t8"/>
      <sheetName val="t9"/>
      <sheetName val="LuongT1"/>
      <sheetName val="LuongT2"/>
      <sheetName val="luongthang12"/>
      <sheetName val="LuongT11"/>
      <sheetName val="thang5"/>
      <sheetName val="thang6"/>
      <sheetName val="thang4"/>
      <sheetName val="LuongT3"/>
      <sheetName val="NKC"/>
      <sheetName val="SoquyTM"/>
      <sheetName val="TK 112"/>
      <sheetName val="TK 131"/>
      <sheetName val="TK133"/>
      <sheetName val="TK 141"/>
      <sheetName val="TK 153"/>
      <sheetName val="TK214"/>
      <sheetName val="TK 211"/>
      <sheetName val="TK 242"/>
      <sheetName val="TK33311"/>
      <sheetName val="TK331"/>
      <sheetName val="TK333"/>
      <sheetName val="TK 334"/>
      <sheetName val="TK711"/>
      <sheetName val="TK411"/>
      <sheetName val="TK421"/>
      <sheetName val="TK 511"/>
      <sheetName val="TK 515"/>
      <sheetName val="TK642"/>
      <sheetName val="TK 911"/>
      <sheetName val="TK811"/>
      <sheetName val="CDKT"/>
      <sheetName val="CDPS1"/>
      <sheetName val="KQKD"/>
      <sheetName val="KHTSCD1"/>
      <sheetName val="KHTSCD2"/>
      <sheetName val="SoCaiTM"/>
      <sheetName val="NK"/>
      <sheetName val="TK 154"/>
      <sheetName val="TK 632"/>
      <sheetName val="XNT1MC"/>
      <sheetName val="XNT2MC"/>
      <sheetName val="XNT3MC"/>
      <sheetName val="XNT4MC"/>
      <sheetName val="xnt 1 CP"/>
      <sheetName val="xnt 2 cp"/>
      <sheetName val="xnt 3 CP"/>
      <sheetName val="xnt 4 CP"/>
      <sheetName val="BC tuan1"/>
      <sheetName val="BC tuan2"/>
      <sheetName val="BC tuan3"/>
      <sheetName val="BC tuan4"/>
      <sheetName val="DSo NVBH"/>
      <sheetName val="PNT_QUOT__3"/>
      <sheetName val="COAT_WRAP_QIOT__3"/>
      <sheetName val="Bia"/>
      <sheetName val="Tm"/>
      <sheetName val="THKP"/>
      <sheetName val="DGi"/>
      <sheetName val="TM01"/>
      <sheetName val="CDKTKT02"/>
      <sheetName val="KQKD02-2"/>
      <sheetName val="KQKD02-2 (2)"/>
      <sheetName val="CDKTKT03"/>
      <sheetName val="DC02"/>
      <sheetName val="CDPS02"/>
      <sheetName val="KQKDKT'02-1"/>
      <sheetName val="KQKDKT'03-1"/>
      <sheetName val="DC03"/>
      <sheetName val="CDKTKT04"/>
      <sheetName val="CCPS03"/>
      <sheetName val="CDPS04"/>
      <sheetName val="KQKDKT'04-1"/>
      <sheetName val="DC04"/>
      <sheetName val="TSCD"/>
      <sheetName val="DC2002"/>
      <sheetName val="CDKTKT2002"/>
      <sheetName val="KQKD-2"/>
      <sheetName val="KQKD-2 (2)"/>
      <sheetName val="DC2003"/>
      <sheetName val="CDPS03"/>
      <sheetName val="KQKD thu2004"/>
      <sheetName val="tæng hîp"/>
      <sheetName val="GS01-chi TM"/>
      <sheetName val="GS02-thu TM"/>
      <sheetName val="GS03-thu TGNH"/>
      <sheetName val="GS04-chi TGNH"/>
      <sheetName val="GS05-l­¬ng"/>
      <sheetName val="GS06-X.kho"/>
      <sheetName val="06"/>
      <sheetName val="GS08-B.hµng"/>
      <sheetName val="GS09-k.c VAT DV"/>
      <sheetName val="GS10-lai tien vay"/>
      <sheetName val="GS11- tÝnh KHTSC§"/>
      <sheetName val="Sheet16"/>
      <sheetName val="PTH"/>
      <sheetName val="phan tich DG"/>
      <sheetName val="gia vat lieu"/>
      <sheetName val="gia xe may"/>
      <sheetName val="gia nhan cong"/>
      <sheetName val="XL4Test5"/>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kl m m d"/>
      <sheetName val="kl vt tho"/>
      <sheetName val="kl dat"/>
      <sheetName val="Sheet4"/>
      <sheetName val="xin kinh phi"/>
      <sheetName val="lan trai"/>
      <sheetName val="thuoc no"/>
      <sheetName val="so thuc pham"/>
      <sheetName val="CV den trong to聮g"/>
      <sheetName val="PNT-QUOT-D150#3"/>
      <sheetName val="PNT-QUOT-H153#3"/>
      <sheetName val="PNT-QUOT-K152#3"/>
      <sheetName val="PNT-QUOT-H146#3"/>
      <sheetName val="Oð mai 279"/>
      <sheetName val="mau kiem ke"/>
      <sheetName val="quyet toan HD 2000"/>
      <sheetName val="quyet toan hoa don 2001"/>
      <sheetName val="kiem ke hoa don 2001"/>
      <sheetName val="QUY III 02"/>
      <sheetName val="QUY IV 02"/>
      <sheetName val="QUYET TOAN 02"/>
      <sheetName val="Sheet15"/>
      <sheetName val="SOLIEU"/>
      <sheetName val="TINHTOAN"/>
      <sheetName val="ȴ0000000"/>
      <sheetName val="BangTH"/>
      <sheetName val="Xaylap "/>
      <sheetName val="Nhan cong"/>
      <sheetName val="Thietbi"/>
      <sheetName val="Diengiai"/>
      <sheetName val="Vanchuyen"/>
      <sheetName val="Thang06-2002"/>
      <sheetName val="Thang07-2002"/>
      <sheetName val="Thang08-2002"/>
      <sheetName val="Thang09-2002"/>
      <sheetName val="Thang10-2002 "/>
      <sheetName val="Thang11-2002"/>
      <sheetName val="Thang12-2002"/>
      <sheetName val="Sheet1 (3)"/>
      <sheetName val="Shedt1"/>
      <sheetName val="_x0012_0000000"/>
      <sheetName val="T_x000b_331"/>
      <sheetName val="XLÇ_x0015_oppy"/>
      <sheetName val="p0000000"/>
      <sheetName val="Song ban 0,7x0,7"/>
      <sheetName val="Cong ban 0,8x ,8"/>
      <sheetName val="Km27' - Km278"/>
      <sheetName val="Cong ban 1,5_x0013__x0000_"/>
      <sheetName val="Coc 6"/>
      <sheetName val="Deo nai"/>
      <sheetName val="CKD than"/>
      <sheetName val="CTT Thong nhat"/>
      <sheetName val="CTT Nui beo"/>
      <sheetName val="CTT cao son"/>
      <sheetName val="CTT Khe cham"/>
      <sheetName val="XNxlva sxthanKCII"/>
      <sheetName val="Cam Y ut KC"/>
      <sheetName val="CTxay lap mo CP"/>
      <sheetName val="CTdo luong GDSP"/>
      <sheetName val="Dong bac"/>
      <sheetName val="Cac cang UT mua than Dong bac"/>
      <sheetName val="cua hang vtu"/>
      <sheetName val="Khach hang le "/>
      <sheetName val="nhat ky 5"/>
      <sheetName val="cac cong ty van tai"/>
      <sheetName val="DGTL"/>
      <sheetName val="XN 1"/>
      <sheetName val="CT.XN1"/>
      <sheetName val="XCK"/>
      <sheetName val="CT.XNCK"/>
      <sheetName val="Hoasen"/>
      <sheetName val="S.hai"/>
      <sheetName val="HPC1"/>
      <sheetName val="No2"/>
      <sheetName val="CT N02"/>
      <sheetName val="C.Sap CT3"/>
      <sheetName val="CT.Csap.CT3"/>
      <sheetName val="CTVPCP"/>
      <sheetName val="Quan trac"/>
      <sheetName val="CS LB"/>
      <sheetName val="88 HBT"/>
      <sheetName val="69II"/>
      <sheetName val="CT 69II"/>
      <sheetName val="37 HV"/>
      <sheetName val="VPCP"/>
      <sheetName val="CT VPCP 6tang"/>
      <sheetName val="Son nha kinh VPCP"/>
      <sheetName val="CT VPCP son"/>
      <sheetName val="HMVPCP"/>
      <sheetName val="CT.HMVPCP"/>
      <sheetName val="0304"/>
      <sheetName val="0904"/>
      <sheetName val="1204"/>
      <sheetName val="80000000"/>
      <sheetName val="90000000"/>
      <sheetName val="a0000000"/>
      <sheetName val="b0000000"/>
      <sheetName val="c0000000"/>
      <sheetName val="Macro1"/>
      <sheetName val="Macro2"/>
      <sheetName val="Macro3"/>
      <sheetName val="Kѭ284"/>
      <sheetName val="BKLBD"/>
      <sheetName val="PTDG"/>
      <sheetName val="DTCT"/>
      <sheetName val="vlct"/>
      <sheetName val="Sheet6"/>
      <sheetName val="Sheet7"/>
      <sheetName val="Sheet8"/>
      <sheetName val="Sheet9"/>
      <sheetName val="Sheet10"/>
      <sheetName val="Sheet11"/>
      <sheetName val="Sheet12"/>
      <sheetName val="Sheet13"/>
      <sheetName val="Sheet14"/>
      <sheetName val=""/>
      <sheetName val="TAU"/>
      <sheetName val="KHACH"/>
      <sheetName val="BC1"/>
      <sheetName val="BC2"/>
      <sheetName val="BAO CAO AN"/>
      <sheetName val="BANGKEKHACH"/>
      <sheetName val="Tong hop ၑL48 - 2"/>
      <sheetName val="Bao cao KQTH quy hoach 135"/>
      <sheetName val="Sheet5"/>
      <sheetName val="VÃt liÖu"/>
      <sheetName val="XXXXX\XX"/>
      <sheetName val="cocB40 5B"/>
      <sheetName val="cocD50 9A"/>
      <sheetName val="cocD75 16"/>
      <sheetName val="coc B80 TD25"/>
      <sheetName val="P27 B80"/>
      <sheetName val="Coc23 B80"/>
      <sheetName val="cong B80 C4"/>
      <sheetName val="Km283 - Jm284"/>
      <sheetName val="30100000"/>
      <sheetName val="Ton 31.1"/>
      <sheetName val="NhapT.2"/>
      <sheetName val="Xuat T.2"/>
      <sheetName val="Ton 28.2"/>
      <sheetName val="H.Tra"/>
      <sheetName val="Hang CTY TRA LAI"/>
      <sheetName val="Hang NV Tra Lai"/>
      <sheetName val="Thang 07"/>
      <sheetName val="T10-05"/>
      <sheetName val="T9-05"/>
      <sheetName val="t805"/>
      <sheetName val="11T"/>
      <sheetName val="9T"/>
      <sheetName val="xdcb 01-2003"/>
      <sheetName val="ct luong "/>
      <sheetName val="Nhap 6T"/>
      <sheetName val="baocaochinh(qui1.05) (DC)"/>
      <sheetName val="Ctuluongq.1.05"/>
      <sheetName val="BANG PHAN BO qui1.05(DC)"/>
      <sheetName val="BANG PHAN BO quiII.05"/>
      <sheetName val="bao cac cinh Qui II-2005"/>
      <sheetName val="Áo"/>
      <sheetName val="ADKT"/>
      <sheetName val="Km&quot;80"/>
      <sheetName val="TNghiªm T_x0002_ "/>
      <sheetName val="tt-_x0014_BA"/>
      <sheetName val="TD_x0014_"/>
      <sheetName val="_x0014_.12"/>
      <sheetName val="QD c5a HDQT (2)"/>
      <sheetName val="_x0003_hart1"/>
      <sheetName val="Lap ®at ®hÖn"/>
      <sheetName val="chieudayvo"/>
      <sheetName val="So lieu"/>
      <sheetName val="Input"/>
      <sheetName val="tt chu dong"/>
      <sheetName val="Tinh j+cvi"/>
      <sheetName val="Tinh MoP"/>
      <sheetName val="giaihe1"/>
      <sheetName val="Mp,Np"/>
      <sheetName val="khangluc"/>
      <sheetName val="Ms,Ns"/>
      <sheetName val="MoS"/>
      <sheetName val="giai he 2"/>
      <sheetName val="OK"/>
      <sheetName val="Dhp+dhs"/>
      <sheetName val="ktra"/>
      <sheetName val="Khac DP"/>
      <sheetName val="Khoi than "/>
      <sheetName val="B3_208_than"/>
      <sheetName val="B3_208_TU"/>
      <sheetName val="B3_208_TW"/>
      <sheetName val="B3_208_DP"/>
      <sheetName val="B3_208_khac"/>
      <sheetName val="Dong$bac"/>
      <sheetName val="Mix-Tarpaulin"/>
      <sheetName val="Tarpaulin"/>
      <sheetName val="Price"/>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Monthly"/>
      <sheetName val="For Summary"/>
      <sheetName val="For Summary(KG)"/>
      <sheetName val="PP Cloth"/>
      <sheetName val="Mix-PP Cloth"/>
      <sheetName val="Material Price-PP"/>
      <sheetName val="QD cua "/>
      <sheetName val="Cong ban 1,5„—_x0013__x0000_"/>
      <sheetName val="Km27%"/>
      <sheetName val="O0 mai 279"/>
      <sheetName val="Op_x0000_mai 280"/>
      <sheetName val="Op mai 28_x0011_"/>
      <sheetName val="5 nam (tac`) (2)"/>
      <sheetName val="D%o nai"/>
      <sheetName val="CTT cao so."/>
      <sheetName val="XNxlva sxdhanKCII"/>
      <sheetName val="CTxay lap mo C_x0010_"/>
      <sheetName val="Giao nhÿÿÿÿvu"/>
      <sheetName val="⁋㌱Ա_x0000_䭔㌱س_x0000_䭔ㄠㄴ_x0006_牴湯⁧琠湯౧_x0000_杮楨搠湩⵨偃_x0006_匀敨瑥"/>
      <sheetName val="ၔong hop QL48 - 2"/>
      <sheetName val="XNxlva sxthanKCIÉ"/>
      <sheetName val="TDT-TBࡁ"/>
      <sheetName val="Op mai 2_x000c__x0000_"/>
      <sheetName val="_x0000_bÑi_x0003__x0000__x0000__x0000__x0000_²r_x0013__x0000_"/>
      <sheetName val="k, vt tho"/>
      <sheetName val="Km_x0012_77 "/>
      <sheetName val="Xa9lap "/>
      <sheetName val="K-280 - Km281"/>
      <sheetName val="Km280 ࠭ Km281"/>
      <sheetName val="_x0000__x000f__x0000__x0000__x0000_½"/>
      <sheetName val="_x0000__x0000_²r"/>
      <sheetName val="_x0000__x0000__x0000__x0000__x0000_M pc_x0006__x0000__x0000_CamPh_x0000__x0000_"/>
      <sheetName val="_x0000__x000d__x0000__x0000__x0000_âO"/>
      <sheetName val="_x000c__x0000__x0000__x0000__x0000__x0000__x0000__x0000__x000d__x0000__x0000__x0000_"/>
      <sheetName val="ADKTKT02"/>
      <sheetName val="[PNT-P3.xlsUTong hop (2)"/>
      <sheetName val="Km276 - Ke277"/>
      <sheetName val="[PNT-P3.xlsUKm279 - Km280"/>
      <sheetName val="nam2004"/>
      <sheetName val="So TSCD"/>
      <sheetName val="Bang phan bo KH TSCD"/>
      <sheetName val="The TSCD"/>
      <sheetName val="BTH- P.Chi "/>
      <sheetName val="BTH NVL"/>
      <sheetName val="NK-SC"/>
      <sheetName val="NK SO CAI"/>
      <sheetName val="The tinh Z"/>
      <sheetName val="So CFSXKD"/>
      <sheetName val="So TGNH 2002"/>
      <sheetName val="So quy TM 2002"/>
      <sheetName val="SCT NVL"/>
      <sheetName val="SCT TK 131"/>
      <sheetName val="So theo doi thue GTGT 2002"/>
      <sheetName val="BTH- P.Thu"/>
      <sheetName val="Thang8-02"/>
      <sheetName val="Thang9-02"/>
      <sheetName val="Thang10-02"/>
      <sheetName val="Thang11-02"/>
      <sheetName val="Thang12-02"/>
      <sheetName val="Thang01-03"/>
      <sheetName val="Thang02-03"/>
      <sheetName val="MTL$-INTER"/>
      <sheetName val="?0000000"/>
      <sheetName val="411"/>
      <sheetName val="632"/>
      <sheetName val="333"/>
      <sheetName val="Ther cao "/>
      <sheetName val="152"/>
      <sheetName val="111"/>
      <sheetName val="156"/>
      <sheetName val="So NVL"/>
      <sheetName val="511"/>
      <sheetName val="Nhat ký chung"/>
      <sheetName val="So 131"/>
      <sheetName val="So 331"/>
      <sheetName val="So 133"/>
      <sheetName val="So 3331"/>
      <sheetName val="So 334"/>
      <sheetName val="So 911"/>
      <sheetName val="So 421"/>
      <sheetName val="241"/>
      <sheetName val="642"/>
      <sheetName val="Khach iang le "/>
      <sheetName val="[PNT-P3.xlsѝKQKDKT'04-1"/>
      <sheetName val="CV den trong to?g"/>
      <sheetName val="K?284"/>
      <sheetName val="Tong hop ?L48 - 2"/>
      <sheetName val="???_x0000_???_x0000_???_x0006_??????_x0000_??????_x0006_???"/>
      <sheetName val="?ong hop QL48 - 2"/>
      <sheetName val="TDT-TB?"/>
      <sheetName val="Km280 ? Km281"/>
      <sheetName val="AA"/>
      <sheetName val="gìIÏÝ_x001c_Ã_x0008_ç¾{è"/>
      <sheetName val="BCDSPS"/>
      <sheetName val="BCDKT"/>
      <sheetName val="Baocao"/>
      <sheetName val="UT"/>
      <sheetName val="TongHopHD"/>
      <sheetName val="32"/>
      <sheetName val="33"/>
      <sheetName val="34"/>
      <sheetName val="35"/>
      <sheetName val="36"/>
      <sheetName val="37"/>
      <sheetName val="38"/>
      <sheetName val="PN1"/>
      <sheetName val="PN2"/>
      <sheetName val="PG1"/>
      <sheetName val="PG2"/>
      <sheetName val="TT"/>
      <sheetName val="HFO"/>
      <sheetName val="HFA"/>
      <sheetName val="FA2"/>
      <sheetName val="T_pn1"/>
      <sheetName val="T_pn2"/>
      <sheetName val="T_pg1"/>
      <sheetName val="T_pg2"/>
      <sheetName val="T_tt"/>
      <sheetName val="T_hfo"/>
      <sheetName val="T_p2"/>
      <sheetName val="T_hfa"/>
      <sheetName val="tong"/>
      <sheetName val="dt1,2,10"/>
      <sheetName val="13b"/>
      <sheetName val="pn1_TT"/>
      <sheetName val="pn2_TT"/>
      <sheetName val="PG1_TT"/>
      <sheetName val="PG2_TT"/>
      <sheetName val="tuathang"/>
      <sheetName val="hpho_TT"/>
      <sheetName val="Ban pha 2"/>
      <sheetName val="Huoipha"/>
      <sheetName val="mua vao"/>
      <sheetName val="chi phi "/>
      <sheetName val="ban ra 10%"/>
      <sheetName val="_x0014_M01"/>
      <sheetName val="GS02-thu0TM"/>
      <sheetName val="bc"/>
      <sheetName val="K.O"/>
      <sheetName val="xang _clc"/>
      <sheetName val="X¡NG_td"/>
      <sheetName val="MaZUT"/>
      <sheetName val="DIESEL"/>
      <sheetName val="Du tnan chi tiet coc nuoc"/>
      <sheetName val="gVL"/>
      <sheetName val="??-BLDG"/>
      <sheetName val="ESTI."/>
      <sheetName val="DI-ESTI"/>
      <sheetName val="DG "/>
      <sheetName val="Package1"/>
      <sheetName val="TL33-13.14"/>
      <sheetName val="tlđm190337,8"/>
      <sheetName val="GC190337,8"/>
      <sheetName val="033,7,8"/>
      <sheetName val="TL033 ,2,4"/>
      <sheetName val="TL 0331,2"/>
      <sheetName val="033-1,4"/>
      <sheetName val="TL033,19,5"/>
      <sheetName val="Dimu"/>
      <sheetName val="Klct"/>
      <sheetName val="Covi"/>
      <sheetName val="Nlvt"/>
      <sheetName val="Innl"/>
      <sheetName val="Invt"/>
      <sheetName val="Chon"/>
      <sheetName val="Qtnv"/>
      <sheetName val="Bqtn"/>
      <sheetName val="Bqtv"/>
      <sheetName val="Giao"/>
      <sheetName val="Dcap"/>
      <sheetName val="Nlie"/>
      <sheetName val="Mnli"/>
      <sheetName val="Don gia"/>
      <sheetName val="Nhap du lieu"/>
      <sheetName val="7000 000"/>
      <sheetName val="_x000b_luong phu"/>
      <sheetName val="K43"/>
      <sheetName val="THKL"/>
      <sheetName val="PL43"/>
      <sheetName val="K43+0.00 - 338 Trai"/>
      <sheetName val="Tong (op"/>
      <sheetName val="Coc 4ieu"/>
      <sheetName val="gìIÏÝ_x001c_齘_x0013_龜_x0013_ꗃ〒"/>
      <sheetName val="Thue NK"/>
      <sheetName val="Hang NK"/>
      <sheetName val="Jet1- CP 32"/>
      <sheetName val="Jet2- Binh Minh 01"/>
      <sheetName val="Jet3"/>
      <sheetName val="Jet4"/>
      <sheetName val="Jet5"/>
      <sheetName val="Jet6"/>
      <sheetName val="Jet7"/>
      <sheetName val="Jet8"/>
      <sheetName val="Jet9"/>
      <sheetName val="Jet10"/>
      <sheetName val="Jet11"/>
      <sheetName val="Diesel1"/>
      <sheetName val="Diesel2"/>
      <sheetName val="Diezel3"/>
      <sheetName val="Mogas1"/>
      <sheetName val="Mogas2"/>
      <sheetName val="Mogas3"/>
      <sheetName val="120"/>
      <sheetName val="IFAD"/>
      <sheetName val="CVHN"/>
      <sheetName val="TCVM"/>
      <sheetName val="RIDP"/>
      <sheetName val="LDNN"/>
      <sheetName val="GS08)B.hµng"/>
      <sheetName val="thaß26"/>
      <sheetName val="Km266"/>
      <sheetName val="DC2@ï4"/>
      <sheetName val="Cong baj 2x1,5"/>
      <sheetName val="CDÕTKT2002"/>
      <sheetName val="tldm190337,8"/>
      <sheetName val="tt chu don"/>
      <sheetName val="Shaet13"/>
      <sheetName val="Sÿÿÿÿ"/>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refreshError="1"/>
      <sheetData sheetId="283" refreshError="1"/>
      <sheetData sheetId="284" refreshError="1"/>
      <sheetData sheetId="285" refreshError="1"/>
      <sheetData sheetId="286" refreshError="1"/>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refreshError="1"/>
      <sheetData sheetId="315" refreshError="1"/>
      <sheetData sheetId="316" refreshError="1"/>
      <sheetData sheetId="317"/>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refreshError="1"/>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refreshError="1"/>
      <sheetData sheetId="389"/>
      <sheetData sheetId="390"/>
      <sheetData sheetId="391"/>
      <sheetData sheetId="392"/>
      <sheetData sheetId="393"/>
      <sheetData sheetId="394"/>
      <sheetData sheetId="395"/>
      <sheetData sheetId="396" refreshError="1"/>
      <sheetData sheetId="397" refreshError="1"/>
      <sheetData sheetId="398"/>
      <sheetData sheetId="399" refreshError="1"/>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refreshError="1"/>
      <sheetData sheetId="432" refreshError="1"/>
      <sheetData sheetId="433"/>
      <sheetData sheetId="434"/>
      <sheetData sheetId="435"/>
      <sheetData sheetId="436"/>
      <sheetData sheetId="437"/>
      <sheetData sheetId="438" refreshError="1"/>
      <sheetData sheetId="439" refreshError="1"/>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refreshError="1"/>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refreshError="1"/>
      <sheetData sheetId="505" refreshError="1"/>
      <sheetData sheetId="506" refreshError="1"/>
      <sheetData sheetId="507" refreshError="1"/>
      <sheetData sheetId="508" refreshError="1"/>
      <sheetData sheetId="509"/>
      <sheetData sheetId="510" refreshError="1"/>
      <sheetData sheetId="511" refreshError="1"/>
      <sheetData sheetId="512" refreshError="1"/>
      <sheetData sheetId="513" refreshError="1"/>
      <sheetData sheetId="514"/>
      <sheetData sheetId="515" refreshError="1"/>
      <sheetData sheetId="516"/>
      <sheetData sheetId="517" refreshError="1"/>
      <sheetData sheetId="518"/>
      <sheetData sheetId="519" refreshError="1"/>
      <sheetData sheetId="520" refreshError="1"/>
      <sheetData sheetId="521"/>
      <sheetData sheetId="522" refreshError="1"/>
      <sheetData sheetId="523"/>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refreshError="1"/>
      <sheetData sheetId="533" refreshError="1"/>
      <sheetData sheetId="534" refreshError="1"/>
      <sheetData sheetId="535"/>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refreshError="1"/>
      <sheetData sheetId="590"/>
      <sheetData sheetId="591"/>
      <sheetData sheetId="592" refreshError="1"/>
      <sheetData sheetId="593" refreshError="1"/>
      <sheetData sheetId="594" refreshError="1"/>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refreshError="1"/>
      <sheetData sheetId="642" refreshError="1"/>
      <sheetData sheetId="643" refreshError="1"/>
      <sheetData sheetId="644" refreshError="1"/>
      <sheetData sheetId="645" refreshError="1"/>
      <sheetData sheetId="646" refreshError="1"/>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refreshError="1"/>
      <sheetData sheetId="666" refreshError="1"/>
      <sheetData sheetId="667" refreshError="1"/>
      <sheetData sheetId="668" refreshError="1"/>
      <sheetData sheetId="669"/>
      <sheetData sheetId="670"/>
      <sheetData sheetId="671"/>
      <sheetData sheetId="672" refreshError="1"/>
      <sheetData sheetId="673"/>
      <sheetData sheetId="674"/>
      <sheetData sheetId="675"/>
      <sheetData sheetId="676"/>
      <sheetData sheetId="677" refreshError="1"/>
      <sheetData sheetId="678" refreshError="1"/>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refreshError="1"/>
      <sheetData sheetId="706"/>
      <sheetData sheetId="707" refreshError="1"/>
      <sheetData sheetId="708" refreshError="1"/>
      <sheetData sheetId="709"/>
      <sheetData sheetId="710" refreshError="1"/>
      <sheetData sheetId="711" refreshError="1"/>
      <sheetData sheetId="712"/>
      <sheetData sheetId="713"/>
      <sheetData sheetId="71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ss"/>
      <sheetName val="Far"/>
      <sheetName val="Far.1"/>
      <sheetName val="Far.2"/>
      <sheetName val="Far.3"/>
      <sheetName val="F1.2"/>
      <sheetName val="F1.3"/>
      <sheetName val="F2"/>
      <sheetName val="F3"/>
      <sheetName val="F3.1"/>
      <sheetName val="F4"/>
      <sheetName val="F4.2"/>
      <sheetName val="F4.3"/>
      <sheetName val="F4.3.1"/>
      <sheetName val="F4.4"/>
      <sheetName val="F4.4.1"/>
      <sheetName val="F4.4.2"/>
      <sheetName val="F4.4.3"/>
      <sheetName val="F4.4.4"/>
      <sheetName val="F4.4.4.1"/>
      <sheetName val="F4.4.4.2"/>
      <sheetName val="F4.4.5"/>
      <sheetName val="F4.4.5.1"/>
      <sheetName val="F4.4.6"/>
      <sheetName val="F4.4.6.1"/>
      <sheetName val="F4.4.6.2"/>
      <sheetName val="F4.4.6.3"/>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
      <sheetName val="Du_lieu"/>
      <sheetName val="KH-Q1,Q2,01"/>
      <sheetName val="TONGKE3p "/>
      <sheetName val="TDTKP"/>
      <sheetName val="DON GIA"/>
      <sheetName val="TONG HOP VL-NC"/>
      <sheetName val="TNHCHINH"/>
      <sheetName val="CHITIET VL-NC-TT -1p"/>
      <sheetName val="TDTKP1"/>
      <sheetName val="phuluc1"/>
      <sheetName val="TONG HOP VL-NC TT"/>
      <sheetName val="KPVC-BD "/>
      <sheetName val="#REF"/>
      <sheetName val="gvl"/>
      <sheetName val="Tiepdia"/>
      <sheetName val="CHITIET VL-NC-TT-3p"/>
      <sheetName val="VCV-BE-TONG"/>
      <sheetName val="chitiet"/>
      <sheetName val="VC"/>
      <sheetName val="CHITIET VL-NC"/>
      <sheetName val="THPDMoi  (2)"/>
      <sheetName val="t-h HA THE"/>
      <sheetName val="giathanh1"/>
      <sheetName val="TONGKE-HT"/>
      <sheetName val="LKVL-CK-HT-GD1"/>
      <sheetName val="TH VL, NC, DDHT Thanhphuoc"/>
      <sheetName val="dongia (2)"/>
      <sheetName val="DG"/>
      <sheetName val="DONGIA"/>
      <sheetName val="chitimc"/>
      <sheetName val="dtxl"/>
      <sheetName val="gtrinh"/>
      <sheetName val="lam-moi"/>
      <sheetName val="TH XL"/>
      <sheetName val="thao-go"/>
      <sheetName val="BAOGIATHANG"/>
      <sheetName val="vanchuyen TC"/>
      <sheetName val="DAODAT"/>
      <sheetName val="dongiaX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DT"/>
      <sheetName val="THXL"/>
      <sheetName val="THTB"/>
      <sheetName val="THXLK"/>
      <sheetName val="XL35"/>
      <sheetName val="DZ35"/>
      <sheetName val="XLCN"/>
      <sheetName val="CN35"/>
      <sheetName val="THTBA"/>
      <sheetName val="TBA"/>
      <sheetName val="KS"/>
      <sheetName val="VC35"/>
      <sheetName val="CT35"/>
      <sheetName val="XL04"/>
      <sheetName val="DZ04"/>
      <sheetName val="XL_Cto"/>
      <sheetName val="C_to"/>
      <sheetName val="CP_BT"/>
      <sheetName val="CTTBA"/>
      <sheetName val="VCTBA"/>
      <sheetName val="CT04"/>
      <sheetName val="VC04"/>
      <sheetName val="VC_Cto"/>
      <sheetName val="CT_BT"/>
      <sheetName val="BT"/>
      <sheetName val="TH"/>
      <sheetName val="KB"/>
      <sheetName val="00000000"/>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ow r="9">
          <cell r="C9" t="b">
            <v>1</v>
          </cell>
        </row>
        <row r="15">
          <cell r="A15" t="b">
            <v>1</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Sheet2"/>
      <sheetName val="Quantity"/>
      <sheetName val="6823 PS 1700"/>
      <sheetName val="PU_ITALY "/>
      <sheetName val="Module1"/>
      <sheetName val="Module2"/>
      <sheetName val="KP_LIST"/>
    </sheetNames>
    <sheetDataSet>
      <sheetData sheetId="0"/>
      <sheetData sheetId="1"/>
      <sheetData sheetId="2"/>
      <sheetData sheetId="3"/>
      <sheetData sheetId="4"/>
      <sheetData sheetId="5" refreshError="1"/>
      <sheetData sheetId="6" refreshError="1"/>
      <sheetData sheetId="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LL"/>
      <sheetName val="Bieu do dung nuoc "/>
      <sheetName val="Dai nuoc2"/>
      <sheetName val="Be chua"/>
      <sheetName val="Cd,LL doc duong"/>
      <sheetName val="LL nut"/>
      <sheetName val="PPsobo"/>
      <sheetName val="PPchay"/>
      <sheetName val="ap luc nut max"/>
      <sheetName val="ap luc nut chay"/>
      <sheetName val="HS dieu chinhK"/>
      <sheetName val="LL bom cap II"/>
      <sheetName val="XL4Poppy"/>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sheetData sheetId="11" refreshError="1"/>
      <sheetData sheetId="12">
        <row r="4">
          <cell r="C4" t="e">
            <v>#N/A</v>
          </cell>
        </row>
        <row r="9">
          <cell r="C9" t="b">
            <v>1</v>
          </cell>
        </row>
        <row r="15">
          <cell r="A15" t="b">
            <v>1</v>
          </cell>
        </row>
        <row r="31">
          <cell r="C31" t="b">
            <v>1</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
      <sheetName val="SWR29101"/>
      <sheetName val="Sheet3"/>
      <sheetName val="Chia_CP Heo112007 (KT)"/>
      <sheetName val="Cost102007 (2)"/>
      <sheetName val="Cost102007"/>
      <sheetName val="CodeFarmSale"/>
      <sheetName val="Cost92007 (2)"/>
      <sheetName val="Cost92007"/>
      <sheetName val="Code"/>
      <sheetName val="Formsemen"/>
      <sheetName val="CheckSlipTransfer"/>
      <sheetName val="CheckFdlFattening"/>
      <sheetName val="CheckIncomeBree"/>
      <sheetName val="CheckFdlBreeder"/>
      <sheetName val="Check_Piglet"/>
      <sheetName val="Check_Semen"/>
      <sheetName val="dangky_CKND"/>
      <sheetName val="TB_Theo doi hop dong"/>
      <sheetName val="TB_THAYDOI CKy"/>
      <sheetName val="1909_15112007"/>
      <sheetName val="Checksw"/>
      <sheetName val="CostAI"/>
      <sheetName val="CheckCost_Semen"/>
      <sheetName val="Transfer_Pig"/>
      <sheetName val="Check_Swine"/>
      <sheetName val="DeadPigLO_2"/>
      <sheetName val="Diffamount of B_F med (9)"/>
      <sheetName val="Diffamount of B_F med(8)"/>
      <sheetName val="Check_PaymenVoucher"/>
      <sheetName val="TBao_DiffFeed"/>
      <sheetName val="Audjust_Feed"/>
      <sheetName val="TBao_DiffMed"/>
      <sheetName val="Audjust_Med"/>
      <sheetName val="Audjust_Feed6"/>
      <sheetName val="Audjust_Feed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dg"/>
    </sheetNames>
    <sheetDataSet>
      <sheetData sheetId="0"/>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import"/>
      <sheetName val="DOM"/>
      <sheetName val="DN-purchase"/>
      <sheetName val="BAG"/>
      <sheetName val="transfer fr DN"/>
      <sheetName val="receive fr DN"/>
      <sheetName val="stock in DN"/>
      <sheetName val="ADJ"/>
    </sheetNames>
    <sheetDataSet>
      <sheetData sheetId="0"/>
      <sheetData sheetId="1"/>
      <sheetData sheetId="2">
        <row r="30">
          <cell r="A30" t="str">
            <v>Corn #4</v>
          </cell>
        </row>
      </sheetData>
      <sheetData sheetId="3"/>
      <sheetData sheetId="4"/>
      <sheetData sheetId="5"/>
      <sheetData sheetId="6"/>
      <sheetData sheetId="7"/>
      <sheetData sheetId="8"/>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ผ่อง"/>
      <sheetName val="customer master layout"/>
      <sheetName val="CusotmerVendorGroup"/>
      <sheetName val="Derivation-CUS"/>
    </sheetNames>
    <sheetDataSet>
      <sheetData sheetId="0" refreshError="1"/>
      <sheetData sheetId="1" refreshError="1"/>
      <sheetData sheetId="2" refreshError="1">
        <row r="4">
          <cell r="B4">
            <v>5001</v>
          </cell>
          <cell r="C4" t="str">
            <v>ในเครือ</v>
          </cell>
          <cell r="D4">
            <v>4001</v>
          </cell>
          <cell r="E4" t="str">
            <v>กลุ่ม A</v>
          </cell>
          <cell r="F4">
            <v>3001</v>
          </cell>
          <cell r="G4" t="str">
            <v>ชมรม 1</v>
          </cell>
          <cell r="H4">
            <v>2001</v>
          </cell>
          <cell r="I4" t="str">
            <v>กทม. 1</v>
          </cell>
          <cell r="J4">
            <v>1001</v>
          </cell>
          <cell r="K4" t="str">
            <v>ปากน้ำ</v>
          </cell>
          <cell r="L4" t="str">
            <v>A001</v>
          </cell>
          <cell r="M4" t="str">
            <v>ครบวงจร กทม</v>
          </cell>
        </row>
        <row r="5">
          <cell r="B5">
            <v>5002</v>
          </cell>
          <cell r="C5" t="str">
            <v>นอกเครือ</v>
          </cell>
          <cell r="D5">
            <v>4002</v>
          </cell>
          <cell r="E5" t="str">
            <v>กลุ่ม B</v>
          </cell>
          <cell r="F5">
            <v>3002</v>
          </cell>
          <cell r="G5" t="str">
            <v>ชมรม 2</v>
          </cell>
          <cell r="H5">
            <v>2002</v>
          </cell>
          <cell r="I5" t="str">
            <v>กทม. 2</v>
          </cell>
          <cell r="J5">
            <v>1002</v>
          </cell>
          <cell r="K5" t="str">
            <v>สีลม</v>
          </cell>
          <cell r="L5" t="str">
            <v>A002</v>
          </cell>
          <cell r="M5" t="str">
            <v>ครบวงจร ภูมิภาค</v>
          </cell>
        </row>
        <row r="6">
          <cell r="B6">
            <v>9999</v>
          </cell>
          <cell r="C6" t="str">
            <v>ไม่ระบุ</v>
          </cell>
          <cell r="D6">
            <v>4003</v>
          </cell>
          <cell r="E6" t="str">
            <v>กลุ่ม C</v>
          </cell>
          <cell r="F6">
            <v>3003</v>
          </cell>
          <cell r="G6" t="str">
            <v>ดีลเลอร์/เอเย่น</v>
          </cell>
          <cell r="H6">
            <v>2003</v>
          </cell>
          <cell r="I6" t="str">
            <v>ตจว.</v>
          </cell>
          <cell r="J6">
            <v>1003</v>
          </cell>
          <cell r="K6" t="str">
            <v>บางพลี</v>
          </cell>
          <cell r="L6" t="str">
            <v>A003</v>
          </cell>
          <cell r="M6" t="str">
            <v>พันธุ์สัตว์</v>
          </cell>
        </row>
        <row r="7">
          <cell r="D7">
            <v>4004</v>
          </cell>
          <cell r="E7" t="str">
            <v>กลุ่ม O</v>
          </cell>
          <cell r="F7">
            <v>3004</v>
          </cell>
          <cell r="G7" t="str">
            <v>คอนวีเนียร์สโตร์</v>
          </cell>
          <cell r="H7">
            <v>2004</v>
          </cell>
          <cell r="I7" t="str">
            <v>ลูกค้ารายใหญ่</v>
          </cell>
          <cell r="J7">
            <v>1004</v>
          </cell>
          <cell r="K7" t="str">
            <v>ลาดพร้าว</v>
          </cell>
          <cell r="L7" t="str">
            <v>A004</v>
          </cell>
          <cell r="M7" t="str">
            <v>อาหารสัตว์บก</v>
          </cell>
        </row>
        <row r="8">
          <cell r="D8">
            <v>4005</v>
          </cell>
          <cell r="E8" t="str">
            <v>เกษตรกร</v>
          </cell>
          <cell r="F8">
            <v>3005</v>
          </cell>
          <cell r="G8" t="str">
            <v>ซูเปอร์มาร์เก็ต</v>
          </cell>
          <cell r="H8">
            <v>2005</v>
          </cell>
          <cell r="I8" t="str">
            <v>ลูกค้ารายกลาง</v>
          </cell>
          <cell r="J8">
            <v>1005</v>
          </cell>
          <cell r="K8" t="str">
            <v>ดอนเมือง</v>
          </cell>
          <cell r="L8" t="str">
            <v>A005</v>
          </cell>
          <cell r="M8" t="str">
            <v>อาหาร ตปท</v>
          </cell>
        </row>
        <row r="9">
          <cell r="D9">
            <v>4006</v>
          </cell>
          <cell r="E9" t="str">
            <v>ขายส่ง</v>
          </cell>
          <cell r="F9">
            <v>3006</v>
          </cell>
          <cell r="G9" t="str">
            <v>โรงแรม/ภัตตาคาร</v>
          </cell>
          <cell r="H9">
            <v>2006</v>
          </cell>
          <cell r="I9" t="str">
            <v>ลูกค้ารายย่อย</v>
          </cell>
          <cell r="J9">
            <v>1006</v>
          </cell>
          <cell r="K9" t="str">
            <v>พุทธมณฑล</v>
          </cell>
          <cell r="L9" t="str">
            <v>A006</v>
          </cell>
          <cell r="M9" t="str">
            <v>จัดซื้อ วัตถุดิบ</v>
          </cell>
        </row>
        <row r="10">
          <cell r="D10">
            <v>4007</v>
          </cell>
          <cell r="E10" t="str">
            <v>ผู้นำเข้า</v>
          </cell>
          <cell r="F10">
            <v>3007</v>
          </cell>
          <cell r="G10" t="str">
            <v>โรงเรียน</v>
          </cell>
          <cell r="H10">
            <v>2007</v>
          </cell>
          <cell r="I10" t="str">
            <v>ไม่ระบุ</v>
          </cell>
          <cell r="J10">
            <v>1007</v>
          </cell>
          <cell r="K10" t="str">
            <v>นนทบุรี</v>
          </cell>
          <cell r="L10" t="str">
            <v>B001</v>
          </cell>
          <cell r="M10" t="str">
            <v>อาหารสัตว์น้ำ</v>
          </cell>
        </row>
        <row r="11">
          <cell r="D11">
            <v>4008</v>
          </cell>
          <cell r="E11" t="str">
            <v>สถาบัน</v>
          </cell>
          <cell r="F11">
            <v>3008</v>
          </cell>
          <cell r="G11" t="str">
            <v>โมเดรินเทรด</v>
          </cell>
          <cell r="H11">
            <v>2008</v>
          </cell>
          <cell r="I11" t="str">
            <v>……</v>
          </cell>
          <cell r="J11">
            <v>1008</v>
          </cell>
          <cell r="K11" t="str">
            <v>ธนบุรี</v>
          </cell>
          <cell r="L11" t="str">
            <v>B002</v>
          </cell>
          <cell r="M11" t="str">
            <v>ห้องเย็น</v>
          </cell>
        </row>
        <row r="12">
          <cell r="D12">
            <v>4009</v>
          </cell>
          <cell r="E12" t="str">
            <v>ขายปลีก</v>
          </cell>
          <cell r="F12">
            <v>3009</v>
          </cell>
          <cell r="G12" t="str">
            <v>ฟาสฟู้ดส์</v>
          </cell>
          <cell r="H12">
            <v>2009</v>
          </cell>
          <cell r="I12" t="str">
            <v>……</v>
          </cell>
          <cell r="J12">
            <v>1009</v>
          </cell>
          <cell r="K12" t="str">
            <v>ภาคเหนือ</v>
          </cell>
          <cell r="L12" t="str">
            <v>B003</v>
          </cell>
          <cell r="M12" t="str">
            <v>สัตว์น้ำ</v>
          </cell>
        </row>
        <row r="13">
          <cell r="D13">
            <v>4010</v>
          </cell>
          <cell r="E13" t="str">
            <v>ราชการ</v>
          </cell>
          <cell r="F13">
            <v>3010</v>
          </cell>
          <cell r="G13" t="str">
            <v>ส่งถึง</v>
          </cell>
          <cell r="H13">
            <v>2010</v>
          </cell>
          <cell r="I13" t="str">
            <v>……</v>
          </cell>
          <cell r="J13">
            <v>1010</v>
          </cell>
          <cell r="K13" t="str">
            <v>ภาคใต้</v>
          </cell>
          <cell r="L13" t="str">
            <v>Z001</v>
          </cell>
          <cell r="M13" t="str">
            <v>Non trade</v>
          </cell>
        </row>
        <row r="14">
          <cell r="D14">
            <v>4011</v>
          </cell>
          <cell r="E14" t="str">
            <v>ผู้ผลิต</v>
          </cell>
          <cell r="F14">
            <v>3011</v>
          </cell>
          <cell r="G14" t="str">
            <v>รับเอง</v>
          </cell>
          <cell r="H14">
            <v>2011</v>
          </cell>
          <cell r="I14" t="str">
            <v>……</v>
          </cell>
          <cell r="J14">
            <v>1011</v>
          </cell>
          <cell r="K14" t="str">
            <v>ภาคอีสาน</v>
          </cell>
        </row>
        <row r="15">
          <cell r="D15">
            <v>4012</v>
          </cell>
          <cell r="E15" t="str">
            <v>อื่น</v>
          </cell>
          <cell r="F15">
            <v>3012</v>
          </cell>
          <cell r="G15" t="str">
            <v>ฟาร์ม</v>
          </cell>
          <cell r="H15">
            <v>2012</v>
          </cell>
          <cell r="I15" t="str">
            <v>……</v>
          </cell>
          <cell r="J15">
            <v>1012</v>
          </cell>
          <cell r="K15" t="str">
            <v>ภาคกลาง</v>
          </cell>
        </row>
        <row r="16">
          <cell r="D16">
            <v>4013</v>
          </cell>
          <cell r="E16" t="str">
            <v>ทั่วไป (Feed)</v>
          </cell>
          <cell r="F16">
            <v>3013</v>
          </cell>
          <cell r="G16" t="str">
            <v>ซูปเปอร์สโตร์</v>
          </cell>
          <cell r="H16">
            <v>2013</v>
          </cell>
          <cell r="I16" t="str">
            <v>……</v>
          </cell>
          <cell r="J16">
            <v>1013</v>
          </cell>
          <cell r="K16" t="str">
            <v>ภาคตะวันออก</v>
          </cell>
        </row>
        <row r="17">
          <cell r="D17">
            <v>4014</v>
          </cell>
          <cell r="E17" t="str">
            <v>ผู้ค้า+ผู้ผลิต</v>
          </cell>
          <cell r="F17">
            <v>3014</v>
          </cell>
          <cell r="G17" t="str">
            <v>ดีพาร์ทเม้นต์สโตร์</v>
          </cell>
          <cell r="H17">
            <v>2014</v>
          </cell>
          <cell r="I17" t="str">
            <v>……</v>
          </cell>
          <cell r="J17">
            <v>1014</v>
          </cell>
          <cell r="K17" t="str">
            <v>……</v>
          </cell>
        </row>
        <row r="18">
          <cell r="D18">
            <v>4015</v>
          </cell>
          <cell r="E18" t="str">
            <v>……</v>
          </cell>
          <cell r="F18">
            <v>3015</v>
          </cell>
          <cell r="G18" t="str">
            <v>บริการจัดเลี้ยง</v>
          </cell>
          <cell r="H18">
            <v>2015</v>
          </cell>
          <cell r="I18" t="str">
            <v>……</v>
          </cell>
          <cell r="J18">
            <v>1015</v>
          </cell>
          <cell r="K18" t="str">
            <v>……</v>
          </cell>
        </row>
        <row r="19">
          <cell r="D19">
            <v>4016</v>
          </cell>
          <cell r="E19" t="str">
            <v>……</v>
          </cell>
          <cell r="F19">
            <v>3016</v>
          </cell>
          <cell r="G19" t="str">
            <v>จี-สโตร์</v>
          </cell>
          <cell r="H19">
            <v>2016</v>
          </cell>
          <cell r="I19" t="str">
            <v>……</v>
          </cell>
          <cell r="J19">
            <v>1016</v>
          </cell>
          <cell r="K19" t="str">
            <v>……</v>
          </cell>
        </row>
        <row r="20">
          <cell r="D20">
            <v>4017</v>
          </cell>
          <cell r="E20" t="str">
            <v>……</v>
          </cell>
          <cell r="F20">
            <v>3017</v>
          </cell>
          <cell r="G20" t="str">
            <v>เอเย่นต์/ฟาร์ม</v>
          </cell>
          <cell r="H20">
            <v>2017</v>
          </cell>
          <cell r="I20" t="str">
            <v>……</v>
          </cell>
          <cell r="J20">
            <v>1017</v>
          </cell>
          <cell r="K20" t="str">
            <v>……</v>
          </cell>
        </row>
        <row r="21">
          <cell r="D21">
            <v>4018</v>
          </cell>
          <cell r="E21" t="str">
            <v>……</v>
          </cell>
          <cell r="F21">
            <v>3018</v>
          </cell>
          <cell r="G21" t="str">
            <v>สหกรณ์</v>
          </cell>
          <cell r="H21">
            <v>2018</v>
          </cell>
          <cell r="I21" t="str">
            <v>……</v>
          </cell>
          <cell r="J21">
            <v>1018</v>
          </cell>
          <cell r="K21" t="str">
            <v>……</v>
          </cell>
        </row>
        <row r="22">
          <cell r="D22">
            <v>4019</v>
          </cell>
          <cell r="E22" t="str">
            <v>……</v>
          </cell>
          <cell r="F22">
            <v>3019</v>
          </cell>
          <cell r="G22" t="str">
            <v>ภัตตราคาร</v>
          </cell>
          <cell r="H22">
            <v>2019</v>
          </cell>
          <cell r="I22" t="str">
            <v>……</v>
          </cell>
          <cell r="J22">
            <v>1019</v>
          </cell>
          <cell r="K22" t="str">
            <v>……</v>
          </cell>
        </row>
        <row r="23">
          <cell r="D23">
            <v>4020</v>
          </cell>
          <cell r="E23" t="str">
            <v>……</v>
          </cell>
          <cell r="F23">
            <v>3020</v>
          </cell>
          <cell r="G23" t="str">
            <v>ตลาดสด</v>
          </cell>
          <cell r="H23">
            <v>2020</v>
          </cell>
          <cell r="I23" t="str">
            <v>……</v>
          </cell>
          <cell r="J23">
            <v>1020</v>
          </cell>
          <cell r="K23" t="str">
            <v>……</v>
          </cell>
        </row>
        <row r="24">
          <cell r="D24">
            <v>4021</v>
          </cell>
          <cell r="E24" t="str">
            <v>……</v>
          </cell>
          <cell r="F24">
            <v>3021</v>
          </cell>
          <cell r="G24" t="str">
            <v>……</v>
          </cell>
          <cell r="H24">
            <v>2021</v>
          </cell>
          <cell r="I24" t="str">
            <v>……</v>
          </cell>
          <cell r="J24">
            <v>1021</v>
          </cell>
          <cell r="K24" t="str">
            <v>……</v>
          </cell>
        </row>
        <row r="25">
          <cell r="D25">
            <v>4022</v>
          </cell>
          <cell r="E25" t="str">
            <v>……</v>
          </cell>
          <cell r="F25">
            <v>3022</v>
          </cell>
          <cell r="G25" t="str">
            <v>……</v>
          </cell>
          <cell r="H25">
            <v>2022</v>
          </cell>
          <cell r="I25" t="str">
            <v>……</v>
          </cell>
          <cell r="J25">
            <v>1022</v>
          </cell>
          <cell r="K25" t="str">
            <v>……</v>
          </cell>
        </row>
        <row r="26">
          <cell r="D26">
            <v>4023</v>
          </cell>
          <cell r="E26" t="str">
            <v>……</v>
          </cell>
          <cell r="F26">
            <v>3023</v>
          </cell>
          <cell r="G26" t="str">
            <v>……</v>
          </cell>
          <cell r="H26">
            <v>2023</v>
          </cell>
          <cell r="I26" t="str">
            <v>……</v>
          </cell>
          <cell r="J26">
            <v>1023</v>
          </cell>
          <cell r="K26" t="str">
            <v>……</v>
          </cell>
        </row>
        <row r="27">
          <cell r="D27">
            <v>4024</v>
          </cell>
          <cell r="E27" t="str">
            <v>……</v>
          </cell>
          <cell r="F27">
            <v>3024</v>
          </cell>
          <cell r="G27" t="str">
            <v>……</v>
          </cell>
          <cell r="H27">
            <v>2024</v>
          </cell>
          <cell r="I27" t="str">
            <v>……</v>
          </cell>
          <cell r="J27">
            <v>1024</v>
          </cell>
          <cell r="K27" t="str">
            <v>……</v>
          </cell>
        </row>
        <row r="28">
          <cell r="D28">
            <v>4025</v>
          </cell>
          <cell r="E28" t="str">
            <v>……</v>
          </cell>
          <cell r="F28">
            <v>3025</v>
          </cell>
          <cell r="G28" t="str">
            <v>……</v>
          </cell>
          <cell r="H28">
            <v>2025</v>
          </cell>
          <cell r="I28" t="str">
            <v>……</v>
          </cell>
          <cell r="J28">
            <v>1025</v>
          </cell>
          <cell r="K28" t="str">
            <v>……</v>
          </cell>
        </row>
        <row r="29">
          <cell r="D29">
            <v>9999</v>
          </cell>
          <cell r="E29" t="str">
            <v>ไม่ระบุ</v>
          </cell>
          <cell r="F29">
            <v>9999</v>
          </cell>
          <cell r="G29" t="str">
            <v>ไม่ระบุ</v>
          </cell>
          <cell r="H29">
            <v>9999</v>
          </cell>
          <cell r="I29" t="str">
            <v>ไม่ระบุ</v>
          </cell>
          <cell r="J29">
            <v>9999</v>
          </cell>
          <cell r="K29" t="str">
            <v>ไม่ระบุ</v>
          </cell>
        </row>
      </sheetData>
      <sheetData sheetId="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dg"/>
    </sheetNames>
    <sheetDataSet>
      <sheetData sheetId="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gct"/>
      <sheetName val="dtct"/>
      <sheetName val="gvl"/>
      <sheetName val="Sheet10"/>
      <sheetName val="Sheet11"/>
      <sheetName val="Sheet12"/>
      <sheetName val="Sheet13"/>
      <sheetName val="Sheet14"/>
      <sheetName val="Sheet15"/>
      <sheetName val="Sheet16"/>
    </sheetNames>
    <sheetDataSet>
      <sheetData sheetId="0"/>
      <sheetData sheetId="1"/>
      <sheetData sheetId="2">
        <row r="9">
          <cell r="N9">
            <v>118182</v>
          </cell>
        </row>
        <row r="16">
          <cell r="N16">
            <v>759</v>
          </cell>
        </row>
        <row r="17">
          <cell r="N17">
            <v>55000</v>
          </cell>
        </row>
        <row r="38">
          <cell r="N38">
            <v>4.5</v>
          </cell>
        </row>
      </sheetData>
      <sheetData sheetId="3"/>
      <sheetData sheetId="4"/>
      <sheetData sheetId="5"/>
      <sheetData sheetId="6"/>
      <sheetData sheetId="7"/>
      <sheetData sheetId="8"/>
      <sheetData sheetId="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m"/>
      <sheetName val="Thuoc"/>
      <sheetName val="NXT-Cam"/>
      <sheetName val="DM"/>
      <sheetName val="NXT-Thuoc"/>
      <sheetName val="NHOM"/>
    </sheetNames>
    <sheetDataSet>
      <sheetData sheetId="0"/>
      <sheetData sheetId="1"/>
      <sheetData sheetId="2"/>
      <sheetData sheetId="3">
        <row r="4">
          <cell r="B4" t="str">
            <v>A06</v>
          </cell>
          <cell r="C4" t="str">
            <v>Hỗn hợp cho nái hậu bị</v>
          </cell>
        </row>
        <row r="5">
          <cell r="B5" t="str">
            <v>156.DYNA</v>
          </cell>
          <cell r="C5" t="str">
            <v>Dynamutilin INJ 20% - 100ml</v>
          </cell>
        </row>
        <row r="6">
          <cell r="B6" t="str">
            <v>NHB</v>
          </cell>
          <cell r="C6" t="str">
            <v>Nái hậu bị</v>
          </cell>
        </row>
        <row r="7">
          <cell r="B7" t="str">
            <v>APPE</v>
          </cell>
          <cell r="C7" t="str">
            <v>Công ty APPE Hà Nam</v>
          </cell>
        </row>
        <row r="8">
          <cell r="B8" t="str">
            <v>RTD-HT</v>
          </cell>
          <cell r="C8" t="str">
            <v>Chi nhánh Hà Tây RTD</v>
          </cell>
        </row>
        <row r="9">
          <cell r="B9" t="str">
            <v>AVAC</v>
          </cell>
          <cell r="C9" t="str">
            <v>Công TNHH MTV AVAC</v>
          </cell>
        </row>
        <row r="10">
          <cell r="B10" t="str">
            <v>SLCHLORA</v>
          </cell>
          <cell r="C10" t="str">
            <v>Chloramine B</v>
          </cell>
        </row>
        <row r="11">
          <cell r="B11" t="str">
            <v>CN - NT</v>
          </cell>
          <cell r="C11" t="str">
            <v>công ty cp phát triển công nghệ nông thôn</v>
          </cell>
        </row>
        <row r="12">
          <cell r="B12" t="str">
            <v>RTDBRHTI</v>
          </cell>
          <cell r="C12" t="str">
            <v>Bromhexin 100ml</v>
          </cell>
        </row>
        <row r="13">
          <cell r="B13" t="str">
            <v>RTDANAG_IC100</v>
          </cell>
          <cell r="C13" t="str">
            <v>Anagin + C - 100ml</v>
          </cell>
        </row>
        <row r="14">
          <cell r="B14" t="str">
            <v>ELETROBLEND</v>
          </cell>
          <cell r="C14" t="str">
            <v>Eletrolyte Blend - 1kg</v>
          </cell>
        </row>
        <row r="15">
          <cell r="B15" t="str">
            <v>RTDDIENGIAI</v>
          </cell>
          <cell r="C15" t="str">
            <v>Điện giải - 1kg (gói)</v>
          </cell>
        </row>
        <row r="16">
          <cell r="B16" t="str">
            <v>156.CIITFAC-1KG</v>
          </cell>
          <cell r="C16" t="str">
            <v>Citifac 15% ( Granular) - 1kg</v>
          </cell>
        </row>
        <row r="17">
          <cell r="B17" t="str">
            <v>156.OMNICIDE</v>
          </cell>
          <cell r="C17" t="str">
            <v>Omnicide - 5 litre</v>
          </cell>
        </row>
        <row r="18">
          <cell r="B18" t="str">
            <v>156.OTO50ML</v>
          </cell>
          <cell r="C18" t="str">
            <v>Oxytocin 50ml</v>
          </cell>
        </row>
        <row r="19">
          <cell r="B19" t="str">
            <v>156.VETRI250</v>
          </cell>
          <cell r="C19" t="str">
            <v>Vetrimoxin</v>
          </cell>
        </row>
        <row r="20">
          <cell r="B20" t="str">
            <v>RTDVITI10</v>
          </cell>
          <cell r="C20" t="str">
            <v>Vitaminc 10% - 1kg (gói)</v>
          </cell>
        </row>
        <row r="21">
          <cell r="B21" t="str">
            <v>HNAMPICOLI</v>
          </cell>
          <cell r="C21" t="str">
            <v>Ampi-Coli - 1kg (xanh)</v>
          </cell>
        </row>
        <row r="22">
          <cell r="B22" t="str">
            <v>156.INGEVAPRI</v>
          </cell>
          <cell r="C22" t="str">
            <v>Ingelvac PRRS MLV (liều 50)</v>
          </cell>
        </row>
        <row r="23">
          <cell r="B23" t="str">
            <v>156.INGEVAPR</v>
          </cell>
          <cell r="C23" t="str">
            <v>Ingelvac PRRS MLV (liều 10)</v>
          </cell>
        </row>
        <row r="24">
          <cell r="B24" t="str">
            <v>156.DRY10</v>
          </cell>
          <cell r="C24" t="str">
            <v>Dufafloxacin 10%</v>
          </cell>
        </row>
        <row r="25">
          <cell r="B25" t="str">
            <v>156.porparvc</v>
          </cell>
          <cell r="C25" t="str">
            <v>Porcilis parvo L 10</v>
          </cell>
        </row>
        <row r="26">
          <cell r="B26" t="str">
            <v>156.PESTIFFAF</v>
          </cell>
          <cell r="C26" t="str">
            <v>Pestiffafl 50ds</v>
          </cell>
        </row>
        <row r="27">
          <cell r="B27" t="str">
            <v>156.PETIPHAL2</v>
          </cell>
          <cell r="C27" t="str">
            <v>Pestiffafl 25ds</v>
          </cell>
        </row>
        <row r="28">
          <cell r="B28" t="str">
            <v>TYLAN200</v>
          </cell>
          <cell r="C28" t="str">
            <v>Tylan 200 (100ml)</v>
          </cell>
        </row>
        <row r="29">
          <cell r="B29" t="str">
            <v>156.DYNA1KG</v>
          </cell>
          <cell r="C29" t="str">
            <v>Dynamutilin feed premix 1kg</v>
          </cell>
        </row>
        <row r="30">
          <cell r="B30" t="str">
            <v>156.PORBE10</v>
          </cell>
          <cell r="C30" t="str">
            <v>Porcilis Begonia liều 10</v>
          </cell>
        </row>
        <row r="31">
          <cell r="B31" t="str">
            <v>156.PORBE50</v>
          </cell>
          <cell r="C31" t="str">
            <v>Porcilis Begonia liều 50</v>
          </cell>
        </row>
        <row r="32">
          <cell r="B32" t="str">
            <v>156.AFTOPORL</v>
          </cell>
          <cell r="C32" t="str">
            <v>.AF Topr - L50</v>
          </cell>
        </row>
        <row r="33">
          <cell r="B33" t="str">
            <v>156.CID20005L</v>
          </cell>
          <cell r="C33" t="str">
            <v>CID 2000 5l</v>
          </cell>
        </row>
        <row r="34">
          <cell r="B34">
            <v>152100090</v>
          </cell>
          <cell r="C34" t="str">
            <v>Formadehit</v>
          </cell>
        </row>
        <row r="35">
          <cell r="B35" t="str">
            <v>RTDKCAM100T</v>
          </cell>
          <cell r="C35" t="str">
            <v>RTD KC Amin 100ml</v>
          </cell>
        </row>
        <row r="36">
          <cell r="B36" t="str">
            <v>156.DRAXXIN</v>
          </cell>
          <cell r="C36" t="str">
            <v>Draxxin 100ml</v>
          </cell>
        </row>
        <row r="37">
          <cell r="B37" t="str">
            <v>156.ECOTRAZ2</v>
          </cell>
          <cell r="C37" t="str">
            <v>Ecotraz 250 (200ml)</v>
          </cell>
        </row>
        <row r="38">
          <cell r="B38" t="str">
            <v>156.Vitade</v>
          </cell>
          <cell r="C38" t="str">
            <v>Vit ADE - 1kg (gói)</v>
          </cell>
        </row>
        <row r="39">
          <cell r="B39" t="str">
            <v>156.QUICKBAY</v>
          </cell>
          <cell r="C39" t="str">
            <v>Quickbayt - 20Gr</v>
          </cell>
        </row>
        <row r="40">
          <cell r="B40" t="str">
            <v>156.Vittol</v>
          </cell>
          <cell r="C40" t="str">
            <v>vittol 450 - 100ml</v>
          </cell>
        </row>
        <row r="41">
          <cell r="B41" t="str">
            <v>156.RACU20G</v>
          </cell>
          <cell r="C41" t="str">
            <v>RACUMIN TP 0.75 - 20Gr</v>
          </cell>
        </row>
        <row r="42">
          <cell r="B42" t="str">
            <v>156.IVERMECT</v>
          </cell>
          <cell r="C42" t="str">
            <v>Ivermectin 100ml</v>
          </cell>
        </row>
        <row r="43">
          <cell r="B43" t="str">
            <v>156.Catosal1</v>
          </cell>
          <cell r="C43" t="str">
            <v>Catosal 100ml</v>
          </cell>
        </row>
        <row r="44">
          <cell r="B44" t="str">
            <v>156.Glucose5</v>
          </cell>
          <cell r="C44" t="str">
            <v>Glucose 5% - 500ml</v>
          </cell>
        </row>
        <row r="45">
          <cell r="B45" t="str">
            <v>156.Lactaed</v>
          </cell>
          <cell r="C45" t="str">
            <v>Lactaed - 500ml</v>
          </cell>
        </row>
        <row r="46">
          <cell r="B46" t="str">
            <v>156.AQ1KG</v>
          </cell>
          <cell r="C46" t="str">
            <v>Aquacil (1kg)</v>
          </cell>
        </row>
        <row r="47">
          <cell r="B47" t="str">
            <v>156.Nor100ml</v>
          </cell>
          <cell r="C47" t="str">
            <v>Norflox 150 - 100ml</v>
          </cell>
        </row>
        <row r="48">
          <cell r="B48" t="str">
            <v>SLDOXY</v>
          </cell>
          <cell r="C48" t="str">
            <v>Doxycylin SL 1kg</v>
          </cell>
        </row>
        <row r="49">
          <cell r="B49" t="str">
            <v>SLCOLISTIN</v>
          </cell>
          <cell r="C49" t="str">
            <v>SL - Colistin 1kg</v>
          </cell>
        </row>
        <row r="50">
          <cell r="B50" t="str">
            <v>SLPARACETAMOL</v>
          </cell>
          <cell r="C50" t="str">
            <v>Paracetamol - 1kg - SL</v>
          </cell>
        </row>
        <row r="51">
          <cell r="B51" t="str">
            <v>SLXANHME</v>
          </cell>
          <cell r="C51" t="str">
            <v>Xanhmetylen - 1kg</v>
          </cell>
        </row>
        <row r="52">
          <cell r="B52" t="str">
            <v>156.D.UONG</v>
          </cell>
          <cell r="C52" t="str">
            <v>Đường Glucoza</v>
          </cell>
        </row>
        <row r="53">
          <cell r="B53" t="str">
            <v>156.TC01</v>
          </cell>
          <cell r="C53" t="str">
            <v>TC 01 - 5L - TY</v>
          </cell>
        </row>
        <row r="54">
          <cell r="B54" t="str">
            <v>156.GELBOITRON</v>
          </cell>
          <cell r="C54" t="str">
            <v>Gen bôi trơn 11</v>
          </cell>
        </row>
        <row r="55">
          <cell r="B55" t="str">
            <v>156.Bcom</v>
          </cell>
          <cell r="C55" t="str">
            <v>Bcom plex - 1kg</v>
          </cell>
        </row>
        <row r="56">
          <cell r="B56" t="str">
            <v>156.natri</v>
          </cell>
          <cell r="C56" t="str">
            <v>Natri citrat</v>
          </cell>
        </row>
        <row r="57">
          <cell r="B57" t="str">
            <v>156.Altr</v>
          </cell>
          <cell r="C57" t="str">
            <v>Altressin</v>
          </cell>
        </row>
        <row r="58">
          <cell r="B58" t="str">
            <v>A07</v>
          </cell>
          <cell r="C58" t="str">
            <v>Hỗn hợp cho nái mang thai</v>
          </cell>
        </row>
      </sheetData>
      <sheetData sheetId="4"/>
      <sheetData sheetId="5"/>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M.KH"/>
      <sheetName val="DATa"/>
      <sheetName val="DM.VT"/>
      <sheetName val="BC.THNXT"/>
      <sheetName val="Sheet1"/>
    </sheetNames>
    <sheetDataSet>
      <sheetData sheetId="0" refreshError="1">
        <row r="7">
          <cell r="A7" t="str">
            <v>CT CP PT CN NT</v>
          </cell>
          <cell r="D7" t="str">
            <v>CT CP PT CN NT</v>
          </cell>
        </row>
        <row r="8">
          <cell r="D8" t="str">
            <v>CN Hà Nội  - CTCP Phát triển Công nghệ Nông thôn</v>
          </cell>
        </row>
        <row r="9">
          <cell r="D9" t="str">
            <v>Công ty TNHH Lợn giống ngoại Thái Dương</v>
          </cell>
        </row>
        <row r="10">
          <cell r="D10" t="str">
            <v>Nguyễn Văn Hảo (Chở cám)</v>
          </cell>
        </row>
        <row r="11">
          <cell r="D11" t="str">
            <v>Công ty TNHH Chăn nuôi Hanpork</v>
          </cell>
        </row>
        <row r="12">
          <cell r="D12" t="str">
            <v>Công ty CP SX và DV TM Thành Đô</v>
          </cell>
        </row>
        <row r="13">
          <cell r="D13" t="str">
            <v>Công ty TNHH MTV Lệ Ninh - Quảng Bình</v>
          </cell>
        </row>
        <row r="14">
          <cell r="D14" t="str">
            <v>Công ty CP Vận tải SX và TM Đỗ Bảo</v>
          </cell>
        </row>
        <row r="15">
          <cell r="D15" t="str">
            <v>Nguyễn Đức Toan</v>
          </cell>
        </row>
        <row r="16">
          <cell r="D16" t="str">
            <v>Nguyễn Văn Chung</v>
          </cell>
        </row>
        <row r="17">
          <cell r="D17" t="str">
            <v>Đào Vinh Quang</v>
          </cell>
        </row>
        <row r="18">
          <cell r="D18" t="str">
            <v>Trần Văn Đính</v>
          </cell>
        </row>
        <row r="19">
          <cell r="D19" t="str">
            <v>Phạm Tuấn Anh</v>
          </cell>
        </row>
        <row r="20">
          <cell r="D20" t="str">
            <v>Dương Quang Phụng</v>
          </cell>
        </row>
      </sheetData>
      <sheetData sheetId="1" refreshError="1"/>
      <sheetData sheetId="2" refreshError="1">
        <row r="6">
          <cell r="C6" t="str">
            <v>Ma_vt</v>
          </cell>
          <cell r="D6" t="str">
            <v>Ten_vt</v>
          </cell>
          <cell r="E6" t="str">
            <v>DVT</v>
          </cell>
          <cell r="F6" t="str">
            <v>Nhom_vt</v>
          </cell>
          <cell r="G6" t="str">
            <v>SL_ton</v>
          </cell>
          <cell r="H6" t="str">
            <v>Gia_ton</v>
          </cell>
          <cell r="I6" t="str">
            <v>Ghi_chu</v>
          </cell>
        </row>
        <row r="7">
          <cell r="C7" t="str">
            <v>TH001</v>
          </cell>
          <cell r="D7" t="str">
            <v>Eletrolyte Blend</v>
          </cell>
          <cell r="E7" t="str">
            <v>g</v>
          </cell>
          <cell r="G7">
            <v>0</v>
          </cell>
        </row>
        <row r="8">
          <cell r="C8" t="str">
            <v>TH003</v>
          </cell>
          <cell r="D8" t="str">
            <v>Antisalmo</v>
          </cell>
          <cell r="E8" t="str">
            <v>ml</v>
          </cell>
          <cell r="G8">
            <v>0</v>
          </cell>
        </row>
        <row r="9">
          <cell r="C9" t="str">
            <v>TH004</v>
          </cell>
          <cell r="D9" t="str">
            <v>Linco - Specinj</v>
          </cell>
          <cell r="E9" t="str">
            <v>kg</v>
          </cell>
          <cell r="G9">
            <v>7</v>
          </cell>
        </row>
        <row r="10">
          <cell r="C10" t="str">
            <v>TH005</v>
          </cell>
          <cell r="D10" t="str">
            <v>AD - Bcomplex</v>
          </cell>
          <cell r="E10" t="str">
            <v>g</v>
          </cell>
          <cell r="G10">
            <v>0</v>
          </cell>
        </row>
        <row r="11">
          <cell r="C11" t="str">
            <v>TH006</v>
          </cell>
          <cell r="D11" t="str">
            <v>Vitamin C</v>
          </cell>
          <cell r="E11" t="str">
            <v>g</v>
          </cell>
          <cell r="G11">
            <v>0</v>
          </cell>
        </row>
        <row r="12">
          <cell r="C12" t="str">
            <v>TH011</v>
          </cell>
          <cell r="D12" t="str">
            <v>Anagin + C 100ml/l lọ</v>
          </cell>
          <cell r="E12" t="str">
            <v>ml</v>
          </cell>
          <cell r="G12">
            <v>100</v>
          </cell>
        </row>
        <row r="13">
          <cell r="C13" t="str">
            <v>TH013</v>
          </cell>
          <cell r="D13" t="str">
            <v>Vitamin C 10%</v>
          </cell>
          <cell r="E13" t="str">
            <v>g</v>
          </cell>
          <cell r="G13">
            <v>0</v>
          </cell>
        </row>
        <row r="14">
          <cell r="C14" t="str">
            <v>TH014</v>
          </cell>
          <cell r="D14" t="str">
            <v>Bi O - Top</v>
          </cell>
          <cell r="E14" t="str">
            <v>g</v>
          </cell>
          <cell r="G14">
            <v>0</v>
          </cell>
        </row>
        <row r="15">
          <cell r="C15" t="str">
            <v>TH015</v>
          </cell>
          <cell r="D15" t="str">
            <v>KC - Amin</v>
          </cell>
          <cell r="E15" t="str">
            <v>ml</v>
          </cell>
          <cell r="G15">
            <v>0</v>
          </cell>
        </row>
        <row r="16">
          <cell r="C16" t="str">
            <v>TH016</v>
          </cell>
          <cell r="D16" t="str">
            <v>Thuốc tím</v>
          </cell>
          <cell r="E16" t="str">
            <v>g</v>
          </cell>
          <cell r="G16">
            <v>11000</v>
          </cell>
        </row>
        <row r="17">
          <cell r="C17" t="str">
            <v>TH017</v>
          </cell>
          <cell r="D17" t="str">
            <v>Formol</v>
          </cell>
          <cell r="E17" t="str">
            <v>lít</v>
          </cell>
          <cell r="G17">
            <v>12</v>
          </cell>
        </row>
        <row r="18">
          <cell r="C18" t="str">
            <v>TH018</v>
          </cell>
          <cell r="D18" t="str">
            <v>Flofen</v>
          </cell>
          <cell r="E18" t="str">
            <v>g</v>
          </cell>
          <cell r="G18">
            <v>0</v>
          </cell>
        </row>
        <row r="19">
          <cell r="C19" t="str">
            <v>TH020</v>
          </cell>
          <cell r="D19" t="str">
            <v>Alfamox  100ml</v>
          </cell>
          <cell r="E19" t="str">
            <v>ml</v>
          </cell>
          <cell r="G19">
            <v>0</v>
          </cell>
        </row>
        <row r="20">
          <cell r="C20" t="str">
            <v>TH021</v>
          </cell>
          <cell r="D20" t="str">
            <v>Ampicoli WS (xanh - Hàn Quốc)</v>
          </cell>
          <cell r="E20" t="str">
            <v>g</v>
          </cell>
          <cell r="G20">
            <v>6000</v>
          </cell>
        </row>
        <row r="21">
          <cell r="C21" t="str">
            <v>TH023</v>
          </cell>
          <cell r="D21" t="str">
            <v>Iodine</v>
          </cell>
          <cell r="E21" t="str">
            <v>ml</v>
          </cell>
          <cell r="G21">
            <v>0</v>
          </cell>
        </row>
        <row r="22">
          <cell r="C22" t="str">
            <v>TH025</v>
          </cell>
          <cell r="D22" t="str">
            <v>Entril 5%</v>
          </cell>
          <cell r="E22" t="str">
            <v>ml</v>
          </cell>
          <cell r="G22">
            <v>600</v>
          </cell>
        </row>
        <row r="23">
          <cell r="C23" t="str">
            <v>TH027</v>
          </cell>
          <cell r="D23" t="str">
            <v>Đường Gluco</v>
          </cell>
          <cell r="E23" t="str">
            <v>g</v>
          </cell>
          <cell r="G23">
            <v>0</v>
          </cell>
        </row>
        <row r="24">
          <cell r="C24" t="str">
            <v>TH031</v>
          </cell>
          <cell r="D24" t="str">
            <v>Bromhexin</v>
          </cell>
          <cell r="E24" t="str">
            <v>g</v>
          </cell>
          <cell r="G24">
            <v>1000</v>
          </cell>
        </row>
        <row r="25">
          <cell r="C25" t="str">
            <v>TH032</v>
          </cell>
          <cell r="D25" t="str">
            <v>Lactovet Soluble</v>
          </cell>
          <cell r="E25" t="str">
            <v>g</v>
          </cell>
          <cell r="G25">
            <v>10000</v>
          </cell>
        </row>
        <row r="26">
          <cell r="C26" t="str">
            <v>TH035</v>
          </cell>
          <cell r="D26" t="str">
            <v>RTD Bcomplex 100ml/lọ</v>
          </cell>
          <cell r="E26" t="str">
            <v>ml</v>
          </cell>
          <cell r="G26">
            <v>500</v>
          </cell>
        </row>
        <row r="27">
          <cell r="C27" t="str">
            <v>TH036</v>
          </cell>
          <cell r="D27" t="str">
            <v>Cồn</v>
          </cell>
          <cell r="E27" t="str">
            <v>ml</v>
          </cell>
          <cell r="G27">
            <v>0</v>
          </cell>
        </row>
        <row r="28">
          <cell r="C28" t="str">
            <v>TH037</v>
          </cell>
          <cell r="D28" t="str">
            <v>Parvo Shield L5E (Vacine phòng khô thai)</v>
          </cell>
          <cell r="E28" t="str">
            <v>liều</v>
          </cell>
          <cell r="G28">
            <v>80</v>
          </cell>
        </row>
        <row r="29">
          <cell r="C29" t="str">
            <v>TH038</v>
          </cell>
          <cell r="D29" t="str">
            <v>Ivermectin 2,5%</v>
          </cell>
          <cell r="E29" t="str">
            <v>ml</v>
          </cell>
          <cell r="G29">
            <v>900</v>
          </cell>
        </row>
        <row r="30">
          <cell r="C30" t="str">
            <v>TH039</v>
          </cell>
          <cell r="D30" t="str">
            <v>Antibio</v>
          </cell>
          <cell r="E30" t="str">
            <v>ml</v>
          </cell>
          <cell r="G30">
            <v>0</v>
          </cell>
        </row>
        <row r="31">
          <cell r="C31" t="str">
            <v>TH041</v>
          </cell>
          <cell r="D31" t="str">
            <v>RTD Calci B12</v>
          </cell>
          <cell r="E31" t="str">
            <v>ml</v>
          </cell>
          <cell r="G31">
            <v>600</v>
          </cell>
        </row>
        <row r="32">
          <cell r="C32" t="str">
            <v>TH042</v>
          </cell>
          <cell r="D32" t="str">
            <v>Ivermectin 1%</v>
          </cell>
          <cell r="E32" t="str">
            <v>ml</v>
          </cell>
          <cell r="G32">
            <v>0</v>
          </cell>
        </row>
        <row r="33">
          <cell r="C33" t="str">
            <v>TH043</v>
          </cell>
          <cell r="D33" t="str">
            <v>Chloramine B</v>
          </cell>
          <cell r="E33" t="str">
            <v>g</v>
          </cell>
          <cell r="G33">
            <v>0</v>
          </cell>
        </row>
        <row r="34">
          <cell r="C34" t="str">
            <v>TH044</v>
          </cell>
          <cell r="D34" t="str">
            <v>Nước cất</v>
          </cell>
          <cell r="E34" t="str">
            <v>ml</v>
          </cell>
          <cell r="G34">
            <v>140000</v>
          </cell>
        </row>
        <row r="35">
          <cell r="C35" t="str">
            <v>TH046</v>
          </cell>
          <cell r="D35" t="str">
            <v>AF Topor (Vacine LMLM)</v>
          </cell>
          <cell r="E35" t="str">
            <v>liều</v>
          </cell>
          <cell r="G35">
            <v>25</v>
          </cell>
        </row>
        <row r="36">
          <cell r="C36" t="str">
            <v>TH047</v>
          </cell>
          <cell r="D36" t="str">
            <v>Catosal</v>
          </cell>
          <cell r="E36" t="str">
            <v>ml</v>
          </cell>
          <cell r="G36">
            <v>0</v>
          </cell>
        </row>
        <row r="37">
          <cell r="C37" t="str">
            <v>TH049</v>
          </cell>
          <cell r="D37" t="str">
            <v>Xanh Metylen</v>
          </cell>
          <cell r="E37" t="str">
            <v>g</v>
          </cell>
          <cell r="G37">
            <v>3000</v>
          </cell>
        </row>
        <row r="38">
          <cell r="C38" t="str">
            <v>TH053</v>
          </cell>
          <cell r="D38" t="str">
            <v>Lactated (500ml)</v>
          </cell>
          <cell r="E38" t="str">
            <v>chai</v>
          </cell>
          <cell r="G38">
            <v>56</v>
          </cell>
        </row>
        <row r="39">
          <cell r="C39" t="str">
            <v>TH055</v>
          </cell>
          <cell r="D39" t="str">
            <v>Dây truyền dịch</v>
          </cell>
          <cell r="E39" t="str">
            <v>cái</v>
          </cell>
          <cell r="G39">
            <v>50</v>
          </cell>
        </row>
        <row r="40">
          <cell r="C40" t="str">
            <v>TH057</v>
          </cell>
          <cell r="D40" t="str">
            <v>Paracetamol</v>
          </cell>
          <cell r="E40" t="str">
            <v>g</v>
          </cell>
          <cell r="G40">
            <v>0</v>
          </cell>
        </row>
        <row r="41">
          <cell r="C41" t="str">
            <v>TH059</v>
          </cell>
          <cell r="D41" t="str">
            <v>Vitol 450</v>
          </cell>
          <cell r="E41" t="str">
            <v>ml</v>
          </cell>
          <cell r="G41">
            <v>1200</v>
          </cell>
        </row>
        <row r="42">
          <cell r="C42" t="str">
            <v>TH062</v>
          </cell>
          <cell r="D42" t="str">
            <v>Cocci - Zione 100ml/lọ</v>
          </cell>
          <cell r="E42" t="str">
            <v>ml</v>
          </cell>
          <cell r="G42">
            <v>0</v>
          </cell>
        </row>
        <row r="43">
          <cell r="C43" t="str">
            <v>TH065</v>
          </cell>
          <cell r="D43" t="str">
            <v>Glucoza 5% (500ml)</v>
          </cell>
          <cell r="E43" t="str">
            <v>lọ</v>
          </cell>
          <cell r="G43">
            <v>112</v>
          </cell>
        </row>
        <row r="44">
          <cell r="C44" t="str">
            <v>TH066</v>
          </cell>
          <cell r="D44" t="str">
            <v>Sút</v>
          </cell>
          <cell r="E44" t="str">
            <v>kg</v>
          </cell>
          <cell r="G44">
            <v>100</v>
          </cell>
        </row>
        <row r="45">
          <cell r="C45" t="str">
            <v>TH068</v>
          </cell>
          <cell r="D45" t="str">
            <v>Toposal inj 100ml/lọ</v>
          </cell>
          <cell r="E45" t="str">
            <v>ml</v>
          </cell>
          <cell r="G45">
            <v>700</v>
          </cell>
        </row>
        <row r="46">
          <cell r="C46" t="str">
            <v>TH069</v>
          </cell>
          <cell r="D46" t="str">
            <v>RTD Vitamin C</v>
          </cell>
          <cell r="E46" t="str">
            <v>ml</v>
          </cell>
          <cell r="G46">
            <v>0</v>
          </cell>
        </row>
        <row r="47">
          <cell r="C47" t="str">
            <v>TH070</v>
          </cell>
          <cell r="D47" t="str">
            <v>Vit K + C</v>
          </cell>
          <cell r="E47" t="str">
            <v>g</v>
          </cell>
          <cell r="G47">
            <v>0</v>
          </cell>
        </row>
        <row r="48">
          <cell r="C48" t="str">
            <v>TH072</v>
          </cell>
          <cell r="D48" t="str">
            <v>Soluble ADE</v>
          </cell>
          <cell r="E48" t="str">
            <v>g</v>
          </cell>
          <cell r="G48">
            <v>13000</v>
          </cell>
        </row>
        <row r="49">
          <cell r="C49" t="str">
            <v>TH073</v>
          </cell>
          <cell r="D49" t="str">
            <v>Amoxy Comby</v>
          </cell>
          <cell r="E49" t="str">
            <v>g</v>
          </cell>
          <cell r="G49">
            <v>3000</v>
          </cell>
        </row>
        <row r="50">
          <cell r="C50" t="str">
            <v>TH074</v>
          </cell>
          <cell r="D50" t="str">
            <v>Oxytocxin 20ml/lọ</v>
          </cell>
          <cell r="E50" t="str">
            <v>ml</v>
          </cell>
          <cell r="G50">
            <v>250</v>
          </cell>
        </row>
        <row r="51">
          <cell r="C51" t="str">
            <v>TH075</v>
          </cell>
          <cell r="D51" t="str">
            <v>Doxy Vet</v>
          </cell>
          <cell r="E51" t="str">
            <v>ml</v>
          </cell>
          <cell r="G51">
            <v>2300</v>
          </cell>
        </row>
        <row r="52">
          <cell r="C52" t="str">
            <v>TH076</v>
          </cell>
          <cell r="D52" t="str">
            <v>TC 01</v>
          </cell>
          <cell r="E52" t="str">
            <v>ml</v>
          </cell>
          <cell r="G52">
            <v>30000</v>
          </cell>
        </row>
        <row r="53">
          <cell r="C53" t="str">
            <v>TH080</v>
          </cell>
          <cell r="D53" t="str">
            <v>Ingel Vac PRRS (Vaccine Tai xanh)</v>
          </cell>
          <cell r="E53" t="str">
            <v>liều</v>
          </cell>
          <cell r="G53">
            <v>0</v>
          </cell>
          <cell r="I53" t="str">
            <v>PRRS inggel vac Boringer</v>
          </cell>
        </row>
        <row r="54">
          <cell r="C54" t="str">
            <v>TH081</v>
          </cell>
          <cell r="D54" t="str">
            <v>Permethrin (Thuốc muỗi) (1000ml)</v>
          </cell>
          <cell r="E54" t="str">
            <v>lọ</v>
          </cell>
          <cell r="G54">
            <v>0</v>
          </cell>
        </row>
        <row r="55">
          <cell r="C55" t="str">
            <v>TH082</v>
          </cell>
          <cell r="D55" t="str">
            <v>Flocol 100ml/lọ</v>
          </cell>
          <cell r="E55" t="str">
            <v>ml</v>
          </cell>
          <cell r="G55">
            <v>0</v>
          </cell>
        </row>
        <row r="56">
          <cell r="C56" t="str">
            <v>TH084</v>
          </cell>
          <cell r="D56" t="str">
            <v>Porcine Pili Shield (Vaccine phòng Ecoli)</v>
          </cell>
          <cell r="E56" t="str">
            <v>liều</v>
          </cell>
          <cell r="G56">
            <v>0</v>
          </cell>
        </row>
        <row r="57">
          <cell r="C57" t="str">
            <v>TH085</v>
          </cell>
          <cell r="D57" t="str">
            <v>Penicilline</v>
          </cell>
          <cell r="E57" t="str">
            <v>lọ</v>
          </cell>
          <cell r="G57">
            <v>0</v>
          </cell>
        </row>
        <row r="58">
          <cell r="C58" t="str">
            <v>TH086</v>
          </cell>
          <cell r="D58" t="str">
            <v>Streptomycin</v>
          </cell>
          <cell r="E58" t="str">
            <v>lọ</v>
          </cell>
          <cell r="G58">
            <v>0</v>
          </cell>
        </row>
        <row r="59">
          <cell r="C59" t="str">
            <v>TH087</v>
          </cell>
          <cell r="D59" t="str">
            <v>Ceptisus 100ml/lọ</v>
          </cell>
          <cell r="E59" t="str">
            <v>ml</v>
          </cell>
          <cell r="G59">
            <v>1500</v>
          </cell>
        </row>
        <row r="60">
          <cell r="C60" t="str">
            <v>TH088</v>
          </cell>
          <cell r="D60" t="str">
            <v>Citifac 15%</v>
          </cell>
          <cell r="E60" t="str">
            <v>g</v>
          </cell>
          <cell r="G60">
            <v>50000</v>
          </cell>
        </row>
        <row r="61">
          <cell r="C61" t="str">
            <v>TH089</v>
          </cell>
          <cell r="D61" t="str">
            <v>Tac Tick 250 ml/lọ</v>
          </cell>
          <cell r="E61" t="str">
            <v>lọ</v>
          </cell>
          <cell r="G61">
            <v>0</v>
          </cell>
        </row>
        <row r="62">
          <cell r="C62" t="str">
            <v>TH090</v>
          </cell>
          <cell r="D62" t="str">
            <v>IntraFE B12</v>
          </cell>
          <cell r="E62" t="str">
            <v>ml</v>
          </cell>
          <cell r="G62">
            <v>0</v>
          </cell>
        </row>
        <row r="63">
          <cell r="C63" t="str">
            <v>TH091</v>
          </cell>
          <cell r="D63" t="str">
            <v>Lutalyse</v>
          </cell>
          <cell r="E63" t="str">
            <v>ml</v>
          </cell>
          <cell r="G63">
            <v>30</v>
          </cell>
        </row>
        <row r="64">
          <cell r="C64" t="str">
            <v>TH092</v>
          </cell>
          <cell r="D64" t="str">
            <v>Dexferron Inj</v>
          </cell>
          <cell r="E64" t="str">
            <v>ml</v>
          </cell>
          <cell r="G64">
            <v>0</v>
          </cell>
        </row>
        <row r="65">
          <cell r="C65" t="str">
            <v>TH093</v>
          </cell>
          <cell r="D65" t="str">
            <v>PG 600 (thuốc kích dục)</v>
          </cell>
          <cell r="E65" t="str">
            <v>liều</v>
          </cell>
          <cell r="G65">
            <v>10</v>
          </cell>
        </row>
        <row r="66">
          <cell r="C66" t="str">
            <v>TH094</v>
          </cell>
          <cell r="D66" t="str">
            <v>Inggel vac Mycoflex (Vaccine Suyễn)</v>
          </cell>
          <cell r="E66" t="str">
            <v>liều</v>
          </cell>
          <cell r="G66">
            <v>100</v>
          </cell>
        </row>
        <row r="67">
          <cell r="C67" t="str">
            <v>TH095</v>
          </cell>
          <cell r="D67" t="str">
            <v>Inggel vac Circo flex (vaccine chống còi cọc)</v>
          </cell>
          <cell r="E67" t="str">
            <v>liều</v>
          </cell>
          <cell r="G67">
            <v>75</v>
          </cell>
        </row>
        <row r="68">
          <cell r="C68" t="str">
            <v>TH097</v>
          </cell>
          <cell r="D68" t="str">
            <v>Tylogendex</v>
          </cell>
          <cell r="E68" t="str">
            <v>ml</v>
          </cell>
          <cell r="G68">
            <v>1100</v>
          </cell>
        </row>
        <row r="69">
          <cell r="C69" t="str">
            <v>TH098</v>
          </cell>
          <cell r="D69" t="str">
            <v>T. Oxylin</v>
          </cell>
          <cell r="E69" t="str">
            <v>ml</v>
          </cell>
          <cell r="G69">
            <v>0</v>
          </cell>
        </row>
        <row r="70">
          <cell r="C70" t="str">
            <v>TH100</v>
          </cell>
          <cell r="D70" t="str">
            <v>Dynamutilin</v>
          </cell>
          <cell r="E70" t="str">
            <v>g</v>
          </cell>
          <cell r="G70">
            <v>10000</v>
          </cell>
        </row>
        <row r="71">
          <cell r="C71" t="str">
            <v>TH101</v>
          </cell>
          <cell r="D71" t="str">
            <v>Aquacil</v>
          </cell>
          <cell r="E71" t="str">
            <v>g</v>
          </cell>
          <cell r="G71">
            <v>20000</v>
          </cell>
        </row>
        <row r="72">
          <cell r="C72" t="str">
            <v>TH102</v>
          </cell>
          <cell r="D72" t="str">
            <v>Gel bôi trơn</v>
          </cell>
          <cell r="E72" t="str">
            <v>lọ</v>
          </cell>
          <cell r="G72">
            <v>2</v>
          </cell>
        </row>
        <row r="73">
          <cell r="C73" t="str">
            <v>TH103</v>
          </cell>
          <cell r="D73" t="str">
            <v>Gluco Vit C</v>
          </cell>
          <cell r="E73" t="str">
            <v>ml</v>
          </cell>
          <cell r="G73">
            <v>0</v>
          </cell>
        </row>
        <row r="74">
          <cell r="C74" t="str">
            <v>TH105</v>
          </cell>
          <cell r="D74" t="str">
            <v>Porcilis CSF Live (Vaccine dịch tả)</v>
          </cell>
          <cell r="E74" t="str">
            <v>liều</v>
          </cell>
          <cell r="G74">
            <v>0</v>
          </cell>
        </row>
        <row r="75">
          <cell r="C75" t="str">
            <v>TH106</v>
          </cell>
          <cell r="D75" t="str">
            <v>Porcilis Porcoli DF (Vaccine Ecoli)</v>
          </cell>
          <cell r="E75" t="str">
            <v>liều</v>
          </cell>
          <cell r="G75">
            <v>0</v>
          </cell>
        </row>
        <row r="76">
          <cell r="C76" t="str">
            <v>TH107</v>
          </cell>
          <cell r="D76" t="str">
            <v>Omnicide (thuốc sát trùng)</v>
          </cell>
          <cell r="E76" t="str">
            <v>lít</v>
          </cell>
          <cell r="G76">
            <v>5</v>
          </cell>
        </row>
        <row r="77">
          <cell r="C77" t="str">
            <v>TH109</v>
          </cell>
          <cell r="D77" t="str">
            <v>Unisolve Nước pha VX Porcilis (100ml/ lọ)</v>
          </cell>
          <cell r="E77" t="str">
            <v>lọ</v>
          </cell>
          <cell r="G77">
            <v>0</v>
          </cell>
        </row>
        <row r="78">
          <cell r="C78" t="str">
            <v>TH110</v>
          </cell>
          <cell r="D78" t="str">
            <v>Mistral (bột lăn)</v>
          </cell>
          <cell r="E78" t="str">
            <v>kg</v>
          </cell>
          <cell r="G78">
            <v>75</v>
          </cell>
        </row>
        <row r="79">
          <cell r="C79" t="str">
            <v>TH111</v>
          </cell>
          <cell r="D79" t="str">
            <v>Porcilis begonia liều 10 (Vaccine phòng giả dại)</v>
          </cell>
          <cell r="E79" t="str">
            <v>liều</v>
          </cell>
          <cell r="G79">
            <v>0</v>
          </cell>
        </row>
        <row r="80">
          <cell r="C80" t="str">
            <v>TH112</v>
          </cell>
          <cell r="D80" t="str">
            <v>Amoxyl LA 100ml/lọ</v>
          </cell>
          <cell r="E80" t="str">
            <v>ml</v>
          </cell>
          <cell r="G80">
            <v>0</v>
          </cell>
        </row>
        <row r="81">
          <cell r="C81" t="str">
            <v>TH113</v>
          </cell>
          <cell r="D81" t="str">
            <v>Natri Citrat (Muoi Pha)</v>
          </cell>
          <cell r="E81" t="str">
            <v>g</v>
          </cell>
          <cell r="G81">
            <v>3000</v>
          </cell>
        </row>
        <row r="82">
          <cell r="C82" t="str">
            <v>TH114</v>
          </cell>
          <cell r="D82" t="str">
            <v>Dynamutilin inj (100ml/lọ)</v>
          </cell>
          <cell r="E82" t="str">
            <v>ml</v>
          </cell>
          <cell r="G82">
            <v>1100</v>
          </cell>
        </row>
        <row r="83">
          <cell r="C83" t="str">
            <v>TH118</v>
          </cell>
          <cell r="D83" t="str">
            <v>Inges Plus (Kháng sinh hô hấp)</v>
          </cell>
          <cell r="E83" t="str">
            <v>Gr</v>
          </cell>
          <cell r="G83">
            <v>0</v>
          </cell>
        </row>
        <row r="84">
          <cell r="C84" t="str">
            <v>TH121</v>
          </cell>
          <cell r="D84" t="str">
            <v>Prosystem 2143</v>
          </cell>
          <cell r="E84" t="str">
            <v>Liều</v>
          </cell>
          <cell r="G84">
            <v>20</v>
          </cell>
          <cell r="I84" t="str">
            <v>Litterguard LT-C</v>
          </cell>
        </row>
        <row r="85">
          <cell r="C85" t="str">
            <v>TH123</v>
          </cell>
          <cell r="D85" t="str">
            <v>RTD Myco</v>
          </cell>
          <cell r="E85" t="str">
            <v>ml</v>
          </cell>
          <cell r="G85">
            <v>0</v>
          </cell>
        </row>
        <row r="86">
          <cell r="C86" t="str">
            <v>TH124</v>
          </cell>
          <cell r="D86" t="str">
            <v>Diluvac Forte - 20ml (Nước pha VX phòng giả dại)</v>
          </cell>
          <cell r="E86" t="str">
            <v>Lọ</v>
          </cell>
          <cell r="G86">
            <v>0</v>
          </cell>
        </row>
        <row r="87">
          <cell r="C87" t="str">
            <v>TH125</v>
          </cell>
          <cell r="D87" t="str">
            <v>Gentamax (Đỏ - 100ml)</v>
          </cell>
          <cell r="E87" t="str">
            <v>ml</v>
          </cell>
          <cell r="G87">
            <v>800</v>
          </cell>
        </row>
        <row r="88">
          <cell r="C88" t="str">
            <v>TH126</v>
          </cell>
          <cell r="D88" t="str">
            <v>Livfitvet</v>
          </cell>
          <cell r="E88" t="str">
            <v>ml</v>
          </cell>
          <cell r="G88">
            <v>0</v>
          </cell>
        </row>
        <row r="89">
          <cell r="C89" t="str">
            <v>TH127</v>
          </cell>
          <cell r="D89" t="str">
            <v>MgSO4.7H2O</v>
          </cell>
          <cell r="E89" t="str">
            <v>gr</v>
          </cell>
          <cell r="G89">
            <v>0</v>
          </cell>
        </row>
        <row r="90">
          <cell r="C90" t="str">
            <v>TH128</v>
          </cell>
          <cell r="D90" t="str">
            <v>Vetrimixin - LA 100ml</v>
          </cell>
          <cell r="E90" t="str">
            <v>ml</v>
          </cell>
          <cell r="G90">
            <v>0</v>
          </cell>
        </row>
        <row r="91">
          <cell r="C91" t="str">
            <v>TH129</v>
          </cell>
          <cell r="D91" t="str">
            <v>Roxolin</v>
          </cell>
          <cell r="E91" t="str">
            <v>gr</v>
          </cell>
          <cell r="G91">
            <v>0</v>
          </cell>
        </row>
        <row r="92">
          <cell r="C92" t="str">
            <v>TH131</v>
          </cell>
          <cell r="D92" t="str">
            <v>Porcilis PVC ( vaccine còi cọc)</v>
          </cell>
          <cell r="E92" t="str">
            <v>liều</v>
          </cell>
          <cell r="G92">
            <v>125</v>
          </cell>
        </row>
        <row r="93">
          <cell r="C93" t="str">
            <v>TH132</v>
          </cell>
          <cell r="D93" t="str">
            <v>Stressroak</v>
          </cell>
          <cell r="E93" t="str">
            <v>lít</v>
          </cell>
          <cell r="G93">
            <v>20</v>
          </cell>
        </row>
        <row r="94">
          <cell r="C94" t="str">
            <v>TH133</v>
          </cell>
          <cell r="D94" t="str">
            <v>Colistin</v>
          </cell>
          <cell r="E94" t="str">
            <v>g</v>
          </cell>
          <cell r="G94">
            <v>10000</v>
          </cell>
        </row>
        <row r="95">
          <cell r="C95" t="str">
            <v>TH134</v>
          </cell>
          <cell r="D95" t="str">
            <v>Ferrun 10% + B12</v>
          </cell>
          <cell r="E95" t="str">
            <v>ml</v>
          </cell>
          <cell r="G95">
            <v>0</v>
          </cell>
        </row>
        <row r="96">
          <cell r="C96" t="str">
            <v>TH135</v>
          </cell>
          <cell r="D96" t="str">
            <v>Bromhexin 100ml</v>
          </cell>
          <cell r="E96" t="str">
            <v>ml</v>
          </cell>
          <cell r="G96">
            <v>500</v>
          </cell>
        </row>
        <row r="97">
          <cell r="C97" t="str">
            <v>TH136</v>
          </cell>
          <cell r="D97" t="str">
            <v>Clostop</v>
          </cell>
          <cell r="E97" t="str">
            <v>g</v>
          </cell>
          <cell r="G97">
            <v>0</v>
          </cell>
        </row>
        <row r="98">
          <cell r="C98" t="str">
            <v>TH138</v>
          </cell>
          <cell r="D98" t="str">
            <v>Vitamin K 10 %</v>
          </cell>
          <cell r="E98" t="str">
            <v>ml</v>
          </cell>
          <cell r="G98">
            <v>100</v>
          </cell>
        </row>
        <row r="99">
          <cell r="C99" t="str">
            <v>TH140</v>
          </cell>
          <cell r="D99" t="str">
            <v>RTD - Dipen-strep-LA</v>
          </cell>
          <cell r="E99" t="str">
            <v>ml</v>
          </cell>
          <cell r="G99">
            <v>1800</v>
          </cell>
        </row>
        <row r="100">
          <cell r="C100" t="str">
            <v>TH142</v>
          </cell>
          <cell r="D100" t="str">
            <v>Amoxy 500 WS</v>
          </cell>
          <cell r="E100" t="str">
            <v>g</v>
          </cell>
          <cell r="G100">
            <v>0</v>
          </cell>
        </row>
        <row r="101">
          <cell r="C101" t="str">
            <v>TH143</v>
          </cell>
          <cell r="D101" t="str">
            <v>Atropin 100ml</v>
          </cell>
          <cell r="E101" t="str">
            <v>ml</v>
          </cell>
          <cell r="G101">
            <v>1500</v>
          </cell>
        </row>
        <row r="102">
          <cell r="C102" t="str">
            <v>TH145</v>
          </cell>
          <cell r="D102" t="str">
            <v>Stress  lyte Plus 1kg</v>
          </cell>
          <cell r="E102" t="str">
            <v>g</v>
          </cell>
          <cell r="G102">
            <v>0</v>
          </cell>
        </row>
        <row r="103">
          <cell r="C103" t="str">
            <v>TH147</v>
          </cell>
          <cell r="D103" t="str">
            <v>Tylan 40 sulfa 22.5 kg</v>
          </cell>
          <cell r="E103" t="str">
            <v>g</v>
          </cell>
          <cell r="G103">
            <v>0</v>
          </cell>
        </row>
        <row r="104">
          <cell r="C104" t="str">
            <v>TH148</v>
          </cell>
          <cell r="D104" t="str">
            <v>Norflox Gold 1lít</v>
          </cell>
          <cell r="E104" t="str">
            <v>ml</v>
          </cell>
          <cell r="G104">
            <v>0</v>
          </cell>
        </row>
        <row r="105">
          <cell r="C105" t="str">
            <v>TH149</v>
          </cell>
          <cell r="D105" t="str">
            <v>Vitaplus 1kg Farma</v>
          </cell>
          <cell r="E105" t="str">
            <v>g</v>
          </cell>
          <cell r="G105">
            <v>0</v>
          </cell>
        </row>
        <row r="106">
          <cell r="C106" t="str">
            <v>TH158</v>
          </cell>
          <cell r="D106" t="str">
            <v>Vaccine tai xanh PR2</v>
          </cell>
          <cell r="E106" t="str">
            <v>liều</v>
          </cell>
          <cell r="G106">
            <v>0</v>
          </cell>
        </row>
        <row r="107">
          <cell r="C107" t="str">
            <v>TH159</v>
          </cell>
          <cell r="D107" t="str">
            <v>Strerile Diluent PRRS - PR2 - 20ml</v>
          </cell>
          <cell r="E107" t="str">
            <v>lọ</v>
          </cell>
          <cell r="G107">
            <v>0</v>
          </cell>
        </row>
        <row r="108">
          <cell r="C108" t="str">
            <v>TH160</v>
          </cell>
          <cell r="D108" t="str">
            <v>Điện giải</v>
          </cell>
          <cell r="E108" t="str">
            <v>g</v>
          </cell>
          <cell r="G108">
            <v>6000</v>
          </cell>
        </row>
        <row r="109">
          <cell r="C109" t="str">
            <v>TH161</v>
          </cell>
          <cell r="D109" t="str">
            <v>Dexa - tiêm 100ml</v>
          </cell>
          <cell r="E109" t="str">
            <v>ml</v>
          </cell>
          <cell r="G109">
            <v>0</v>
          </cell>
        </row>
        <row r="110">
          <cell r="C110" t="str">
            <v>TH162</v>
          </cell>
          <cell r="D110" t="str">
            <v>Ivomox (1 kg)</v>
          </cell>
          <cell r="E110" t="str">
            <v>kg</v>
          </cell>
          <cell r="G110">
            <v>0</v>
          </cell>
        </row>
        <row r="111">
          <cell r="C111" t="str">
            <v>TH163</v>
          </cell>
          <cell r="D111" t="str">
            <v>Baytril 0,5 %- 100ml</v>
          </cell>
          <cell r="E111" t="str">
            <v>ml</v>
          </cell>
          <cell r="G111">
            <v>0</v>
          </cell>
        </row>
        <row r="112">
          <cell r="C112" t="str">
            <v>TH164</v>
          </cell>
          <cell r="D112" t="str">
            <v>Baytcox ,5 %- 100ml</v>
          </cell>
          <cell r="E112" t="str">
            <v>ml</v>
          </cell>
          <cell r="G112">
            <v>0</v>
          </cell>
        </row>
        <row r="113">
          <cell r="C113" t="str">
            <v>TH165</v>
          </cell>
          <cell r="D113" t="str">
            <v>Trypamidium 125g</v>
          </cell>
          <cell r="E113" t="str">
            <v>gói</v>
          </cell>
          <cell r="G113">
            <v>0</v>
          </cell>
        </row>
        <row r="114">
          <cell r="C114" t="str">
            <v>TH166</v>
          </cell>
          <cell r="D114" t="str">
            <v>Tiamulin 20%</v>
          </cell>
          <cell r="E114" t="str">
            <v>ml</v>
          </cell>
          <cell r="G114">
            <v>0</v>
          </cell>
        </row>
        <row r="115">
          <cell r="C115" t="str">
            <v>TH167</v>
          </cell>
          <cell r="D115" t="str">
            <v>Chlo B viên 200g</v>
          </cell>
          <cell r="E115" t="str">
            <v>kg</v>
          </cell>
          <cell r="G115">
            <v>10</v>
          </cell>
        </row>
        <row r="116">
          <cell r="C116" t="str">
            <v>TH168</v>
          </cell>
          <cell r="D116" t="str">
            <v>Ecotraz 250 (200ml)</v>
          </cell>
          <cell r="E116" t="str">
            <v>ml</v>
          </cell>
          <cell r="G116">
            <v>200</v>
          </cell>
        </row>
        <row r="117">
          <cell r="C117" t="str">
            <v>TH169</v>
          </cell>
          <cell r="D117" t="str">
            <v>Skim Milk ( sữa gầy 1kg)</v>
          </cell>
          <cell r="E117" t="str">
            <v>kg</v>
          </cell>
          <cell r="G117">
            <v>3</v>
          </cell>
        </row>
        <row r="118">
          <cell r="C118" t="str">
            <v>TH170</v>
          </cell>
          <cell r="D118" t="str">
            <v>Igone S 200ml</v>
          </cell>
          <cell r="E118" t="str">
            <v>chai</v>
          </cell>
          <cell r="G118">
            <v>0</v>
          </cell>
        </row>
        <row r="119">
          <cell r="C119" t="str">
            <v>TH171</v>
          </cell>
          <cell r="D119" t="str">
            <v>Stockmilk</v>
          </cell>
          <cell r="E119" t="str">
            <v>kg</v>
          </cell>
          <cell r="G119">
            <v>0</v>
          </cell>
        </row>
        <row r="120">
          <cell r="C120" t="str">
            <v>TH172</v>
          </cell>
          <cell r="D120" t="str">
            <v>Multibio (100ml)</v>
          </cell>
          <cell r="E120" t="str">
            <v>ml</v>
          </cell>
          <cell r="G120">
            <v>0</v>
          </cell>
        </row>
        <row r="121">
          <cell r="C121" t="str">
            <v>TH173</v>
          </cell>
          <cell r="D121" t="str">
            <v>Pestiffafl 50ds</v>
          </cell>
          <cell r="E121" t="str">
            <v>liều</v>
          </cell>
          <cell r="G121">
            <v>25</v>
          </cell>
        </row>
        <row r="122">
          <cell r="C122" t="str">
            <v>TH174</v>
          </cell>
          <cell r="D122" t="str">
            <v>Nước pha Pestiffafl 100ml</v>
          </cell>
          <cell r="E122" t="str">
            <v>lọ</v>
          </cell>
          <cell r="G122">
            <v>0</v>
          </cell>
        </row>
        <row r="123">
          <cell r="C123" t="str">
            <v>TH175</v>
          </cell>
          <cell r="D123" t="str">
            <v>Finadyne 50ml</v>
          </cell>
          <cell r="E123" t="str">
            <v>ml</v>
          </cell>
          <cell r="G123">
            <v>0</v>
          </cell>
        </row>
        <row r="124">
          <cell r="C124" t="str">
            <v>TH176</v>
          </cell>
          <cell r="D124" t="str">
            <v>Octacin En 5%</v>
          </cell>
          <cell r="E124" t="str">
            <v>ml</v>
          </cell>
          <cell r="G124">
            <v>0</v>
          </cell>
        </row>
        <row r="125">
          <cell r="C125" t="str">
            <v>TH177</v>
          </cell>
          <cell r="D125" t="str">
            <v>Vitamin B1 (100ml)</v>
          </cell>
          <cell r="E125" t="str">
            <v>ml</v>
          </cell>
          <cell r="G125">
            <v>1200</v>
          </cell>
        </row>
        <row r="126">
          <cell r="C126" t="str">
            <v>TH178</v>
          </cell>
          <cell r="D126" t="str">
            <v>Exapar 500ml</v>
          </cell>
          <cell r="E126" t="str">
            <v>ml</v>
          </cell>
          <cell r="G126">
            <v>0</v>
          </cell>
        </row>
        <row r="127">
          <cell r="C127" t="str">
            <v>TH179</v>
          </cell>
          <cell r="D127" t="str">
            <v>RTD Rotosa100</v>
          </cell>
          <cell r="E127" t="str">
            <v>ml</v>
          </cell>
          <cell r="G127">
            <v>0</v>
          </cell>
        </row>
        <row r="128">
          <cell r="C128" t="str">
            <v>TH180</v>
          </cell>
          <cell r="D128" t="str">
            <v>Urotropin 100ml</v>
          </cell>
          <cell r="E128" t="str">
            <v>ml</v>
          </cell>
          <cell r="G128">
            <v>100</v>
          </cell>
        </row>
        <row r="129">
          <cell r="C129" t="str">
            <v>TH181</v>
          </cell>
          <cell r="D129" t="str">
            <v>Vitalyte - 1kg</v>
          </cell>
          <cell r="E129" t="str">
            <v>g</v>
          </cell>
          <cell r="G129">
            <v>0</v>
          </cell>
        </row>
        <row r="130">
          <cell r="C130" t="str">
            <v>TH182</v>
          </cell>
          <cell r="D130" t="str">
            <v>Coglapest</v>
          </cell>
          <cell r="E130" t="str">
            <v>liều</v>
          </cell>
          <cell r="G130">
            <v>0</v>
          </cell>
        </row>
        <row r="131">
          <cell r="C131" t="str">
            <v>TH185</v>
          </cell>
          <cell r="D131" t="str">
            <v>Intracox pump 100ml</v>
          </cell>
          <cell r="E131" t="str">
            <v>ml</v>
          </cell>
          <cell r="G131">
            <v>0</v>
          </cell>
        </row>
        <row r="132">
          <cell r="C132" t="str">
            <v>TH186</v>
          </cell>
          <cell r="D132" t="str">
            <v>Neocolipor FL L25</v>
          </cell>
          <cell r="E132" t="str">
            <v>liều</v>
          </cell>
          <cell r="G132">
            <v>0</v>
          </cell>
        </row>
        <row r="133">
          <cell r="C133" t="str">
            <v>TH187</v>
          </cell>
          <cell r="D133" t="str">
            <v>RTD Lincospec</v>
          </cell>
          <cell r="E133" t="str">
            <v>ml</v>
          </cell>
          <cell r="G133">
            <v>1000</v>
          </cell>
        </row>
        <row r="134">
          <cell r="C134" t="str">
            <v>TH188</v>
          </cell>
          <cell r="D134" t="str">
            <v>Pulmotil G200 premix</v>
          </cell>
          <cell r="E134" t="str">
            <v>kg</v>
          </cell>
        </row>
        <row r="135">
          <cell r="C135" t="str">
            <v>TH191</v>
          </cell>
          <cell r="D135" t="str">
            <v>Altresyn + Pump 540 ml</v>
          </cell>
          <cell r="E135" t="str">
            <v>chai</v>
          </cell>
          <cell r="G135">
            <v>0</v>
          </cell>
        </row>
        <row r="136">
          <cell r="C136" t="str">
            <v>TH192</v>
          </cell>
          <cell r="D136" t="str">
            <v>BMD</v>
          </cell>
          <cell r="E136" t="str">
            <v>kg</v>
          </cell>
          <cell r="G136">
            <v>0</v>
          </cell>
        </row>
        <row r="137">
          <cell r="C137" t="str">
            <v>TH193</v>
          </cell>
          <cell r="D137" t="str">
            <v>Nukol spray</v>
          </cell>
          <cell r="E137" t="str">
            <v>kg</v>
          </cell>
          <cell r="G137">
            <v>0</v>
          </cell>
        </row>
        <row r="138">
          <cell r="C138" t="str">
            <v>TH197</v>
          </cell>
          <cell r="D138" t="str">
            <v>Gentadox 100g/gói</v>
          </cell>
          <cell r="E138" t="str">
            <v>g</v>
          </cell>
          <cell r="G138">
            <v>1000</v>
          </cell>
          <cell r="I138" t="str">
            <v>Em quy đổi đơn vị 4 kg sang 4000</v>
          </cell>
        </row>
        <row r="139">
          <cell r="C139" t="str">
            <v>TH198</v>
          </cell>
          <cell r="D139" t="str">
            <v>Sorbitol +B12 - 1kg</v>
          </cell>
          <cell r="E139" t="str">
            <v>g</v>
          </cell>
          <cell r="G139">
            <v>0</v>
          </cell>
        </row>
        <row r="140">
          <cell r="C140" t="str">
            <v>TH199</v>
          </cell>
          <cell r="D140" t="str">
            <v>Vaccine trị tiêu chảy PED L5</v>
          </cell>
          <cell r="E140" t="str">
            <v>liều</v>
          </cell>
          <cell r="G140">
            <v>95</v>
          </cell>
        </row>
        <row r="141">
          <cell r="C141" t="str">
            <v>TH200</v>
          </cell>
          <cell r="D141" t="str">
            <v>Suspension - 120ml/lọ</v>
          </cell>
          <cell r="E141" t="str">
            <v>ml</v>
          </cell>
          <cell r="G141">
            <v>1800</v>
          </cell>
        </row>
        <row r="142">
          <cell r="C142" t="str">
            <v>TH202</v>
          </cell>
          <cell r="D142" t="str">
            <v>B - Glucan -K - C</v>
          </cell>
          <cell r="E142" t="str">
            <v>kg</v>
          </cell>
          <cell r="G142">
            <v>4</v>
          </cell>
          <cell r="I142" t="str">
            <v>Glucamos 1kg</v>
          </cell>
        </row>
        <row r="143">
          <cell r="C143" t="str">
            <v>TH203</v>
          </cell>
          <cell r="D143" t="str">
            <v>Neuxyn 100ml</v>
          </cell>
          <cell r="E143" t="str">
            <v>ml</v>
          </cell>
          <cell r="G143">
            <v>900</v>
          </cell>
        </row>
        <row r="144">
          <cell r="C144" t="str">
            <v>TH204</v>
          </cell>
          <cell r="D144" t="str">
            <v>Rokovac 20ml</v>
          </cell>
          <cell r="E144" t="str">
            <v>ml</v>
          </cell>
          <cell r="G144">
            <v>0</v>
          </cell>
        </row>
        <row r="145">
          <cell r="C145" t="str">
            <v>TH205</v>
          </cell>
          <cell r="D145" t="str">
            <v>Kháng thể Ecoli 100 ml</v>
          </cell>
          <cell r="E145" t="str">
            <v>ml</v>
          </cell>
          <cell r="G145">
            <v>0</v>
          </cell>
        </row>
        <row r="146">
          <cell r="C146" t="str">
            <v>TH206</v>
          </cell>
          <cell r="D146" t="str">
            <v>Unisolve Nước pha VX Porcilis (20ml/lọ)</v>
          </cell>
          <cell r="E146" t="str">
            <v>lọ</v>
          </cell>
          <cell r="G146">
            <v>0</v>
          </cell>
        </row>
        <row r="147">
          <cell r="C147" t="str">
            <v>TH207</v>
          </cell>
          <cell r="D147" t="str">
            <v>Deltaplus 1000 ml</v>
          </cell>
          <cell r="E147" t="str">
            <v>lọ</v>
          </cell>
          <cell r="G147">
            <v>0</v>
          </cell>
        </row>
        <row r="148">
          <cell r="C148" t="str">
            <v>TH208</v>
          </cell>
          <cell r="D148" t="str">
            <v>Biogenta 100 ml</v>
          </cell>
          <cell r="E148" t="str">
            <v>ml</v>
          </cell>
          <cell r="G148">
            <v>2000</v>
          </cell>
        </row>
        <row r="149">
          <cell r="C149" t="str">
            <v>TH209</v>
          </cell>
          <cell r="D149" t="str">
            <v>Cofalyor 250 ml</v>
          </cell>
          <cell r="E149" t="str">
            <v>ml</v>
          </cell>
          <cell r="G149">
            <v>0</v>
          </cell>
        </row>
        <row r="150">
          <cell r="C150" t="str">
            <v>TH210</v>
          </cell>
          <cell r="D150" t="str">
            <v>Interflox 100 ml</v>
          </cell>
          <cell r="E150" t="str">
            <v>ml</v>
          </cell>
          <cell r="G150">
            <v>0</v>
          </cell>
        </row>
        <row r="151">
          <cell r="C151" t="str">
            <v>TH211</v>
          </cell>
          <cell r="D151" t="str">
            <v>Na Camphor 100 ml</v>
          </cell>
          <cell r="E151" t="str">
            <v>ml</v>
          </cell>
          <cell r="G151">
            <v>200</v>
          </cell>
        </row>
        <row r="152">
          <cell r="C152" t="str">
            <v>TH212</v>
          </cell>
          <cell r="D152" t="str">
            <v>Novocain 5ml</v>
          </cell>
          <cell r="E152" t="str">
            <v>ml</v>
          </cell>
          <cell r="G152">
            <v>45</v>
          </cell>
        </row>
        <row r="153">
          <cell r="C153" t="str">
            <v>TH213</v>
          </cell>
          <cell r="D153" t="str">
            <v>Aci Pak Five</v>
          </cell>
          <cell r="E153" t="str">
            <v>kg</v>
          </cell>
          <cell r="G153">
            <v>0</v>
          </cell>
        </row>
        <row r="154">
          <cell r="C154" t="str">
            <v>TH214</v>
          </cell>
          <cell r="D154" t="str">
            <v>Dufafloxacin 10% - 100 ml</v>
          </cell>
          <cell r="E154" t="str">
            <v>ml</v>
          </cell>
          <cell r="G154">
            <v>2000</v>
          </cell>
        </row>
        <row r="155">
          <cell r="C155" t="str">
            <v>TH215</v>
          </cell>
          <cell r="D155" t="str">
            <v>Doxy Tylo - 1kg/ gói</v>
          </cell>
          <cell r="E155" t="str">
            <v>kg</v>
          </cell>
          <cell r="G155">
            <v>0</v>
          </cell>
        </row>
        <row r="156">
          <cell r="C156" t="str">
            <v>TH216</v>
          </cell>
          <cell r="D156" t="str">
            <v>Shotapen 100ml</v>
          </cell>
          <cell r="E156" t="str">
            <v>ml</v>
          </cell>
          <cell r="G156">
            <v>0</v>
          </cell>
        </row>
        <row r="157">
          <cell r="C157" t="str">
            <v>TH217</v>
          </cell>
          <cell r="D157" t="str">
            <v>Payapro 1kg</v>
          </cell>
          <cell r="E157" t="str">
            <v>kg</v>
          </cell>
          <cell r="G157">
            <v>0</v>
          </cell>
        </row>
        <row r="158">
          <cell r="C158" t="str">
            <v>TH218</v>
          </cell>
          <cell r="D158" t="str">
            <v>Flumeq 1kg</v>
          </cell>
          <cell r="E158" t="str">
            <v>kg</v>
          </cell>
          <cell r="G158">
            <v>0</v>
          </cell>
        </row>
        <row r="159">
          <cell r="C159" t="str">
            <v>TH219</v>
          </cell>
          <cell r="D159" t="str">
            <v>CID 2000 5L</v>
          </cell>
          <cell r="E159" t="str">
            <v>lít</v>
          </cell>
          <cell r="G159">
            <v>25</v>
          </cell>
        </row>
        <row r="160">
          <cell r="C160" t="str">
            <v>TH220</v>
          </cell>
          <cell r="D160" t="str">
            <v>Yeast Culti</v>
          </cell>
          <cell r="E160" t="str">
            <v>kg</v>
          </cell>
          <cell r="G160">
            <v>0</v>
          </cell>
        </row>
        <row r="161">
          <cell r="C161" t="str">
            <v>TH221</v>
          </cell>
          <cell r="D161" t="str">
            <v>RTD Bcomplex hạt</v>
          </cell>
          <cell r="E161" t="str">
            <v>kg</v>
          </cell>
          <cell r="G161">
            <v>13</v>
          </cell>
        </row>
        <row r="162">
          <cell r="C162" t="str">
            <v>TH222</v>
          </cell>
          <cell r="D162" t="str">
            <v>Aralis 120ml</v>
          </cell>
          <cell r="E162" t="str">
            <v>lọ</v>
          </cell>
          <cell r="G162">
            <v>28</v>
          </cell>
        </row>
        <row r="163">
          <cell r="C163" t="str">
            <v>TH223</v>
          </cell>
          <cell r="D163" t="str">
            <v>Diclofenac 100ml</v>
          </cell>
          <cell r="E163" t="str">
            <v>ml</v>
          </cell>
          <cell r="G163">
            <v>4300</v>
          </cell>
        </row>
        <row r="164">
          <cell r="C164" t="str">
            <v>TH224</v>
          </cell>
          <cell r="D164" t="str">
            <v>Ecopiglet- 25kg</v>
          </cell>
          <cell r="E164" t="str">
            <v>kg</v>
          </cell>
          <cell r="G164">
            <v>28</v>
          </cell>
        </row>
        <row r="165">
          <cell r="C165" t="str">
            <v>TH228</v>
          </cell>
          <cell r="D165" t="str">
            <v>Hantox</v>
          </cell>
          <cell r="E165" t="str">
            <v>lọ</v>
          </cell>
          <cell r="G165">
            <v>0</v>
          </cell>
        </row>
        <row r="166">
          <cell r="C166" t="str">
            <v>TH226</v>
          </cell>
          <cell r="D166" t="str">
            <v>QUICKBAYT-20GR</v>
          </cell>
          <cell r="E166" t="str">
            <v>gói</v>
          </cell>
          <cell r="G166">
            <v>11</v>
          </cell>
        </row>
        <row r="167">
          <cell r="G167">
            <v>347441</v>
          </cell>
        </row>
      </sheetData>
      <sheetData sheetId="3" refreshError="1"/>
      <sheetData sheetId="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Quantity"/>
      <sheetName val="KP_List"/>
      <sheetName val="PU_ITALY "/>
      <sheetName val="Prices"/>
      <sheetName val="Module1"/>
      <sheetName val="Module2"/>
      <sheetName val="XL4Poppy"/>
      <sheetName val="Tro giup"/>
      <sheetName val="조명시설"/>
      <sheetName val="6787CWFASE2CASE2_00"/>
      <sheetName val="Sheet1"/>
      <sheetName val="THDZ0,4"/>
      <sheetName val="TH DZ35"/>
      <sheetName val="THTram"/>
      <sheetName val="DG"/>
      <sheetName val="RAB AR&amp;STR"/>
      <sheetName val="Earthwork"/>
      <sheetName val="Input"/>
      <sheetName val="DANHPHAP"/>
      <sheetName val="chi tiet TBA"/>
      <sheetName val="chi tiet C"/>
      <sheetName val="DATA"/>
      <sheetName val="Customize Your Purchase Order"/>
      <sheetName val="공통가설"/>
      <sheetName val="물량표S"/>
      <sheetName val="SILICATE"/>
      <sheetName val="PU_ITALY_"/>
      <sheetName val="Tro_giup"/>
      <sheetName val="RAB_AR&amp;STR"/>
      <sheetName val="chi_tiet_TBA"/>
      <sheetName val="chi_tiet_C"/>
      <sheetName val="TH_DZ35"/>
      <sheetName val="Customize_Your_Purchase_Order"/>
      <sheetName val="Don gia"/>
      <sheetName val="Shdet1"/>
      <sheetName val="#REF"/>
      <sheetName val="내역서"/>
      <sheetName val="402"/>
      <sheetName val="DC"/>
      <sheetName val="NL"/>
      <sheetName val="DON GIA TRAM (3)"/>
      <sheetName val="dongia"/>
      <sheetName val="TONGKE-HT"/>
      <sheetName val="ptnc"/>
      <sheetName val="ptvl"/>
      <sheetName val="ptm"/>
      <sheetName val="DON GIA CAN THO"/>
      <sheetName val="7606 DZ"/>
      <sheetName val="BETON"/>
      <sheetName val="KLHT"/>
      <sheetName val="24-ACMV"/>
      <sheetName val="BG"/>
      <sheetName val="FitOutConfCentre"/>
      <sheetName val="CHITIET VL-NC-TT -1p"/>
      <sheetName val="CHITIET VL-NC-TT-3p"/>
      <sheetName val="TONG HOP VL-NC TT"/>
      <sheetName val="TDTKP1"/>
      <sheetName val="KPVC-BD "/>
      <sheetName val="VL,NC,MTC"/>
      <sheetName val="Mall"/>
      <sheetName val="CTG"/>
      <sheetName val="DGTH"/>
      <sheetName val="Control"/>
      <sheetName val="THVATTU"/>
      <sheetName val="HĐ ngoài"/>
      <sheetName val="XT_Buoc 3"/>
      <sheetName val="dongia (2)"/>
      <sheetName val="Don gia chi tiet"/>
      <sheetName val="TinhGiaMTC"/>
      <sheetName val="TinhGiaNC"/>
      <sheetName val="gvl"/>
      <sheetName val="실행철강하도"/>
      <sheetName val="dnc4"/>
      <sheetName val="project management"/>
      <sheetName val="침하계"/>
      <sheetName val="갑지"/>
      <sheetName val="chitimc"/>
      <sheetName val="giathanh1"/>
      <sheetName val="Adix A"/>
      <sheetName val="S-curve "/>
      <sheetName val="THVT"/>
      <sheetName val="DONVIBAN"/>
      <sheetName val="NGUON"/>
      <sheetName val="P"/>
      <sheetName val="So doi chieu LC"/>
      <sheetName val="phuluc1"/>
      <sheetName val="DON_GIA_CAN_THO"/>
      <sheetName val="MAIN GATE HOUSE"/>
      <sheetName val="Du_lieu"/>
      <sheetName val="O20"/>
      <sheetName val="SL"/>
      <sheetName val="CBKC-110"/>
      <sheetName val="PU_ITALY_1"/>
      <sheetName val="TH_DZ351"/>
      <sheetName val="Tro_giup1"/>
      <sheetName val="DON_GIA_CAN_THO1"/>
      <sheetName val="PU_ITALY_2"/>
      <sheetName val="TH_DZ352"/>
      <sheetName val="Tro_giup2"/>
      <sheetName val="DON_GIA_CAN_THO2"/>
      <sheetName val="Don_gia_chi_tiet"/>
      <sheetName val="Commercial value"/>
      <sheetName val="VL"/>
      <sheetName val="NC"/>
      <sheetName val="CAT_5"/>
      <sheetName val="BQMP"/>
      <sheetName val="산근"/>
      <sheetName val="inter"/>
      <sheetName val="대비"/>
      <sheetName val="REINF."/>
      <sheetName val="SKETCH"/>
      <sheetName val="LOADS"/>
      <sheetName val="Titles"/>
      <sheetName val="Rates 2009"/>
      <sheetName val="집계표"/>
      <sheetName val="SITE-E"/>
      <sheetName val="Ky Lam Bridge"/>
      <sheetName val="Provisional Sums Item"/>
      <sheetName val="Gas Pressure Welding"/>
      <sheetName val="General Item&amp;General Requiremen"/>
      <sheetName val="General Items"/>
      <sheetName val="Regenral Requirements"/>
      <sheetName val="Dulieu"/>
      <sheetName val="Du toan"/>
      <sheetName val="Keothep"/>
      <sheetName val="Re-bar"/>
      <sheetName val="chiet tinh"/>
      <sheetName val="dg67-1"/>
      <sheetName val="Don_gia"/>
      <sheetName val="DON_GIA_TRAM_(3)"/>
      <sheetName val="7606_DZ"/>
      <sheetName val="TONG_HOP_VL-NC_TT"/>
      <sheetName val="CHITIET_VL-NC-TT_-1p"/>
      <sheetName val="KPVC-BD_"/>
      <sheetName val="Ng.hàng xà+bulong"/>
      <sheetName val="DLDTLN"/>
      <sheetName val="차액보증"/>
      <sheetName val="Loại Vật tư"/>
      <sheetName val="TH_CNO"/>
      <sheetName val="NK_CHUNG"/>
      <sheetName val="DETAIL "/>
      <sheetName val="TONG HOP VL-NC"/>
      <sheetName val="lam-moi"/>
      <sheetName val="Bang KL"/>
      <sheetName val="Config"/>
      <sheetName val="DMCP"/>
      <sheetName val="HS_TDT"/>
      <sheetName val="ALLOWANCE"/>
      <sheetName val="MH RATE"/>
      <sheetName val="Sheet3"/>
      <sheetName val="KPTH-T12"/>
      <sheetName val="Thamgia-T10"/>
      <sheetName val="금융비용"/>
      <sheetName val="입찰안"/>
      <sheetName val="May"/>
      <sheetName val="DG-VL"/>
      <sheetName val="PTDGCT"/>
      <sheetName val="RAB_AR&amp;STR1"/>
      <sheetName val="chi_tiet_TBA1"/>
      <sheetName val="chi_tiet_C1"/>
      <sheetName val="Customize_Your_Purchase_Order1"/>
      <sheetName val="CHITIET_VL-NC-TT-3p"/>
      <sheetName val="S-curve_"/>
      <sheetName val="So_doi_chieu_LC"/>
      <sheetName val="Adix_A"/>
      <sheetName val="HĐ_ngoài"/>
      <sheetName val="XT_Buoc_3"/>
      <sheetName val="dongia_(2)"/>
      <sheetName val="BGD"/>
      <sheetName val="KCS"/>
      <sheetName val="KD"/>
      <sheetName val="KT"/>
      <sheetName val="KTNL"/>
      <sheetName val="KH"/>
      <sheetName val="PX-SX"/>
      <sheetName val="TC"/>
      <sheetName val="Lcau - Lxuc"/>
      <sheetName val="PTDG"/>
      <sheetName val="K95"/>
      <sheetName val="K98"/>
      <sheetName val="LaborPY"/>
      <sheetName val="LaborKH"/>
      <sheetName val="Equip "/>
      <sheetName val="Material"/>
      <sheetName val="A1.CN"/>
      <sheetName val="DG thep ma kem"/>
      <sheetName val="dm366"/>
      <sheetName val="damgiua"/>
      <sheetName val="dgct"/>
      <sheetName val="WT-LIST"/>
      <sheetName val="CT vat lieu"/>
      <sheetName val="vcdngan"/>
      <sheetName val="TBA"/>
      <sheetName val="DM 6061"/>
      <sheetName val="Gia"/>
      <sheetName val="PROFILE"/>
      <sheetName val="Đầu vào"/>
      <sheetName val="Ts"/>
      <sheetName val="EXTERNAL"/>
      <sheetName val="366"/>
      <sheetName val="Trạm biến áp"/>
      <sheetName val="Đơn Giá "/>
      <sheetName val="Chi tiet XD TBA"/>
      <sheetName val="Giá"/>
      <sheetName val="DM1776"/>
      <sheetName val="DM228"/>
      <sheetName val="DM4970"/>
      <sheetName val="Camay_DP"/>
      <sheetName val="DM6061"/>
      <sheetName val="Luong2"/>
      <sheetName val="Chenh lech vat tu"/>
      <sheetName val="Diện tích"/>
      <sheetName val="1_Khái toán"/>
      <sheetName val="TONG HOP T5 1998"/>
      <sheetName val="ironmongery"/>
      <sheetName val="DM"/>
      <sheetName val="DG DZ"/>
      <sheetName val="DG TBA"/>
      <sheetName val="DGXD"/>
      <sheetName val="CT-35"/>
      <sheetName val="CT-0.4KV"/>
      <sheetName val="GAEYO"/>
      <sheetName val="DTOAN"/>
      <sheetName val="Chi tiet KL"/>
      <sheetName val="Tổng hợp KL"/>
      <sheetName val="rate material"/>
      <sheetName val="KL Chi tiết Xây tô"/>
      <sheetName val="Equipment"/>
      <sheetName val="DT_THAU"/>
      <sheetName val="말뚝지지력산정"/>
      <sheetName val="04 - XUONG DET B"/>
      <sheetName val="CTGX"/>
      <sheetName val="CTG-1"/>
      <sheetName val="BM"/>
      <sheetName val="07Base Cost"/>
      <sheetName val="Barrem"/>
      <sheetName val="Bill 1_Quy dinh chung"/>
      <sheetName val="1.R18 BF"/>
      <sheetName val="A"/>
      <sheetName val="G"/>
      <sheetName val="F-B"/>
      <sheetName val="H-J"/>
      <sheetName val="6.External works-R18"/>
      <sheetName val="Phan khai KLuong"/>
      <sheetName val="Duphong"/>
      <sheetName val="Area Cal"/>
      <sheetName val="01"/>
      <sheetName val="02"/>
      <sheetName val=" 03"/>
      <sheetName val="04"/>
      <sheetName val="05"/>
      <sheetName val="06"/>
      <sheetName val="07"/>
      <sheetName val="08"/>
      <sheetName val="09"/>
      <sheetName val="chieu day san"/>
      <sheetName val="Podium Concrete Works"/>
      <sheetName val="KLCT- TOWER"/>
      <sheetName val="KLCT- PODIUM"/>
      <sheetName val="Gia thanh chuoi su"/>
      <sheetName val="Tiep dia"/>
      <sheetName val="Don gia vung III-Can Tho"/>
      <sheetName val="INFO"/>
      <sheetName val="Summary"/>
      <sheetName val="dg tphcm"/>
      <sheetName val="DUCVIETPQ"/>
      <sheetName val="base"/>
      <sheetName val="DGG"/>
      <sheetName val="INDEX"/>
      <sheetName val="Elect (3)"/>
      <sheetName val="B"/>
      <sheetName val="BQMPALOC"/>
      <sheetName val="NDOCBT"/>
      <sheetName val="basis"/>
      <sheetName val="E"/>
      <sheetName val="K"/>
      <sheetName val="수입"/>
      <sheetName val="eq_data"/>
      <sheetName val="plan&amp;section of foundation"/>
      <sheetName val="design criteria"/>
      <sheetName val="Bond 수수료 계산 포맷"/>
      <sheetName val="ITB COST"/>
      <sheetName val="PAGE 1"/>
      <sheetName val="負荷集計（断熱不燃）"/>
      <sheetName val="tonghop"/>
      <sheetName val="DATA2"/>
      <sheetName val="D&amp;W"/>
      <sheetName val="Standardwerte"/>
      <sheetName val="7606-TBA"/>
      <sheetName val="7606-ĐZ"/>
      <sheetName val="DM 67"/>
      <sheetName val="Đầu tư"/>
      <sheetName val="DTICH"/>
      <sheetName val="INFOR-ST"/>
      <sheetName val="T.KÊ K.CẤU"/>
      <sheetName val="____"/>
      <sheetName val="4.PTDG"/>
      <sheetName val="A1, May"/>
      <sheetName val="Máy"/>
      <sheetName val="Vat lieu"/>
      <sheetName val="Data Input"/>
      <sheetName val="LEGEND"/>
      <sheetName val="PU_ITALY_3"/>
      <sheetName val="Tro_giup3"/>
      <sheetName val="TH_DZ353"/>
      <sheetName val="CHITIET_VL-NC-TT_-1p1"/>
      <sheetName val="TONG_HOP_VL-NC_TT1"/>
      <sheetName val="KPVC-BD_1"/>
      <sheetName val="Don_gia1"/>
      <sheetName val="DON_GIA_TRAM_(3)1"/>
      <sheetName val="DON_GIA_CAN_THO3"/>
      <sheetName val="Don_gia_chi_tiet1"/>
      <sheetName val="7606_DZ1"/>
      <sheetName val="project_management"/>
      <sheetName val="MAIN_GATE_HOUSE"/>
      <sheetName val="REINF_"/>
      <sheetName val="Rates_2009"/>
      <sheetName val="Du_toan"/>
      <sheetName val="Commercial_value"/>
      <sheetName val="Ky_Lam_Bridge"/>
      <sheetName val="Provisional_Sums_Item"/>
      <sheetName val="Gas_Pressure_Welding"/>
      <sheetName val="General_Item&amp;General_Requiremen"/>
      <sheetName val="General_Items"/>
      <sheetName val="Regenral_Requirements"/>
      <sheetName val="chiet_tinh"/>
      <sheetName val="Ng_hàng_xà+bulong"/>
      <sheetName val="TONG_HOP_VL-NC"/>
      <sheetName val="Bang_KL"/>
      <sheetName val="MH_RATE"/>
      <sheetName val="Lcau_-_Lxuc"/>
      <sheetName val="gia cong tac"/>
      <sheetName val="Sheet4"/>
      <sheetName val="Supplier"/>
      <sheetName val=" Bill.5-Earthing.2 - Add Works"/>
      <sheetName val="CANDOI"/>
      <sheetName val="MATK"/>
      <sheetName val="NHATKY"/>
      <sheetName val="Cp&gt;10-Ln&lt;10"/>
      <sheetName val="Ln&lt;20"/>
      <sheetName val="EIRR&gt;1&lt;1"/>
      <sheetName val="EIRR&gt; 2"/>
      <sheetName val="EIRR&lt;2"/>
      <sheetName val="Sheet2"/>
      <sheetName val="Xay lapduongR3"/>
      <sheetName val="Bill 01 - CTN"/>
      <sheetName val="Bill 2.2 Villa 2 beds"/>
      <sheetName val="????"/>
      <sheetName val="???S"/>
      <sheetName val="???"/>
      <sheetName val="??"/>
      <sheetName val="HÐ ngoài"/>
      <sheetName val="??????"/>
      <sheetName val="HÐ_ngoài"/>
      <sheetName val="SP10"/>
      <sheetName val="Setting"/>
      <sheetName val="Settings"/>
      <sheetName val="CE(E)"/>
      <sheetName val="CE(M)"/>
      <sheetName val="Project Data"/>
      <sheetName val="VND"/>
      <sheetName val="BKBANRA"/>
      <sheetName val="BKMUAVAO"/>
      <sheetName val="DL"/>
      <sheetName val="6787CWFASE2CASE2_00.xls"/>
      <sheetName val="T&amp;D"/>
      <sheetName val="list"/>
      <sheetName val="BIDDING-SUM"/>
      <sheetName val="chiettinh"/>
      <sheetName val="Duc_bk"/>
      <sheetName val="갑지1"/>
      <sheetName val="Door and Window"/>
      <sheetName val="실행"/>
      <sheetName val="Bill 02 - Xay gach-Pou "/>
      <sheetName val="Bill 03-Chống thấm-Pou"/>
      <sheetName val="Bill 04-Kim loại-Pou"/>
      <sheetName val="Bill 05 - Hoan thien-Pou "/>
      <sheetName val="Bill 02 - Xay gach-Tower"/>
      <sheetName val="Bill 03-Chống thấm-Tower"/>
      <sheetName val="Bill 04-Kim loại-Tower"/>
      <sheetName val="Bill 05 - Hoan thien-Tower"/>
      <sheetName val="KL- KHAC"/>
      <sheetName val="BILL 3 - KẾT CẤU HẦM"/>
      <sheetName val="PTĐG"/>
      <sheetName val="RATE"/>
      <sheetName val="DTC&amp;TP&amp;NCC"/>
      <sheetName val="PTĐG LTBT"/>
      <sheetName val="CTG-PRECHEx1.4"/>
      <sheetName val="CTG-AB (2)"/>
      <sheetName val="CTG-AB (3)"/>
      <sheetName val="CTG-PLP-1.08"/>
      <sheetName val="CTG-QUYCHE"/>
      <sheetName val="CTG-AB"/>
      <sheetName val="Pre Đội nhóm"/>
      <sheetName val="Vat tu XD"/>
      <sheetName val="database"/>
      <sheetName val="inpukeoI"/>
      <sheetName val="Tower - Concrete Works"/>
      <sheetName val="Bill-04 ket cau thap- UNI"/>
      <sheetName val="PEDESB"/>
      <sheetName val="TH Vat tu"/>
      <sheetName val="Cửa"/>
      <sheetName val="Bang trong luong rieng thep"/>
      <sheetName val="Measure 1306"/>
      <sheetName val="0"/>
      <sheetName val="6PILE  (돌출)"/>
      <sheetName val="6MONTHS"/>
      <sheetName val="DTXL"/>
      <sheetName val="GV1-D13 (Casement door)"/>
      <sheetName val="MTL$-INTER"/>
      <sheetName val="토공"/>
      <sheetName val="Harga ME "/>
      <sheetName val="Alat"/>
      <sheetName val="Analisa Gabungan"/>
      <sheetName val="Sub"/>
      <sheetName val="dg7606"/>
      <sheetName val="DGsuyrong"/>
      <sheetName val="PhanTichVua"/>
      <sheetName val="PhanTichVT"/>
      <sheetName val="KhoiluongDT"/>
      <sheetName val="JP_List"/>
      <sheetName val="SUBS"/>
      <sheetName val="Feeds"/>
      <sheetName val="final list 2005"/>
      <sheetName val="final_list_2005"/>
      <sheetName val="WORKINGS"/>
      <sheetName val="LV data"/>
      <sheetName val="CPDDII"/>
      <sheetName val="DK"/>
      <sheetName val="Isolasi Luar Dalam"/>
      <sheetName val="Isolasi Luar"/>
      <sheetName val="NOTE"/>
      <sheetName val="NVL"/>
      <sheetName val="DLdauvao"/>
      <sheetName val="CẤP THOÁT NƯỚC"/>
      <sheetName val="PRI-LS"/>
      <sheetName val="NKC6"/>
      <sheetName val="Cước VC + ĐM CP Tư vấn"/>
      <sheetName val="Hệ số"/>
      <sheetName val="DTXD"/>
      <sheetName val="TK-COL"/>
      <sheetName val="02_Dulieu_Cua"/>
      <sheetName val="DG-TNHC-85"/>
      <sheetName val="Dia"/>
      <sheetName val="THDT goi thau TB"/>
      <sheetName val="Tien do TV"/>
      <sheetName val="QD957"/>
      <sheetName val="ESTI."/>
      <sheetName val="Gia vat tu"/>
      <sheetName val="bt19"/>
      <sheetName val="Btr25"/>
      <sheetName val="Chenh lech ca may"/>
      <sheetName val="TLg CN&amp;Laixe"/>
      <sheetName val="TLg CN&amp;Laixe (2)"/>
      <sheetName val="TLg Laitau"/>
      <sheetName val="TLg Laitau (2)"/>
      <sheetName val="bridge # 1"/>
      <sheetName val="KL san lap"/>
      <sheetName val="PS-Labour_M"/>
      <sheetName val="TH MTC"/>
      <sheetName val="TH N.Cong"/>
      <sheetName val="HMCV"/>
      <sheetName val="CauKien"/>
      <sheetName val="XD"/>
      <sheetName val="Cuongricc"/>
      <sheetName val="DG7606DZ"/>
      <sheetName val="A1"/>
      <sheetName val="CTKL KTX HT"/>
      <sheetName val="GTTBA"/>
      <sheetName val="___S"/>
      <sheetName val="___"/>
      <sheetName val="__"/>
      <sheetName val="______"/>
      <sheetName val="I-KAMAR"/>
      <sheetName val="新规"/>
      <sheetName val="Master"/>
      <sheetName val="DGIA"/>
      <sheetName val="TT"/>
      <sheetName val="Equipment list (PAC)"/>
      <sheetName val="計算条件"/>
      <sheetName val="DATA BASE"/>
      <sheetName val="Mat_Source"/>
      <sheetName val="入力作成表"/>
      <sheetName val="TINH KHOI LUONG"/>
      <sheetName val="CPA"/>
      <sheetName val="Unit_Div6"/>
      <sheetName val="NHÀ NHẬP LIỆU"/>
      <sheetName val="MÓNG SILO"/>
      <sheetName val="Code"/>
      <sheetName val="Buy vs. Lease Car"/>
      <sheetName val="Z"/>
      <sheetName val="Chi tiet"/>
      <sheetName val="HVAC.BLOCK B4"/>
      <sheetName val="경비2내역"/>
      <sheetName val="CT_vat_lieu"/>
      <sheetName val="DM_6061"/>
      <sheetName val="DG_thep_ma_kem"/>
      <sheetName val="DG_DZ"/>
      <sheetName val="DG_TBA"/>
      <sheetName val="Data_Input"/>
      <sheetName val="DG1426"/>
      <sheetName val="KH-Q1,Q2,01"/>
      <sheetName val="Bang 3_Chi tiet phan Dz"/>
      <sheetName val="KHOI LUONG"/>
      <sheetName val="PRE (E)"/>
      <sheetName val="Budget Code"/>
      <sheetName val="TH_CPTB"/>
      <sheetName val="CP Khac cuoc VC"/>
      <sheetName val="Hardware"/>
      <sheetName val="HWW"/>
      <sheetName val="subcon sched"/>
      <sheetName val="2.Chiet tinh"/>
      <sheetName val="BẢNG KHỐI LƯỢNG TỔNG HỢP"/>
      <sheetName val="daf-3(OK)"/>
      <sheetName val="daf-7(OK)"/>
      <sheetName val="SourceData"/>
      <sheetName val="SEX"/>
      <sheetName val="IBASE"/>
      <sheetName val="DANHMUC"/>
      <sheetName val="Purchase Order"/>
      <sheetName val="Tong du toan"/>
      <sheetName val="Bill 2 - ketcau"/>
      <sheetName val="Main"/>
      <sheetName val="13-Cốt thép (10mm&lt;D≤18mm) FO16"/>
      <sheetName val="DonGiaLD"/>
      <sheetName val="du lieu du toan"/>
      <sheetName val="Chi tiet lan can"/>
      <sheetName val="PU_ITALY_4"/>
      <sheetName val="RAB_AR&amp;STR2"/>
      <sheetName val="chi_tiet_TBA2"/>
      <sheetName val="chi_tiet_C2"/>
      <sheetName val="Tro_giup4"/>
      <sheetName val="TH_DZ354"/>
      <sheetName val="Customize_Your_Purchase_Order2"/>
      <sheetName val="CHITIET_VL-NC-TT_-1p2"/>
      <sheetName val="CHITIET_VL-NC-TT-3p1"/>
      <sheetName val="TONG_HOP_VL-NC_TT2"/>
      <sheetName val="KPVC-BD_2"/>
      <sheetName val="Don_gia2"/>
      <sheetName val="DON_GIA_CAN_THO4"/>
      <sheetName val="DON_GIA_TRAM_(3)2"/>
      <sheetName val="HĐ_ngoài1"/>
      <sheetName val="XT_Buoc_31"/>
      <sheetName val="dongia_(2)1"/>
      <sheetName val="Don_gia_chi_tiet2"/>
      <sheetName val="7606_DZ2"/>
      <sheetName val="project_management1"/>
      <sheetName val="Adix_A1"/>
      <sheetName val="S-curve_1"/>
      <sheetName val="REINF_1"/>
      <sheetName val="Rates_20091"/>
      <sheetName val="Du_toan1"/>
      <sheetName val="So_doi_chieu_LC1"/>
      <sheetName val="MAIN_GATE_HOUSE1"/>
      <sheetName val="Commercial_value1"/>
      <sheetName val="Ky_Lam_Bridge1"/>
      <sheetName val="Provisional_Sums_Item1"/>
      <sheetName val="Gas_Pressure_Welding1"/>
      <sheetName val="General_Item&amp;General_Requireme1"/>
      <sheetName val="General_Items1"/>
      <sheetName val="Regenral_Requirements1"/>
      <sheetName val="chiet_tinh1"/>
      <sheetName val="Ng_hàng_xà+bulong1"/>
      <sheetName val="Bang_KL1"/>
      <sheetName val="TONG_HOP_VL-NC1"/>
      <sheetName val="MH_RATE1"/>
      <sheetName val="Lcau_-_Lxuc1"/>
      <sheetName val="Đầu_vào"/>
      <sheetName val="Equip_"/>
      <sheetName val="A1_CN"/>
      <sheetName val="Trạm_biến_áp"/>
      <sheetName val="Đơn_Giá_"/>
      <sheetName val="Chenh_lech_vat_tu"/>
      <sheetName val="Diện_tích"/>
      <sheetName val="1_Khái_toán"/>
      <sheetName val="TONG_HOP_T5_1998"/>
      <sheetName val="Chi_tiet_XD_TBA"/>
      <sheetName val="CT-0_4KV"/>
      <sheetName val="Chi_tiet_KL"/>
      <sheetName val="Tổng_hợp_KL"/>
      <sheetName val="KL_Chi_tiết_Xây_tô"/>
      <sheetName val="rate_material"/>
      <sheetName val="07Base_Cost"/>
      <sheetName val="DM_67"/>
      <sheetName val="Project_Data"/>
      <sheetName val="Phan_khai_KLuong"/>
      <sheetName val="Bill_1_Quy_dinh_chung"/>
      <sheetName val="1_R18_BF"/>
      <sheetName val="6_External_works-R18"/>
      <sheetName val="04_-_XUONG_DET_B"/>
      <sheetName val="Elect_(3)"/>
      <sheetName val="plan&amp;section_of_foundation"/>
      <sheetName val="design_criteria"/>
      <sheetName val="Bond_수수료_계산_포맷"/>
      <sheetName val="ITB_COST"/>
      <sheetName val="PAGE_1"/>
      <sheetName val="6787CWFASE2CASE2_00_xls"/>
      <sheetName val="Xay_lapduongR3"/>
      <sheetName val="_03"/>
      <sheetName val="chieu_day_san"/>
      <sheetName val="Podium_Concrete_Works"/>
      <sheetName val="KLCT-_TOWER"/>
      <sheetName val="KLCT-_PODIUM"/>
      <sheetName val="Gia_thanh_chuoi_su"/>
      <sheetName val="Tiep_dia"/>
      <sheetName val="Don_gia_vung_III-Can_Tho"/>
      <sheetName val="Area_Cal"/>
      <sheetName val="EIRR&gt;_2"/>
      <sheetName val="Đầu_tư"/>
      <sheetName val="Loại_Vật_tư"/>
      <sheetName val="dg_tphcm"/>
      <sheetName val="T_KÊ_K_CẤU"/>
      <sheetName val="Bill_01_-_CTN"/>
      <sheetName val="Bill_2_2_Villa_2_beds"/>
      <sheetName val="CẤP_THOÁT_NƯỚC"/>
      <sheetName val="Cước_VC_+_ĐM_CP_Tư_vấn"/>
      <sheetName val="Hệ_số"/>
      <sheetName val="Vat_tu_XD"/>
      <sheetName val="Bill_02_-_Xay_gach-Pou_"/>
      <sheetName val="Bill_03-Chống_thấm-Pou"/>
      <sheetName val="Bill_04-Kim_loại-Pou"/>
      <sheetName val="Bill_05_-_Hoan_thien-Pou_"/>
      <sheetName val="Bill_02_-_Xay_gach-Tower"/>
      <sheetName val="Bill_03-Chống_thấm-Tower"/>
      <sheetName val="Bill_04-Kim_loại-Tower"/>
      <sheetName val="Bill_05_-_Hoan_thien-Tower"/>
      <sheetName val="KL-_KHAC"/>
      <sheetName val="BILL_3_-_KẾT_CẤU_HẦM"/>
      <sheetName val="PTĐG_LTBT"/>
      <sheetName val="CTG-PRECHEx1_4"/>
      <sheetName val="CTG-AB_(2)"/>
      <sheetName val="CTG-AB_(3)"/>
      <sheetName val="CTG-PLP-1_08"/>
      <sheetName val="Pre_Đội_nhóm"/>
      <sheetName val="Tower_-_Concrete_Works"/>
      <sheetName val="Bill-04_ket_cau_thap-_UNI"/>
      <sheetName val="TH_Vat_tu"/>
      <sheetName val="4_PTDG"/>
      <sheetName val="A1,_May"/>
      <sheetName val="Vat_lieu"/>
      <sheetName val="Bang_trong_luong_rieng_thep"/>
      <sheetName val="6PILE__(돌출)"/>
      <sheetName val="HÐ_ngoài1"/>
      <sheetName val="gia_cong_tac"/>
      <sheetName val="Measure_1306"/>
      <sheetName val="THDT_goi_thau_TB"/>
      <sheetName val="Tien_do_TV"/>
      <sheetName val="Harga_ME_"/>
      <sheetName val="Analisa_Gabungan"/>
      <sheetName val="Door_and_Window"/>
      <sheetName val="GV1-D13_(Casement_door)"/>
      <sheetName val="Isolasi_Luar_Dalam"/>
      <sheetName val="Isolasi_Luar"/>
      <sheetName val="Buy_vs__Lease_Car"/>
      <sheetName val="bridge_#_1"/>
      <sheetName val="CT1"/>
      <sheetName val="CTEMCOST"/>
      <sheetName val="wsLists"/>
      <sheetName val="7606"/>
      <sheetName val="BOQ THAN"/>
      <sheetName val="DL ĐẦU VÀO"/>
      <sheetName val="D &amp; W sizes"/>
      <sheetName val="dghn"/>
      <sheetName val="BOQ건축"/>
      <sheetName val="DongiaVL2"/>
      <sheetName val="Active"/>
      <sheetName val="PMS"/>
      <sheetName val="Analisa &amp; Upah"/>
      <sheetName val="1_MV"/>
      <sheetName val="Ktmo"/>
      <sheetName val="Du lieu"/>
      <sheetName val="Cash2"/>
      <sheetName val="Markup"/>
      <sheetName val="Formwork"/>
      <sheetName val="DETAIL_"/>
      <sheetName val="BocXep"/>
      <sheetName val="VCBo"/>
      <sheetName val="VCThuy"/>
      <sheetName val="Phan tich"/>
      <sheetName val="Luong NII"/>
      <sheetName val="Cpbetong"/>
      <sheetName val="366fun"/>
      <sheetName val="DM_60606061"/>
      <sheetName val="DINH MUC THI NGHIEM"/>
      <sheetName val="CUOCVC"/>
      <sheetName val="Luong NI"/>
      <sheetName val="Vatlieu"/>
      <sheetName val="CT"/>
      <sheetName val="don_giaQB"/>
      <sheetName val="INPUT-STR"/>
      <sheetName val="REF"/>
      <sheetName val="CT Thang Mo"/>
      <sheetName val="CT  PL"/>
      <sheetName val="DTCTchung"/>
      <sheetName val="dongia _2_"/>
      <sheetName val="FAB별"/>
      <sheetName val="Thép CKN"/>
      <sheetName val="GOC-KO IN"/>
      <sheetName val="TMinh"/>
      <sheetName val="MAU 8A"/>
      <sheetName val="MAU 8B"/>
      <sheetName val="MAU 9"/>
      <sheetName val="MAU 10"/>
      <sheetName val="TLuong"/>
      <sheetName val="cash budget"/>
      <sheetName val="Criteria"/>
      <sheetName val="ICGSIP"/>
      <sheetName val="Perform1"/>
      <sheetName val="Source"/>
      <sheetName val="sochitiettaikhoan "/>
      <sheetName val="DIL4"/>
      <sheetName val="Share price data"/>
      <sheetName val="Breadown-Nop"/>
      <sheetName val="B-111"/>
      <sheetName val="19.3"/>
      <sheetName val="20.3"/>
      <sheetName val="Chieu 4.3"/>
      <sheetName val="Cow req"/>
      <sheetName val="TỔNG HỢP"/>
      <sheetName val="14-LẦN 3-CHIỀU"/>
      <sheetName val="14-LẦN 1-SÁNG"/>
      <sheetName val="14-LẦN 2-TRƯA"/>
      <sheetName val="1.3+1.4-TOTAL - Ko IN"/>
      <sheetName val="2.1-LẦN 3-CHIỀU"/>
      <sheetName val="2.1-LẦN 1-SÁNG"/>
      <sheetName val="2.1-LẦN 2-TRƯA"/>
      <sheetName val="2.1-TOTAL-Ko IN"/>
      <sheetName val="1.3(TMR 4)"/>
      <sheetName val="CHO DE"/>
      <sheetName val="1.1+1.2+2.2+2.3(TMR 3)"/>
      <sheetName val="CK1+CK2"/>
      <sheetName val="CK1+CK2 (VS SAN CHOI 23)"/>
      <sheetName val="CK1+CK2 (2)"/>
      <sheetName val="CP-CK"/>
      <sheetName val="12-16 THÁNG"/>
      <sheetName val="CAN SỮA"/>
      <sheetName val="54+55+56(SAU CAI SỮA-6)"/>
      <sheetName val="BÊ 71-90 NGÀY"/>
      <sheetName val="BÊ 12-16 tháng"/>
      <sheetName val="BÊ 6-12"/>
      <sheetName val="BÊ 1-3"/>
      <sheetName val="F01-BC KHAU PHAN SANG 20.3"/>
      <sheetName val="F01-BC KHAU PHAN CHIEU 19.3"/>
      <sheetName val="dinh mưc cty"/>
      <sheetName val="Giá thành"/>
      <sheetName val="Thong ke"/>
      <sheetName val="MIFC"/>
      <sheetName val="Energy for milk prod"/>
      <sheetName val="DE NGHI XUAT "/>
      <sheetName val="phieu xuat mau"/>
      <sheetName val="PHIEU XUAT CHIEU"/>
      <sheetName val="11 rai them cỏ"/>
      <sheetName val="PHU LUC 02- HDSD CAC BIEU MAU"/>
      <sheetName val="PhU LUC 01- MA CAC NHOM BO"/>
      <sheetName val="F03-BC THUC TRON SANG 20.3"/>
      <sheetName val="F03-BC THUC TRON CHIEU 19.3"/>
      <sheetName val="F02-BC THEO DOI THUC AN DU"/>
      <sheetName val="Tham khao- Bao cao xuat thuc an"/>
      <sheetName val="DM_60611"/>
      <sheetName val="DG_thep_ma_kem1"/>
      <sheetName val="CT_vat_lieu1"/>
      <sheetName val="DG_DZ1"/>
      <sheetName val="DG_TBA1"/>
      <sheetName val="_Bill_5-Earthing_2_-_Add_Works"/>
      <sheetName val="Data_Input1"/>
      <sheetName val="final_list_20051"/>
      <sheetName val="LV_data"/>
      <sheetName val="ESTI_"/>
      <sheetName val="KL_san_lap"/>
      <sheetName val="Equipment_list_(PAC)"/>
      <sheetName val="TINH_KHOI_LUONG"/>
      <sheetName val="DATA_BASE"/>
      <sheetName val="Gia_vat_tu"/>
      <sheetName val="Chenh_lech_ca_may"/>
      <sheetName val="TLg_CN&amp;Laixe"/>
      <sheetName val="TLg_CN&amp;Laixe_(2)"/>
      <sheetName val="TLg_Laitau"/>
      <sheetName val="TLg_Laitau_(2)"/>
      <sheetName val="Bang_3_Chi_tiet_phan_Dz"/>
      <sheetName val="KHOI_LUONG"/>
      <sheetName val="TH_MTC"/>
      <sheetName val="TH_N_Cong"/>
      <sheetName val="Chi_tiet"/>
      <sheetName val="PRE_(E)"/>
      <sheetName val="subcon_sched"/>
      <sheetName val="HVAC_BLOCK_B4"/>
      <sheetName val="SORT"/>
      <sheetName val="Dlieu dau vao"/>
      <sheetName val="OT"/>
      <sheetName val="外気負荷"/>
      <sheetName val="BANCO (2)"/>
      <sheetName val="MT DPin (2)"/>
      <sheetName val="TB NẶNG"/>
      <sheetName val="Du tru CP-Bieu 01"/>
      <sheetName val="DK1.Don gia"/>
      <sheetName val="Don gia (khong in)"/>
      <sheetName val="1.MONG 1-2"/>
      <sheetName val="02. PTDG"/>
      <sheetName val="Chiết tính"/>
      <sheetName val="PU_ITALY_5"/>
      <sheetName val="RAB_AR&amp;STR3"/>
      <sheetName val="chi_tiet_TBA3"/>
      <sheetName val="chi_tiet_C3"/>
      <sheetName val="Tro_giup5"/>
      <sheetName val="TH_DZ355"/>
      <sheetName val="Customize_Your_Purchase_Order3"/>
      <sheetName val="CHITIET_VL-NC-TT_-1p3"/>
      <sheetName val="CHITIET_VL-NC-TT-3p2"/>
      <sheetName val="TONG_HOP_VL-NC_TT3"/>
      <sheetName val="KPVC-BD_3"/>
      <sheetName val="Don_gia3"/>
      <sheetName val="DON_GIA_TRAM_(3)3"/>
      <sheetName val="DON_GIA_CAN_THO5"/>
      <sheetName val="HĐ_ngoài2"/>
      <sheetName val="XT_Buoc_32"/>
      <sheetName val="dongia_(2)2"/>
      <sheetName val="7606_DZ3"/>
      <sheetName val="project_management2"/>
      <sheetName val="Don_gia_chi_tiet3"/>
      <sheetName val="Adix_A2"/>
      <sheetName val="S-curve_2"/>
      <sheetName val="REINF_2"/>
      <sheetName val="Rates_20092"/>
      <sheetName val="So_doi_chieu_LC2"/>
      <sheetName val="MAIN_GATE_HOUSE2"/>
      <sheetName val="Du_toan2"/>
      <sheetName val="Commercial_value2"/>
      <sheetName val="Ky_Lam_Bridge2"/>
      <sheetName val="Provisional_Sums_Item2"/>
      <sheetName val="Gas_Pressure_Welding2"/>
      <sheetName val="General_Item&amp;General_Requireme2"/>
      <sheetName val="General_Items2"/>
      <sheetName val="Regenral_Requirements2"/>
      <sheetName val="TONG_HOP_VL-NC2"/>
      <sheetName val="MH_RATE2"/>
      <sheetName val="Ng_hàng_xà+bulong2"/>
      <sheetName val="chiet_tinh2"/>
      <sheetName val="Bang_KL2"/>
      <sheetName val="Equip_1"/>
      <sheetName val="A1_CN1"/>
      <sheetName val="DG_thep_ma_kem2"/>
      <sheetName val="Lcau_-_Lxuc2"/>
      <sheetName val="DM_60612"/>
      <sheetName val="Đầu_vào1"/>
      <sheetName val="CT_vat_lieu2"/>
      <sheetName val="Trạm_biến_áp1"/>
      <sheetName val="Đơn_Giá_1"/>
      <sheetName val="Chenh_lech_vat_tu1"/>
      <sheetName val="Diện_tích1"/>
      <sheetName val="1_Khái_toán1"/>
      <sheetName val="TONG_HOP_T5_19981"/>
      <sheetName val="Chi_tiet_XD_TBA1"/>
      <sheetName val="DG_DZ2"/>
      <sheetName val="DG_TBA2"/>
      <sheetName val="rate_material1"/>
      <sheetName val="CT-0_4KV1"/>
      <sheetName val="KL_Chi_tiết_Xây_tô1"/>
      <sheetName val="07Base_Cost1"/>
      <sheetName val="Chi_tiet_KL1"/>
      <sheetName val="Tổng_hợp_KL1"/>
      <sheetName val="Bill_1_Quy_dinh_chung1"/>
      <sheetName val="1_R18_BF1"/>
      <sheetName val="6_External_works-R181"/>
      <sheetName val="Phan_khai_KLuong1"/>
      <sheetName val="Measure_13061"/>
      <sheetName val="Area_Cal1"/>
      <sheetName val="gia_cong_tac1"/>
      <sheetName val="Isolasi_Luar_Dalam1"/>
      <sheetName val="Isolasi_Luar1"/>
      <sheetName val="Data_Input2"/>
      <sheetName val="Project_Data1"/>
      <sheetName val="GV1-D13_(Casement_door)1"/>
      <sheetName val="DM_671"/>
      <sheetName val="04_-_XUONG_DET_B1"/>
      <sheetName val="_031"/>
      <sheetName val="chieu_day_san1"/>
      <sheetName val="Podium_Concrete_Works1"/>
      <sheetName val="KLCT-_TOWER1"/>
      <sheetName val="KLCT-_PODIUM1"/>
      <sheetName val="Gia_thanh_chuoi_su1"/>
      <sheetName val="Tiep_dia1"/>
      <sheetName val="Don_gia_vung_III-Can_Tho1"/>
      <sheetName val="Elect_(3)1"/>
      <sheetName val="plan&amp;section_of_foundation1"/>
      <sheetName val="design_criteria1"/>
      <sheetName val="Bond_수수료_계산_포맷1"/>
      <sheetName val="ITB_COST1"/>
      <sheetName val="PAGE_11"/>
      <sheetName val="Đầu_tư1"/>
      <sheetName val="EIRR&gt;_21"/>
      <sheetName val="HÐ_ngoài2"/>
      <sheetName val="6PILE__(돌출)1"/>
      <sheetName val="Xay_lapduongR31"/>
      <sheetName val="dg_tphcm1"/>
      <sheetName val="Loại_Vật_tư1"/>
      <sheetName val="T_KÊ_K_CẤU1"/>
      <sheetName val="Analisa_Gabungan1"/>
      <sheetName val="Bill_01_-_CTN1"/>
      <sheetName val="Bill_2_2_Villa_2_beds1"/>
      <sheetName val="4_PTDG1"/>
      <sheetName val="6787CWFASE2CASE2_00_xls1"/>
      <sheetName val="Bill_02_-_Xay_gach-Pou_1"/>
      <sheetName val="Bill_03-Chống_thấm-Pou1"/>
      <sheetName val="Bill_04-Kim_loại-Pou1"/>
      <sheetName val="Bill_05_-_Hoan_thien-Pou_1"/>
      <sheetName val="Bill_02_-_Xay_gach-Tower1"/>
      <sheetName val="Bill_03-Chống_thấm-Tower1"/>
      <sheetName val="Bill_04-Kim_loại-Tower1"/>
      <sheetName val="Bill_05_-_Hoan_thien-Tower1"/>
      <sheetName val="KL-_KHAC1"/>
      <sheetName val="BILL_3_-_KẾT_CẤU_HẦM1"/>
      <sheetName val="PTĐG_LTBT1"/>
      <sheetName val="CTG-PRECHEx1_41"/>
      <sheetName val="CTG-AB_(2)1"/>
      <sheetName val="CTG-AB_(3)1"/>
      <sheetName val="CTG-PLP-1_081"/>
      <sheetName val="Pre_Đội_nhóm1"/>
      <sheetName val="Vat_tu_XD1"/>
      <sheetName val="Tower_-_Concrete_Works1"/>
      <sheetName val="Bill-04_ket_cau_thap-_UNI1"/>
      <sheetName val="A1,_May1"/>
      <sheetName val="Vat_lieu1"/>
      <sheetName val="TH_N_Cong1"/>
      <sheetName val="Harga_ME_1"/>
      <sheetName val="ESTI_1"/>
      <sheetName val="KL_san_lap1"/>
      <sheetName val="TH_Vat_tu1"/>
      <sheetName val="_Bill_5-Earthing_2_-_Add_Works1"/>
      <sheetName val="CẤP_THOÁT_NƯỚC1"/>
      <sheetName val="Cước_VC_+_ĐM_CP_Tư_vấn1"/>
      <sheetName val="Hệ_số1"/>
      <sheetName val="THDT_goi_thau_TB1"/>
      <sheetName val="Tien_do_TV1"/>
      <sheetName val="Bang_trong_luong_rieng_thep1"/>
      <sheetName val="DETAIL_1"/>
      <sheetName val="final_list_20052"/>
      <sheetName val="LV_data1"/>
      <sheetName val="Gia_vat_tu1"/>
      <sheetName val="TH_MTC1"/>
      <sheetName val="Chenh_lech_ca_may1"/>
      <sheetName val="TLg_CN&amp;Laixe1"/>
      <sheetName val="TLg_CN&amp;Laixe_(2)1"/>
      <sheetName val="TLg_Laitau1"/>
      <sheetName val="TLg_Laitau_(2)1"/>
      <sheetName val="Equipment_list_(PAC)1"/>
      <sheetName val="TINH_KHOI_LUONG1"/>
      <sheetName val="DATA_BASE1"/>
      <sheetName val="bridge_#_11"/>
      <sheetName val="Chi_tiet1"/>
      <sheetName val="Buy_vs__Lease_Car1"/>
      <sheetName val="Budget_Code"/>
      <sheetName val="CP_Khac_cuoc_VC"/>
      <sheetName val="subcon_sched1"/>
      <sheetName val="Bang_3_Chi_tiet_phan_Dz1"/>
      <sheetName val="KHOI_LUONG1"/>
      <sheetName val="HVAC_BLOCK_B41"/>
      <sheetName val="PRE_(E)1"/>
      <sheetName val="BẢNG_KHỐI_LƯỢNG_TỔNG_HỢP"/>
      <sheetName val="CTKL_KTX_HT"/>
      <sheetName val="2_Chiet_tinh"/>
      <sheetName val="Tong_du_toan"/>
      <sheetName val="Bill_2_-_ketcau"/>
      <sheetName val="NHÀ_NHẬP_LIỆU"/>
      <sheetName val="MÓNG_SILO"/>
      <sheetName val="Chi_tiet_lan_can"/>
      <sheetName val="Analisa_&amp;_Upah"/>
      <sheetName val="13-Cốt_thép_(10mm&lt;D≤18mm)_FO16"/>
      <sheetName val="du_lieu_du_toan"/>
      <sheetName val="Purchase_Order"/>
      <sheetName val="DL_ĐẦU_VÀO"/>
      <sheetName val="BOQ_THAN"/>
      <sheetName val="D_&amp;_W_sizes"/>
      <sheetName val="Du_lieu1"/>
      <sheetName val="cash_budget"/>
      <sheetName val="Luong_NII"/>
      <sheetName val="DINH_MUC_THI_NGHIEM"/>
      <sheetName val="Luong_NI"/>
      <sheetName val="Phan_tich"/>
      <sheetName val="CT_Thang_Mo"/>
      <sheetName val="CT__PL"/>
      <sheetName val="dongia__2_"/>
      <sheetName val="Thép_CKN"/>
      <sheetName val="GOC-KO_IN"/>
      <sheetName val="MAU_8A"/>
      <sheetName val="MAU_8B"/>
      <sheetName val="MAU_9"/>
      <sheetName val="MAU_10"/>
      <sheetName val="sochitiettaikhoan_"/>
      <sheetName val="Share_price_data"/>
      <sheetName val="19_3"/>
      <sheetName val="20_3"/>
      <sheetName val="Chieu_4_3"/>
      <sheetName val="Cow_req"/>
      <sheetName val="TỔNG_HỢP"/>
      <sheetName val="14-LẦN_3-CHIỀU"/>
      <sheetName val="14-LẦN_1-SÁNG"/>
      <sheetName val="14-LẦN_2-TRƯA"/>
      <sheetName val="1_3+1_4-TOTAL_-_Ko_IN"/>
      <sheetName val="2_1-LẦN_3-CHIỀU"/>
      <sheetName val="2_1-LẦN_1-SÁNG"/>
      <sheetName val="2_1-LẦN_2-TRƯA"/>
      <sheetName val="2_1-TOTAL-Ko_IN"/>
      <sheetName val="1_3(TMR_4)"/>
      <sheetName val="CHO_DE"/>
      <sheetName val="1_1+1_2+2_2+2_3(TMR_3)"/>
      <sheetName val="CK1+CK2_(VS_SAN_CHOI_23)"/>
      <sheetName val="CK1+CK2_(2)"/>
      <sheetName val="12-16_THÁNG"/>
      <sheetName val="CAN_SỮA"/>
      <sheetName val="54+55+56(SAU_CAI_SỮA-6)"/>
      <sheetName val="BÊ_71-90_NGÀY"/>
      <sheetName val="BÊ_12-16_tháng"/>
      <sheetName val="BÊ_6-12"/>
      <sheetName val="BÊ_1-3"/>
      <sheetName val="F01-BC_KHAU_PHAN_SANG_20_3"/>
      <sheetName val="F01-BC_KHAU_PHAN_CHIEU_19_3"/>
      <sheetName val="dinh_mưc_cty"/>
      <sheetName val="Giá_thành"/>
      <sheetName val="Thong_ke"/>
      <sheetName val="Energy_for_milk_prod"/>
      <sheetName val="DE_NGHI_XUAT_"/>
      <sheetName val="phieu_xuat_mau"/>
      <sheetName val="PHIEU_XUAT_CHIEU"/>
      <sheetName val="11_rai_them_cỏ"/>
      <sheetName val="PHU_LUC_02-_HDSD_CAC_BIEU_MAU"/>
      <sheetName val="PhU_LUC_01-_MA_CAC_NHOM_BO"/>
      <sheetName val="F03-BC_THUC_TRON_SANG_20_3"/>
      <sheetName val="F03-BC_THUC_TRON_CHIEU_19_3"/>
      <sheetName val="F02-BC_THEO_DOI_THUC_AN_DU"/>
      <sheetName val="Tham_khao-_Bao_cao_xuat_thuc_an"/>
      <sheetName val="Don_gia_(khong_in)"/>
      <sheetName val="Dlieu_dau_vao"/>
      <sheetName val="DK1_Don_gia"/>
      <sheetName val="1_MONG_1-2"/>
      <sheetName val="BANCO_(2)"/>
      <sheetName val="MT_DPin_(2)"/>
      <sheetName val="02__PTDG"/>
      <sheetName val="Chiết_tính"/>
      <sheetName val="PU_ITALY_6"/>
      <sheetName val="RAB_AR&amp;STR4"/>
      <sheetName val="chi_tiet_TBA4"/>
      <sheetName val="chi_tiet_C4"/>
      <sheetName val="Tro_giup6"/>
      <sheetName val="TH_DZ356"/>
      <sheetName val="Customize_Your_Purchase_Order4"/>
      <sheetName val="CHITIET_VL-NC-TT_-1p4"/>
      <sheetName val="CHITIET_VL-NC-TT-3p3"/>
      <sheetName val="TONG_HOP_VL-NC_TT4"/>
      <sheetName val="KPVC-BD_4"/>
      <sheetName val="Don_gia4"/>
      <sheetName val="DON_GIA_TRAM_(3)4"/>
      <sheetName val="DON_GIA_CAN_THO6"/>
      <sheetName val="HĐ_ngoài3"/>
      <sheetName val="XT_Buoc_33"/>
      <sheetName val="dongia_(2)3"/>
      <sheetName val="7606_DZ4"/>
      <sheetName val="project_management3"/>
      <sheetName val="Don_gia_chi_tiet4"/>
      <sheetName val="Adix_A3"/>
      <sheetName val="S-curve_3"/>
      <sheetName val="REINF_3"/>
      <sheetName val="Rates_20093"/>
      <sheetName val="So_doi_chieu_LC3"/>
      <sheetName val="MAIN_GATE_HOUSE3"/>
      <sheetName val="Commercial_value3"/>
      <sheetName val="Du_toan3"/>
      <sheetName val="Ky_Lam_Bridge3"/>
      <sheetName val="Provisional_Sums_Item3"/>
      <sheetName val="Gas_Pressure_Welding3"/>
      <sheetName val="General_Item&amp;General_Requireme3"/>
      <sheetName val="General_Items3"/>
      <sheetName val="Regenral_Requirements3"/>
      <sheetName val="chiet_tinh3"/>
      <sheetName val="Ng_hàng_xà+bulong3"/>
      <sheetName val="Bang_KL3"/>
      <sheetName val="TONG_HOP_VL-NC3"/>
      <sheetName val="MH_RATE3"/>
      <sheetName val="Đầu_vào2"/>
      <sheetName val="Lcau_-_Lxuc3"/>
      <sheetName val="DM_60613"/>
      <sheetName val="DG_thep_ma_kem3"/>
      <sheetName val="CT_vat_lieu3"/>
      <sheetName val="Equip_2"/>
      <sheetName val="A1_CN2"/>
      <sheetName val="Trạm_biến_áp2"/>
      <sheetName val="Đơn_Giá_2"/>
      <sheetName val="Chenh_lech_vat_tu2"/>
      <sheetName val="Diện_tích2"/>
      <sheetName val="1_Khái_toán2"/>
      <sheetName val="TONG_HOP_T5_19982"/>
      <sheetName val="Chi_tiet_XD_TBA2"/>
      <sheetName val="DG_DZ3"/>
      <sheetName val="DG_TBA3"/>
      <sheetName val="CT-0_4KV2"/>
      <sheetName val="rate_material2"/>
      <sheetName val="KL_Chi_tiết_Xây_tô2"/>
      <sheetName val="07Base_Cost2"/>
      <sheetName val="GV1-D13_(Casement_door)2"/>
      <sheetName val="Bill_1_Quy_dinh_chung2"/>
      <sheetName val="1_R18_BF2"/>
      <sheetName val="6_External_works-R182"/>
      <sheetName val="Phan_khai_KLuong2"/>
      <sheetName val="Chi_tiet_KL2"/>
      <sheetName val="Tổng_hợp_KL2"/>
      <sheetName val="Measure_13062"/>
      <sheetName val="Area_Cal2"/>
      <sheetName val="gia_cong_tac2"/>
      <sheetName val="Analisa_Gabungan2"/>
      <sheetName val="Isolasi_Luar_Dalam2"/>
      <sheetName val="Isolasi_Luar2"/>
      <sheetName val="04_-_XUONG_DET_B2"/>
      <sheetName val="_032"/>
      <sheetName val="chieu_day_san2"/>
      <sheetName val="Podium_Concrete_Works2"/>
      <sheetName val="KLCT-_TOWER2"/>
      <sheetName val="KLCT-_PODIUM2"/>
      <sheetName val="Gia_thanh_chuoi_su2"/>
      <sheetName val="Tiep_dia2"/>
      <sheetName val="Don_gia_vung_III-Can_Tho2"/>
      <sheetName val="Loại_Vật_tư2"/>
      <sheetName val="Elect_(3)2"/>
      <sheetName val="plan&amp;section_of_foundation2"/>
      <sheetName val="design_criteria2"/>
      <sheetName val="Bond_수수료_계산_포맷2"/>
      <sheetName val="ITB_COST2"/>
      <sheetName val="PAGE_12"/>
      <sheetName val="Xay_lapduongR32"/>
      <sheetName val="DM_672"/>
      <sheetName val="Project_Data2"/>
      <sheetName val="6787CWFASE2CASE2_00_xls2"/>
      <sheetName val="Đầu_tư2"/>
      <sheetName val="EIRR&gt;_22"/>
      <sheetName val="Bill_02_-_Xay_gach-Pou_2"/>
      <sheetName val="Bill_03-Chống_thấm-Pou2"/>
      <sheetName val="Bill_04-Kim_loại-Pou2"/>
      <sheetName val="Bill_05_-_Hoan_thien-Pou_2"/>
      <sheetName val="Bill_02_-_Xay_gach-Tower2"/>
      <sheetName val="Bill_03-Chống_thấm-Tower2"/>
      <sheetName val="Bill_04-Kim_loại-Tower2"/>
      <sheetName val="Bill_05_-_Hoan_thien-Tower2"/>
      <sheetName val="KL-_KHAC2"/>
      <sheetName val="BILL_3_-_KẾT_CẤU_HẦM2"/>
      <sheetName val="PTĐG_LTBT2"/>
      <sheetName val="CTG-PRECHEx1_42"/>
      <sheetName val="CTG-AB_(2)2"/>
      <sheetName val="CTG-AB_(3)2"/>
      <sheetName val="CTG-PLP-1_082"/>
      <sheetName val="Pre_Đội_nhóm2"/>
      <sheetName val="Vat_tu_XD2"/>
      <sheetName val="Tower_-_Concrete_Works2"/>
      <sheetName val="Bill-04_ket_cau_thap-_UNI2"/>
      <sheetName val="dg_tphcm2"/>
      <sheetName val="T_KÊ_K_CẤU2"/>
      <sheetName val="4_PTDG2"/>
      <sheetName val="A1,_May2"/>
      <sheetName val="Vat_lieu2"/>
      <sheetName val="Data_Input3"/>
      <sheetName val="HÐ_ngoài3"/>
      <sheetName val="6PILE__(돌출)2"/>
      <sheetName val="Bill_01_-_CTN2"/>
      <sheetName val="Bill_2_2_Villa_2_beds2"/>
      <sheetName val="ESTI_2"/>
      <sheetName val="KL_san_lap2"/>
      <sheetName val="TH_Vat_tu2"/>
      <sheetName val="_Bill_5-Earthing_2_-_Add_Works2"/>
      <sheetName val="Harga_ME_2"/>
      <sheetName val="TH_N_Cong2"/>
      <sheetName val="Bang_trong_luong_rieng_thep2"/>
      <sheetName val="CẤP_THOÁT_NƯỚC2"/>
      <sheetName val="Cước_VC_+_ĐM_CP_Tư_vấn2"/>
      <sheetName val="Hệ_số2"/>
      <sheetName val="bridge_#_12"/>
      <sheetName val="THDT_goi_thau_TB2"/>
      <sheetName val="Tien_do_TV2"/>
      <sheetName val="DETAIL_2"/>
      <sheetName val="final_list_20053"/>
      <sheetName val="LV_data2"/>
      <sheetName val="Gia_vat_tu2"/>
      <sheetName val="TH_MTC2"/>
      <sheetName val="Chenh_lech_ca_may2"/>
      <sheetName val="TLg_CN&amp;Laixe2"/>
      <sheetName val="TLg_CN&amp;Laixe_(2)2"/>
      <sheetName val="TLg_Laitau2"/>
      <sheetName val="TLg_Laitau_(2)2"/>
      <sheetName val="Equipment_list_(PAC)2"/>
      <sheetName val="TINH_KHOI_LUONG2"/>
      <sheetName val="DATA_BASE2"/>
      <sheetName val="Chi_tiet2"/>
      <sheetName val="Bang_3_Chi_tiet_phan_Dz2"/>
      <sheetName val="KHOI_LUONG2"/>
      <sheetName val="HVAC_BLOCK_B42"/>
      <sheetName val="Buy_vs__Lease_Car2"/>
      <sheetName val="subcon_sched2"/>
      <sheetName val="CP_Khac_cuoc_VC1"/>
      <sheetName val="Budget_Code1"/>
      <sheetName val="BẢNG_KHỐI_LƯỢNG_TỔNG_HỢP1"/>
      <sheetName val="CTKL_KTX_HT1"/>
      <sheetName val="PRE_(E)2"/>
      <sheetName val="2_Chiet_tinh1"/>
      <sheetName val="NHÀ_NHẬP_LIỆU1"/>
      <sheetName val="MÓNG_SILO1"/>
      <sheetName val="Tong_du_toan1"/>
      <sheetName val="Bill_2_-_ketcau1"/>
      <sheetName val="Chi_tiet_lan_can1"/>
      <sheetName val="Analisa_&amp;_Upah1"/>
      <sheetName val="Purchase_Order1"/>
      <sheetName val="13-Cốt_thép_(10mm&lt;D≤18mm)_FO161"/>
      <sheetName val="du_lieu_du_toan1"/>
      <sheetName val="DL_ĐẦU_VÀO1"/>
      <sheetName val="BOQ_THAN1"/>
      <sheetName val="D_&amp;_W_sizes1"/>
      <sheetName val="Du_lieu2"/>
      <sheetName val="cash_budget1"/>
      <sheetName val="Luong_NII1"/>
      <sheetName val="DINH_MUC_THI_NGHIEM1"/>
      <sheetName val="Luong_NI1"/>
      <sheetName val="Phan_tich1"/>
      <sheetName val="CT_Thang_Mo1"/>
      <sheetName val="CT__PL1"/>
      <sheetName val="dongia__2_1"/>
      <sheetName val="Thép_CKN1"/>
      <sheetName val="GOC-KO_IN1"/>
      <sheetName val="MAU_8A1"/>
      <sheetName val="MAU_8B1"/>
      <sheetName val="MAU_91"/>
      <sheetName val="MAU_101"/>
      <sheetName val="sochitiettaikhoan_1"/>
      <sheetName val="Share_price_data1"/>
      <sheetName val="19_31"/>
      <sheetName val="20_31"/>
      <sheetName val="Chieu_4_31"/>
      <sheetName val="Cow_req1"/>
      <sheetName val="TỔNG_HỢP1"/>
      <sheetName val="14-LẦN_3-CHIỀU1"/>
      <sheetName val="14-LẦN_1-SÁNG1"/>
      <sheetName val="14-LẦN_2-TRƯA1"/>
      <sheetName val="1_3+1_4-TOTAL_-_Ko_IN1"/>
      <sheetName val="2_1-LẦN_3-CHIỀU1"/>
      <sheetName val="2_1-LẦN_1-SÁNG1"/>
      <sheetName val="2_1-LẦN_2-TRƯA1"/>
      <sheetName val="2_1-TOTAL-Ko_IN1"/>
      <sheetName val="1_3(TMR_4)1"/>
      <sheetName val="CHO_DE1"/>
      <sheetName val="1_1+1_2+2_2+2_3(TMR_3)1"/>
      <sheetName val="CK1+CK2_(VS_SAN_CHOI_23)1"/>
      <sheetName val="CK1+CK2_(2)1"/>
      <sheetName val="12-16_THÁNG1"/>
      <sheetName val="CAN_SỮA1"/>
      <sheetName val="54+55+56(SAU_CAI_SỮA-6)1"/>
      <sheetName val="BÊ_71-90_NGÀY1"/>
      <sheetName val="BÊ_12-16_tháng1"/>
      <sheetName val="BÊ_6-121"/>
      <sheetName val="BÊ_1-31"/>
      <sheetName val="F01-BC_KHAU_PHAN_SANG_20_31"/>
      <sheetName val="F01-BC_KHAU_PHAN_CHIEU_19_31"/>
      <sheetName val="dinh_mưc_cty1"/>
      <sheetName val="Giá_thành1"/>
      <sheetName val="Thong_ke1"/>
      <sheetName val="Energy_for_milk_prod1"/>
      <sheetName val="DE_NGHI_XUAT_1"/>
      <sheetName val="phieu_xuat_mau1"/>
      <sheetName val="PHIEU_XUAT_CHIEU1"/>
      <sheetName val="11_rai_them_cỏ1"/>
      <sheetName val="PHU_LUC_02-_HDSD_CAC_BIEU_MAU1"/>
      <sheetName val="PhU_LUC_01-_MA_CAC_NHOM_BO1"/>
      <sheetName val="F03-BC_THUC_TRON_SANG_20_31"/>
      <sheetName val="F03-BC_THUC_TRON_CHIEU_19_31"/>
      <sheetName val="F02-BC_THEO_DOI_THUC_AN_DU1"/>
      <sheetName val="Tham_khao-_Bao_cao_xuat_thuc_a1"/>
      <sheetName val="Dlieu_dau_vao1"/>
      <sheetName val="DK1_Don_gia1"/>
      <sheetName val="1_MONG_1-21"/>
      <sheetName val="Don_gia_(khong_in)1"/>
      <sheetName val="BANCO_(2)1"/>
      <sheetName val="MT_DPin_(2)1"/>
      <sheetName val="02__PTDG1"/>
      <sheetName val="Chiết_tính1"/>
      <sheetName val="dm 366"/>
      <sheetName val="DM 6060"/>
      <sheetName val="Gvlch"/>
      <sheetName val="DGLX"/>
      <sheetName val="Bill No.3 - Prov. Sum (Ph2&amp;3)"/>
      <sheetName val="TH TN"/>
      <sheetName val="Income Statement"/>
      <sheetName val="Shareholders' Equity"/>
      <sheetName val="Income_Statement1"/>
      <sheetName val="Shareholders'_Equity1"/>
      <sheetName val="Income_Statement"/>
      <sheetName val="Shareholders'_Equity"/>
      <sheetName val="VC.xd"/>
      <sheetName val="Gia.VLTB"/>
      <sheetName val="B.Luong"/>
      <sheetName val="C.May"/>
      <sheetName val="MTL(AG)"/>
      <sheetName val="đọc số"/>
      <sheetName val="DATA1"/>
      <sheetName val="소일위대가코드표"/>
      <sheetName val="HỆ THỐNG PHÒNG CHÁY CHỮA CHÁY"/>
      <sheetName val="HỆ THỐNG CẤP THOÁT NƯỚC"/>
      <sheetName val="HỆ THỐNG ĐHKK"/>
      <sheetName val="MÁY PHÁT ĐIỆN"/>
      <sheetName val="HỆ THỐNG ĐIỆN"/>
      <sheetName val="Thiết bị chính"/>
      <sheetName val="wk prgs"/>
      <sheetName val="sort2"/>
      <sheetName val="DM7606"/>
      <sheetName val="XDM22"/>
      <sheetName val="DinhMuc"/>
      <sheetName val="TK-TUBU"/>
      <sheetName val="DM_4970"/>
      <sheetName val="Dự thầu"/>
      <sheetName val="Nhap VT oto"/>
      <sheetName val="Ma don vi"/>
      <sheetName val="bang cc"/>
      <sheetName val="Hao phí"/>
      <sheetName val="Structure data"/>
      <sheetName val="2.1Warehouse 1"/>
      <sheetName val="AG Pipe Qty Analysis"/>
      <sheetName val="Dongiaxd"/>
      <sheetName val="TK chi tiet"/>
      <sheetName val="Brick"/>
      <sheetName val="Bill 2-Road HR2"/>
      <sheetName val="Bill 3 - Softscape HR2"/>
      <sheetName val="Tongke"/>
      <sheetName val="THEP TAM"/>
      <sheetName val="THEP HÌNH"/>
      <sheetName val="THEP HINH"/>
      <sheetName val="XA GO"/>
      <sheetName val="BANG TRA"/>
      <sheetName val="trialth"/>
      <sheetName val="1"/>
      <sheetName val="PCCC"/>
      <sheetName val="見積書"/>
      <sheetName val="TNHC"/>
      <sheetName val="CP Du phong"/>
      <sheetName val="THCP Lap dat"/>
      <sheetName val="THCP xay dung"/>
      <sheetName val="Tong hop kinh phi"/>
      <sheetName val="QD79"/>
      <sheetName val="CP HMC"/>
      <sheetName val="Ｎｏ.13"/>
      <sheetName val="tra_vat_lieu"/>
      <sheetName val="DGchitiet "/>
      <sheetName val="CHI PHI"/>
      <sheetName val="MDA"/>
      <sheetName val="MKH"/>
      <sheetName val="DMNV"/>
      <sheetName val="DMNCC"/>
      <sheetName val="MHH"/>
      <sheetName val="CDTK"/>
      <sheetName val="CĂN HỘ T16-17 "/>
      <sheetName val="TRỤC ĐỨNG THOÁT BẨN T15-17"/>
      <sheetName val="TRỤC ĐỨNG TM T15-17"/>
      <sheetName val="1.Requisition(E)"/>
      <sheetName val="nkc"/>
      <sheetName val="Móng, nền "/>
      <sheetName val="Est"/>
      <sheetName val="E-Breakdown"/>
      <sheetName val="CostData"/>
      <sheetName val="costingsheet"/>
      <sheetName val="Wind"/>
      <sheetName val="Main Bldg-Rev02"/>
      <sheetName val="D&amp;W def."/>
      <sheetName val="Nhan cong"/>
      <sheetName val="Thiet bi"/>
      <sheetName val="Vat tu"/>
      <sheetName val="DM.ChiPhi"/>
      <sheetName val="May TC"/>
      <sheetName val="TH Kinh phi"/>
      <sheetName val="LKVL-CK-HT-GD1"/>
      <sheetName val="NhanCong"/>
      <sheetName val="TN"/>
      <sheetName val="ND"/>
      <sheetName val="Ptvl "/>
      <sheetName val="escon"/>
      <sheetName val="INSTR"/>
      <sheetName val="GiaVL"/>
      <sheetName val="노임단가"/>
      <sheetName val="Rebar"/>
      <sheetName val="KLT"/>
      <sheetName val="Specs"/>
      <sheetName val="Data.Wall"/>
      <sheetName val="물량표"/>
      <sheetName val="VT190111"/>
      <sheetName val="DG 1426"/>
      <sheetName val="Tổng GT"/>
      <sheetName val="GT"/>
      <sheetName val="KL"/>
      <sheetName val="Chi tiết KL"/>
      <sheetName val="ca máy"/>
      <sheetName val="khấu trừ phạt"/>
      <sheetName val="GT  KHAU TRU"/>
      <sheetName val="HAO HUT VAT TU (2)"/>
      <sheetName val="cao độ"/>
      <sheetName val="ĐNTT"/>
      <sheetName val="GTHT"/>
      <sheetName val="Chi tiet cong no"/>
      <sheetName val="BoQ"/>
      <sheetName val="PHÁT SINH TẦNG 1."/>
      <sheetName val="PHÁT SINH TẦNG 2"/>
      <sheetName val="Hầm chuyển psinh"/>
      <sheetName val="Ống thẳng"/>
      <sheetName val="Côn thu"/>
      <sheetName val="Vuông tròn"/>
      <sheetName val="Chân rẽ"/>
      <sheetName val="Cút"/>
      <sheetName val="Chạc ba"/>
      <sheetName val="Chi tiet -tong 9 thang"/>
      <sheetName val="BangMa"/>
      <sheetName val="NHATKYC"/>
      <sheetName val="BCX_NL"/>
      <sheetName val="7606(TT01)"/>
      <sheetName val="7606TBA(TT01)"/>
      <sheetName val="DG7606TBA"/>
      <sheetName val="CTTN"/>
      <sheetName val="Luong_Cnhan"/>
      <sheetName val="DMTN"/>
      <sheetName val="VatTU"/>
      <sheetName val="TONG HOP"/>
      <sheetName val="Dự toán"/>
      <sheetName val="Đơn Giá TH"/>
      <sheetName val="Nhân công"/>
      <sheetName val="Phân tích"/>
      <sheetName val="C.P Thiết bị"/>
      <sheetName val="T.H Kinh phí"/>
      <sheetName val="Vật tư"/>
      <sheetName val="Trang bìa"/>
      <sheetName val="phan tic chi tiet"/>
      <sheetName val="gui BKCT"/>
      <sheetName val="Don gia chi tiet DIEN 2"/>
      <sheetName val="Dongia7606new"/>
      <sheetName val="lam_moi"/>
      <sheetName val="NEW-PANEL"/>
      <sheetName val="Thongtin"/>
      <sheetName val="Theo doi Doanh thu 2017"/>
      <sheetName val="DMCT"/>
      <sheetName val="Notes"/>
      <sheetName val="1.2 Staff Schedule"/>
      <sheetName val="유림콘도"/>
      <sheetName val="유림골조"/>
      <sheetName val="Btra"/>
      <sheetName val="Door_and_window1"/>
      <sheetName val="Ma_don_vi"/>
      <sheetName val="bang_cc"/>
      <sheetName val="BẢNG ÁP GIÁ (in)"/>
      <sheetName val="NT (KL) IN"/>
      <sheetName val="DOM D2"/>
      <sheetName val="nhà ăn"/>
      <sheetName val="Công nhật"/>
      <sheetName val="btkt cột"/>
      <sheetName val="THÉP"/>
      <sheetName val="B3A - TOWER A"/>
      <sheetName val="Annex B"/>
      <sheetName val="Doi so"/>
      <sheetName val="NHAP"/>
      <sheetName val="BQ-E20-02(Rp)"/>
      <sheetName val="Open"/>
      <sheetName val="Function"/>
      <sheetName val="Noisuy-LLL"/>
      <sheetName val="F4-F7"/>
      <sheetName val="1.Civil (Org)"/>
      <sheetName val="villa"/>
      <sheetName val="SPEC"/>
      <sheetName val="VO-PS02-XD"/>
      <sheetName val="0. Input"/>
      <sheetName val="Gia vat lieu"/>
      <sheetName val="Precios unitarios AXH"/>
      <sheetName val=""/>
      <sheetName val="3. CNT"/>
      <sheetName val="unit price list(M)"/>
      <sheetName val="Rate1"/>
      <sheetName val="TH VL, NC, DDHT Thanhphuoc"/>
      <sheetName val="전기"/>
      <sheetName val="So lieu chung"/>
      <sheetName val="DGiaT"/>
      <sheetName val="DGiaTN"/>
      <sheetName val="KL THEP  GIAM DO DUNG COUPLER"/>
      <sheetName val="01.KL THÉP NHẬP VỀ"/>
      <sheetName val="BBLMHT"/>
      <sheetName val="2. NT VLDV"/>
      <sheetName val="GHI CHU"/>
      <sheetName val="1.BB LMHT"/>
      <sheetName val="Bê tông bảo vệ"/>
      <sheetName val="01. Data"/>
      <sheetName val="Neo, nối cốt thép dầm, cột"/>
      <sheetName val="Uốn móc cốt thép"/>
      <sheetName val="Tiêu chuẩn cốt thép"/>
      <sheetName val="PERSONNELIST"/>
      <sheetName val="1. Office"/>
      <sheetName val="PU_ITALY_7"/>
      <sheetName val="RAB_AR&amp;STR5"/>
      <sheetName val="chi_tiet_TBA5"/>
      <sheetName val="chi_tiet_C5"/>
      <sheetName val="Tro_giup7"/>
      <sheetName val="TH_DZ357"/>
      <sheetName val="Customize_Your_Purchase_Order5"/>
      <sheetName val="CHITIET_VL-NC-TT_-1p5"/>
      <sheetName val="CHITIET_VL-NC-TT-3p4"/>
      <sheetName val="TONG_HOP_VL-NC_TT5"/>
      <sheetName val="KPVC-BD_5"/>
      <sheetName val="Don_gia5"/>
      <sheetName val="DON_GIA_TRAM_(3)5"/>
      <sheetName val="DON_GIA_CAN_THO7"/>
      <sheetName val="HĐ_ngoài4"/>
      <sheetName val="XT_Buoc_34"/>
      <sheetName val="dongia_(2)4"/>
      <sheetName val="Don_gia_chi_tiet5"/>
      <sheetName val="7606_DZ5"/>
      <sheetName val="project_management4"/>
      <sheetName val="Adix_A4"/>
      <sheetName val="S-curve_4"/>
      <sheetName val="So_doi_chieu_LC4"/>
      <sheetName val="MAIN_GATE_HOUSE4"/>
      <sheetName val="REINF_4"/>
      <sheetName val="Rates_20094"/>
      <sheetName val="Du_toan4"/>
      <sheetName val="Commercial_value4"/>
      <sheetName val="Ky_Lam_Bridge4"/>
      <sheetName val="Provisional_Sums_Item4"/>
      <sheetName val="Gas_Pressure_Welding4"/>
      <sheetName val="General_Item&amp;General_Requireme4"/>
      <sheetName val="General_Items4"/>
      <sheetName val="Regenral_Requirements4"/>
      <sheetName val="chiet_tinh4"/>
      <sheetName val="Ng_hàng_xà+bulong4"/>
      <sheetName val="Bang_KL4"/>
      <sheetName val="TONG_HOP_VL-NC4"/>
      <sheetName val="MH_RATE4"/>
      <sheetName val="Lcau_-_Lxuc4"/>
      <sheetName val="Equip_3"/>
      <sheetName val="A1_CN3"/>
      <sheetName val="DG_thep_ma_kem4"/>
      <sheetName val="CT_vat_lieu4"/>
      <sheetName val="DM_60614"/>
      <sheetName val="Đầu_vào3"/>
      <sheetName val="Trạm_biến_áp3"/>
      <sheetName val="Đơn_Giá_3"/>
      <sheetName val="Chi_tiet_XD_TBA3"/>
      <sheetName val="Chenh_lech_vat_tu3"/>
      <sheetName val="Diện_tích3"/>
      <sheetName val="1_Khái_toán3"/>
      <sheetName val="TONG_HOP_T5_19983"/>
      <sheetName val="DG_DZ4"/>
      <sheetName val="DG_TBA4"/>
      <sheetName val="CT-0_4KV3"/>
      <sheetName val="rate_material3"/>
      <sheetName val="KL_Chi_tiết_Xây_tô3"/>
      <sheetName val="6PILE__(돌출)3"/>
      <sheetName val="Bill_1_Quy_dinh_chung3"/>
      <sheetName val="1_R18_BF3"/>
      <sheetName val="6_External_works-R183"/>
      <sheetName val="HÐ_ngoài4"/>
      <sheetName val="EIRR&gt;_23"/>
      <sheetName val="Data_Input4"/>
      <sheetName val="04_-_XUONG_DET_B3"/>
      <sheetName val="07Base_Cost3"/>
      <sheetName val="Chi_tiet_KL3"/>
      <sheetName val="Tổng_hợp_KL3"/>
      <sheetName val="_033"/>
      <sheetName val="chieu_day_san3"/>
      <sheetName val="Podium_Concrete_Works3"/>
      <sheetName val="KLCT-_TOWER3"/>
      <sheetName val="KLCT-_PODIUM3"/>
      <sheetName val="Gia_thanh_chuoi_su3"/>
      <sheetName val="Tiep_dia3"/>
      <sheetName val="Don_gia_vung_III-Can_Tho3"/>
      <sheetName val="Area_Cal3"/>
      <sheetName val="Phan_khai_KLuong3"/>
      <sheetName val="Elect_(3)3"/>
      <sheetName val="plan&amp;section_of_foundation3"/>
      <sheetName val="design_criteria3"/>
      <sheetName val="Bond_수수료_계산_포맷3"/>
      <sheetName val="ITB_COST3"/>
      <sheetName val="PAGE_13"/>
      <sheetName val="Loại_Vật_tư3"/>
      <sheetName val="DM_673"/>
      <sheetName val="Đầu_tư3"/>
      <sheetName val="Xay_lapduongR33"/>
      <sheetName val="Project_Data3"/>
      <sheetName val="ESTI_3"/>
      <sheetName val="KL_san_lap3"/>
      <sheetName val="Bill_01_-_CTN3"/>
      <sheetName val="Bill_2_2_Villa_2_beds3"/>
      <sheetName val="Measure_13063"/>
      <sheetName val="dg_tphcm3"/>
      <sheetName val="T_KÊ_K_CẤU3"/>
      <sheetName val="gia_cong_tac3"/>
      <sheetName val="6787CWFASE2CASE2_00_xls3"/>
      <sheetName val="4_PTDG3"/>
      <sheetName val="A1,_May3"/>
      <sheetName val="Vat_lieu3"/>
      <sheetName val="Bill_02_-_Xay_gach-Pou_3"/>
      <sheetName val="Bill_03-Chống_thấm-Pou3"/>
      <sheetName val="Bill_04-Kim_loại-Pou3"/>
      <sheetName val="Bill_05_-_Hoan_thien-Pou_3"/>
      <sheetName val="Bill_02_-_Xay_gach-Tower3"/>
      <sheetName val="Bill_03-Chống_thấm-Tower3"/>
      <sheetName val="Bill_04-Kim_loại-Tower3"/>
      <sheetName val="Bill_05_-_Hoan_thien-Tower3"/>
      <sheetName val="KL-_KHAC3"/>
      <sheetName val="BILL_3_-_KẾT_CẤU_HẦM3"/>
      <sheetName val="PTĐG_LTBT3"/>
      <sheetName val="CTG-PRECHEx1_43"/>
      <sheetName val="CTG-AB_(2)3"/>
      <sheetName val="CTG-AB_(3)3"/>
      <sheetName val="CTG-PLP-1_083"/>
      <sheetName val="Pre_Đội_nhóm3"/>
      <sheetName val="Vat_tu_XD3"/>
      <sheetName val="Tower_-_Concrete_Works3"/>
      <sheetName val="Bill-04_ket_cau_thap-_UNI3"/>
      <sheetName val="TH_Vat_tu3"/>
      <sheetName val="Bang_trong_luong_rieng_thep3"/>
      <sheetName val="DETAIL_3"/>
      <sheetName val="GV1-D13_(Casement_door)3"/>
      <sheetName val="Analisa_Gabungan3"/>
      <sheetName val="Isolasi_Luar_Dalam3"/>
      <sheetName val="Isolasi_Luar3"/>
      <sheetName val="_Bill_5-Earthing_2_-_Add_Works3"/>
      <sheetName val="CẤP_THOÁT_NƯỚC3"/>
      <sheetName val="Cước_VC_+_ĐM_CP_Tư_vấn3"/>
      <sheetName val="Hệ_số3"/>
      <sheetName val="THDT_goi_thau_TB3"/>
      <sheetName val="Tien_do_TV3"/>
      <sheetName val="Harga_ME_3"/>
      <sheetName val="final_list_20054"/>
      <sheetName val="LV_data3"/>
      <sheetName val="Gia_vat_tu3"/>
      <sheetName val="TH_MTC3"/>
      <sheetName val="TH_N_Cong3"/>
      <sheetName val="bridge_#_13"/>
      <sheetName val="DATA_BASE3"/>
      <sheetName val="Equipment_list_(PAC)3"/>
      <sheetName val="Chenh_lech_ca_may3"/>
      <sheetName val="TLg_CN&amp;Laixe3"/>
      <sheetName val="TLg_CN&amp;Laixe_(2)3"/>
      <sheetName val="TLg_Laitau3"/>
      <sheetName val="TLg_Laitau_(2)3"/>
      <sheetName val="TINH_KHOI_LUONG3"/>
      <sheetName val="Buy_vs__Lease_Car3"/>
      <sheetName val="Chi_tiet3"/>
      <sheetName val="NHÀ_NHẬP_LIỆU2"/>
      <sheetName val="MÓNG_SILO2"/>
      <sheetName val="CTKL_KTX_HT2"/>
      <sheetName val="HVAC_BLOCK_B43"/>
      <sheetName val="KHOI_LUONG3"/>
      <sheetName val="PRE_(E)3"/>
      <sheetName val="Chi_tiet_lan_can2"/>
      <sheetName val="2_Chiet_tinh2"/>
      <sheetName val="Bang_3_Chi_tiet_phan_Dz3"/>
      <sheetName val="BẢNG_KHỐI_LƯỢNG_TỔNG_HỢP2"/>
      <sheetName val="CP_Khac_cuoc_VC2"/>
      <sheetName val="Budget_Code2"/>
      <sheetName val="subcon_sched3"/>
      <sheetName val="BOQ_THAN2"/>
      <sheetName val="Purchase_Order2"/>
      <sheetName val="Tong_du_toan2"/>
      <sheetName val="Bill_2_-_ketcau2"/>
      <sheetName val="D_&amp;_W_sizes2"/>
      <sheetName val="DK1_Don_gia2"/>
      <sheetName val="Analisa_&amp;_Upah2"/>
      <sheetName val="13-Cốt_thép_(10mm&lt;D≤18mm)_FO162"/>
      <sheetName val="du_lieu_du_toan2"/>
      <sheetName val="DL_ĐẦU_VÀO2"/>
      <sheetName val="Du_lieu3"/>
      <sheetName val="Phan_tich2"/>
      <sheetName val="Luong_NII2"/>
      <sheetName val="DINH_MUC_THI_NGHIEM2"/>
      <sheetName val="Luong_NI2"/>
      <sheetName val="CT_Thang_Mo2"/>
      <sheetName val="CT__PL2"/>
      <sheetName val="cash_budget2"/>
      <sheetName val="dongia__2_2"/>
      <sheetName val="Thép_CKN2"/>
      <sheetName val="GOC-KO_IN2"/>
      <sheetName val="MAU_8A2"/>
      <sheetName val="MAU_8B2"/>
      <sheetName val="MAU_92"/>
      <sheetName val="MAU_102"/>
      <sheetName val="sochitiettaikhoan_2"/>
      <sheetName val="Share_price_data2"/>
      <sheetName val="19_32"/>
      <sheetName val="20_32"/>
      <sheetName val="Chieu_4_32"/>
      <sheetName val="Cow_req2"/>
      <sheetName val="TỔNG_HỢP2"/>
      <sheetName val="14-LẦN_3-CHIỀU2"/>
      <sheetName val="14-LẦN_1-SÁNG2"/>
      <sheetName val="14-LẦN_2-TRƯA2"/>
      <sheetName val="1_3+1_4-TOTAL_-_Ko_IN2"/>
      <sheetName val="2_1-LẦN_3-CHIỀU2"/>
      <sheetName val="2_1-LẦN_1-SÁNG2"/>
      <sheetName val="2_1-LẦN_2-TRƯA2"/>
      <sheetName val="2_1-TOTAL-Ko_IN2"/>
      <sheetName val="1_3(TMR_4)2"/>
      <sheetName val="CHO_DE2"/>
      <sheetName val="1_1+1_2+2_2+2_3(TMR_3)2"/>
      <sheetName val="CK1+CK2_(VS_SAN_CHOI_23)2"/>
      <sheetName val="CK1+CK2_(2)2"/>
      <sheetName val="12-16_THÁNG2"/>
      <sheetName val="CAN_SỮA2"/>
      <sheetName val="54+55+56(SAU_CAI_SỮA-6)2"/>
      <sheetName val="BÊ_71-90_NGÀY2"/>
      <sheetName val="BÊ_12-16_tháng2"/>
      <sheetName val="BÊ_6-122"/>
      <sheetName val="BÊ_1-32"/>
      <sheetName val="F01-BC_KHAU_PHAN_SANG_20_32"/>
      <sheetName val="F01-BC_KHAU_PHAN_CHIEU_19_32"/>
      <sheetName val="dinh_mưc_cty2"/>
      <sheetName val="Giá_thành2"/>
      <sheetName val="Thong_ke2"/>
      <sheetName val="Energy_for_milk_prod2"/>
      <sheetName val="DE_NGHI_XUAT_2"/>
      <sheetName val="phieu_xuat_mau2"/>
      <sheetName val="PHIEU_XUAT_CHIEU2"/>
      <sheetName val="11_rai_them_cỏ2"/>
      <sheetName val="PHU_LUC_02-_HDSD_CAC_BIEU_MAU2"/>
      <sheetName val="PhU_LUC_01-_MA_CAC_NHOM_BO2"/>
      <sheetName val="F03-BC_THUC_TRON_SANG_20_32"/>
      <sheetName val="F03-BC_THUC_TRON_CHIEU_19_32"/>
      <sheetName val="F02-BC_THEO_DOI_THUC_AN_DU2"/>
      <sheetName val="Tham_khao-_Bao_cao_xuat_thuc_a2"/>
      <sheetName val="Dlieu_dau_vao2"/>
      <sheetName val="BANCO_(2)2"/>
      <sheetName val="MT_DPin_(2)2"/>
      <sheetName val="dm_366"/>
      <sheetName val="DM_6060"/>
      <sheetName val="Chiết_tính2"/>
      <sheetName val="Don_gia_(khong_in)2"/>
      <sheetName val="1_MONG_1-22"/>
      <sheetName val="02__PTDG2"/>
      <sheetName val="Du_tru_CP-Bieu_01"/>
      <sheetName val="TB_NẶNG"/>
      <sheetName val="Bill_No_3_-_Prov__Sum_(Ph2&amp;3)"/>
      <sheetName val="TH_TN"/>
      <sheetName val="Income_Statement2"/>
      <sheetName val="Shareholders'_Equity2"/>
      <sheetName val="VC_xd"/>
      <sheetName val="Gia_VLTB"/>
      <sheetName val="B_Luong"/>
      <sheetName val="C_May"/>
      <sheetName val="TK_chi_tiet"/>
      <sheetName val="Bill_2-Road_HR2"/>
      <sheetName val="Bill_3_-_Softscape_HR2"/>
      <sheetName val="wk_prgs"/>
      <sheetName val="Ｎｏ_13"/>
      <sheetName val="DGchitiet_"/>
      <sheetName val="CĂN_HỘ_T16-17_"/>
      <sheetName val="TRỤC_ĐỨNG_THOÁT_BẨN_T15-17"/>
      <sheetName val="TRỤC_ĐỨNG_TM_T15-17"/>
      <sheetName val="AG_Pipe_Qty_Analysis"/>
      <sheetName val="Dự_thầu"/>
      <sheetName val="Nhap_VT_oto"/>
      <sheetName val="đọc_số"/>
      <sheetName val="CP_HMC"/>
      <sheetName val="2_1Warehouse_1"/>
      <sheetName val="Data_Wall"/>
      <sheetName val="Hao_phí"/>
      <sheetName val="THEP_TAM"/>
      <sheetName val="THEP_HÌNH"/>
      <sheetName val="THEP_HINH"/>
      <sheetName val="XA_GO"/>
      <sheetName val="BANG_TRA"/>
      <sheetName val="Assumptions"/>
      <sheetName val="Chi_tiet_cong_no"/>
      <sheetName val="PHÁT_SINH_TẦNG_1_"/>
      <sheetName val="PHÁT_SINH_TẦNG_2"/>
      <sheetName val="Hầm_chuyển_psinh"/>
      <sheetName val="Ống_thẳng"/>
      <sheetName val="Côn_thu"/>
      <sheetName val="Vuông_tròn"/>
      <sheetName val="Chân_rẽ"/>
      <sheetName val="Chạc_ba"/>
      <sheetName val="Structure_data"/>
      <sheetName val="CP_Du_phong"/>
      <sheetName val="THCP_Lap_dat"/>
      <sheetName val="THCP_xay_dung"/>
      <sheetName val="Tong_hop_kinh_phi"/>
      <sheetName val="HỆ_THỐNG_PHÒNG_CHÁY_CHỮA_CHÁY"/>
      <sheetName val="HỆ_THỐNG_CẤP_THOÁT_NƯỚC"/>
      <sheetName val="HỆ_THỐNG_ĐHKK"/>
      <sheetName val="MÁY_PHÁT_ĐIỆN"/>
      <sheetName val="HỆ_THỐNG_ĐIỆN"/>
      <sheetName val="Thiết_bị_chính"/>
      <sheetName val="CHI_PHI"/>
      <sheetName val="Main_Bldg-Rev02"/>
      <sheetName val="D&amp;W_def_"/>
      <sheetName val="Nhan_cong"/>
      <sheetName val="Thiet_bi"/>
      <sheetName val="Vat_tu"/>
      <sheetName val="DM_ChiPhi"/>
      <sheetName val="May_TC"/>
      <sheetName val="TH_Kinh_phi"/>
      <sheetName val="Ptvl_"/>
      <sheetName val="Móng,_nền_"/>
      <sheetName val="1_Requisition(E)"/>
      <sheetName val="TONG_HOP"/>
      <sheetName val="Tổng_GT"/>
      <sheetName val="Chi_tiết_KL"/>
      <sheetName val="ca_máy"/>
      <sheetName val="khấu_trừ_phạt"/>
      <sheetName val="GT__KHAU_TRU"/>
      <sheetName val="HAO_HUT_VAT_TU_(2)"/>
      <sheetName val="cao_độ"/>
      <sheetName val="Dự_toán"/>
      <sheetName val="Đơn_Giá_TH"/>
      <sheetName val="Nhân_công"/>
      <sheetName val="Phân_tích"/>
      <sheetName val="C_P_Thiết_bị"/>
      <sheetName val="T_H_Kinh_phí"/>
      <sheetName val="Vật_tư"/>
      <sheetName val="Trang_bìa"/>
      <sheetName val="phan_tic_chi_tiet"/>
      <sheetName val="DM-VNT ko sd"/>
      <sheetName val="DuToan"/>
      <sheetName val="Bill Prelim-CDT"/>
      <sheetName val="Prelims"/>
      <sheetName val="Bill BPTC-CDT"/>
      <sheetName val="Chi tiết BPTC"/>
      <sheetName val="Bill BPTC-CDT (PA MCT CDT)"/>
      <sheetName val="Chi tiết BPTC (PA MCT CDT)"/>
      <sheetName val="125x125"/>
      <sheetName val="Bảng đo bóc KL OLK-09"/>
      <sheetName val="6.3 CHI TIET OLK-09"/>
      <sheetName val="M1-XL-1c"/>
      <sheetName val="THKL"/>
      <sheetName val="T2-3"/>
      <sheetName val="Cotthep.NPT"/>
      <sheetName val="vl.nc.mtc"/>
      <sheetName val="INF"/>
      <sheetName val="MTO REV.2(ARMOR)"/>
      <sheetName val="ReadFirst"/>
      <sheetName val="TOSHIBA-Structure"/>
      <sheetName val="DANH MỤC HỒ SƠ"/>
      <sheetName val="GT PHÁT SINH NGOÀI HĐ"/>
      <sheetName val="KL PHÁT SINH "/>
      <sheetName val="PS NGOÀI HĐ"/>
      <sheetName val="GT PHÁT SINH VƯỢT HĐ"/>
      <sheetName val="PS TĂNG GIẢM TRONG HĐ"/>
      <sheetName val="DGCT PHÁT SINH"/>
      <sheetName val="DGCT TRẦN NLV"/>
      <sheetName val="DGKL chi tiết NLV"/>
      <sheetName val="DGKL chi tiết NHN,NK"/>
      <sheetName val="TG KL"/>
      <sheetName val="DGCT SƠN BẢ TƯỜNG NLV"/>
      <sheetName val="DGKL TRẦN NHN"/>
      <sheetName val="A6"/>
      <sheetName val="Steel"/>
      <sheetName val="Order"/>
      <sheetName val="음료실행"/>
      <sheetName val="내역서을지"/>
      <sheetName val="KL thep lam sat"/>
      <sheetName val="Data-year2001i"/>
      <sheetName val="Tien Thuong"/>
      <sheetName val="NC XL 6T cuoi 01 CTy"/>
      <sheetName val="Data -6T dau"/>
      <sheetName val="Cong 6T"/>
      <sheetName val="날개벽수량표"/>
      <sheetName val="KHOI LUONG15-4"/>
      <sheetName val="HS"/>
      <sheetName val="TLG Type"/>
      <sheetName val="Trichluc"/>
      <sheetName val="dodat"/>
      <sheetName val="Dieutra"/>
      <sheetName val="catdoc"/>
      <sheetName val="diahinh"/>
      <sheetName val="Thop Ksat"/>
      <sheetName val="bia"/>
      <sheetName val="Thu hoi "/>
      <sheetName val="tongkphi"/>
      <sheetName val="HM chung"/>
      <sheetName val="CP xd-thiet bi"/>
      <sheetName val="TH-TN LD TB"/>
      <sheetName val="CP xaydung"/>
      <sheetName val="Thao ha phu kien"/>
      <sheetName val="VL-NC-MTC ket cau"/>
      <sheetName val="CTKETCAU"/>
      <sheetName val="KHOI LUONG TONG"/>
      <sheetName val="TK 22KV"/>
      <sheetName val="TK0,4KV"/>
      <sheetName val="6061"/>
      <sheetName val="6060"/>
      <sheetName val="DM 366-1777"/>
      <sheetName val="Thi nhiem"/>
      <sheetName val="Gia goc VT-TB"/>
      <sheetName val="Gia_BTong"/>
      <sheetName val="Gia vc den chan CT"/>
      <sheetName val="culy 22"/>
      <sheetName val="Daomong"/>
      <sheetName val="Luong 2050"/>
      <sheetName val="ca may QN"/>
      <sheetName val="TNHC1246 "/>
      <sheetName val="Ca may TT06.2010"/>
      <sheetName val="Don gia VLXD dia phuong"/>
      <sheetName val="Bang luong SCL"/>
      <sheetName val="Dinhmuc366"/>
      <sheetName val="Dinh muc TN1426"/>
      <sheetName val="DongiaCamay"/>
      <sheetName val="Tong hop vat tu"/>
      <sheetName val="1.San "/>
      <sheetName val="Dot 4"/>
      <sheetName val="DLDT"/>
      <sheetName val="Dgia vat tu"/>
      <sheetName val="Don gia_III"/>
      <sheetName val="D÷ liÖu"/>
      <sheetName val="XLR_NoRangeSheet"/>
      <sheetName val="工艺分类库"/>
      <sheetName val="Chi phi van chuyen"/>
      <sheetName val="Pric塅䕃"/>
      <sheetName val="Method_BouyancyFactor"/>
      <sheetName val="Method_PressureArea"/>
      <sheetName val="InputData"/>
      <sheetName val="B-2  (DPP)"/>
      <sheetName val="Q.A01.2-Sh"/>
      <sheetName val="cuocbd"/>
      <sheetName val="CUOC"/>
      <sheetName val="#REF!"/>
      <sheetName val="dgtn"/>
      <sheetName val="DM_336cai tao"/>
      <sheetName val="TH các CC"/>
      <sheetName val="2.CDPS"/>
      <sheetName val="Calculation"/>
      <sheetName val="4 CĂN"/>
      <sheetName val="HRG BHN"/>
      <sheetName val="CĂN ĐH"/>
      <sheetName val="DMSC"/>
      <sheetName val="Heso DZ"/>
      <sheetName val="DGiaDZ"/>
      <sheetName val="gtrinh"/>
      <sheetName val="A6,MAY"/>
      <sheetName val="DG_BINH THUAN"/>
      <sheetName val="7.Khau tru "/>
      <sheetName val="gui_BKCT"/>
      <sheetName val="DG_1426"/>
      <sheetName val="1_2_Staff_Schedule"/>
      <sheetName val="BẢNG_ÁP_GIÁ_(in)"/>
      <sheetName val="NT_(KL)_IN"/>
      <sheetName val="DOM_D2"/>
      <sheetName val="nhà_ăn"/>
      <sheetName val="Công_nhật"/>
      <sheetName val="btkt_cột"/>
      <sheetName val="Chi_tiet_-tong_9_thang"/>
      <sheetName val="Don_gia_chi_tiet_DIEN_2"/>
      <sheetName val="0__Input"/>
      <sheetName val="Tong_hop_vat_tu"/>
      <sheetName val="Theo_doi_Doanh_thu_2017"/>
      <sheetName val="Gia_vat_lieu"/>
      <sheetName val="So_lieu_chung"/>
      <sheetName val="Precios_unitarios_AXH"/>
      <sheetName val="3__CNT"/>
      <sheetName val="unit_price_list(M)"/>
      <sheetName val="TH_VL,_NC,_DDHT_Thanhphuoc"/>
      <sheetName val="Danh mục"/>
      <sheetName val="Div26 - Elect"/>
      <sheetName val="Don gia NC"/>
      <sheetName val="DT hợp đồng"/>
      <sheetName val="Bảng KL đợt 1"/>
      <sheetName val="Financ. Overview"/>
      <sheetName val="Toolbox"/>
      <sheetName val="Duthau"/>
      <sheetName val="PU_ITALY_8"/>
      <sheetName val="RAB_AR&amp;STR6"/>
      <sheetName val="chi_tiet_TBA6"/>
      <sheetName val="chi_tiet_C6"/>
      <sheetName val="Tro_giup8"/>
      <sheetName val="TH_DZ358"/>
      <sheetName val="Customize_Your_Purchase_Order6"/>
      <sheetName val="CHITIET_VL-NC-TT_-1p6"/>
      <sheetName val="CHITIET_VL-NC-TT-3p5"/>
      <sheetName val="TONG_HOP_VL-NC_TT6"/>
      <sheetName val="KPVC-BD_6"/>
      <sheetName val="Don_gia6"/>
      <sheetName val="DON_GIA_CAN_THO8"/>
      <sheetName val="DON_GIA_TRAM_(3)6"/>
      <sheetName val="HĐ_ngoài5"/>
      <sheetName val="XT_Buoc_35"/>
      <sheetName val="dongia_(2)5"/>
      <sheetName val="Don_gia_chi_tiet6"/>
      <sheetName val="7606_DZ6"/>
      <sheetName val="project_management5"/>
      <sheetName val="Adix_A5"/>
      <sheetName val="S-curve_5"/>
      <sheetName val="REINF_5"/>
      <sheetName val="Rates_20095"/>
      <sheetName val="So_doi_chieu_LC5"/>
      <sheetName val="MAIN_GATE_HOUSE5"/>
      <sheetName val="Du_toan5"/>
      <sheetName val="Commercial_value5"/>
      <sheetName val="Ky_Lam_Bridge5"/>
      <sheetName val="Provisional_Sums_Item5"/>
      <sheetName val="Gas_Pressure_Welding5"/>
      <sheetName val="General_Item&amp;General_Requireme5"/>
      <sheetName val="General_Items5"/>
      <sheetName val="Regenral_Requirements5"/>
      <sheetName val="TONG_HOP_VL-NC5"/>
      <sheetName val="MH_RATE5"/>
      <sheetName val="Ng_hàng_xà+bulong5"/>
      <sheetName val="chiet_tinh5"/>
      <sheetName val="Bang_KL5"/>
      <sheetName val="Đầu_vào4"/>
      <sheetName val="Equip_4"/>
      <sheetName val="A1_CN4"/>
      <sheetName val="DG_thep_ma_kem5"/>
      <sheetName val="Lcau_-_Lxuc5"/>
      <sheetName val="DM_60615"/>
      <sheetName val="CT_vat_lieu5"/>
      <sheetName val="Trạm_biến_áp4"/>
      <sheetName val="Đơn_Giá_4"/>
      <sheetName val="Chenh_lech_vat_tu4"/>
      <sheetName val="Diện_tích4"/>
      <sheetName val="1_Khái_toán4"/>
      <sheetName val="TONG_HOP_T5_19984"/>
      <sheetName val="Chi_tiet_XD_TBA4"/>
      <sheetName val="DG_DZ5"/>
      <sheetName val="DG_TBA5"/>
      <sheetName val="rate_material4"/>
      <sheetName val="CT-0_4KV4"/>
      <sheetName val="KL_Chi_tiết_Xây_tô4"/>
      <sheetName val="Bill_1_Quy_dinh_chung4"/>
      <sheetName val="1_R18_BF4"/>
      <sheetName val="6_External_works-R184"/>
      <sheetName val="Phan_khai_KLuong4"/>
      <sheetName val="Data_Input5"/>
      <sheetName val="Project_Data4"/>
      <sheetName val="07Base_Cost4"/>
      <sheetName val="Chi_tiet_KL4"/>
      <sheetName val="Tổng_hợp_KL4"/>
      <sheetName val="Measure_13064"/>
      <sheetName val="Area_Cal4"/>
      <sheetName val="04_-_XUONG_DET_B4"/>
      <sheetName val="dg_tphcm4"/>
      <sheetName val="_034"/>
      <sheetName val="chieu_day_san4"/>
      <sheetName val="Podium_Concrete_Works4"/>
      <sheetName val="KLCT-_TOWER4"/>
      <sheetName val="KLCT-_PODIUM4"/>
      <sheetName val="Gia_thanh_chuoi_su4"/>
      <sheetName val="Tiep_dia4"/>
      <sheetName val="Don_gia_vung_III-Can_Tho4"/>
      <sheetName val="Loại_Vật_tư4"/>
      <sheetName val="Elect_(3)4"/>
      <sheetName val="plan&amp;section_of_foundation4"/>
      <sheetName val="design_criteria4"/>
      <sheetName val="Bond_수수료_계산_포맷4"/>
      <sheetName val="ITB_COST4"/>
      <sheetName val="PAGE_14"/>
      <sheetName val="DM_674"/>
      <sheetName val="Đầu_tư4"/>
      <sheetName val="T_KÊ_K_CẤU4"/>
      <sheetName val="4_PTDG4"/>
      <sheetName val="A1,_May4"/>
      <sheetName val="Vat_lieu4"/>
      <sheetName val="ESTI_4"/>
      <sheetName val="EIRR&gt;_24"/>
      <sheetName val="KL_san_lap4"/>
      <sheetName val="Bill_01_-_CTN4"/>
      <sheetName val="Bill_2_2_Villa_2_beds4"/>
      <sheetName val="6787CWFASE2CASE2_00_xls4"/>
      <sheetName val="Xay_lapduongR34"/>
      <sheetName val="Bill_02_-_Xay_gach-Pou_4"/>
      <sheetName val="Bill_03-Chống_thấm-Pou4"/>
      <sheetName val="Bill_04-Kim_loại-Pou4"/>
      <sheetName val="Bill_05_-_Hoan_thien-Pou_4"/>
      <sheetName val="Bill_02_-_Xay_gach-Tower4"/>
      <sheetName val="Bill_03-Chống_thấm-Tower4"/>
      <sheetName val="Bill_04-Kim_loại-Tower4"/>
      <sheetName val="Bill_05_-_Hoan_thien-Tower4"/>
      <sheetName val="KL-_KHAC4"/>
      <sheetName val="BILL_3_-_KẾT_CẤU_HẦM4"/>
      <sheetName val="PTĐG_LTBT4"/>
      <sheetName val="CTG-PRECHEx1_44"/>
      <sheetName val="CTG-AB_(2)4"/>
      <sheetName val="CTG-AB_(3)4"/>
      <sheetName val="CTG-PLP-1_084"/>
      <sheetName val="Pre_Đội_nhóm4"/>
      <sheetName val="Vat_tu_XD4"/>
      <sheetName val="Tower_-_Concrete_Works4"/>
      <sheetName val="Bill-04_ket_cau_thap-_UNI4"/>
      <sheetName val="TH_Vat_tu4"/>
      <sheetName val="gia_cong_tac4"/>
      <sheetName val="_Bill_5-Earthing_2_-_Add_Works4"/>
      <sheetName val="Analisa_Gabungan4"/>
      <sheetName val="GV1-D13_(Casement_door)4"/>
      <sheetName val="Isolasi_Luar_Dalam4"/>
      <sheetName val="Isolasi_Luar4"/>
      <sheetName val="HÐ_ngoài5"/>
      <sheetName val="6PILE__(돌출)4"/>
      <sheetName val="TH_N_Cong4"/>
      <sheetName val="Bang_trong_luong_rieng_thep4"/>
      <sheetName val="Harga_ME_4"/>
      <sheetName val="Cước_VC_+_ĐM_CP_Tư_vấn4"/>
      <sheetName val="Hệ_số4"/>
      <sheetName val="DATA_BASE4"/>
      <sheetName val="Equipment_list_(PAC)4"/>
      <sheetName val="DETAIL_4"/>
      <sheetName val="TH_MTC4"/>
      <sheetName val="CẤP_THOÁT_NƯỚC4"/>
      <sheetName val="THDT_goi_thau_TB4"/>
      <sheetName val="Tien_do_TV4"/>
      <sheetName val="final_list_20055"/>
      <sheetName val="LV_data4"/>
      <sheetName val="Gia_vat_tu4"/>
      <sheetName val="TINH_KHOI_LUONG4"/>
      <sheetName val="Chenh_lech_ca_may4"/>
      <sheetName val="TLg_CN&amp;Laixe4"/>
      <sheetName val="TLg_CN&amp;Laixe_(2)4"/>
      <sheetName val="TLg_Laitau4"/>
      <sheetName val="TLg_Laitau_(2)4"/>
      <sheetName val="bridge_#_14"/>
      <sheetName val="Buy_vs__Lease_Car4"/>
      <sheetName val="CP_Khac_cuoc_VC3"/>
      <sheetName val="PRE_(E)4"/>
      <sheetName val="subcon_sched4"/>
      <sheetName val="Budget_Code3"/>
      <sheetName val="Chi_tiet4"/>
      <sheetName val="Bang_3_Chi_tiet_phan_Dz4"/>
      <sheetName val="KHOI_LUONG4"/>
      <sheetName val="HVAC_BLOCK_B44"/>
      <sheetName val="BẢNG_KHỐI_LƯỢNG_TỔNG_HỢP3"/>
      <sheetName val="CTKL_KTX_HT3"/>
      <sheetName val="2_Chiet_tinh3"/>
      <sheetName val="Tong_du_toan3"/>
      <sheetName val="Bill_2_-_ketcau3"/>
      <sheetName val="NHÀ_NHẬP_LIỆU3"/>
      <sheetName val="MÓNG_SILO3"/>
      <sheetName val="Chi_tiet_lan_can3"/>
      <sheetName val="Analisa_&amp;_Upah3"/>
      <sheetName val="Purchase_Order3"/>
      <sheetName val="13-Cốt_thép_(10mm&lt;D≤18mm)_FO163"/>
      <sheetName val="du_lieu_du_toan3"/>
      <sheetName val="DL_ĐẦU_VÀO3"/>
      <sheetName val="BOQ_THAN3"/>
      <sheetName val="D_&amp;_W_sizes3"/>
      <sheetName val="Du_lieu4"/>
      <sheetName val="cash_budget3"/>
      <sheetName val="Luong_NII3"/>
      <sheetName val="DINH_MUC_THI_NGHIEM3"/>
      <sheetName val="Luong_NI3"/>
      <sheetName val="Phan_tich3"/>
      <sheetName val="CT_Thang_Mo3"/>
      <sheetName val="CT__PL3"/>
      <sheetName val="dongia__2_3"/>
      <sheetName val="Thép_CKN3"/>
      <sheetName val="GOC-KO_IN3"/>
      <sheetName val="MAU_8A3"/>
      <sheetName val="MAU_8B3"/>
      <sheetName val="MAU_93"/>
      <sheetName val="MAU_103"/>
      <sheetName val="sochitiettaikhoan_3"/>
      <sheetName val="Share_price_data3"/>
      <sheetName val="19_33"/>
      <sheetName val="20_33"/>
      <sheetName val="Chieu_4_33"/>
      <sheetName val="Cow_req3"/>
      <sheetName val="TỔNG_HỢP3"/>
      <sheetName val="14-LẦN_3-CHIỀU3"/>
      <sheetName val="14-LẦN_1-SÁNG3"/>
      <sheetName val="14-LẦN_2-TRƯA3"/>
      <sheetName val="1_3+1_4-TOTAL_-_Ko_IN3"/>
      <sheetName val="2_1-LẦN_3-CHIỀU3"/>
      <sheetName val="2_1-LẦN_1-SÁNG3"/>
      <sheetName val="2_1-LẦN_2-TRƯA3"/>
      <sheetName val="2_1-TOTAL-Ko_IN3"/>
      <sheetName val="1_3(TMR_4)3"/>
      <sheetName val="CHO_DE3"/>
      <sheetName val="1_1+1_2+2_2+2_3(TMR_3)3"/>
      <sheetName val="CK1+CK2_(VS_SAN_CHOI_23)3"/>
      <sheetName val="CK1+CK2_(2)3"/>
      <sheetName val="12-16_THÁNG3"/>
      <sheetName val="CAN_SỮA3"/>
      <sheetName val="54+55+56(SAU_CAI_SỮA-6)3"/>
      <sheetName val="BÊ_71-90_NGÀY3"/>
      <sheetName val="BÊ_12-16_tháng3"/>
      <sheetName val="BÊ_6-123"/>
      <sheetName val="BÊ_1-33"/>
      <sheetName val="F01-BC_KHAU_PHAN_SANG_20_33"/>
      <sheetName val="F01-BC_KHAU_PHAN_CHIEU_19_33"/>
      <sheetName val="dinh_mưc_cty3"/>
      <sheetName val="Giá_thành3"/>
      <sheetName val="Thong_ke3"/>
      <sheetName val="Energy_for_milk_prod3"/>
      <sheetName val="DE_NGHI_XUAT_3"/>
      <sheetName val="phieu_xuat_mau3"/>
      <sheetName val="PHIEU_XUAT_CHIEU3"/>
      <sheetName val="11_rai_them_cỏ3"/>
      <sheetName val="PHU_LUC_02-_HDSD_CAC_BIEU_MAU3"/>
      <sheetName val="PhU_LUC_01-_MA_CAC_NHOM_BO3"/>
      <sheetName val="F03-BC_THUC_TRON_SANG_20_33"/>
      <sheetName val="F03-BC_THUC_TRON_CHIEU_19_33"/>
      <sheetName val="F02-BC_THEO_DOI_THUC_AN_DU3"/>
      <sheetName val="Tham_khao-_Bao_cao_xuat_thuc_a3"/>
      <sheetName val="Don_gia_(khong_in)3"/>
      <sheetName val="Dlieu_dau_vao3"/>
      <sheetName val="DK1_Don_gia3"/>
      <sheetName val="1_MONG_1-23"/>
      <sheetName val="BANCO_(2)3"/>
      <sheetName val="MT_DPin_(2)3"/>
      <sheetName val="02__PTDG3"/>
      <sheetName val="Chiết_tính3"/>
      <sheetName val="TK_chi_tiet1"/>
      <sheetName val="Income_Statement3"/>
      <sheetName val="Shareholders'_Equity3"/>
      <sheetName val="VC_xd1"/>
      <sheetName val="Gia_VLTB1"/>
      <sheetName val="B_Luong1"/>
      <sheetName val="C_May1"/>
      <sheetName val="TB_NẶNG1"/>
      <sheetName val="Du_tru_CP-Bieu_011"/>
      <sheetName val="dm_3661"/>
      <sheetName val="DM_60601"/>
      <sheetName val="Dự_thầu1"/>
      <sheetName val="Nhap_VT_oto1"/>
      <sheetName val="wk_prgs1"/>
      <sheetName val="Ma_don_vi1"/>
      <sheetName val="bang_cc1"/>
      <sheetName val="Bill_No_3_-_Prov__Sum_(Ph2&amp;3)1"/>
      <sheetName val="TH_TN1"/>
      <sheetName val="Bill_2-Road_HR21"/>
      <sheetName val="Bill_3_-_Softscape_HR21"/>
      <sheetName val="Ｎｏ_131"/>
      <sheetName val="DGchitiet_1"/>
      <sheetName val="AG_Pipe_Qty_Analysis1"/>
      <sheetName val="Tổng_GT1"/>
      <sheetName val="Chi_tiết_KL1"/>
      <sheetName val="ca_máy1"/>
      <sheetName val="khấu_trừ_phạt1"/>
      <sheetName val="GT__KHAU_TRU1"/>
      <sheetName val="HAO_HUT_VAT_TU_(2)1"/>
      <sheetName val="cao_độ1"/>
      <sheetName val="đọc_số1"/>
      <sheetName val="HỆ_THỐNG_PHÒNG_CHÁY_CHỮA_CHÁY1"/>
      <sheetName val="HỆ_THỐNG_CẤP_THOÁT_NƯỚC1"/>
      <sheetName val="HỆ_THỐNG_ĐHKK1"/>
      <sheetName val="MÁY_PHÁT_ĐIỆN1"/>
      <sheetName val="HỆ_THỐNG_ĐIỆN1"/>
      <sheetName val="Thiết_bị_chính1"/>
      <sheetName val="CP_HMC1"/>
      <sheetName val="2_1Warehouse_11"/>
      <sheetName val="Data_Wall1"/>
      <sheetName val="Hao_phí1"/>
      <sheetName val="THEP_TAM1"/>
      <sheetName val="THEP_HÌNH1"/>
      <sheetName val="THEP_HINH1"/>
      <sheetName val="XA_GO1"/>
      <sheetName val="BANG_TRA1"/>
      <sheetName val="CĂN_HỘ_T16-17_1"/>
      <sheetName val="TRỤC_ĐỨNG_THOÁT_BẨN_T15-171"/>
      <sheetName val="TRỤC_ĐỨNG_TM_T15-171"/>
      <sheetName val="Structure_data1"/>
      <sheetName val="Chi_tiet_cong_no1"/>
      <sheetName val="PHÁT_SINH_TẦNG_1_1"/>
      <sheetName val="PHÁT_SINH_TẦNG_21"/>
      <sheetName val="Hầm_chuyển_psinh1"/>
      <sheetName val="Ống_thẳng1"/>
      <sheetName val="Côn_thu1"/>
      <sheetName val="Vuông_tròn1"/>
      <sheetName val="Chân_rẽ1"/>
      <sheetName val="Chạc_ba1"/>
      <sheetName val="CP_Du_phong1"/>
      <sheetName val="THCP_Lap_dat1"/>
      <sheetName val="THCP_xay_dung1"/>
      <sheetName val="Tong_hop_kinh_phi1"/>
      <sheetName val="CHI_PHI1"/>
      <sheetName val="1_Requisition(E)1"/>
      <sheetName val="Móng,_nền_1"/>
      <sheetName val="Main_Bldg-Rev021"/>
      <sheetName val="D&amp;W_def_1"/>
      <sheetName val="Nhan_cong1"/>
      <sheetName val="Thiet_bi1"/>
      <sheetName val="Vat_tu1"/>
      <sheetName val="DM_ChiPhi1"/>
      <sheetName val="May_TC1"/>
      <sheetName val="TH_Kinh_phi1"/>
      <sheetName val="Ptvl_1"/>
      <sheetName val="Dự_toán1"/>
      <sheetName val="Đơn_Giá_TH1"/>
      <sheetName val="Nhân_công1"/>
      <sheetName val="Phân_tích1"/>
      <sheetName val="C_P_Thiết_bị1"/>
      <sheetName val="T_H_Kinh_phí1"/>
      <sheetName val="Vật_tư1"/>
      <sheetName val="Trang_bìa1"/>
      <sheetName val="TONG_HOP1"/>
      <sheetName val="phan_tic_chi_tiet1"/>
      <sheetName val="Bill_Prelim-CDT"/>
      <sheetName val="Bill_BPTC-CDT"/>
      <sheetName val="Chi_tiết_BPTC"/>
      <sheetName val="Bill_BPTC-CDT_(PA_MCT_CDT)"/>
      <sheetName val="Chi_tiết_BPTC_(PA_MCT_CDT)"/>
      <sheetName val="1__Office"/>
      <sheetName val="KHOI_LUONG15-4"/>
      <sheetName val="Doi_so"/>
      <sheetName val="DANH_MỤC_HỒ_SƠ"/>
      <sheetName val="GT_PHÁT_SINH_NGOÀI_HĐ"/>
      <sheetName val="KL_PHÁT_SINH_"/>
      <sheetName val="PS_NGOÀI_HĐ"/>
      <sheetName val="GT_PHÁT_SINH_VƯỢT_HĐ"/>
      <sheetName val="PS_TĂNG_GIẢM_TRONG_HĐ"/>
      <sheetName val="DGCT_PHÁT_SINH"/>
      <sheetName val="DGCT_TRẦN_NLV"/>
      <sheetName val="DGKL_chi_tiết_NLV"/>
      <sheetName val="DGKL_chi_tiết_NHN,NK"/>
      <sheetName val="TG_KL"/>
      <sheetName val="DGCT_SƠN_BẢ_TƯỜNG_NLV"/>
      <sheetName val="DGKL_TRẦN_NHN"/>
      <sheetName val="MTO_REV_2(ARMOR)"/>
      <sheetName val="KL_THEP__GIAM_DO_DUNG_COUPLER"/>
      <sheetName val="01_KL_THÉP_NHẬP_VỀ"/>
      <sheetName val="2__NT_VLDV"/>
      <sheetName val="GHI_CHU"/>
      <sheetName val="1_BB_LMHT"/>
      <sheetName val="Bê_tông_bảo_vệ"/>
      <sheetName val="01__Data"/>
      <sheetName val="Neo,_nối_cốt_thép_dầm,_cột"/>
      <sheetName val="Uốn_móc_cốt_thép"/>
      <sheetName val="Tiêu_chuẩn_cốt_thép"/>
      <sheetName val="Cotthep_NPT"/>
      <sheetName val="vl_nc_mtc"/>
      <sheetName val="DM-VNT_ko_sd"/>
      <sheetName val="Bảng_đo_bóc_KL_OLK-09"/>
      <sheetName val="6_3_CHI_TIET_OLK-09"/>
      <sheetName val="B3A_-_TOWER_A"/>
      <sheetName val="Annex_B"/>
      <sheetName val="TLG_Type"/>
      <sheetName val="1_Civil_(Org)"/>
      <sheetName val="Dot_4"/>
      <sheetName val="1_San_"/>
      <sheetName val="Thop_Ksat"/>
      <sheetName val="Thu_hoi_"/>
      <sheetName val="HM_chung"/>
      <sheetName val="CP_xd-thiet_bi"/>
      <sheetName val="TH-TN_LD_TB"/>
      <sheetName val="CP_xaydung"/>
      <sheetName val="Thao_ha_phu_kien"/>
      <sheetName val="VL-NC-MTC_ket_cau"/>
      <sheetName val="KHOI_LUONG_TONG"/>
      <sheetName val="TK_22KV"/>
      <sheetName val="DM_366-1777"/>
      <sheetName val="Thi_nhiem"/>
      <sheetName val="Gia_goc_VT-TB"/>
      <sheetName val="Gia_vc_den_chan_CT"/>
      <sheetName val="culy_22"/>
      <sheetName val="Luong_2050"/>
      <sheetName val="ca_may_QN"/>
      <sheetName val="TNHC1246_"/>
      <sheetName val="Ca_may_TT06_2010"/>
      <sheetName val="Don_gia_VLXD_dia_phuong"/>
      <sheetName val="Bang_luong_SCL"/>
      <sheetName val="Dinh_muc_TN1426"/>
      <sheetName val="KL_thep_lam_sat"/>
      <sheetName val="Tien_Thuong"/>
      <sheetName val="NC_XL_6T_cuoi_01_CTy"/>
      <sheetName val="Data_-6T_dau"/>
      <sheetName val="Cong_6T"/>
      <sheetName val="Dgia_vat_tu"/>
      <sheetName val="Don_gia_III"/>
      <sheetName val="D÷_liÖu"/>
      <sheetName val="Chi_phi_van_chuyen"/>
      <sheetName val="Div26_-_Elect"/>
      <sheetName val="DGIAgoi1"/>
      <sheetName val="개산공사비"/>
      <sheetName val="Gld"/>
      <sheetName val="Gxd"/>
      <sheetName val="Summary Sheet"/>
      <sheetName val="Progress"/>
      <sheetName val="C&amp;S-sum"/>
      <sheetName val="Archi-sum"/>
      <sheetName val="MEP-sum"/>
      <sheetName val="Finishing-Tower A"/>
      <sheetName val="Finishing-Tower B"/>
      <sheetName val="Finishing-Tower C"/>
      <sheetName val="Finishing-Tower D"/>
      <sheetName val="PODIUM"/>
      <sheetName val="MEP-Tower A"/>
      <sheetName val="MEP-Tower B"/>
      <sheetName val="MEP-Tower C"/>
      <sheetName val="MEP-Tower D"/>
      <sheetName val="MEP-Podium"/>
      <sheetName val="Cost Report Sum"/>
      <sheetName val="Detail Cost Sum"/>
      <sheetName val="RVO-VO Sum"/>
      <sheetName val="Potential VOs Sum"/>
      <sheetName val="Cash Flow Sum"/>
      <sheetName val="Dây"/>
      <sheetName val="Nuoc5T"/>
      <sheetName val="Dien5T"/>
      <sheetName val="CAP NUOC"/>
      <sheetName val="cấp nước trục nhà vs"/>
      <sheetName val="THOAT NUOC"/>
      <sheetName val="TB"/>
      <sheetName val="THOAT MUA"/>
      <sheetName val="Cáp phòng"/>
      <sheetName val="TMC ĐIỆN_Phi"/>
      <sheetName val="TMC Tổng"/>
      <sheetName val="TH Đèn Phòng L1"/>
      <sheetName val="TH Đèn Hầm L1"/>
      <sheetName val="TỦ MODULE T1"/>
      <sheetName val="APTOMAT"/>
      <sheetName val="Inputs_Sens"/>
      <sheetName val="IS_Sum_CM"/>
      <sheetName val="gia vt,nc,may"/>
      <sheetName val="TINH GIA - SAN XUAT Vertico"/>
      <sheetName val="BT3"/>
      <sheetName val="Huong dan"/>
      <sheetName val="Bieu gia HD"/>
      <sheetName val="PNT_QUOT__3"/>
      <sheetName val="COAT_WRAP_QIOT__3"/>
      <sheetName val="13.BANG CT"/>
      <sheetName val="14.MMUS GIUA NHIP"/>
      <sheetName val="4.HSPBngang"/>
      <sheetName val="6.Tinh tai"/>
      <sheetName val="2 NSl"/>
      <sheetName val="17.US CHU tho a_b"/>
      <sheetName val="15.MMUS GOI"/>
      <sheetName val="Door_and_window2"/>
      <sheetName val="TH_các_CC"/>
      <sheetName val="Heso_DZ"/>
      <sheetName val="DM_336cai_tao"/>
      <sheetName val="DG_BINH_THUAN"/>
      <sheetName val="7_Khau_tru_"/>
      <sheetName val="4_CĂN"/>
      <sheetName val="2_CDPS"/>
      <sheetName val="HRG_BHN"/>
      <sheetName val="CĂN_ĐH"/>
      <sheetName val="Q_A01_2-Sh"/>
      <sheetName val="B-2__(DPP)"/>
      <sheetName val="Don_gia_NC"/>
      <sheetName val="Dinh muc"/>
      <sheetName val="TDTKP"/>
      <sheetName val="DK-KH"/>
      <sheetName val="Kyhieuloptratsonba"/>
      <sheetName val="COVER"/>
      <sheetName val="BTK-Dai Hoc Kien Giang"/>
      <sheetName val="PV Graph Data"/>
      <sheetName val="GJ_06"/>
      <sheetName val="doanh thu"/>
      <sheetName val="Dutoan KL"/>
      <sheetName val="QUO"/>
      <sheetName val="DZ 22KV"/>
      <sheetName val="BANRA"/>
      <sheetName val="Kê 0,4"/>
      <sheetName val="TH 0,4"/>
      <sheetName val="Kê 22"/>
      <sheetName val="TH 22"/>
      <sheetName val="TBA CAI TAO"/>
      <sheetName val="TBA XDM"/>
      <sheetName val="V-N-M"/>
      <sheetName val="TONG HOP DU TOAN"/>
      <sheetName val="Thop XAY DUNG"/>
      <sheetName val="CP HANG MUC CHUNG"/>
      <sheetName val="THKS+TK"/>
      <sheetName val="CHI PHI XD"/>
      <sheetName val="CHI PHI THI NGHIEM"/>
      <sheetName val="DGVL"/>
      <sheetName val="VC"/>
      <sheetName val="VLDIEN 22"/>
      <sheetName val="Tinhvanchuyen"/>
      <sheetName val="Dao dat"/>
      <sheetName val="TH Denbu"/>
      <sheetName val="Denbu"/>
      <sheetName val="Do ve DC"/>
      <sheetName val="CMHLT"/>
      <sheetName val="TH Bommin"/>
      <sheetName val="Bommin"/>
      <sheetName val="CHI PHI THI NGHIEM-LD thiet bi"/>
      <sheetName val="VLXD"/>
      <sheetName val="Luong TT01"/>
      <sheetName val="NLĐV"/>
      <sheetName val="Đongia"/>
      <sheetName val="Camay QB"/>
      <sheetName val="gia ca may BXD"/>
      <sheetName val="BANG LUONG KY SU"/>
      <sheetName val="Bang luong NHOM I"/>
      <sheetName val="Bangluong NHOM II "/>
      <sheetName val="13-XE_MAY"/>
      <sheetName val="09-GIA nhien lieu-ko in"/>
      <sheetName val="Tinh V cot chiem cho"/>
      <sheetName val="ĐM 1354"/>
      <sheetName val="KHOAN MAU"/>
      <sheetName val="ĐO ĐỊA VẬT LÝ"/>
      <sheetName val="KSMB"/>
      <sheetName val="KSCD"/>
      <sheetName val="khoan tiep dia"/>
      <sheetName val="Tổng hợp KPHM"/>
      <sheetName val="Annual_CFs_Asset"/>
      <sheetName val="5.2.1 Đo bóc KL OLK-06"/>
      <sheetName val="Cong"/>
      <sheetName val="Classification"/>
      <sheetName val="DT"/>
      <sheetName val="Giathau"/>
      <sheetName val="KS tuyen"/>
      <sheetName val="THTL"/>
      <sheetName val="CP(dz)"/>
      <sheetName val="THCT"/>
      <sheetName val="Bang chiet tinh TBA"/>
      <sheetName val="PTVT"/>
      <sheetName val="GIÁ DỰ THẦU 30 CĂN"/>
      <sheetName val="datatt"/>
      <sheetName val="MB.DT.02"/>
      <sheetName val="01-&gt;12"/>
      <sheetName val="Article"/>
      <sheetName val="Hệ_qố2"/>
      <sheetName val="HERD MOVEMENTFARM1"/>
      <sheetName val="HERD MOVEMENTFARM2"/>
      <sheetName val="A2TNTH"/>
      <sheetName val="CALVES 2-4"/>
      <sheetName val="Cavles 2-4"/>
      <sheetName val="CALVES 4-7"/>
      <sheetName val="HEIFER 7-12m"/>
      <sheetName val="HEIFER 12+"/>
      <sheetName val="FRESH COW 2017-18"/>
      <sheetName val="HP COW 2018"/>
      <sheetName val="LP COW 2017-18"/>
      <sheetName val="DRY COW"/>
      <sheetName val="TRANSITION"/>
      <sheetName val="FIELD CROPS"/>
      <sheetName val="FORAGE"/>
      <sheetName val="영동(D)"/>
      <sheetName val="electrical"/>
      <sheetName val="So sanh"/>
      <sheetName val="DT. NHA XUONG"/>
      <sheetName val="DI_ESTI"/>
      <sheetName val="CTDZTA(5)"/>
      <sheetName val="THONG SO"/>
      <sheetName val="Đơn giá chi tiết TN 39"/>
      <sheetName val="ABUT수량-A1"/>
      <sheetName val="THKP957"/>
      <sheetName val="Tính giá NC"/>
      <sheetName val="Tiên lượng"/>
      <sheetName val="SL cước"/>
      <sheetName val="Items"/>
      <sheetName val="Detail"/>
      <sheetName val="¥ "/>
      <sheetName val="KLall"/>
      <sheetName val="HERD_MOVEMENTFARM1"/>
      <sheetName val="HERD_MOVEMENTFARM2"/>
      <sheetName val="CALVES_2-4"/>
      <sheetName val="Cavles_2-4"/>
      <sheetName val="CALVES_4-7"/>
      <sheetName val="HEIFER_7-12m"/>
      <sheetName val="HEIFER_12+"/>
      <sheetName val="FRESH_COW_2017-18"/>
      <sheetName val="HP_COW_2018"/>
      <sheetName val="LP_COW_2017-18"/>
      <sheetName val="DRY_COW"/>
      <sheetName val="FIELD_CROPS"/>
      <sheetName val="HERD_MOVEMENTFARM11"/>
      <sheetName val="HERD_MOVEMENTFARM21"/>
      <sheetName val="CALVES_2-41"/>
      <sheetName val="Cavles_2-41"/>
      <sheetName val="CALVES_4-71"/>
      <sheetName val="HEIFER_7-12m1"/>
      <sheetName val="HEIFER_12+1"/>
      <sheetName val="FRESH_COW_2017-181"/>
      <sheetName val="HP_COW_20181"/>
      <sheetName val="LP_COW_2017-181"/>
      <sheetName val="DRY_COW1"/>
      <sheetName val="FIELD_CROPS1"/>
      <sheetName val="SUMDETAIL"/>
      <sheetName val="Factory"/>
      <sheetName val="Matchung"/>
      <sheetName val="BU LONG"/>
      <sheetName val="ĐNVT"/>
      <sheetName val="ĐNBL"/>
      <sheetName val="CTLK"/>
      <sheetName val="EQUIP LIST"/>
      <sheetName val="DG Chi tiet"/>
      <sheetName val=" 1710 HOINGHINLD"/>
      <sheetName val="99"/>
      <sheetName val="99 (2)"/>
      <sheetName val="134 "/>
      <sheetName val="DG-1776KV4"/>
      <sheetName val="DG 4970"/>
      <sheetName val="DM-1776"/>
      <sheetName val="Electrical Works"/>
      <sheetName val="H_T_ INCOMING SYSTEM"/>
      <sheetName val="Painting"/>
      <sheetName val="4.2.1 Đo bóc KL OLK-06"/>
      <sheetName val="4.1.1 CHI TIET OLK-06"/>
      <sheetName val="CAUDIT"/>
      <sheetName val="Gia VT-TB"/>
      <sheetName val="noi suy xa"/>
      <sheetName val="noi suy xa thu hoi"/>
      <sheetName val="Thuyết minh"/>
      <sheetName val="Đơn giá máy"/>
      <sheetName val="PU_ITALY_9"/>
      <sheetName val="RAB_AR&amp;STR7"/>
      <sheetName val="chi_tiet_TBA7"/>
      <sheetName val="chi_tiet_C7"/>
      <sheetName val="Tro_giup9"/>
      <sheetName val="TH_DZ359"/>
      <sheetName val="Customize_Your_Purchase_Order7"/>
      <sheetName val="CHITIET_VL-NC-TT_-1p7"/>
      <sheetName val="CHITIET_VL-NC-TT-3p6"/>
      <sheetName val="TONG_HOP_VL-NC_TT7"/>
      <sheetName val="KPVC-BD_7"/>
      <sheetName val="Don_gia7"/>
      <sheetName val="DON_GIA_TRAM_(3)7"/>
      <sheetName val="DON_GIA_CAN_THO9"/>
      <sheetName val="HĐ_ngoài6"/>
      <sheetName val="XT_Buoc_36"/>
      <sheetName val="dongia_(2)6"/>
      <sheetName val="7606_DZ7"/>
      <sheetName val="Don_gia_chi_tiet7"/>
      <sheetName val="project_management6"/>
      <sheetName val="Adix_A6"/>
      <sheetName val="S-curve_6"/>
      <sheetName val="REINF_6"/>
      <sheetName val="Rates_20096"/>
      <sheetName val="MAIN_GATE_HOUSE6"/>
      <sheetName val="So_doi_chieu_LC6"/>
      <sheetName val="Du_toan6"/>
      <sheetName val="Commercial_value6"/>
      <sheetName val="Ky_Lam_Bridge6"/>
      <sheetName val="Provisional_Sums_Item6"/>
      <sheetName val="Gas_Pressure_Welding6"/>
      <sheetName val="General_Item&amp;General_Requireme6"/>
      <sheetName val="General_Items6"/>
      <sheetName val="Regenral_Requirements6"/>
      <sheetName val="chiet_tinh6"/>
      <sheetName val="Ng_hàng_xà+bulong6"/>
      <sheetName val="Bang_KL6"/>
      <sheetName val="TONG_HOP_VL-NC6"/>
      <sheetName val="MH_RATE6"/>
      <sheetName val="Lcau_-_Lxuc6"/>
      <sheetName val="CT_vat_lieu6"/>
      <sheetName val="Equip_5"/>
      <sheetName val="A1_CN5"/>
      <sheetName val="DG_thep_ma_kem6"/>
      <sheetName val="Đầu_vào5"/>
      <sheetName val="DM_60616"/>
      <sheetName val="Trạm_biến_áp5"/>
      <sheetName val="Đơn_Giá_5"/>
      <sheetName val="Chi_tiet_XD_TBA5"/>
      <sheetName val="Chenh_lech_vat_tu5"/>
      <sheetName val="Diện_tích5"/>
      <sheetName val="1_Khái_toán5"/>
      <sheetName val="TONG_HOP_T5_19985"/>
      <sheetName val="CT-0_4KV5"/>
      <sheetName val="KL_Chi_tiết_Xây_tô5"/>
      <sheetName val="rate_material5"/>
      <sheetName val="04_-_XUONG_DET_B5"/>
      <sheetName val="DG_DZ6"/>
      <sheetName val="DG_TBA6"/>
      <sheetName val="Bill_1_Quy_dinh_chung5"/>
      <sheetName val="1_R18_BF5"/>
      <sheetName val="6_External_works-R185"/>
      <sheetName val="07Base_Cost5"/>
      <sheetName val="Chi_tiet_KL5"/>
      <sheetName val="Tổng_hợp_KL5"/>
      <sheetName val="_035"/>
      <sheetName val="chieu_day_san5"/>
      <sheetName val="Podium_Concrete_Works5"/>
      <sheetName val="KLCT-_TOWER5"/>
      <sheetName val="KLCT-_PODIUM5"/>
      <sheetName val="Gia_thanh_chuoi_su5"/>
      <sheetName val="Tiep_dia5"/>
      <sheetName val="Don_gia_vung_III-Can_Tho5"/>
      <sheetName val="Area_Cal5"/>
      <sheetName val="Phan_khai_KLuong5"/>
      <sheetName val="Elect_(3)5"/>
      <sheetName val="plan&amp;section_of_foundation5"/>
      <sheetName val="design_criteria5"/>
      <sheetName val="Bond_수수료_계산_포맷5"/>
      <sheetName val="ITB_COST5"/>
      <sheetName val="PAGE_15"/>
      <sheetName val="DM_675"/>
      <sheetName val="Đầu_tư5"/>
      <sheetName val="Loại_Vật_tư5"/>
      <sheetName val="Xay_lapduongR35"/>
      <sheetName val="EIRR&gt;_25"/>
      <sheetName val="6787CWFASE2CASE2_00_xls5"/>
      <sheetName val="Project_Data5"/>
      <sheetName val="4_PTDG5"/>
      <sheetName val="A1,_May5"/>
      <sheetName val="Vat_lieu5"/>
      <sheetName val="Data_Input6"/>
      <sheetName val="dg_tphcm5"/>
      <sheetName val="T_KÊ_K_CẤU5"/>
      <sheetName val="Bill_01_-_CTN5"/>
      <sheetName val="Bill_2_2_Villa_2_beds5"/>
      <sheetName val="Bill_02_-_Xay_gach-Pou_5"/>
      <sheetName val="Bill_03-Chống_thấm-Pou5"/>
      <sheetName val="Bill_04-Kim_loại-Pou5"/>
      <sheetName val="Bill_05_-_Hoan_thien-Pou_5"/>
      <sheetName val="Bill_02_-_Xay_gach-Tower5"/>
      <sheetName val="Bill_03-Chống_thấm-Tower5"/>
      <sheetName val="Bill_04-Kim_loại-Tower5"/>
      <sheetName val="Bill_05_-_Hoan_thien-Tower5"/>
      <sheetName val="KL-_KHAC5"/>
      <sheetName val="BILL_3_-_KẾT_CẤU_HẦM5"/>
      <sheetName val="PTĐG_LTBT5"/>
      <sheetName val="CTG-PRECHEx1_45"/>
      <sheetName val="CTG-AB_(2)5"/>
      <sheetName val="CTG-AB_(3)5"/>
      <sheetName val="CTG-PLP-1_085"/>
      <sheetName val="Pre_Đội_nhóm5"/>
      <sheetName val="Vat_tu_XD5"/>
      <sheetName val="Tower_-_Concrete_Works5"/>
      <sheetName val="Bill-04_ket_cau_thap-_UNI5"/>
      <sheetName val="TH_Vat_tu5"/>
      <sheetName val="Bang_trong_luong_rieng_thep5"/>
      <sheetName val="gia_cong_tac5"/>
      <sheetName val="Measure_13065"/>
      <sheetName val="ESTI_5"/>
      <sheetName val="KL_san_lap5"/>
      <sheetName val="HÐ_ngoài6"/>
      <sheetName val="6PILE__(돌출)5"/>
      <sheetName val="CẤP_THOÁT_NƯỚC5"/>
      <sheetName val="Cước_VC_+_ĐM_CP_Tư_vấn5"/>
      <sheetName val="Hệ_số5"/>
      <sheetName val="Harga_ME_5"/>
      <sheetName val="Analisa_Gabungan5"/>
      <sheetName val="bridge_#_15"/>
      <sheetName val="THDT_goi_thau_TB5"/>
      <sheetName val="Tien_do_TV5"/>
      <sheetName val="GV1-D13_(Casement_door)5"/>
      <sheetName val="Isolasi_Luar_Dalam5"/>
      <sheetName val="Isolasi_Luar5"/>
      <sheetName val="DATA_BASE5"/>
      <sheetName val="Equipment_list_(PAC)5"/>
      <sheetName val="DETAIL_5"/>
      <sheetName val="_Bill_5-Earthing_2_-_Add_Works5"/>
      <sheetName val="final_list_20056"/>
      <sheetName val="LV_data5"/>
      <sheetName val="Gia_vat_tu5"/>
      <sheetName val="TINH_KHOI_LUONG5"/>
      <sheetName val="TH_MTC5"/>
      <sheetName val="TH_N_Cong5"/>
      <sheetName val="Chi_tiet5"/>
      <sheetName val="Buy_vs__Lease_Car5"/>
      <sheetName val="NHÀ_NHẬP_LIỆU4"/>
      <sheetName val="MÓNG_SILO4"/>
      <sheetName val="Chenh_lech_ca_may5"/>
      <sheetName val="TLg_CN&amp;Laixe5"/>
      <sheetName val="TLg_CN&amp;Laixe_(2)5"/>
      <sheetName val="TLg_Laitau5"/>
      <sheetName val="TLg_Laitau_(2)5"/>
      <sheetName val="Bang_3_Chi_tiet_phan_Dz5"/>
      <sheetName val="KHOI_LUONG5"/>
      <sheetName val="Budget_Code4"/>
      <sheetName val="CP_Khac_cuoc_VC4"/>
      <sheetName val="subcon_sched5"/>
      <sheetName val="PRE_(E)5"/>
      <sheetName val="CTKL_KTX_HT4"/>
      <sheetName val="BOQ_THAN4"/>
      <sheetName val="2_Chiet_tinh4"/>
      <sheetName val="BẢNG_KHỐI_LƯỢNG_TỔNG_HỢP4"/>
      <sheetName val="HVAC_BLOCK_B45"/>
      <sheetName val="Tong_du_toan4"/>
      <sheetName val="Bill_2_-_ketcau4"/>
      <sheetName val="Chi_tiet_lan_can4"/>
      <sheetName val="13-Cốt_thép_(10mm&lt;D≤18mm)_FO164"/>
      <sheetName val="du_lieu_du_toan4"/>
      <sheetName val="D_&amp;_W_sizes4"/>
      <sheetName val="Analisa_&amp;_Upah4"/>
      <sheetName val="Purchase_Order4"/>
      <sheetName val="DL_ĐẦU_VÀO4"/>
      <sheetName val="Du_lieu5"/>
      <sheetName val="cash_budget4"/>
      <sheetName val="Luong_NII4"/>
      <sheetName val="DINH_MUC_THI_NGHIEM4"/>
      <sheetName val="Luong_NI4"/>
      <sheetName val="Phan_tich4"/>
      <sheetName val="CT_Thang_Mo4"/>
      <sheetName val="CT__PL4"/>
      <sheetName val="dongia__2_4"/>
      <sheetName val="Thép_CKN4"/>
      <sheetName val="GOC-KO_IN4"/>
      <sheetName val="MAU_8A4"/>
      <sheetName val="MAU_8B4"/>
      <sheetName val="MAU_94"/>
      <sheetName val="MAU_104"/>
      <sheetName val="sochitiettaikhoan_4"/>
      <sheetName val="Share_price_data4"/>
      <sheetName val="19_34"/>
      <sheetName val="20_34"/>
      <sheetName val="Chieu_4_34"/>
      <sheetName val="Cow_req4"/>
      <sheetName val="TỔNG_HỢP4"/>
      <sheetName val="14-LẦN_3-CHIỀU4"/>
      <sheetName val="14-LẦN_1-SÁNG4"/>
      <sheetName val="14-LẦN_2-TRƯA4"/>
      <sheetName val="1_3+1_4-TOTAL_-_Ko_IN4"/>
      <sheetName val="2_1-LẦN_3-CHIỀU4"/>
      <sheetName val="2_1-LẦN_1-SÁNG4"/>
      <sheetName val="2_1-LẦN_2-TRƯA4"/>
      <sheetName val="2_1-TOTAL-Ko_IN4"/>
      <sheetName val="1_3(TMR_4)4"/>
      <sheetName val="CHO_DE4"/>
      <sheetName val="1_1+1_2+2_2+2_3(TMR_3)4"/>
      <sheetName val="CK1+CK2_(VS_SAN_CHOI_23)4"/>
      <sheetName val="CK1+CK2_(2)4"/>
      <sheetName val="12-16_THÁNG4"/>
      <sheetName val="CAN_SỮA4"/>
      <sheetName val="54+55+56(SAU_CAI_SỮA-6)4"/>
      <sheetName val="BÊ_71-90_NGÀY4"/>
      <sheetName val="BÊ_12-16_tháng4"/>
      <sheetName val="BÊ_6-124"/>
      <sheetName val="BÊ_1-34"/>
      <sheetName val="F01-BC_KHAU_PHAN_SANG_20_34"/>
      <sheetName val="F01-BC_KHAU_PHAN_CHIEU_19_34"/>
      <sheetName val="dinh_mưc_cty4"/>
      <sheetName val="Giá_thành4"/>
      <sheetName val="Thong_ke4"/>
      <sheetName val="Energy_for_milk_prod4"/>
      <sheetName val="DE_NGHI_XUAT_4"/>
      <sheetName val="phieu_xuat_mau4"/>
      <sheetName val="PHIEU_XUAT_CHIEU4"/>
      <sheetName val="11_rai_them_cỏ4"/>
      <sheetName val="PHU_LUC_02-_HDSD_CAC_BIEU_MAU4"/>
      <sheetName val="PhU_LUC_01-_MA_CAC_NHOM_BO4"/>
      <sheetName val="F03-BC_THUC_TRON_SANG_20_34"/>
      <sheetName val="F03-BC_THUC_TRON_CHIEU_19_34"/>
      <sheetName val="F02-BC_THEO_DOI_THUC_AN_DU4"/>
      <sheetName val="Tham_khao-_Bao_cao_xuat_thuc_a4"/>
      <sheetName val="Don_gia_(khong_in)4"/>
      <sheetName val="Dlieu_dau_vao4"/>
      <sheetName val="DK1_Don_gia4"/>
      <sheetName val="1_MONG_1-24"/>
      <sheetName val="BANCO_(2)4"/>
      <sheetName val="MT_DPin_(2)4"/>
      <sheetName val="02__PTDG4"/>
      <sheetName val="Chiết_tính4"/>
      <sheetName val="Nhap_VT_oto2"/>
      <sheetName val="dm_3662"/>
      <sheetName val="DM_60602"/>
      <sheetName val="Bill_No_3_-_Prov__Sum_(Ph2&amp;3)2"/>
      <sheetName val="Du_tru_CP-Bieu_012"/>
      <sheetName val="TB_NẶNG2"/>
      <sheetName val="TH_TN2"/>
      <sheetName val="wk_prgs2"/>
      <sheetName val="Ma_don_vi2"/>
      <sheetName val="bang_cc2"/>
      <sheetName val="Income_Statement4"/>
      <sheetName val="Shareholders'_Equity4"/>
      <sheetName val="VC_xd2"/>
      <sheetName val="Gia_VLTB2"/>
      <sheetName val="B_Luong2"/>
      <sheetName val="C_May2"/>
      <sheetName val="AG_Pipe_Qty_Analysis2"/>
      <sheetName val="THEP_TAM2"/>
      <sheetName val="THEP_HÌNH2"/>
      <sheetName val="THEP_HINH2"/>
      <sheetName val="XA_GO2"/>
      <sheetName val="BANG_TRA2"/>
      <sheetName val="2_1Warehouse_12"/>
      <sheetName val="đọc_số2"/>
      <sheetName val="Data_Wall2"/>
      <sheetName val="Hao_phí2"/>
      <sheetName val="CĂN_HỘ_T16-17_2"/>
      <sheetName val="TRỤC_ĐỨNG_THOÁT_BẨN_T15-172"/>
      <sheetName val="TRỤC_ĐỨNG_TM_T15-172"/>
      <sheetName val="Ｎｏ_132"/>
      <sheetName val="DGchitiet_2"/>
      <sheetName val="Bill_2-Road_HR22"/>
      <sheetName val="Bill_3_-_Softscape_HR22"/>
      <sheetName val="TK_chi_tiet2"/>
      <sheetName val="Dự_thầu2"/>
      <sheetName val="CP_HMC2"/>
      <sheetName val="Structure_data2"/>
      <sheetName val="CP_Du_phong2"/>
      <sheetName val="THCP_Lap_dat2"/>
      <sheetName val="THCP_xay_dung2"/>
      <sheetName val="Tong_hop_kinh_phi2"/>
      <sheetName val="HỆ_THỐNG_PHÒNG_CHÁY_CHỮA_CHÁY2"/>
      <sheetName val="HỆ_THỐNG_CẤP_THOÁT_NƯỚC2"/>
      <sheetName val="HỆ_THỐNG_ĐHKK2"/>
      <sheetName val="MÁY_PHÁT_ĐIỆN2"/>
      <sheetName val="HỆ_THỐNG_ĐIỆN2"/>
      <sheetName val="Thiết_bị_chính2"/>
      <sheetName val="CHI_PHI2"/>
      <sheetName val="Chi_tiet_-tong_9_thang1"/>
      <sheetName val="Don_gia_chi_tiet_DIEN_21"/>
      <sheetName val="Móng,_nền_2"/>
      <sheetName val="Main_Bldg-Rev022"/>
      <sheetName val="D&amp;W_def_2"/>
      <sheetName val="Nhan_cong2"/>
      <sheetName val="Thiet_bi2"/>
      <sheetName val="Vat_tu2"/>
      <sheetName val="DM_ChiPhi2"/>
      <sheetName val="May_TC2"/>
      <sheetName val="TH_Kinh_phi2"/>
      <sheetName val="Ptvl_2"/>
      <sheetName val="DG_14261"/>
      <sheetName val="1_Requisition(E)2"/>
      <sheetName val="Tổng_GT2"/>
      <sheetName val="Chi_tiết_KL2"/>
      <sheetName val="ca_máy2"/>
      <sheetName val="khấu_trừ_phạt2"/>
      <sheetName val="GT__KHAU_TRU2"/>
      <sheetName val="HAO_HUT_VAT_TU_(2)2"/>
      <sheetName val="cao_độ2"/>
      <sheetName val="gui_BKCT1"/>
      <sheetName val="Theo_doi_Doanh_thu_20171"/>
      <sheetName val="Chi_tiet_cong_no2"/>
      <sheetName val="PHÁT_SINH_TẦNG_1_2"/>
      <sheetName val="PHÁT_SINH_TẦNG_22"/>
      <sheetName val="Hầm_chuyển_psinh2"/>
      <sheetName val="Ống_thẳng2"/>
      <sheetName val="Côn_thu2"/>
      <sheetName val="Vuông_tròn2"/>
      <sheetName val="Chân_rẽ2"/>
      <sheetName val="Chạc_ba2"/>
      <sheetName val="Dự_toán2"/>
      <sheetName val="Đơn_Giá_TH2"/>
      <sheetName val="Nhân_công2"/>
      <sheetName val="Phân_tích2"/>
      <sheetName val="C_P_Thiết_bị2"/>
      <sheetName val="T_H_Kinh_phí2"/>
      <sheetName val="Vật_tư2"/>
      <sheetName val="Trang_bìa2"/>
      <sheetName val="TONG_HOP2"/>
      <sheetName val="phan_tic_chi_tiet2"/>
      <sheetName val="Precios_unitarios_AXH1"/>
      <sheetName val="BẢNG_ÁP_GIÁ_(in)1"/>
      <sheetName val="NT_(KL)_IN1"/>
      <sheetName val="DOM_D21"/>
      <sheetName val="nhà_ăn1"/>
      <sheetName val="Công_nhật1"/>
      <sheetName val="btkt_cột1"/>
      <sheetName val="TH_các_CC1"/>
      <sheetName val="0__Input1"/>
      <sheetName val="1_2_Staff_Schedule1"/>
      <sheetName val="Bill_Prelim-CDT1"/>
      <sheetName val="Bill_BPTC-CDT1"/>
      <sheetName val="Chi_tiết_BPTC1"/>
      <sheetName val="Bill_BPTC-CDT_(PA_MCT_CDT)1"/>
      <sheetName val="Chi_tiết_BPTC_(PA_MCT_CDT)1"/>
      <sheetName val="3__CNT1"/>
      <sheetName val="unit_price_list(M)1"/>
      <sheetName val="Gia_vat_lieu1"/>
      <sheetName val="So_lieu_chung1"/>
      <sheetName val="TH_VL,_NC,_DDHT_Thanhphuoc1"/>
      <sheetName val="Doi_so1"/>
      <sheetName val="DANH_MỤC_HỒ_SƠ1"/>
      <sheetName val="GT_PHÁT_SINH_NGOÀI_HĐ1"/>
      <sheetName val="KL_PHÁT_SINH_1"/>
      <sheetName val="PS_NGOÀI_HĐ1"/>
      <sheetName val="GT_PHÁT_SINH_VƯỢT_HĐ1"/>
      <sheetName val="PS_TĂNG_GIẢM_TRONG_HĐ1"/>
      <sheetName val="DGCT_PHÁT_SINH1"/>
      <sheetName val="DGCT_TRẦN_NLV1"/>
      <sheetName val="DGKL_chi_tiết_NLV1"/>
      <sheetName val="DGKL_chi_tiết_NHN,NK1"/>
      <sheetName val="TG_KL1"/>
      <sheetName val="DGCT_SƠN_BẢ_TƯỜNG_NLV1"/>
      <sheetName val="DGKL_TRẦN_NHN1"/>
      <sheetName val="MTO_REV_2(ARMOR)1"/>
      <sheetName val="DM-VNT_ko_sd1"/>
      <sheetName val="Bảng_đo_bóc_KL_OLK-091"/>
      <sheetName val="6_3_CHI_TIET_OLK-091"/>
      <sheetName val="Cotthep_NPT1"/>
      <sheetName val="vl_nc_mtc1"/>
      <sheetName val="1_Civil_(Org)1"/>
      <sheetName val="KL_THEP__GIAM_DO_DUNG_COUPLER1"/>
      <sheetName val="01_KL_THÉP_NHẬP_VỀ1"/>
      <sheetName val="2__NT_VLDV1"/>
      <sheetName val="GHI_CHU1"/>
      <sheetName val="1_BB_LMHT1"/>
      <sheetName val="Bê_tông_bảo_vệ1"/>
      <sheetName val="01__Data1"/>
      <sheetName val="Neo,_nối_cốt_thép_dầm,_cột1"/>
      <sheetName val="Uốn_móc_cốt_thép1"/>
      <sheetName val="Tiêu_chuẩn_cốt_thép1"/>
      <sheetName val="1__Office1"/>
      <sheetName val="KL_thep_lam_sat1"/>
      <sheetName val="Tien_Thuong1"/>
      <sheetName val="NC_XL_6T_cuoi_01_CTy1"/>
      <sheetName val="Data_-6T_dau1"/>
      <sheetName val="Cong_6T1"/>
      <sheetName val="1_San_1"/>
      <sheetName val="Tong_hop_vat_tu1"/>
      <sheetName val="B3A_-_TOWER_A1"/>
      <sheetName val="Annex_B1"/>
      <sheetName val="TLG_Type1"/>
      <sheetName val="KHOI_LUONG15-41"/>
      <sheetName val="Dgia_vat_tu1"/>
      <sheetName val="Don_gia_III1"/>
      <sheetName val="D÷_liÖu1"/>
      <sheetName val="Dot_41"/>
      <sheetName val="Thop_Ksat1"/>
      <sheetName val="Thu_hoi_1"/>
      <sheetName val="HM_chung1"/>
      <sheetName val="CP_xd-thiet_bi1"/>
      <sheetName val="TH-TN_LD_TB1"/>
      <sheetName val="CP_xaydung1"/>
      <sheetName val="Thao_ha_phu_kien1"/>
      <sheetName val="VL-NC-MTC_ket_cau1"/>
      <sheetName val="KHOI_LUONG_TONG1"/>
      <sheetName val="TK_22KV1"/>
      <sheetName val="DM_366-17771"/>
      <sheetName val="Thi_nhiem1"/>
      <sheetName val="Gia_goc_VT-TB1"/>
      <sheetName val="Gia_vc_den_chan_CT1"/>
      <sheetName val="culy_221"/>
      <sheetName val="Luong_20501"/>
      <sheetName val="ca_may_QN1"/>
      <sheetName val="TNHC1246_1"/>
      <sheetName val="Ca_may_TT06_20101"/>
      <sheetName val="Don_gia_VLXD_dia_phuong1"/>
      <sheetName val="Bang_luong_SCL1"/>
      <sheetName val="Dinh_muc_TN14261"/>
      <sheetName val="Chi_phi_van_chuyen1"/>
      <sheetName val="2_CDPS1"/>
      <sheetName val="Heso_DZ1"/>
      <sheetName val="DM_336cai_tao1"/>
      <sheetName val="DG_BINH_THUAN1"/>
      <sheetName val="7_Khau_tru_1"/>
      <sheetName val="4_CĂN1"/>
      <sheetName val="HRG_BHN1"/>
      <sheetName val="CĂN_ĐH1"/>
      <sheetName val="Q_A01_2-Sh1"/>
      <sheetName val="B-2__(DPP)1"/>
      <sheetName val="Div26_-_Elect1"/>
      <sheetName val="DT_hợp_đồng"/>
      <sheetName val="Bảng_KL_đợt_1"/>
      <sheetName val="Danh_mục"/>
      <sheetName val="Don_gia_NC1"/>
      <sheetName val="Bieu_gia_HD"/>
      <sheetName val="CAP_NUOC"/>
      <sheetName val="cấp_nước_trục_nhà_vs"/>
      <sheetName val="THOAT_NUOC"/>
      <sheetName val="THOAT_MUA"/>
      <sheetName val="Cáp_phòng"/>
      <sheetName val="TMC_ĐIỆN_Phi"/>
      <sheetName val="TMC_Tổng"/>
      <sheetName val="TH_Đèn_Phòng_L1"/>
      <sheetName val="TH_Đèn_Hầm_L1"/>
      <sheetName val="TỦ_MODULE_T1"/>
      <sheetName val="Summary_Sheet"/>
      <sheetName val="Finishing-Tower_A"/>
      <sheetName val="Finishing-Tower_B"/>
      <sheetName val="Finishing-Tower_C"/>
      <sheetName val="Finishing-Tower_D"/>
      <sheetName val="MEP-Tower_A"/>
      <sheetName val="MEP-Tower_B"/>
      <sheetName val="MEP-Tower_C"/>
      <sheetName val="MEP-Tower_D"/>
      <sheetName val="Cost_Report_Sum"/>
      <sheetName val="Detail_Cost_Sum"/>
      <sheetName val="RVO-VO_Sum"/>
      <sheetName val="Potential_VOs_Sum"/>
      <sheetName val="Cash_Flow_Sum"/>
      <sheetName val="13_BANG_CT"/>
      <sheetName val="14_MMUS_GIUA_NHIP"/>
      <sheetName val="4_HSPBngang"/>
      <sheetName val="6_Tinh_tai"/>
      <sheetName val="2_NSl"/>
      <sheetName val="17_US_CHU_tho_a_b"/>
      <sheetName val="15_MMUS_GOI"/>
      <sheetName val="Financ__Overview"/>
      <sheetName val="gia_vt,nc,may"/>
      <sheetName val="TINH_GIA_-_SAN_XUAT_Vertico"/>
      <sheetName val="Huong_dan"/>
      <sheetName val="DZ_22KV"/>
      <sheetName val="BTK-Dai_Hoc_Kien_Giang"/>
      <sheetName val="PV_Graph_Data"/>
      <sheetName val="doanh_thu"/>
      <sheetName val="Dutoan_KL"/>
      <sheetName val="Kê_0,4"/>
      <sheetName val="TH_0,4"/>
      <sheetName val="Kê_22"/>
      <sheetName val="TH_22"/>
      <sheetName val="TBA_CAI_TAO"/>
      <sheetName val="TBA_XDM"/>
      <sheetName val="TONG_HOP_DU_TOAN"/>
      <sheetName val="Thop_XAY_DUNG"/>
      <sheetName val="CP_HANG_MUC_CHUNG"/>
      <sheetName val="CHI_PHI_XD"/>
      <sheetName val="CHI_PHI_THI_NGHIEM"/>
      <sheetName val="VLDIEN_22"/>
      <sheetName val="Dao_dat"/>
      <sheetName val="TH_Denbu"/>
      <sheetName val="Do_ve_DC"/>
      <sheetName val="TH_Bommin"/>
      <sheetName val="CHI_PHI_THI_NGHIEM-LD_thiet_bi"/>
      <sheetName val="Luong_TT01"/>
      <sheetName val="Camay_QB"/>
      <sheetName val="gia_ca_may_BXD"/>
      <sheetName val="BANG_LUONG_KY_SU"/>
      <sheetName val="Bang_luong_NHOM_I"/>
      <sheetName val="Bangluong_NHOM_II_"/>
      <sheetName val="09-GIA_nhien_lieu-ko_in"/>
      <sheetName val="Tinh_V_cot_chiem_cho"/>
      <sheetName val="ĐM_1354"/>
      <sheetName val="KHOAN_MAU"/>
      <sheetName val="ĐO_ĐỊA_VẬT_LÝ"/>
      <sheetName val="khoan_tiep_dia"/>
      <sheetName val="Tổng_hợp_KPHM"/>
      <sheetName val="Dinh_muc"/>
      <sheetName val="5_2_1_Đo_bóc_KL_OLK-06"/>
      <sheetName val="KS_tuyen"/>
      <sheetName val="Bang_chiet_tinh_TBA"/>
      <sheetName val="GIÁ_DỰ_THẦU_30_CĂN"/>
      <sheetName val="MB_DT_02"/>
      <sheetName val="So_sanh"/>
      <sheetName val="DT__NHA_XUONG"/>
      <sheetName val="EQT-ESTN"/>
      <sheetName val="DCQ"/>
      <sheetName val="DCS"/>
      <sheetName val="DD"/>
      <sheetName val="Cash Flow"/>
      <sheetName val="Yield"/>
      <sheetName val="說明"/>
      <sheetName val="COAT&amp;WRAP-QIOT-#3"/>
      <sheetName val="Tong DT"/>
      <sheetName val="phan tich don gia"/>
      <sheetName val="dulieumong"/>
      <sheetName val="係数"/>
      <sheetName val="8521"/>
      <sheetName val="Package1"/>
      <sheetName val="112016"/>
      <sheetName val="Bán đợt 1 trang"/>
      <sheetName val="Bill No.1.6"/>
      <sheetName val="Bill No.1.10"/>
      <sheetName val="Bill No.3.3"/>
      <sheetName val="Bill No.1.4"/>
      <sheetName val="Bill No.1.7"/>
      <sheetName val="Summary Bill No. 3"/>
      <sheetName val="Unit price"/>
      <sheetName val="현장별"/>
      <sheetName val="DI-ESTI"/>
      <sheetName val="Chiet tinh dz35"/>
      <sheetName val="DG3285"/>
      <sheetName val="HERD_MOVEMENTFARM12"/>
      <sheetName val="HERD_MOVEMENTFARM22"/>
      <sheetName val="CALVES_2-42"/>
      <sheetName val="Cavles_2-42"/>
      <sheetName val="CALVES_4-72"/>
      <sheetName val="HEIFER_7-12m2"/>
      <sheetName val="HEIFER_12+2"/>
      <sheetName val="FRESH_COW_2017-182"/>
      <sheetName val="HP_COW_20182"/>
      <sheetName val="LP_COW_2017-182"/>
      <sheetName val="DRY_COW2"/>
      <sheetName val="FIELD_CROPS2"/>
      <sheetName val="4_2_1_Đo_bóc_KL_OLK-06"/>
      <sheetName val="4_1_1_CHI_TIET_OLK-06"/>
      <sheetName val="Gia_VT-TB"/>
      <sheetName val="noi_suy_xa"/>
      <sheetName val="noi_suy_xa_thu_hoi"/>
      <sheetName val="EQUIP_LIST"/>
      <sheetName val="BU_LONG"/>
      <sheetName val="DG_Chi_tiet"/>
      <sheetName val="_1710_HOINGHINLD"/>
      <sheetName val="99_(2)"/>
      <sheetName val="134_"/>
      <sheetName val="DG_4970"/>
      <sheetName val="Electrical_Works"/>
      <sheetName val="H_T__INCOMING_SYSTEM"/>
      <sheetName val="THONG_SO"/>
      <sheetName val="Đơn_giá_chi_tiết_TN_39"/>
      <sheetName val="Cash_Flow"/>
      <sheetName val="Thuyết_minh"/>
      <sheetName val="Đơn_giá_máy"/>
      <sheetName val="Tính_giá_NC"/>
      <sheetName val="SL_cước"/>
      <sheetName val="Tiên_lượng"/>
      <sheetName val="Bill_No_1_6"/>
      <sheetName val="Bill_No_1_10"/>
      <sheetName val="Bill_No_3_3"/>
      <sheetName val="Bill_No_1_4"/>
      <sheetName val="Bill_No_1_7"/>
      <sheetName val="Summary_Bill_No__3"/>
      <sheetName val="¥_"/>
      <sheetName val="데리네이타현황"/>
      <sheetName val="BID"/>
      <sheetName val="dg-VTu"/>
      <sheetName val="Tien Luong"/>
      <sheetName val="3. KC - PODIUM"/>
      <sheetName val="DW"/>
      <sheetName val="DWD"/>
      <sheetName val="DW1"/>
      <sheetName val="pctg"/>
      <sheetName val="M-work"/>
      <sheetName val="WORK"/>
      <sheetName val="DWi"/>
      <sheetName val="PC=FLAT"/>
      <sheetName val="Cert1"/>
      <sheetName val="Breakdown (B)"/>
      <sheetName val="U.P_Breakdown"/>
      <sheetName val="기안"/>
      <sheetName val="설계내역서"/>
      <sheetName val="Cost List"/>
      <sheetName val="Detail Cost"/>
      <sheetName val="IC Price New"/>
      <sheetName val="QUOTE-IC"/>
      <sheetName val="Summary Table"/>
      <sheetName val="Sales Person"/>
      <sheetName val="Bidding Entity"/>
      <sheetName val="DOA"/>
      <sheetName val="Unit price(Updateting)"/>
      <sheetName val="基本"/>
      <sheetName val="149-2"/>
      <sheetName val="CTDZ6kv (gd1) "/>
      <sheetName val="CTDZ 0.4+cto (GD1)"/>
      <sheetName val="CTTBA (gd1)"/>
      <sheetName val="선가03C"/>
      <sheetName val="03 Detailed"/>
      <sheetName val="01 Bid Price summary"/>
      <sheetName val="갑지(추정)"/>
      <sheetName val="Home Office Manhours"/>
      <sheetName val="Field SPV Barchart"/>
      <sheetName val="95D"/>
      <sheetName val="94D"/>
      <sheetName val="tuong"/>
      <sheetName val="IMF Code"/>
      <sheetName val="Main_Mech"/>
      <sheetName val="Sub_Mech"/>
      <sheetName val="Bù giá CM"/>
      <sheetName val="dats"/>
      <sheetName val="CHITIET VL-NCHT1 (2)"/>
      <sheetName val="Luong BN"/>
      <sheetName val="Luong TB"/>
      <sheetName val="Ca may TB"/>
      <sheetName val="Ca máy BN"/>
      <sheetName val="Vật liệu"/>
      <sheetName val="LX -TT05"/>
      <sheetName val="NC Moi TT05"/>
      <sheetName val="Links"/>
      <sheetName val="Lead"/>
      <sheetName val="Cau tao gia xay to"/>
      <sheetName val="tifico"/>
      <sheetName val="CashFlows"/>
      <sheetName val="SGC RATE"/>
      <sheetName val="주식"/>
      <sheetName val="DSKH"/>
      <sheetName val="DT san XD-So lieu cu"/>
      <sheetName val="ERECIN"/>
      <sheetName val="Bangia"/>
      <sheetName val="D+W"/>
      <sheetName val="Subsidiary Calculation"/>
      <sheetName val="Tru TT"/>
      <sheetName val="Thg 04"/>
      <sheetName val="Thg 05"/>
      <sheetName val="Thg 06"/>
      <sheetName val="Thg 07"/>
      <sheetName val="Thg 08"/>
      <sheetName val="Thg 09"/>
      <sheetName val="Thg 10"/>
      <sheetName val="Thg 11"/>
      <sheetName val="Thg 12"/>
      <sheetName val="5.2.1 Đo bóc KL OLK-10"/>
      <sheetName val="inputcua"/>
      <sheetName val="Phu Bai Bridge"/>
      <sheetName val="THPDMoi  (2)"/>
      <sheetName val="thao-go"/>
      <sheetName val="t-h HA THE"/>
      <sheetName val="TH XL"/>
      <sheetName val="chitiet"/>
      <sheetName val="Tiepdia"/>
      <sheetName val="CHITIET VL-NC"/>
      <sheetName val="don gia 1426"/>
      <sheetName val="DSNV"/>
      <sheetName val="Y-WORK"/>
      <sheetName val="Khai toan"/>
      <sheetName val="Phu luc 01.1 EPC P11-14"/>
      <sheetName val="Bìa"/>
      <sheetName val="TM"/>
      <sheetName val="TH"/>
      <sheetName val="TDT P11-P14"/>
      <sheetName val="CPXD"/>
      <sheetName val="Chi phi khac "/>
      <sheetName val="Hang muc Chung"/>
      <sheetName val="ĐGNC"/>
      <sheetName val="DGMTC"/>
      <sheetName val="Bia Phu Luc"/>
      <sheetName val="DATA.1 CHUNG"/>
      <sheetName val="Muc luc"/>
      <sheetName val="Tra cuu 957"/>
      <sheetName val="Bia lot"/>
      <sheetName val="Abutment"/>
      <sheetName val="Chu dau tu"/>
      <sheetName val="NTCV1"/>
      <sheetName val="THÔNG TIN"/>
      <sheetName val="beam"/>
      <sheetName val="CTGS"/>
      <sheetName val="w't table"/>
      <sheetName val="kl3p"/>
      <sheetName val="kl3pct"/>
      <sheetName val="kl3pcto"/>
      <sheetName val="STATC"/>
      <sheetName val="FF-2 (1)"/>
      <sheetName val="FSA"/>
      <sheetName val="KCCP"/>
      <sheetName val="Contents"/>
      <sheetName val="Factor_sheet"/>
      <sheetName val="Labour Summary"/>
      <sheetName val="CWN_Consol"/>
      <sheetName val="Labour_Summary"/>
      <sheetName val="final_list_20059"/>
      <sheetName val="final_list_20057"/>
      <sheetName val="final_list_20058"/>
      <sheetName val="Deff_Tax_Sept01"/>
      <sheetName val="custScore"/>
      <sheetName val="corpGoalsSchedule0708"/>
      <sheetName val="1999"/>
      <sheetName val="2000"/>
      <sheetName val="2001"/>
      <sheetName val="2002"/>
      <sheetName val="YTD 12'2003"/>
      <sheetName val="YTD 06'2003"/>
      <sheetName val="YTD 03'2003"/>
      <sheetName val="YTD 09'2003"/>
      <sheetName val="PU_ITALY_10"/>
      <sheetName val="final_list_200510"/>
      <sheetName val="Labour_Summary1"/>
      <sheetName val="PU_ITALY_11"/>
      <sheetName val="final_list_200511"/>
      <sheetName val="Tro_giup10"/>
      <sheetName val="Labour_Summary2"/>
      <sheetName val="PU_ITALY_12"/>
      <sheetName val="final_list_200512"/>
      <sheetName val="Tro_giup11"/>
      <sheetName val="Labour_Summary3"/>
      <sheetName val="PU_ITALY_13"/>
      <sheetName val="final_list_200513"/>
      <sheetName val="Tro_giup12"/>
      <sheetName val="Labour_Summary4"/>
      <sheetName val="PU_ITALY_14"/>
      <sheetName val="final_list_200514"/>
      <sheetName val="Tro_giup13"/>
      <sheetName val="Labour_Summary5"/>
      <sheetName val="PU_ITALY_15"/>
      <sheetName val="final_list_200515"/>
      <sheetName val="Tro_giup14"/>
      <sheetName val="Labour_Summary6"/>
      <sheetName val="PU_ITALY_21"/>
      <sheetName val="final_list_200521"/>
      <sheetName val="Tro_giup20"/>
      <sheetName val="Labour_Summary12"/>
      <sheetName val="PU_ITALY_16"/>
      <sheetName val="final_list_200516"/>
      <sheetName val="Tro_giup15"/>
      <sheetName val="Labour_Summary7"/>
      <sheetName val="PU_ITALY_17"/>
      <sheetName val="final_list_200517"/>
      <sheetName val="Tro_giup16"/>
      <sheetName val="Labour_Summary8"/>
      <sheetName val="PU_ITALY_18"/>
      <sheetName val="final_list_200518"/>
      <sheetName val="Tro_giup17"/>
      <sheetName val="Labour_Summary9"/>
      <sheetName val="PU_ITALY_19"/>
      <sheetName val="final_list_200519"/>
      <sheetName val="Tro_giup18"/>
      <sheetName val="Labour_Summary10"/>
      <sheetName val="PU_ITALY_20"/>
      <sheetName val="final_list_200520"/>
      <sheetName val="Tro_giup19"/>
      <sheetName val="Labour_Summary11"/>
      <sheetName val="deferred taxes"/>
      <sheetName val="Macrow"/>
      <sheetName val="console"/>
      <sheetName val="Ratios"/>
      <sheetName val="_Parameters"/>
      <sheetName val="Eqpmnt Plng"/>
      <sheetName val="TRIAL BALANCE"/>
      <sheetName val="DPR 31st march"/>
      <sheetName val="current month"/>
      <sheetName val="Blng. Vs Coll."/>
      <sheetName val="GRN"/>
      <sheetName val="CRITERIA1"/>
      <sheetName val="Design"/>
      <sheetName val="Blore"/>
      <sheetName val="Chnai"/>
      <sheetName val="Pune"/>
      <sheetName val="CoverSheet"/>
      <sheetName val="H"/>
      <sheetName val="DSUM2004"/>
      <sheetName val="dwbulk"/>
      <sheetName val="lookups"/>
      <sheetName val="Solieu"/>
      <sheetName val="Danh mục khối"/>
      <sheetName val="Danh mục đơn vị -phòng chức năn"/>
      <sheetName val="ThongtinDN"/>
      <sheetName val="DM DU AN"/>
      <sheetName val="DM TP."/>
      <sheetName val="File Chi tiet"/>
      <sheetName val="BILL 34Āᐁë"/>
      <sheetName val="BILL 34Āᐁë_x0000__x0000__x0001__x0000__x0000__x0000_ HẦM"/>
      <sheetName val="BẢNG DIỄN GIẢI KL (7)"/>
      <sheetName val="COST_ACC"/>
      <sheetName val="Probbl - Production"/>
      <sheetName val="Bán_đợt_1_trang"/>
      <sheetName val="Tong_DT"/>
      <sheetName val="phan_tich_don_gia"/>
      <sheetName val="Cost_List"/>
      <sheetName val="Detail_Cost"/>
      <sheetName val="IC_Price_New"/>
      <sheetName val="Summary_Table"/>
      <sheetName val="Sales_Person"/>
      <sheetName val="Bidding_Entity"/>
      <sheetName val="Tcd"/>
      <sheetName val="변경내역"/>
      <sheetName val="TABLE-A"/>
      <sheetName val="Takeoff"/>
      <sheetName val="Currency Rate"/>
      <sheetName val="BQ"/>
      <sheetName val="KEILA TP 2020-07"/>
      <sheetName val="toyota"/>
      <sheetName val="Dashboard - BQL - VHL"/>
      <sheetName val="DG05new"/>
      <sheetName val="CauHinh"/>
      <sheetName val="DLTA"/>
      <sheetName val="Backup"/>
      <sheetName val="HidePriceList"/>
      <sheetName val="Breakdown"/>
      <sheetName val="DTCT"/>
      <sheetName val="TKXM"/>
      <sheetName val="CHI PHÍ NHÔM"/>
      <sheetName val="LUONG SCL"/>
      <sheetName val="Cot"/>
      <sheetName val="내역"/>
    </sheetNames>
    <sheetDataSet>
      <sheetData sheetId="0">
        <row r="9">
          <cell r="A9" t="str">
            <v>A</v>
          </cell>
        </row>
      </sheetData>
      <sheetData sheetId="1">
        <row r="9">
          <cell r="A9" t="str">
            <v>A</v>
          </cell>
        </row>
      </sheetData>
      <sheetData sheetId="2"/>
      <sheetData sheetId="3">
        <row r="9">
          <cell r="A9" t="str">
            <v>A</v>
          </cell>
        </row>
      </sheetData>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ow r="9">
          <cell r="A9" t="str">
            <v>A</v>
          </cell>
        </row>
      </sheetData>
      <sheetData sheetId="163">
        <row r="9">
          <cell r="A9" t="str">
            <v>A</v>
          </cell>
        </row>
      </sheetData>
      <sheetData sheetId="164">
        <row r="9">
          <cell r="A9" t="str">
            <v>A</v>
          </cell>
        </row>
      </sheetData>
      <sheetData sheetId="165">
        <row r="9">
          <cell r="A9" t="str">
            <v>A</v>
          </cell>
        </row>
      </sheetData>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ow r="9">
          <cell r="A9" t="str">
            <v>A</v>
          </cell>
        </row>
      </sheetData>
      <sheetData sheetId="366">
        <row r="9">
          <cell r="A9" t="str">
            <v>A</v>
          </cell>
        </row>
      </sheetData>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ow r="9">
          <cell r="A9" t="str">
            <v>A</v>
          </cell>
        </row>
      </sheetData>
      <sheetData sheetId="529">
        <row r="9">
          <cell r="A9" t="str">
            <v>A</v>
          </cell>
        </row>
      </sheetData>
      <sheetData sheetId="530">
        <row r="9">
          <cell r="A9" t="str">
            <v>A</v>
          </cell>
        </row>
      </sheetData>
      <sheetData sheetId="531">
        <row r="9">
          <cell r="A9" t="str">
            <v>A</v>
          </cell>
        </row>
      </sheetData>
      <sheetData sheetId="532">
        <row r="9">
          <cell r="A9" t="str">
            <v>A</v>
          </cell>
        </row>
      </sheetData>
      <sheetData sheetId="533">
        <row r="9">
          <cell r="A9" t="str">
            <v>A</v>
          </cell>
        </row>
      </sheetData>
      <sheetData sheetId="534">
        <row r="9">
          <cell r="A9" t="str">
            <v>A</v>
          </cell>
        </row>
      </sheetData>
      <sheetData sheetId="535">
        <row r="9">
          <cell r="A9" t="str">
            <v>A</v>
          </cell>
        </row>
      </sheetData>
      <sheetData sheetId="536">
        <row r="9">
          <cell r="A9" t="str">
            <v>A</v>
          </cell>
        </row>
      </sheetData>
      <sheetData sheetId="537">
        <row r="9">
          <cell r="A9" t="str">
            <v>A</v>
          </cell>
        </row>
      </sheetData>
      <sheetData sheetId="538">
        <row r="9">
          <cell r="A9" t="str">
            <v>A</v>
          </cell>
        </row>
      </sheetData>
      <sheetData sheetId="539">
        <row r="9">
          <cell r="A9" t="str">
            <v>A</v>
          </cell>
        </row>
      </sheetData>
      <sheetData sheetId="540">
        <row r="9">
          <cell r="A9" t="str">
            <v>A</v>
          </cell>
        </row>
      </sheetData>
      <sheetData sheetId="541">
        <row r="9">
          <cell r="A9" t="str">
            <v>A</v>
          </cell>
        </row>
      </sheetData>
      <sheetData sheetId="542">
        <row r="9">
          <cell r="A9" t="str">
            <v>A</v>
          </cell>
        </row>
      </sheetData>
      <sheetData sheetId="543">
        <row r="9">
          <cell r="A9" t="str">
            <v>A</v>
          </cell>
        </row>
      </sheetData>
      <sheetData sheetId="544">
        <row r="9">
          <cell r="A9" t="str">
            <v>A</v>
          </cell>
        </row>
      </sheetData>
      <sheetData sheetId="545">
        <row r="9">
          <cell r="A9" t="str">
            <v>A</v>
          </cell>
        </row>
      </sheetData>
      <sheetData sheetId="546">
        <row r="9">
          <cell r="A9" t="str">
            <v>A</v>
          </cell>
        </row>
      </sheetData>
      <sheetData sheetId="547">
        <row r="9">
          <cell r="A9" t="str">
            <v>A</v>
          </cell>
        </row>
      </sheetData>
      <sheetData sheetId="548">
        <row r="9">
          <cell r="A9" t="str">
            <v>A</v>
          </cell>
        </row>
      </sheetData>
      <sheetData sheetId="549">
        <row r="9">
          <cell r="A9" t="str">
            <v>A</v>
          </cell>
        </row>
      </sheetData>
      <sheetData sheetId="550">
        <row r="9">
          <cell r="A9" t="str">
            <v>A</v>
          </cell>
        </row>
      </sheetData>
      <sheetData sheetId="551">
        <row r="9">
          <cell r="A9" t="str">
            <v>A</v>
          </cell>
        </row>
      </sheetData>
      <sheetData sheetId="552">
        <row r="9">
          <cell r="A9" t="str">
            <v>A</v>
          </cell>
        </row>
      </sheetData>
      <sheetData sheetId="553">
        <row r="9">
          <cell r="A9" t="str">
            <v>A</v>
          </cell>
        </row>
      </sheetData>
      <sheetData sheetId="554">
        <row r="9">
          <cell r="A9" t="str">
            <v>A</v>
          </cell>
        </row>
      </sheetData>
      <sheetData sheetId="555">
        <row r="9">
          <cell r="A9" t="str">
            <v>A</v>
          </cell>
        </row>
      </sheetData>
      <sheetData sheetId="556">
        <row r="9">
          <cell r="A9" t="str">
            <v>A</v>
          </cell>
        </row>
      </sheetData>
      <sheetData sheetId="557">
        <row r="9">
          <cell r="A9" t="str">
            <v>A</v>
          </cell>
        </row>
      </sheetData>
      <sheetData sheetId="558">
        <row r="9">
          <cell r="A9" t="str">
            <v>A</v>
          </cell>
        </row>
      </sheetData>
      <sheetData sheetId="559">
        <row r="9">
          <cell r="A9" t="str">
            <v>A</v>
          </cell>
        </row>
      </sheetData>
      <sheetData sheetId="560">
        <row r="9">
          <cell r="A9" t="str">
            <v>A</v>
          </cell>
        </row>
      </sheetData>
      <sheetData sheetId="561">
        <row r="9">
          <cell r="A9" t="str">
            <v>A</v>
          </cell>
        </row>
      </sheetData>
      <sheetData sheetId="562">
        <row r="9">
          <cell r="A9" t="str">
            <v>A</v>
          </cell>
        </row>
      </sheetData>
      <sheetData sheetId="563">
        <row r="9">
          <cell r="A9" t="str">
            <v>A</v>
          </cell>
        </row>
      </sheetData>
      <sheetData sheetId="564">
        <row r="9">
          <cell r="A9" t="str">
            <v>A</v>
          </cell>
        </row>
      </sheetData>
      <sheetData sheetId="565">
        <row r="9">
          <cell r="A9" t="str">
            <v>A</v>
          </cell>
        </row>
      </sheetData>
      <sheetData sheetId="566">
        <row r="9">
          <cell r="A9" t="str">
            <v>A</v>
          </cell>
        </row>
      </sheetData>
      <sheetData sheetId="567">
        <row r="9">
          <cell r="A9" t="str">
            <v>A</v>
          </cell>
        </row>
      </sheetData>
      <sheetData sheetId="568">
        <row r="9">
          <cell r="A9" t="str">
            <v>A</v>
          </cell>
        </row>
      </sheetData>
      <sheetData sheetId="569">
        <row r="9">
          <cell r="A9" t="str">
            <v>A</v>
          </cell>
        </row>
      </sheetData>
      <sheetData sheetId="570">
        <row r="9">
          <cell r="A9" t="str">
            <v>A</v>
          </cell>
        </row>
      </sheetData>
      <sheetData sheetId="571">
        <row r="9">
          <cell r="A9" t="str">
            <v>A</v>
          </cell>
        </row>
      </sheetData>
      <sheetData sheetId="572">
        <row r="9">
          <cell r="A9" t="str">
            <v>A</v>
          </cell>
        </row>
      </sheetData>
      <sheetData sheetId="573">
        <row r="9">
          <cell r="A9" t="str">
            <v>A</v>
          </cell>
        </row>
      </sheetData>
      <sheetData sheetId="574">
        <row r="9">
          <cell r="A9" t="str">
            <v>A</v>
          </cell>
        </row>
      </sheetData>
      <sheetData sheetId="575">
        <row r="9">
          <cell r="A9" t="str">
            <v>A</v>
          </cell>
        </row>
      </sheetData>
      <sheetData sheetId="576">
        <row r="9">
          <cell r="A9" t="str">
            <v>A</v>
          </cell>
        </row>
      </sheetData>
      <sheetData sheetId="577">
        <row r="9">
          <cell r="A9" t="str">
            <v>A</v>
          </cell>
        </row>
      </sheetData>
      <sheetData sheetId="578">
        <row r="9">
          <cell r="A9" t="str">
            <v>A</v>
          </cell>
        </row>
      </sheetData>
      <sheetData sheetId="579">
        <row r="9">
          <cell r="A9" t="str">
            <v>A</v>
          </cell>
        </row>
      </sheetData>
      <sheetData sheetId="580">
        <row r="9">
          <cell r="A9" t="str">
            <v>A</v>
          </cell>
        </row>
      </sheetData>
      <sheetData sheetId="581">
        <row r="9">
          <cell r="A9" t="str">
            <v>A</v>
          </cell>
        </row>
      </sheetData>
      <sheetData sheetId="582">
        <row r="9">
          <cell r="A9" t="str">
            <v>A</v>
          </cell>
        </row>
      </sheetData>
      <sheetData sheetId="583">
        <row r="9">
          <cell r="A9" t="str">
            <v>A</v>
          </cell>
        </row>
      </sheetData>
      <sheetData sheetId="584">
        <row r="9">
          <cell r="A9" t="str">
            <v>A</v>
          </cell>
        </row>
      </sheetData>
      <sheetData sheetId="585">
        <row r="9">
          <cell r="A9" t="str">
            <v>A</v>
          </cell>
        </row>
      </sheetData>
      <sheetData sheetId="586">
        <row r="9">
          <cell r="A9" t="str">
            <v>A</v>
          </cell>
        </row>
      </sheetData>
      <sheetData sheetId="587">
        <row r="9">
          <cell r="A9" t="str">
            <v>A</v>
          </cell>
        </row>
      </sheetData>
      <sheetData sheetId="588">
        <row r="9">
          <cell r="A9" t="str">
            <v>A</v>
          </cell>
        </row>
      </sheetData>
      <sheetData sheetId="589">
        <row r="9">
          <cell r="A9" t="str">
            <v>A</v>
          </cell>
        </row>
      </sheetData>
      <sheetData sheetId="590">
        <row r="9">
          <cell r="A9" t="str">
            <v>A</v>
          </cell>
        </row>
      </sheetData>
      <sheetData sheetId="591">
        <row r="9">
          <cell r="A9" t="str">
            <v>A</v>
          </cell>
        </row>
      </sheetData>
      <sheetData sheetId="592">
        <row r="9">
          <cell r="A9" t="str">
            <v>A</v>
          </cell>
        </row>
      </sheetData>
      <sheetData sheetId="593">
        <row r="9">
          <cell r="A9" t="str">
            <v>A</v>
          </cell>
        </row>
      </sheetData>
      <sheetData sheetId="594">
        <row r="9">
          <cell r="A9" t="str">
            <v>A</v>
          </cell>
        </row>
      </sheetData>
      <sheetData sheetId="595">
        <row r="9">
          <cell r="A9" t="str">
            <v>A</v>
          </cell>
        </row>
      </sheetData>
      <sheetData sheetId="596">
        <row r="9">
          <cell r="A9" t="str">
            <v>A</v>
          </cell>
        </row>
      </sheetData>
      <sheetData sheetId="597">
        <row r="9">
          <cell r="A9" t="str">
            <v>A</v>
          </cell>
        </row>
      </sheetData>
      <sheetData sheetId="598">
        <row r="9">
          <cell r="A9" t="str">
            <v>A</v>
          </cell>
        </row>
      </sheetData>
      <sheetData sheetId="599">
        <row r="9">
          <cell r="A9" t="str">
            <v>A</v>
          </cell>
        </row>
      </sheetData>
      <sheetData sheetId="600">
        <row r="9">
          <cell r="A9" t="str">
            <v>A</v>
          </cell>
        </row>
      </sheetData>
      <sheetData sheetId="601">
        <row r="9">
          <cell r="A9" t="str">
            <v>A</v>
          </cell>
        </row>
      </sheetData>
      <sheetData sheetId="602">
        <row r="9">
          <cell r="A9" t="str">
            <v>A</v>
          </cell>
        </row>
      </sheetData>
      <sheetData sheetId="603">
        <row r="9">
          <cell r="A9" t="str">
            <v>A</v>
          </cell>
        </row>
      </sheetData>
      <sheetData sheetId="604">
        <row r="9">
          <cell r="A9" t="str">
            <v>A</v>
          </cell>
        </row>
      </sheetData>
      <sheetData sheetId="605">
        <row r="9">
          <cell r="A9" t="str">
            <v>A</v>
          </cell>
        </row>
      </sheetData>
      <sheetData sheetId="606">
        <row r="9">
          <cell r="A9" t="str">
            <v>A</v>
          </cell>
        </row>
      </sheetData>
      <sheetData sheetId="607">
        <row r="9">
          <cell r="A9" t="str">
            <v>A</v>
          </cell>
        </row>
      </sheetData>
      <sheetData sheetId="608">
        <row r="9">
          <cell r="A9" t="str">
            <v>A</v>
          </cell>
        </row>
      </sheetData>
      <sheetData sheetId="609">
        <row r="9">
          <cell r="A9" t="str">
            <v>A</v>
          </cell>
        </row>
      </sheetData>
      <sheetData sheetId="610">
        <row r="9">
          <cell r="A9" t="str">
            <v>A</v>
          </cell>
        </row>
      </sheetData>
      <sheetData sheetId="611">
        <row r="9">
          <cell r="A9" t="str">
            <v>A</v>
          </cell>
        </row>
      </sheetData>
      <sheetData sheetId="612">
        <row r="9">
          <cell r="A9" t="str">
            <v>A</v>
          </cell>
        </row>
      </sheetData>
      <sheetData sheetId="613">
        <row r="9">
          <cell r="A9" t="str">
            <v>A</v>
          </cell>
        </row>
      </sheetData>
      <sheetData sheetId="614">
        <row r="9">
          <cell r="A9" t="str">
            <v>A</v>
          </cell>
        </row>
      </sheetData>
      <sheetData sheetId="615">
        <row r="9">
          <cell r="A9" t="str">
            <v>A</v>
          </cell>
        </row>
      </sheetData>
      <sheetData sheetId="616">
        <row r="9">
          <cell r="A9" t="str">
            <v>A</v>
          </cell>
        </row>
      </sheetData>
      <sheetData sheetId="617">
        <row r="9">
          <cell r="A9" t="str">
            <v>A</v>
          </cell>
        </row>
      </sheetData>
      <sheetData sheetId="618">
        <row r="9">
          <cell r="A9" t="str">
            <v>A</v>
          </cell>
        </row>
      </sheetData>
      <sheetData sheetId="619">
        <row r="9">
          <cell r="A9" t="str">
            <v>A</v>
          </cell>
        </row>
      </sheetData>
      <sheetData sheetId="620">
        <row r="9">
          <cell r="A9" t="str">
            <v>A</v>
          </cell>
        </row>
      </sheetData>
      <sheetData sheetId="621">
        <row r="9">
          <cell r="A9" t="str">
            <v>A</v>
          </cell>
        </row>
      </sheetData>
      <sheetData sheetId="622">
        <row r="9">
          <cell r="A9" t="str">
            <v>A</v>
          </cell>
        </row>
      </sheetData>
      <sheetData sheetId="623">
        <row r="9">
          <cell r="A9" t="str">
            <v>A</v>
          </cell>
        </row>
      </sheetData>
      <sheetData sheetId="624">
        <row r="9">
          <cell r="A9" t="str">
            <v>A</v>
          </cell>
        </row>
      </sheetData>
      <sheetData sheetId="625">
        <row r="9">
          <cell r="A9" t="str">
            <v>A</v>
          </cell>
        </row>
      </sheetData>
      <sheetData sheetId="626">
        <row r="9">
          <cell r="A9" t="str">
            <v>A</v>
          </cell>
        </row>
      </sheetData>
      <sheetData sheetId="627">
        <row r="9">
          <cell r="A9" t="str">
            <v>A</v>
          </cell>
        </row>
      </sheetData>
      <sheetData sheetId="628">
        <row r="9">
          <cell r="A9" t="str">
            <v>A</v>
          </cell>
        </row>
      </sheetData>
      <sheetData sheetId="629">
        <row r="9">
          <cell r="A9" t="str">
            <v>A</v>
          </cell>
        </row>
      </sheetData>
      <sheetData sheetId="630">
        <row r="9">
          <cell r="A9" t="str">
            <v>A</v>
          </cell>
        </row>
      </sheetData>
      <sheetData sheetId="631">
        <row r="9">
          <cell r="A9" t="str">
            <v>A</v>
          </cell>
        </row>
      </sheetData>
      <sheetData sheetId="632">
        <row r="9">
          <cell r="A9" t="str">
            <v>A</v>
          </cell>
        </row>
      </sheetData>
      <sheetData sheetId="633">
        <row r="9">
          <cell r="A9" t="str">
            <v>A</v>
          </cell>
        </row>
      </sheetData>
      <sheetData sheetId="634">
        <row r="9">
          <cell r="A9" t="str">
            <v>A</v>
          </cell>
        </row>
      </sheetData>
      <sheetData sheetId="635">
        <row r="9">
          <cell r="A9" t="str">
            <v>A</v>
          </cell>
        </row>
      </sheetData>
      <sheetData sheetId="636">
        <row r="9">
          <cell r="A9" t="str">
            <v>A</v>
          </cell>
        </row>
      </sheetData>
      <sheetData sheetId="637">
        <row r="9">
          <cell r="A9" t="str">
            <v>A</v>
          </cell>
        </row>
      </sheetData>
      <sheetData sheetId="638">
        <row r="9">
          <cell r="A9" t="str">
            <v>A</v>
          </cell>
        </row>
      </sheetData>
      <sheetData sheetId="639">
        <row r="9">
          <cell r="A9" t="str">
            <v>A</v>
          </cell>
        </row>
      </sheetData>
      <sheetData sheetId="640">
        <row r="9">
          <cell r="A9" t="str">
            <v>A</v>
          </cell>
        </row>
      </sheetData>
      <sheetData sheetId="641">
        <row r="9">
          <cell r="A9" t="str">
            <v>A</v>
          </cell>
        </row>
      </sheetData>
      <sheetData sheetId="642">
        <row r="9">
          <cell r="A9" t="str">
            <v>A</v>
          </cell>
        </row>
      </sheetData>
      <sheetData sheetId="643">
        <row r="9">
          <cell r="A9" t="str">
            <v>A</v>
          </cell>
        </row>
      </sheetData>
      <sheetData sheetId="644">
        <row r="9">
          <cell r="A9" t="str">
            <v>A</v>
          </cell>
        </row>
      </sheetData>
      <sheetData sheetId="645">
        <row r="9">
          <cell r="A9" t="str">
            <v>A</v>
          </cell>
        </row>
      </sheetData>
      <sheetData sheetId="646">
        <row r="9">
          <cell r="A9" t="str">
            <v>A</v>
          </cell>
        </row>
      </sheetData>
      <sheetData sheetId="647">
        <row r="9">
          <cell r="A9" t="str">
            <v>A</v>
          </cell>
        </row>
      </sheetData>
      <sheetData sheetId="648">
        <row r="9">
          <cell r="A9" t="str">
            <v>A</v>
          </cell>
        </row>
      </sheetData>
      <sheetData sheetId="649">
        <row r="9">
          <cell r="A9" t="str">
            <v>A</v>
          </cell>
        </row>
      </sheetData>
      <sheetData sheetId="650">
        <row r="9">
          <cell r="A9" t="str">
            <v>A</v>
          </cell>
        </row>
      </sheetData>
      <sheetData sheetId="651">
        <row r="9">
          <cell r="A9" t="str">
            <v>A</v>
          </cell>
        </row>
      </sheetData>
      <sheetData sheetId="652">
        <row r="9">
          <cell r="A9" t="str">
            <v>A</v>
          </cell>
        </row>
      </sheetData>
      <sheetData sheetId="653">
        <row r="9">
          <cell r="A9" t="str">
            <v>A</v>
          </cell>
        </row>
      </sheetData>
      <sheetData sheetId="654">
        <row r="9">
          <cell r="A9" t="str">
            <v>A</v>
          </cell>
        </row>
      </sheetData>
      <sheetData sheetId="655">
        <row r="9">
          <cell r="A9" t="str">
            <v>A</v>
          </cell>
        </row>
      </sheetData>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ow r="9">
          <cell r="A9" t="str">
            <v>A</v>
          </cell>
        </row>
      </sheetData>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ow r="9">
          <cell r="A9" t="str">
            <v>A</v>
          </cell>
        </row>
      </sheetData>
      <sheetData sheetId="702">
        <row r="9">
          <cell r="A9" t="str">
            <v>A</v>
          </cell>
        </row>
      </sheetData>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ow r="9">
          <cell r="A9" t="str">
            <v>A</v>
          </cell>
        </row>
      </sheetData>
      <sheetData sheetId="761">
        <row r="9">
          <cell r="A9" t="str">
            <v>A</v>
          </cell>
        </row>
      </sheetData>
      <sheetData sheetId="762">
        <row r="9">
          <cell r="A9" t="str">
            <v>A</v>
          </cell>
        </row>
      </sheetData>
      <sheetData sheetId="763">
        <row r="9">
          <cell r="A9" t="str">
            <v>A</v>
          </cell>
        </row>
      </sheetData>
      <sheetData sheetId="764">
        <row r="9">
          <cell r="A9" t="str">
            <v>A</v>
          </cell>
        </row>
      </sheetData>
      <sheetData sheetId="765">
        <row r="9">
          <cell r="A9" t="str">
            <v>A</v>
          </cell>
        </row>
      </sheetData>
      <sheetData sheetId="766">
        <row r="9">
          <cell r="A9" t="str">
            <v>A</v>
          </cell>
        </row>
      </sheetData>
      <sheetData sheetId="767">
        <row r="9">
          <cell r="A9" t="str">
            <v>A</v>
          </cell>
        </row>
      </sheetData>
      <sheetData sheetId="768">
        <row r="9">
          <cell r="A9" t="str">
            <v>A</v>
          </cell>
        </row>
      </sheetData>
      <sheetData sheetId="769">
        <row r="9">
          <cell r="A9" t="str">
            <v>A</v>
          </cell>
        </row>
      </sheetData>
      <sheetData sheetId="770">
        <row r="9">
          <cell r="A9" t="str">
            <v>A</v>
          </cell>
        </row>
      </sheetData>
      <sheetData sheetId="771">
        <row r="9">
          <cell r="A9" t="str">
            <v>A</v>
          </cell>
        </row>
      </sheetData>
      <sheetData sheetId="772">
        <row r="9">
          <cell r="A9" t="str">
            <v>A</v>
          </cell>
        </row>
      </sheetData>
      <sheetData sheetId="773">
        <row r="9">
          <cell r="A9" t="str">
            <v>A</v>
          </cell>
        </row>
      </sheetData>
      <sheetData sheetId="774">
        <row r="9">
          <cell r="A9" t="str">
            <v>A</v>
          </cell>
        </row>
      </sheetData>
      <sheetData sheetId="775">
        <row r="9">
          <cell r="A9" t="str">
            <v>A</v>
          </cell>
        </row>
      </sheetData>
      <sheetData sheetId="776">
        <row r="9">
          <cell r="A9" t="str">
            <v>A</v>
          </cell>
        </row>
      </sheetData>
      <sheetData sheetId="777">
        <row r="9">
          <cell r="A9" t="str">
            <v>A</v>
          </cell>
        </row>
      </sheetData>
      <sheetData sheetId="778">
        <row r="9">
          <cell r="A9" t="str">
            <v>A</v>
          </cell>
        </row>
      </sheetData>
      <sheetData sheetId="779">
        <row r="9">
          <cell r="A9" t="str">
            <v>A</v>
          </cell>
        </row>
      </sheetData>
      <sheetData sheetId="780">
        <row r="9">
          <cell r="A9" t="str">
            <v>A</v>
          </cell>
        </row>
      </sheetData>
      <sheetData sheetId="781">
        <row r="9">
          <cell r="A9" t="str">
            <v>A</v>
          </cell>
        </row>
      </sheetData>
      <sheetData sheetId="782">
        <row r="9">
          <cell r="A9" t="str">
            <v>A</v>
          </cell>
        </row>
      </sheetData>
      <sheetData sheetId="783">
        <row r="9">
          <cell r="A9" t="str">
            <v>A</v>
          </cell>
        </row>
      </sheetData>
      <sheetData sheetId="784">
        <row r="9">
          <cell r="A9" t="str">
            <v>A</v>
          </cell>
        </row>
      </sheetData>
      <sheetData sheetId="785">
        <row r="9">
          <cell r="A9" t="str">
            <v>A</v>
          </cell>
        </row>
      </sheetData>
      <sheetData sheetId="786">
        <row r="9">
          <cell r="A9" t="str">
            <v>A</v>
          </cell>
        </row>
      </sheetData>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ow r="9">
          <cell r="A9" t="str">
            <v>A</v>
          </cell>
        </row>
      </sheetData>
      <sheetData sheetId="801">
        <row r="9">
          <cell r="A9" t="str">
            <v>A</v>
          </cell>
        </row>
      </sheetData>
      <sheetData sheetId="802">
        <row r="9">
          <cell r="A9" t="str">
            <v>A</v>
          </cell>
        </row>
      </sheetData>
      <sheetData sheetId="803">
        <row r="9">
          <cell r="A9" t="str">
            <v>A</v>
          </cell>
        </row>
      </sheetData>
      <sheetData sheetId="804">
        <row r="9">
          <cell r="A9" t="str">
            <v>A</v>
          </cell>
        </row>
      </sheetData>
      <sheetData sheetId="805">
        <row r="9">
          <cell r="A9" t="str">
            <v>A</v>
          </cell>
        </row>
      </sheetData>
      <sheetData sheetId="806">
        <row r="9">
          <cell r="A9" t="str">
            <v>A</v>
          </cell>
        </row>
      </sheetData>
      <sheetData sheetId="807">
        <row r="9">
          <cell r="A9" t="str">
            <v>A</v>
          </cell>
        </row>
      </sheetData>
      <sheetData sheetId="808">
        <row r="9">
          <cell r="A9" t="str">
            <v>A</v>
          </cell>
        </row>
      </sheetData>
      <sheetData sheetId="809">
        <row r="9">
          <cell r="A9" t="str">
            <v>A</v>
          </cell>
        </row>
      </sheetData>
      <sheetData sheetId="810">
        <row r="9">
          <cell r="A9" t="str">
            <v>A</v>
          </cell>
        </row>
      </sheetData>
      <sheetData sheetId="811">
        <row r="9">
          <cell r="A9" t="str">
            <v>A</v>
          </cell>
        </row>
      </sheetData>
      <sheetData sheetId="812">
        <row r="9">
          <cell r="A9" t="str">
            <v>A</v>
          </cell>
        </row>
      </sheetData>
      <sheetData sheetId="813">
        <row r="9">
          <cell r="A9" t="str">
            <v>A</v>
          </cell>
        </row>
      </sheetData>
      <sheetData sheetId="814">
        <row r="9">
          <cell r="A9" t="str">
            <v>A</v>
          </cell>
        </row>
      </sheetData>
      <sheetData sheetId="815">
        <row r="9">
          <cell r="A9" t="str">
            <v>A</v>
          </cell>
        </row>
      </sheetData>
      <sheetData sheetId="816">
        <row r="9">
          <cell r="A9" t="str">
            <v>A</v>
          </cell>
        </row>
      </sheetData>
      <sheetData sheetId="817">
        <row r="9">
          <cell r="A9" t="str">
            <v>A</v>
          </cell>
        </row>
      </sheetData>
      <sheetData sheetId="818">
        <row r="9">
          <cell r="A9" t="str">
            <v>A</v>
          </cell>
        </row>
      </sheetData>
      <sheetData sheetId="819">
        <row r="9">
          <cell r="A9" t="str">
            <v>A</v>
          </cell>
        </row>
      </sheetData>
      <sheetData sheetId="820">
        <row r="9">
          <cell r="A9" t="str">
            <v>A</v>
          </cell>
        </row>
      </sheetData>
      <sheetData sheetId="821">
        <row r="9">
          <cell r="A9" t="str">
            <v>A</v>
          </cell>
        </row>
      </sheetData>
      <sheetData sheetId="822">
        <row r="9">
          <cell r="A9" t="str">
            <v>A</v>
          </cell>
        </row>
      </sheetData>
      <sheetData sheetId="823">
        <row r="9">
          <cell r="A9" t="str">
            <v>A</v>
          </cell>
        </row>
      </sheetData>
      <sheetData sheetId="824">
        <row r="9">
          <cell r="A9" t="str">
            <v>A</v>
          </cell>
        </row>
      </sheetData>
      <sheetData sheetId="825">
        <row r="9">
          <cell r="A9" t="str">
            <v>A</v>
          </cell>
        </row>
      </sheetData>
      <sheetData sheetId="826">
        <row r="9">
          <cell r="A9" t="str">
            <v>A</v>
          </cell>
        </row>
      </sheetData>
      <sheetData sheetId="827">
        <row r="9">
          <cell r="A9" t="str">
            <v>A</v>
          </cell>
        </row>
      </sheetData>
      <sheetData sheetId="828">
        <row r="9">
          <cell r="A9" t="str">
            <v>A</v>
          </cell>
        </row>
      </sheetData>
      <sheetData sheetId="829">
        <row r="9">
          <cell r="A9" t="str">
            <v>A</v>
          </cell>
        </row>
      </sheetData>
      <sheetData sheetId="830">
        <row r="9">
          <cell r="A9" t="str">
            <v>A</v>
          </cell>
        </row>
      </sheetData>
      <sheetData sheetId="831">
        <row r="9">
          <cell r="A9" t="str">
            <v>A</v>
          </cell>
        </row>
      </sheetData>
      <sheetData sheetId="832">
        <row r="9">
          <cell r="A9" t="str">
            <v>A</v>
          </cell>
        </row>
      </sheetData>
      <sheetData sheetId="833">
        <row r="9">
          <cell r="A9" t="str">
            <v>A</v>
          </cell>
        </row>
      </sheetData>
      <sheetData sheetId="834">
        <row r="9">
          <cell r="A9" t="str">
            <v>A</v>
          </cell>
        </row>
      </sheetData>
      <sheetData sheetId="835">
        <row r="9">
          <cell r="A9" t="str">
            <v>A</v>
          </cell>
        </row>
      </sheetData>
      <sheetData sheetId="836">
        <row r="9">
          <cell r="A9" t="str">
            <v>A</v>
          </cell>
        </row>
      </sheetData>
      <sheetData sheetId="837">
        <row r="9">
          <cell r="A9" t="str">
            <v>A</v>
          </cell>
        </row>
      </sheetData>
      <sheetData sheetId="838">
        <row r="9">
          <cell r="A9" t="str">
            <v>A</v>
          </cell>
        </row>
      </sheetData>
      <sheetData sheetId="839">
        <row r="9">
          <cell r="A9" t="str">
            <v>A</v>
          </cell>
        </row>
      </sheetData>
      <sheetData sheetId="840">
        <row r="9">
          <cell r="A9" t="str">
            <v>A</v>
          </cell>
        </row>
      </sheetData>
      <sheetData sheetId="841">
        <row r="9">
          <cell r="A9" t="str">
            <v>A</v>
          </cell>
        </row>
      </sheetData>
      <sheetData sheetId="842">
        <row r="9">
          <cell r="A9" t="str">
            <v>A</v>
          </cell>
        </row>
      </sheetData>
      <sheetData sheetId="843">
        <row r="9">
          <cell r="A9" t="str">
            <v>A</v>
          </cell>
        </row>
      </sheetData>
      <sheetData sheetId="844">
        <row r="9">
          <cell r="A9" t="str">
            <v>A</v>
          </cell>
        </row>
      </sheetData>
      <sheetData sheetId="845">
        <row r="9">
          <cell r="A9" t="str">
            <v>A</v>
          </cell>
        </row>
      </sheetData>
      <sheetData sheetId="846">
        <row r="9">
          <cell r="A9" t="str">
            <v>A</v>
          </cell>
        </row>
      </sheetData>
      <sheetData sheetId="847">
        <row r="9">
          <cell r="A9" t="str">
            <v>A</v>
          </cell>
        </row>
      </sheetData>
      <sheetData sheetId="848">
        <row r="9">
          <cell r="A9" t="str">
            <v>A</v>
          </cell>
        </row>
      </sheetData>
      <sheetData sheetId="849">
        <row r="9">
          <cell r="A9" t="str">
            <v>A</v>
          </cell>
        </row>
      </sheetData>
      <sheetData sheetId="850">
        <row r="9">
          <cell r="A9" t="str">
            <v>A</v>
          </cell>
        </row>
      </sheetData>
      <sheetData sheetId="851">
        <row r="9">
          <cell r="A9" t="str">
            <v>A</v>
          </cell>
        </row>
      </sheetData>
      <sheetData sheetId="852">
        <row r="9">
          <cell r="A9" t="str">
            <v>A</v>
          </cell>
        </row>
      </sheetData>
      <sheetData sheetId="853">
        <row r="9">
          <cell r="A9" t="str">
            <v>A</v>
          </cell>
        </row>
      </sheetData>
      <sheetData sheetId="854">
        <row r="9">
          <cell r="A9" t="str">
            <v>A</v>
          </cell>
        </row>
      </sheetData>
      <sheetData sheetId="855">
        <row r="9">
          <cell r="A9" t="str">
            <v>A</v>
          </cell>
        </row>
      </sheetData>
      <sheetData sheetId="856">
        <row r="9">
          <cell r="A9" t="str">
            <v>A</v>
          </cell>
        </row>
      </sheetData>
      <sheetData sheetId="857">
        <row r="9">
          <cell r="A9" t="str">
            <v>A</v>
          </cell>
        </row>
      </sheetData>
      <sheetData sheetId="858">
        <row r="9">
          <cell r="A9" t="str">
            <v>A</v>
          </cell>
        </row>
      </sheetData>
      <sheetData sheetId="859">
        <row r="9">
          <cell r="A9" t="str">
            <v>A</v>
          </cell>
        </row>
      </sheetData>
      <sheetData sheetId="860">
        <row r="9">
          <cell r="A9" t="str">
            <v>A</v>
          </cell>
        </row>
      </sheetData>
      <sheetData sheetId="861">
        <row r="9">
          <cell r="A9" t="str">
            <v>A</v>
          </cell>
        </row>
      </sheetData>
      <sheetData sheetId="862">
        <row r="9">
          <cell r="A9" t="str">
            <v>A</v>
          </cell>
        </row>
      </sheetData>
      <sheetData sheetId="863">
        <row r="9">
          <cell r="A9" t="str">
            <v>A</v>
          </cell>
        </row>
      </sheetData>
      <sheetData sheetId="864">
        <row r="9">
          <cell r="A9" t="str">
            <v>A</v>
          </cell>
        </row>
      </sheetData>
      <sheetData sheetId="865">
        <row r="9">
          <cell r="A9" t="str">
            <v>A</v>
          </cell>
        </row>
      </sheetData>
      <sheetData sheetId="866">
        <row r="9">
          <cell r="A9" t="str">
            <v>A</v>
          </cell>
        </row>
      </sheetData>
      <sheetData sheetId="867">
        <row r="9">
          <cell r="A9" t="str">
            <v>A</v>
          </cell>
        </row>
      </sheetData>
      <sheetData sheetId="868">
        <row r="9">
          <cell r="A9" t="str">
            <v>A</v>
          </cell>
        </row>
      </sheetData>
      <sheetData sheetId="869">
        <row r="9">
          <cell r="A9" t="str">
            <v>A</v>
          </cell>
        </row>
      </sheetData>
      <sheetData sheetId="870">
        <row r="9">
          <cell r="A9" t="str">
            <v>A</v>
          </cell>
        </row>
      </sheetData>
      <sheetData sheetId="871">
        <row r="9">
          <cell r="A9" t="str">
            <v>A</v>
          </cell>
        </row>
      </sheetData>
      <sheetData sheetId="872">
        <row r="9">
          <cell r="A9" t="str">
            <v>A</v>
          </cell>
        </row>
      </sheetData>
      <sheetData sheetId="873">
        <row r="9">
          <cell r="A9" t="str">
            <v>A</v>
          </cell>
        </row>
      </sheetData>
      <sheetData sheetId="874">
        <row r="9">
          <cell r="A9" t="str">
            <v>A</v>
          </cell>
        </row>
      </sheetData>
      <sheetData sheetId="875">
        <row r="9">
          <cell r="A9" t="str">
            <v>A</v>
          </cell>
        </row>
      </sheetData>
      <sheetData sheetId="876">
        <row r="9">
          <cell r="A9" t="str">
            <v>A</v>
          </cell>
        </row>
      </sheetData>
      <sheetData sheetId="877">
        <row r="9">
          <cell r="A9" t="str">
            <v>A</v>
          </cell>
        </row>
      </sheetData>
      <sheetData sheetId="878">
        <row r="9">
          <cell r="A9" t="str">
            <v>A</v>
          </cell>
        </row>
      </sheetData>
      <sheetData sheetId="879">
        <row r="9">
          <cell r="A9" t="str">
            <v>A</v>
          </cell>
        </row>
      </sheetData>
      <sheetData sheetId="880">
        <row r="9">
          <cell r="A9" t="str">
            <v>A</v>
          </cell>
        </row>
      </sheetData>
      <sheetData sheetId="881">
        <row r="9">
          <cell r="A9" t="str">
            <v>A</v>
          </cell>
        </row>
      </sheetData>
      <sheetData sheetId="882">
        <row r="9">
          <cell r="A9" t="str">
            <v>A</v>
          </cell>
        </row>
      </sheetData>
      <sheetData sheetId="883">
        <row r="9">
          <cell r="A9" t="str">
            <v>A</v>
          </cell>
        </row>
      </sheetData>
      <sheetData sheetId="884">
        <row r="9">
          <cell r="A9" t="str">
            <v>A</v>
          </cell>
        </row>
      </sheetData>
      <sheetData sheetId="885">
        <row r="9">
          <cell r="A9" t="str">
            <v>A</v>
          </cell>
        </row>
      </sheetData>
      <sheetData sheetId="886">
        <row r="9">
          <cell r="A9" t="str">
            <v>A</v>
          </cell>
        </row>
      </sheetData>
      <sheetData sheetId="887">
        <row r="9">
          <cell r="A9" t="str">
            <v>A</v>
          </cell>
        </row>
      </sheetData>
      <sheetData sheetId="888">
        <row r="9">
          <cell r="A9" t="str">
            <v>A</v>
          </cell>
        </row>
      </sheetData>
      <sheetData sheetId="889">
        <row r="9">
          <cell r="A9" t="str">
            <v>A</v>
          </cell>
        </row>
      </sheetData>
      <sheetData sheetId="890">
        <row r="9">
          <cell r="A9" t="str">
            <v>A</v>
          </cell>
        </row>
      </sheetData>
      <sheetData sheetId="891">
        <row r="9">
          <cell r="A9" t="str">
            <v>A</v>
          </cell>
        </row>
      </sheetData>
      <sheetData sheetId="892">
        <row r="9">
          <cell r="A9" t="str">
            <v>A</v>
          </cell>
        </row>
      </sheetData>
      <sheetData sheetId="893">
        <row r="9">
          <cell r="A9" t="str">
            <v>A</v>
          </cell>
        </row>
      </sheetData>
      <sheetData sheetId="894">
        <row r="9">
          <cell r="A9" t="str">
            <v>A</v>
          </cell>
        </row>
      </sheetData>
      <sheetData sheetId="895">
        <row r="9">
          <cell r="A9" t="str">
            <v>A</v>
          </cell>
        </row>
      </sheetData>
      <sheetData sheetId="896">
        <row r="9">
          <cell r="A9" t="str">
            <v>A</v>
          </cell>
        </row>
      </sheetData>
      <sheetData sheetId="897">
        <row r="9">
          <cell r="A9" t="str">
            <v>A</v>
          </cell>
        </row>
      </sheetData>
      <sheetData sheetId="898">
        <row r="9">
          <cell r="A9" t="str">
            <v>A</v>
          </cell>
        </row>
      </sheetData>
      <sheetData sheetId="899">
        <row r="9">
          <cell r="A9" t="str">
            <v>A</v>
          </cell>
        </row>
      </sheetData>
      <sheetData sheetId="900">
        <row r="9">
          <cell r="A9" t="str">
            <v>A</v>
          </cell>
        </row>
      </sheetData>
      <sheetData sheetId="901">
        <row r="9">
          <cell r="A9" t="str">
            <v>A</v>
          </cell>
        </row>
      </sheetData>
      <sheetData sheetId="902">
        <row r="9">
          <cell r="A9" t="str">
            <v>A</v>
          </cell>
        </row>
      </sheetData>
      <sheetData sheetId="903">
        <row r="9">
          <cell r="A9" t="str">
            <v>A</v>
          </cell>
        </row>
      </sheetData>
      <sheetData sheetId="904">
        <row r="9">
          <cell r="A9" t="str">
            <v>A</v>
          </cell>
        </row>
      </sheetData>
      <sheetData sheetId="905">
        <row r="9">
          <cell r="A9" t="str">
            <v>A</v>
          </cell>
        </row>
      </sheetData>
      <sheetData sheetId="906">
        <row r="9">
          <cell r="A9" t="str">
            <v>A</v>
          </cell>
        </row>
      </sheetData>
      <sheetData sheetId="907">
        <row r="9">
          <cell r="A9" t="str">
            <v>A</v>
          </cell>
        </row>
      </sheetData>
      <sheetData sheetId="908">
        <row r="9">
          <cell r="A9" t="str">
            <v>A</v>
          </cell>
        </row>
      </sheetData>
      <sheetData sheetId="909">
        <row r="9">
          <cell r="A9" t="str">
            <v>A</v>
          </cell>
        </row>
      </sheetData>
      <sheetData sheetId="910">
        <row r="9">
          <cell r="A9" t="str">
            <v>A</v>
          </cell>
        </row>
      </sheetData>
      <sheetData sheetId="911">
        <row r="9">
          <cell r="A9" t="str">
            <v>A</v>
          </cell>
        </row>
      </sheetData>
      <sheetData sheetId="912">
        <row r="9">
          <cell r="A9" t="str">
            <v>A</v>
          </cell>
        </row>
      </sheetData>
      <sheetData sheetId="913">
        <row r="9">
          <cell r="A9" t="str">
            <v>A</v>
          </cell>
        </row>
      </sheetData>
      <sheetData sheetId="914">
        <row r="9">
          <cell r="A9" t="str">
            <v>A</v>
          </cell>
        </row>
      </sheetData>
      <sheetData sheetId="915">
        <row r="9">
          <cell r="A9" t="str">
            <v>A</v>
          </cell>
        </row>
      </sheetData>
      <sheetData sheetId="916">
        <row r="9">
          <cell r="A9" t="str">
            <v>A</v>
          </cell>
        </row>
      </sheetData>
      <sheetData sheetId="917">
        <row r="9">
          <cell r="A9" t="str">
            <v>A</v>
          </cell>
        </row>
      </sheetData>
      <sheetData sheetId="918">
        <row r="9">
          <cell r="A9" t="str">
            <v>A</v>
          </cell>
        </row>
      </sheetData>
      <sheetData sheetId="919">
        <row r="9">
          <cell r="A9" t="str">
            <v>A</v>
          </cell>
        </row>
      </sheetData>
      <sheetData sheetId="920">
        <row r="9">
          <cell r="A9" t="str">
            <v>A</v>
          </cell>
        </row>
      </sheetData>
      <sheetData sheetId="921">
        <row r="9">
          <cell r="A9" t="str">
            <v>A</v>
          </cell>
        </row>
      </sheetData>
      <sheetData sheetId="922">
        <row r="9">
          <cell r="A9" t="str">
            <v>A</v>
          </cell>
        </row>
      </sheetData>
      <sheetData sheetId="923">
        <row r="9">
          <cell r="A9" t="str">
            <v>A</v>
          </cell>
        </row>
      </sheetData>
      <sheetData sheetId="924">
        <row r="9">
          <cell r="A9" t="str">
            <v>A</v>
          </cell>
        </row>
      </sheetData>
      <sheetData sheetId="925">
        <row r="9">
          <cell r="A9" t="str">
            <v>A</v>
          </cell>
        </row>
      </sheetData>
      <sheetData sheetId="926">
        <row r="9">
          <cell r="A9" t="str">
            <v>A</v>
          </cell>
        </row>
      </sheetData>
      <sheetData sheetId="927">
        <row r="9">
          <cell r="A9" t="str">
            <v>A</v>
          </cell>
        </row>
      </sheetData>
      <sheetData sheetId="928">
        <row r="9">
          <cell r="A9" t="str">
            <v>A</v>
          </cell>
        </row>
      </sheetData>
      <sheetData sheetId="929">
        <row r="9">
          <cell r="A9" t="str">
            <v>A</v>
          </cell>
        </row>
      </sheetData>
      <sheetData sheetId="930">
        <row r="9">
          <cell r="A9" t="str">
            <v>A</v>
          </cell>
        </row>
      </sheetData>
      <sheetData sheetId="931">
        <row r="9">
          <cell r="A9" t="str">
            <v>A</v>
          </cell>
        </row>
      </sheetData>
      <sheetData sheetId="932">
        <row r="9">
          <cell r="A9" t="str">
            <v>A</v>
          </cell>
        </row>
      </sheetData>
      <sheetData sheetId="933">
        <row r="9">
          <cell r="A9" t="str">
            <v>A</v>
          </cell>
        </row>
      </sheetData>
      <sheetData sheetId="934">
        <row r="9">
          <cell r="A9" t="str">
            <v>A</v>
          </cell>
        </row>
      </sheetData>
      <sheetData sheetId="935">
        <row r="9">
          <cell r="A9" t="str">
            <v>A</v>
          </cell>
        </row>
      </sheetData>
      <sheetData sheetId="936">
        <row r="9">
          <cell r="A9" t="str">
            <v>A</v>
          </cell>
        </row>
      </sheetData>
      <sheetData sheetId="937">
        <row r="9">
          <cell r="A9" t="str">
            <v>A</v>
          </cell>
        </row>
      </sheetData>
      <sheetData sheetId="938" refreshError="1"/>
      <sheetData sheetId="939">
        <row r="9">
          <cell r="A9" t="str">
            <v>A</v>
          </cell>
        </row>
      </sheetData>
      <sheetData sheetId="940">
        <row r="9">
          <cell r="A9" t="str">
            <v>A</v>
          </cell>
        </row>
      </sheetData>
      <sheetData sheetId="941">
        <row r="9">
          <cell r="A9" t="str">
            <v>A</v>
          </cell>
        </row>
      </sheetData>
      <sheetData sheetId="942">
        <row r="9">
          <cell r="A9" t="str">
            <v>A</v>
          </cell>
        </row>
      </sheetData>
      <sheetData sheetId="943">
        <row r="9">
          <cell r="A9" t="str">
            <v>A</v>
          </cell>
        </row>
      </sheetData>
      <sheetData sheetId="944">
        <row r="9">
          <cell r="A9" t="str">
            <v>A</v>
          </cell>
        </row>
      </sheetData>
      <sheetData sheetId="945">
        <row r="9">
          <cell r="A9" t="str">
            <v>A</v>
          </cell>
        </row>
      </sheetData>
      <sheetData sheetId="946">
        <row r="9">
          <cell r="A9" t="str">
            <v>A</v>
          </cell>
        </row>
      </sheetData>
      <sheetData sheetId="947">
        <row r="9">
          <cell r="A9" t="str">
            <v>A</v>
          </cell>
        </row>
      </sheetData>
      <sheetData sheetId="948">
        <row r="9">
          <cell r="A9" t="str">
            <v>A</v>
          </cell>
        </row>
      </sheetData>
      <sheetData sheetId="949">
        <row r="9">
          <cell r="A9" t="str">
            <v>A</v>
          </cell>
        </row>
      </sheetData>
      <sheetData sheetId="950">
        <row r="9">
          <cell r="A9" t="str">
            <v>A</v>
          </cell>
        </row>
      </sheetData>
      <sheetData sheetId="951">
        <row r="9">
          <cell r="A9" t="str">
            <v>A</v>
          </cell>
        </row>
      </sheetData>
      <sheetData sheetId="952">
        <row r="9">
          <cell r="A9" t="str">
            <v>A</v>
          </cell>
        </row>
      </sheetData>
      <sheetData sheetId="953">
        <row r="9">
          <cell r="A9" t="str">
            <v>A</v>
          </cell>
        </row>
      </sheetData>
      <sheetData sheetId="954">
        <row r="9">
          <cell r="A9" t="str">
            <v>A</v>
          </cell>
        </row>
      </sheetData>
      <sheetData sheetId="955">
        <row r="9">
          <cell r="A9" t="str">
            <v>A</v>
          </cell>
        </row>
      </sheetData>
      <sheetData sheetId="956">
        <row r="9">
          <cell r="A9" t="str">
            <v>A</v>
          </cell>
        </row>
      </sheetData>
      <sheetData sheetId="957">
        <row r="9">
          <cell r="A9" t="str">
            <v>A</v>
          </cell>
        </row>
      </sheetData>
      <sheetData sheetId="958">
        <row r="9">
          <cell r="A9" t="str">
            <v>A</v>
          </cell>
        </row>
      </sheetData>
      <sheetData sheetId="959">
        <row r="9">
          <cell r="A9" t="str">
            <v>A</v>
          </cell>
        </row>
      </sheetData>
      <sheetData sheetId="960">
        <row r="9">
          <cell r="A9" t="str">
            <v>A</v>
          </cell>
        </row>
      </sheetData>
      <sheetData sheetId="961">
        <row r="9">
          <cell r="A9" t="str">
            <v>A</v>
          </cell>
        </row>
      </sheetData>
      <sheetData sheetId="962">
        <row r="9">
          <cell r="A9" t="str">
            <v>A</v>
          </cell>
        </row>
      </sheetData>
      <sheetData sheetId="963">
        <row r="9">
          <cell r="A9" t="str">
            <v>A</v>
          </cell>
        </row>
      </sheetData>
      <sheetData sheetId="964">
        <row r="9">
          <cell r="A9" t="str">
            <v>A</v>
          </cell>
        </row>
      </sheetData>
      <sheetData sheetId="965">
        <row r="9">
          <cell r="A9" t="str">
            <v>A</v>
          </cell>
        </row>
      </sheetData>
      <sheetData sheetId="966">
        <row r="9">
          <cell r="A9" t="str">
            <v>A</v>
          </cell>
        </row>
      </sheetData>
      <sheetData sheetId="967">
        <row r="9">
          <cell r="A9" t="str">
            <v>A</v>
          </cell>
        </row>
      </sheetData>
      <sheetData sheetId="968">
        <row r="9">
          <cell r="A9" t="str">
            <v>A</v>
          </cell>
        </row>
      </sheetData>
      <sheetData sheetId="969">
        <row r="9">
          <cell r="A9" t="str">
            <v>A</v>
          </cell>
        </row>
      </sheetData>
      <sheetData sheetId="970">
        <row r="9">
          <cell r="A9" t="str">
            <v>A</v>
          </cell>
        </row>
      </sheetData>
      <sheetData sheetId="971">
        <row r="9">
          <cell r="A9" t="str">
            <v>A</v>
          </cell>
        </row>
      </sheetData>
      <sheetData sheetId="972">
        <row r="9">
          <cell r="A9" t="str">
            <v>A</v>
          </cell>
        </row>
      </sheetData>
      <sheetData sheetId="973">
        <row r="9">
          <cell r="A9" t="str">
            <v>A</v>
          </cell>
        </row>
      </sheetData>
      <sheetData sheetId="974">
        <row r="9">
          <cell r="A9" t="str">
            <v>A</v>
          </cell>
        </row>
      </sheetData>
      <sheetData sheetId="975">
        <row r="9">
          <cell r="A9" t="str">
            <v>A</v>
          </cell>
        </row>
      </sheetData>
      <sheetData sheetId="976">
        <row r="9">
          <cell r="A9" t="str">
            <v>A</v>
          </cell>
        </row>
      </sheetData>
      <sheetData sheetId="977">
        <row r="9">
          <cell r="A9" t="str">
            <v>A</v>
          </cell>
        </row>
      </sheetData>
      <sheetData sheetId="978">
        <row r="9">
          <cell r="A9" t="str">
            <v>A</v>
          </cell>
        </row>
      </sheetData>
      <sheetData sheetId="979">
        <row r="9">
          <cell r="A9" t="str">
            <v>A</v>
          </cell>
        </row>
      </sheetData>
      <sheetData sheetId="980">
        <row r="9">
          <cell r="A9" t="str">
            <v>A</v>
          </cell>
        </row>
      </sheetData>
      <sheetData sheetId="981">
        <row r="9">
          <cell r="A9" t="str">
            <v>A</v>
          </cell>
        </row>
      </sheetData>
      <sheetData sheetId="982">
        <row r="9">
          <cell r="A9" t="str">
            <v>A</v>
          </cell>
        </row>
      </sheetData>
      <sheetData sheetId="983">
        <row r="9">
          <cell r="A9" t="str">
            <v>A</v>
          </cell>
        </row>
      </sheetData>
      <sheetData sheetId="984">
        <row r="9">
          <cell r="A9" t="str">
            <v>A</v>
          </cell>
        </row>
      </sheetData>
      <sheetData sheetId="985">
        <row r="9">
          <cell r="A9" t="str">
            <v>A</v>
          </cell>
        </row>
      </sheetData>
      <sheetData sheetId="986">
        <row r="9">
          <cell r="A9" t="str">
            <v>A</v>
          </cell>
        </row>
      </sheetData>
      <sheetData sheetId="987">
        <row r="9">
          <cell r="A9" t="str">
            <v>A</v>
          </cell>
        </row>
      </sheetData>
      <sheetData sheetId="988">
        <row r="9">
          <cell r="A9" t="str">
            <v>A</v>
          </cell>
        </row>
      </sheetData>
      <sheetData sheetId="989">
        <row r="9">
          <cell r="A9" t="str">
            <v>A</v>
          </cell>
        </row>
      </sheetData>
      <sheetData sheetId="990">
        <row r="9">
          <cell r="A9" t="str">
            <v>A</v>
          </cell>
        </row>
      </sheetData>
      <sheetData sheetId="991">
        <row r="9">
          <cell r="A9" t="str">
            <v>A</v>
          </cell>
        </row>
      </sheetData>
      <sheetData sheetId="992">
        <row r="9">
          <cell r="A9" t="str">
            <v>A</v>
          </cell>
        </row>
      </sheetData>
      <sheetData sheetId="993">
        <row r="9">
          <cell r="A9" t="str">
            <v>A</v>
          </cell>
        </row>
      </sheetData>
      <sheetData sheetId="994">
        <row r="9">
          <cell r="A9" t="str">
            <v>A</v>
          </cell>
        </row>
      </sheetData>
      <sheetData sheetId="995">
        <row r="9">
          <cell r="A9" t="str">
            <v>A</v>
          </cell>
        </row>
      </sheetData>
      <sheetData sheetId="996">
        <row r="9">
          <cell r="A9" t="str">
            <v>A</v>
          </cell>
        </row>
      </sheetData>
      <sheetData sheetId="997">
        <row r="9">
          <cell r="A9" t="str">
            <v>A</v>
          </cell>
        </row>
      </sheetData>
      <sheetData sheetId="998">
        <row r="9">
          <cell r="A9" t="str">
            <v>A</v>
          </cell>
        </row>
      </sheetData>
      <sheetData sheetId="999">
        <row r="9">
          <cell r="A9" t="str">
            <v>A</v>
          </cell>
        </row>
      </sheetData>
      <sheetData sheetId="1000">
        <row r="9">
          <cell r="A9" t="str">
            <v>A</v>
          </cell>
        </row>
      </sheetData>
      <sheetData sheetId="1001">
        <row r="9">
          <cell r="A9" t="str">
            <v>A</v>
          </cell>
        </row>
      </sheetData>
      <sheetData sheetId="1002">
        <row r="9">
          <cell r="A9" t="str">
            <v>A</v>
          </cell>
        </row>
      </sheetData>
      <sheetData sheetId="1003">
        <row r="9">
          <cell r="A9" t="str">
            <v>A</v>
          </cell>
        </row>
      </sheetData>
      <sheetData sheetId="1004">
        <row r="9">
          <cell r="A9" t="str">
            <v>A</v>
          </cell>
        </row>
      </sheetData>
      <sheetData sheetId="1005">
        <row r="9">
          <cell r="A9" t="str">
            <v>A</v>
          </cell>
        </row>
      </sheetData>
      <sheetData sheetId="1006">
        <row r="9">
          <cell r="A9" t="str">
            <v>A</v>
          </cell>
        </row>
      </sheetData>
      <sheetData sheetId="1007">
        <row r="9">
          <cell r="A9" t="str">
            <v>A</v>
          </cell>
        </row>
      </sheetData>
      <sheetData sheetId="1008">
        <row r="9">
          <cell r="A9" t="str">
            <v>A</v>
          </cell>
        </row>
      </sheetData>
      <sheetData sheetId="1009">
        <row r="9">
          <cell r="A9" t="str">
            <v>A</v>
          </cell>
        </row>
      </sheetData>
      <sheetData sheetId="1010">
        <row r="9">
          <cell r="A9" t="str">
            <v>A</v>
          </cell>
        </row>
      </sheetData>
      <sheetData sheetId="1011">
        <row r="9">
          <cell r="A9" t="str">
            <v>A</v>
          </cell>
        </row>
      </sheetData>
      <sheetData sheetId="1012">
        <row r="9">
          <cell r="A9" t="str">
            <v>A</v>
          </cell>
        </row>
      </sheetData>
      <sheetData sheetId="1013">
        <row r="9">
          <cell r="A9" t="str">
            <v>A</v>
          </cell>
        </row>
      </sheetData>
      <sheetData sheetId="1014">
        <row r="9">
          <cell r="A9" t="str">
            <v>A</v>
          </cell>
        </row>
      </sheetData>
      <sheetData sheetId="1015">
        <row r="9">
          <cell r="A9" t="str">
            <v>A</v>
          </cell>
        </row>
      </sheetData>
      <sheetData sheetId="1016">
        <row r="9">
          <cell r="A9" t="str">
            <v>A</v>
          </cell>
        </row>
      </sheetData>
      <sheetData sheetId="1017">
        <row r="9">
          <cell r="A9" t="str">
            <v>A</v>
          </cell>
        </row>
      </sheetData>
      <sheetData sheetId="1018">
        <row r="9">
          <cell r="A9" t="str">
            <v>A</v>
          </cell>
        </row>
      </sheetData>
      <sheetData sheetId="1019">
        <row r="9">
          <cell r="A9" t="str">
            <v>A</v>
          </cell>
        </row>
      </sheetData>
      <sheetData sheetId="1020">
        <row r="9">
          <cell r="A9" t="str">
            <v>A</v>
          </cell>
        </row>
      </sheetData>
      <sheetData sheetId="1021">
        <row r="9">
          <cell r="A9" t="str">
            <v>A</v>
          </cell>
        </row>
      </sheetData>
      <sheetData sheetId="1022">
        <row r="9">
          <cell r="A9" t="str">
            <v>A</v>
          </cell>
        </row>
      </sheetData>
      <sheetData sheetId="1023">
        <row r="9">
          <cell r="A9" t="str">
            <v>A</v>
          </cell>
        </row>
      </sheetData>
      <sheetData sheetId="1024">
        <row r="9">
          <cell r="A9" t="str">
            <v>A</v>
          </cell>
        </row>
      </sheetData>
      <sheetData sheetId="1025">
        <row r="9">
          <cell r="A9" t="str">
            <v>A</v>
          </cell>
        </row>
      </sheetData>
      <sheetData sheetId="1026">
        <row r="9">
          <cell r="A9" t="str">
            <v>A</v>
          </cell>
        </row>
      </sheetData>
      <sheetData sheetId="1027">
        <row r="9">
          <cell r="A9" t="str">
            <v>A</v>
          </cell>
        </row>
      </sheetData>
      <sheetData sheetId="1028">
        <row r="9">
          <cell r="A9" t="str">
            <v>A</v>
          </cell>
        </row>
      </sheetData>
      <sheetData sheetId="1029">
        <row r="9">
          <cell r="A9" t="str">
            <v>A</v>
          </cell>
        </row>
      </sheetData>
      <sheetData sheetId="1030">
        <row r="9">
          <cell r="A9" t="str">
            <v>A</v>
          </cell>
        </row>
      </sheetData>
      <sheetData sheetId="1031">
        <row r="9">
          <cell r="A9" t="str">
            <v>A</v>
          </cell>
        </row>
      </sheetData>
      <sheetData sheetId="1032">
        <row r="9">
          <cell r="A9" t="str">
            <v>A</v>
          </cell>
        </row>
      </sheetData>
      <sheetData sheetId="1033">
        <row r="9">
          <cell r="A9" t="str">
            <v>A</v>
          </cell>
        </row>
      </sheetData>
      <sheetData sheetId="1034">
        <row r="9">
          <cell r="A9" t="str">
            <v>A</v>
          </cell>
        </row>
      </sheetData>
      <sheetData sheetId="1035">
        <row r="9">
          <cell r="A9" t="str">
            <v>A</v>
          </cell>
        </row>
      </sheetData>
      <sheetData sheetId="1036">
        <row r="9">
          <cell r="A9" t="str">
            <v>A</v>
          </cell>
        </row>
      </sheetData>
      <sheetData sheetId="1037">
        <row r="9">
          <cell r="A9" t="str">
            <v>A</v>
          </cell>
        </row>
      </sheetData>
      <sheetData sheetId="1038">
        <row r="9">
          <cell r="A9" t="str">
            <v>A</v>
          </cell>
        </row>
      </sheetData>
      <sheetData sheetId="1039">
        <row r="9">
          <cell r="A9" t="str">
            <v>A</v>
          </cell>
        </row>
      </sheetData>
      <sheetData sheetId="1040">
        <row r="9">
          <cell r="A9" t="str">
            <v>A</v>
          </cell>
        </row>
      </sheetData>
      <sheetData sheetId="1041">
        <row r="9">
          <cell r="A9" t="str">
            <v>A</v>
          </cell>
        </row>
      </sheetData>
      <sheetData sheetId="1042">
        <row r="9">
          <cell r="A9" t="str">
            <v>A</v>
          </cell>
        </row>
      </sheetData>
      <sheetData sheetId="1043">
        <row r="9">
          <cell r="A9" t="str">
            <v>A</v>
          </cell>
        </row>
      </sheetData>
      <sheetData sheetId="1044">
        <row r="9">
          <cell r="A9" t="str">
            <v>A</v>
          </cell>
        </row>
      </sheetData>
      <sheetData sheetId="1045">
        <row r="9">
          <cell r="A9" t="str">
            <v>A</v>
          </cell>
        </row>
      </sheetData>
      <sheetData sheetId="1046">
        <row r="9">
          <cell r="A9" t="str">
            <v>A</v>
          </cell>
        </row>
      </sheetData>
      <sheetData sheetId="1047">
        <row r="9">
          <cell r="A9" t="str">
            <v>A</v>
          </cell>
        </row>
      </sheetData>
      <sheetData sheetId="1048">
        <row r="9">
          <cell r="A9" t="str">
            <v>A</v>
          </cell>
        </row>
      </sheetData>
      <sheetData sheetId="1049">
        <row r="9">
          <cell r="A9" t="str">
            <v>A</v>
          </cell>
        </row>
      </sheetData>
      <sheetData sheetId="1050">
        <row r="9">
          <cell r="A9" t="str">
            <v>A</v>
          </cell>
        </row>
      </sheetData>
      <sheetData sheetId="1051">
        <row r="9">
          <cell r="A9" t="str">
            <v>A</v>
          </cell>
        </row>
      </sheetData>
      <sheetData sheetId="1052">
        <row r="9">
          <cell r="A9" t="str">
            <v>A</v>
          </cell>
        </row>
      </sheetData>
      <sheetData sheetId="1053">
        <row r="9">
          <cell r="A9" t="str">
            <v>A</v>
          </cell>
        </row>
      </sheetData>
      <sheetData sheetId="1054">
        <row r="9">
          <cell r="A9" t="str">
            <v>A</v>
          </cell>
        </row>
      </sheetData>
      <sheetData sheetId="1055">
        <row r="9">
          <cell r="A9" t="str">
            <v>A</v>
          </cell>
        </row>
      </sheetData>
      <sheetData sheetId="1056">
        <row r="9">
          <cell r="A9" t="str">
            <v>A</v>
          </cell>
        </row>
      </sheetData>
      <sheetData sheetId="1057">
        <row r="9">
          <cell r="A9" t="str">
            <v>A</v>
          </cell>
        </row>
      </sheetData>
      <sheetData sheetId="1058">
        <row r="9">
          <cell r="A9" t="str">
            <v>A</v>
          </cell>
        </row>
      </sheetData>
      <sheetData sheetId="1059">
        <row r="9">
          <cell r="A9" t="str">
            <v>A</v>
          </cell>
        </row>
      </sheetData>
      <sheetData sheetId="1060">
        <row r="9">
          <cell r="A9" t="str">
            <v>A</v>
          </cell>
        </row>
      </sheetData>
      <sheetData sheetId="1061">
        <row r="9">
          <cell r="A9" t="str">
            <v>A</v>
          </cell>
        </row>
      </sheetData>
      <sheetData sheetId="1062">
        <row r="9">
          <cell r="A9" t="str">
            <v>A</v>
          </cell>
        </row>
      </sheetData>
      <sheetData sheetId="1063">
        <row r="9">
          <cell r="A9" t="str">
            <v>A</v>
          </cell>
        </row>
      </sheetData>
      <sheetData sheetId="1064">
        <row r="9">
          <cell r="A9" t="str">
            <v>A</v>
          </cell>
        </row>
      </sheetData>
      <sheetData sheetId="1065">
        <row r="9">
          <cell r="A9" t="str">
            <v>A</v>
          </cell>
        </row>
      </sheetData>
      <sheetData sheetId="1066">
        <row r="9">
          <cell r="A9" t="str">
            <v>A</v>
          </cell>
        </row>
      </sheetData>
      <sheetData sheetId="1067">
        <row r="9">
          <cell r="A9" t="str">
            <v>A</v>
          </cell>
        </row>
      </sheetData>
      <sheetData sheetId="1068">
        <row r="9">
          <cell r="A9" t="str">
            <v>A</v>
          </cell>
        </row>
      </sheetData>
      <sheetData sheetId="1069">
        <row r="9">
          <cell r="A9" t="str">
            <v>A</v>
          </cell>
        </row>
      </sheetData>
      <sheetData sheetId="1070">
        <row r="9">
          <cell r="A9" t="str">
            <v>A</v>
          </cell>
        </row>
      </sheetData>
      <sheetData sheetId="1071">
        <row r="9">
          <cell r="A9" t="str">
            <v>A</v>
          </cell>
        </row>
      </sheetData>
      <sheetData sheetId="1072">
        <row r="9">
          <cell r="A9" t="str">
            <v>A</v>
          </cell>
        </row>
      </sheetData>
      <sheetData sheetId="1073">
        <row r="9">
          <cell r="A9" t="str">
            <v>A</v>
          </cell>
        </row>
      </sheetData>
      <sheetData sheetId="1074">
        <row r="9">
          <cell r="A9" t="str">
            <v>A</v>
          </cell>
        </row>
      </sheetData>
      <sheetData sheetId="1075">
        <row r="9">
          <cell r="A9" t="str">
            <v>A</v>
          </cell>
        </row>
      </sheetData>
      <sheetData sheetId="1076">
        <row r="9">
          <cell r="A9" t="str">
            <v>A</v>
          </cell>
        </row>
      </sheetData>
      <sheetData sheetId="1077">
        <row r="9">
          <cell r="A9" t="str">
            <v>A</v>
          </cell>
        </row>
      </sheetData>
      <sheetData sheetId="1078">
        <row r="9">
          <cell r="A9" t="str">
            <v>A</v>
          </cell>
        </row>
      </sheetData>
      <sheetData sheetId="1079">
        <row r="9">
          <cell r="A9" t="str">
            <v>A</v>
          </cell>
        </row>
      </sheetData>
      <sheetData sheetId="1080">
        <row r="9">
          <cell r="A9" t="str">
            <v>A</v>
          </cell>
        </row>
      </sheetData>
      <sheetData sheetId="1081">
        <row r="9">
          <cell r="A9" t="str">
            <v>A</v>
          </cell>
        </row>
      </sheetData>
      <sheetData sheetId="1082">
        <row r="9">
          <cell r="A9" t="str">
            <v>A</v>
          </cell>
        </row>
      </sheetData>
      <sheetData sheetId="1083">
        <row r="9">
          <cell r="A9" t="str">
            <v>A</v>
          </cell>
        </row>
      </sheetData>
      <sheetData sheetId="1084">
        <row r="9">
          <cell r="A9" t="str">
            <v>A</v>
          </cell>
        </row>
      </sheetData>
      <sheetData sheetId="1085">
        <row r="9">
          <cell r="A9" t="str">
            <v>A</v>
          </cell>
        </row>
      </sheetData>
      <sheetData sheetId="1086">
        <row r="9">
          <cell r="A9" t="str">
            <v>A</v>
          </cell>
        </row>
      </sheetData>
      <sheetData sheetId="1087">
        <row r="9">
          <cell r="A9" t="str">
            <v>A</v>
          </cell>
        </row>
      </sheetData>
      <sheetData sheetId="1088">
        <row r="9">
          <cell r="A9" t="str">
            <v>A</v>
          </cell>
        </row>
      </sheetData>
      <sheetData sheetId="1089">
        <row r="9">
          <cell r="A9" t="str">
            <v>A</v>
          </cell>
        </row>
      </sheetData>
      <sheetData sheetId="1090">
        <row r="9">
          <cell r="A9" t="str">
            <v>A</v>
          </cell>
        </row>
      </sheetData>
      <sheetData sheetId="1091">
        <row r="9">
          <cell r="A9" t="str">
            <v>A</v>
          </cell>
        </row>
      </sheetData>
      <sheetData sheetId="1092">
        <row r="9">
          <cell r="A9" t="str">
            <v>A</v>
          </cell>
        </row>
      </sheetData>
      <sheetData sheetId="1093">
        <row r="9">
          <cell r="A9" t="str">
            <v>A</v>
          </cell>
        </row>
      </sheetData>
      <sheetData sheetId="1094">
        <row r="9">
          <cell r="A9" t="str">
            <v>A</v>
          </cell>
        </row>
      </sheetData>
      <sheetData sheetId="1095">
        <row r="9">
          <cell r="A9" t="str">
            <v>A</v>
          </cell>
        </row>
      </sheetData>
      <sheetData sheetId="1096">
        <row r="9">
          <cell r="A9" t="str">
            <v>A</v>
          </cell>
        </row>
      </sheetData>
      <sheetData sheetId="1097">
        <row r="9">
          <cell r="A9" t="str">
            <v>A</v>
          </cell>
        </row>
      </sheetData>
      <sheetData sheetId="1098">
        <row r="9">
          <cell r="A9" t="str">
            <v>A</v>
          </cell>
        </row>
      </sheetData>
      <sheetData sheetId="1099">
        <row r="9">
          <cell r="A9" t="str">
            <v>A</v>
          </cell>
        </row>
      </sheetData>
      <sheetData sheetId="1100">
        <row r="9">
          <cell r="A9" t="str">
            <v>A</v>
          </cell>
        </row>
      </sheetData>
      <sheetData sheetId="1101">
        <row r="9">
          <cell r="A9" t="str">
            <v>A</v>
          </cell>
        </row>
      </sheetData>
      <sheetData sheetId="1102">
        <row r="9">
          <cell r="A9" t="str">
            <v>A</v>
          </cell>
        </row>
      </sheetData>
      <sheetData sheetId="1103">
        <row r="9">
          <cell r="A9" t="str">
            <v>A</v>
          </cell>
        </row>
      </sheetData>
      <sheetData sheetId="1104">
        <row r="9">
          <cell r="A9" t="str">
            <v>A</v>
          </cell>
        </row>
      </sheetData>
      <sheetData sheetId="1105">
        <row r="9">
          <cell r="A9" t="str">
            <v>A</v>
          </cell>
        </row>
      </sheetData>
      <sheetData sheetId="1106">
        <row r="9">
          <cell r="A9" t="str">
            <v>A</v>
          </cell>
        </row>
      </sheetData>
      <sheetData sheetId="1107">
        <row r="9">
          <cell r="A9" t="str">
            <v>A</v>
          </cell>
        </row>
      </sheetData>
      <sheetData sheetId="1108">
        <row r="9">
          <cell r="A9" t="str">
            <v>A</v>
          </cell>
        </row>
      </sheetData>
      <sheetData sheetId="1109">
        <row r="9">
          <cell r="A9" t="str">
            <v>A</v>
          </cell>
        </row>
      </sheetData>
      <sheetData sheetId="1110">
        <row r="9">
          <cell r="A9" t="str">
            <v>A</v>
          </cell>
        </row>
      </sheetData>
      <sheetData sheetId="1111">
        <row r="9">
          <cell r="A9" t="str">
            <v>A</v>
          </cell>
        </row>
      </sheetData>
      <sheetData sheetId="1112">
        <row r="9">
          <cell r="A9" t="str">
            <v>A</v>
          </cell>
        </row>
      </sheetData>
      <sheetData sheetId="1113">
        <row r="9">
          <cell r="A9" t="str">
            <v>A</v>
          </cell>
        </row>
      </sheetData>
      <sheetData sheetId="1114">
        <row r="9">
          <cell r="A9" t="str">
            <v>A</v>
          </cell>
        </row>
      </sheetData>
      <sheetData sheetId="1115">
        <row r="9">
          <cell r="A9" t="str">
            <v>A</v>
          </cell>
        </row>
      </sheetData>
      <sheetData sheetId="1116">
        <row r="9">
          <cell r="A9" t="str">
            <v>A</v>
          </cell>
        </row>
      </sheetData>
      <sheetData sheetId="1117">
        <row r="9">
          <cell r="A9" t="str">
            <v>A</v>
          </cell>
        </row>
      </sheetData>
      <sheetData sheetId="1118">
        <row r="9">
          <cell r="A9" t="str">
            <v>A</v>
          </cell>
        </row>
      </sheetData>
      <sheetData sheetId="1119">
        <row r="9">
          <cell r="A9" t="str">
            <v>A</v>
          </cell>
        </row>
      </sheetData>
      <sheetData sheetId="1120">
        <row r="9">
          <cell r="A9" t="str">
            <v>A</v>
          </cell>
        </row>
      </sheetData>
      <sheetData sheetId="1121">
        <row r="9">
          <cell r="A9" t="str">
            <v>A</v>
          </cell>
        </row>
      </sheetData>
      <sheetData sheetId="1122">
        <row r="9">
          <cell r="A9" t="str">
            <v>A</v>
          </cell>
        </row>
      </sheetData>
      <sheetData sheetId="1123">
        <row r="9">
          <cell r="A9" t="str">
            <v>A</v>
          </cell>
        </row>
      </sheetData>
      <sheetData sheetId="1124">
        <row r="9">
          <cell r="A9" t="str">
            <v>A</v>
          </cell>
        </row>
      </sheetData>
      <sheetData sheetId="1125">
        <row r="9">
          <cell r="A9" t="str">
            <v>A</v>
          </cell>
        </row>
      </sheetData>
      <sheetData sheetId="1126">
        <row r="9">
          <cell r="A9" t="str">
            <v>A</v>
          </cell>
        </row>
      </sheetData>
      <sheetData sheetId="1127">
        <row r="9">
          <cell r="A9" t="str">
            <v>A</v>
          </cell>
        </row>
      </sheetData>
      <sheetData sheetId="1128">
        <row r="9">
          <cell r="A9" t="str">
            <v>A</v>
          </cell>
        </row>
      </sheetData>
      <sheetData sheetId="1129">
        <row r="9">
          <cell r="A9" t="str">
            <v>A</v>
          </cell>
        </row>
      </sheetData>
      <sheetData sheetId="1130">
        <row r="9">
          <cell r="A9" t="str">
            <v>A</v>
          </cell>
        </row>
      </sheetData>
      <sheetData sheetId="1131">
        <row r="9">
          <cell r="A9" t="str">
            <v>A</v>
          </cell>
        </row>
      </sheetData>
      <sheetData sheetId="1132">
        <row r="9">
          <cell r="A9" t="str">
            <v>A</v>
          </cell>
        </row>
      </sheetData>
      <sheetData sheetId="1133">
        <row r="9">
          <cell r="A9" t="str">
            <v>A</v>
          </cell>
        </row>
      </sheetData>
      <sheetData sheetId="1134">
        <row r="9">
          <cell r="A9" t="str">
            <v>A</v>
          </cell>
        </row>
      </sheetData>
      <sheetData sheetId="1135">
        <row r="9">
          <cell r="A9" t="str">
            <v>A</v>
          </cell>
        </row>
      </sheetData>
      <sheetData sheetId="1136">
        <row r="9">
          <cell r="A9" t="str">
            <v>A</v>
          </cell>
        </row>
      </sheetData>
      <sheetData sheetId="1137">
        <row r="9">
          <cell r="A9" t="str">
            <v>A</v>
          </cell>
        </row>
      </sheetData>
      <sheetData sheetId="1138">
        <row r="9">
          <cell r="A9" t="str">
            <v>A</v>
          </cell>
        </row>
      </sheetData>
      <sheetData sheetId="1139">
        <row r="9">
          <cell r="A9" t="str">
            <v>A</v>
          </cell>
        </row>
      </sheetData>
      <sheetData sheetId="1140">
        <row r="9">
          <cell r="A9" t="str">
            <v>A</v>
          </cell>
        </row>
      </sheetData>
      <sheetData sheetId="1141">
        <row r="9">
          <cell r="A9" t="str">
            <v>A</v>
          </cell>
        </row>
      </sheetData>
      <sheetData sheetId="1142">
        <row r="9">
          <cell r="A9" t="str">
            <v>A</v>
          </cell>
        </row>
      </sheetData>
      <sheetData sheetId="1143">
        <row r="9">
          <cell r="A9" t="str">
            <v>A</v>
          </cell>
        </row>
      </sheetData>
      <sheetData sheetId="1144">
        <row r="9">
          <cell r="A9" t="str">
            <v>A</v>
          </cell>
        </row>
      </sheetData>
      <sheetData sheetId="1145">
        <row r="9">
          <cell r="A9" t="str">
            <v>A</v>
          </cell>
        </row>
      </sheetData>
      <sheetData sheetId="1146">
        <row r="9">
          <cell r="A9" t="str">
            <v>A</v>
          </cell>
        </row>
      </sheetData>
      <sheetData sheetId="1147">
        <row r="9">
          <cell r="A9" t="str">
            <v>A</v>
          </cell>
        </row>
      </sheetData>
      <sheetData sheetId="1148">
        <row r="9">
          <cell r="A9" t="str">
            <v>A</v>
          </cell>
        </row>
      </sheetData>
      <sheetData sheetId="1149">
        <row r="9">
          <cell r="A9" t="str">
            <v>A</v>
          </cell>
        </row>
      </sheetData>
      <sheetData sheetId="1150">
        <row r="9">
          <cell r="A9" t="str">
            <v>A</v>
          </cell>
        </row>
      </sheetData>
      <sheetData sheetId="1151">
        <row r="9">
          <cell r="A9" t="str">
            <v>A</v>
          </cell>
        </row>
      </sheetData>
      <sheetData sheetId="1152">
        <row r="9">
          <cell r="A9" t="str">
            <v>A</v>
          </cell>
        </row>
      </sheetData>
      <sheetData sheetId="1153">
        <row r="9">
          <cell r="A9" t="str">
            <v>A</v>
          </cell>
        </row>
      </sheetData>
      <sheetData sheetId="1154">
        <row r="9">
          <cell r="A9" t="str">
            <v>A</v>
          </cell>
        </row>
      </sheetData>
      <sheetData sheetId="1155">
        <row r="9">
          <cell r="A9" t="str">
            <v>A</v>
          </cell>
        </row>
      </sheetData>
      <sheetData sheetId="1156">
        <row r="9">
          <cell r="A9" t="str">
            <v>A</v>
          </cell>
        </row>
      </sheetData>
      <sheetData sheetId="1157">
        <row r="9">
          <cell r="A9" t="str">
            <v>A</v>
          </cell>
        </row>
      </sheetData>
      <sheetData sheetId="1158">
        <row r="9">
          <cell r="A9" t="str">
            <v>A</v>
          </cell>
        </row>
      </sheetData>
      <sheetData sheetId="1159">
        <row r="9">
          <cell r="A9" t="str">
            <v>A</v>
          </cell>
        </row>
      </sheetData>
      <sheetData sheetId="1160">
        <row r="9">
          <cell r="A9" t="str">
            <v>A</v>
          </cell>
        </row>
      </sheetData>
      <sheetData sheetId="1161">
        <row r="9">
          <cell r="A9" t="str">
            <v>A</v>
          </cell>
        </row>
      </sheetData>
      <sheetData sheetId="1162">
        <row r="9">
          <cell r="A9" t="str">
            <v>A</v>
          </cell>
        </row>
      </sheetData>
      <sheetData sheetId="1163">
        <row r="9">
          <cell r="A9" t="str">
            <v>A</v>
          </cell>
        </row>
      </sheetData>
      <sheetData sheetId="1164">
        <row r="9">
          <cell r="A9" t="str">
            <v>A</v>
          </cell>
        </row>
      </sheetData>
      <sheetData sheetId="1165">
        <row r="9">
          <cell r="A9" t="str">
            <v>A</v>
          </cell>
        </row>
      </sheetData>
      <sheetData sheetId="1166">
        <row r="9">
          <cell r="A9" t="str">
            <v>A</v>
          </cell>
        </row>
      </sheetData>
      <sheetData sheetId="1167">
        <row r="9">
          <cell r="A9" t="str">
            <v>A</v>
          </cell>
        </row>
      </sheetData>
      <sheetData sheetId="1168">
        <row r="9">
          <cell r="A9" t="str">
            <v>A</v>
          </cell>
        </row>
      </sheetData>
      <sheetData sheetId="1169">
        <row r="9">
          <cell r="A9" t="str">
            <v>A</v>
          </cell>
        </row>
      </sheetData>
      <sheetData sheetId="1170">
        <row r="9">
          <cell r="A9" t="str">
            <v>A</v>
          </cell>
        </row>
      </sheetData>
      <sheetData sheetId="1171">
        <row r="9">
          <cell r="A9" t="str">
            <v>A</v>
          </cell>
        </row>
      </sheetData>
      <sheetData sheetId="1172">
        <row r="9">
          <cell r="A9" t="str">
            <v>A</v>
          </cell>
        </row>
      </sheetData>
      <sheetData sheetId="1173">
        <row r="9">
          <cell r="A9" t="str">
            <v>A</v>
          </cell>
        </row>
      </sheetData>
      <sheetData sheetId="1174">
        <row r="9">
          <cell r="A9" t="str">
            <v>A</v>
          </cell>
        </row>
      </sheetData>
      <sheetData sheetId="1175">
        <row r="9">
          <cell r="A9" t="str">
            <v>A</v>
          </cell>
        </row>
      </sheetData>
      <sheetData sheetId="1176">
        <row r="9">
          <cell r="A9" t="str">
            <v>A</v>
          </cell>
        </row>
      </sheetData>
      <sheetData sheetId="1177">
        <row r="9">
          <cell r="A9" t="str">
            <v>A</v>
          </cell>
        </row>
      </sheetData>
      <sheetData sheetId="1178">
        <row r="9">
          <cell r="A9" t="str">
            <v>A</v>
          </cell>
        </row>
      </sheetData>
      <sheetData sheetId="1179">
        <row r="9">
          <cell r="A9" t="str">
            <v>A</v>
          </cell>
        </row>
      </sheetData>
      <sheetData sheetId="1180">
        <row r="9">
          <cell r="A9" t="str">
            <v>A</v>
          </cell>
        </row>
      </sheetData>
      <sheetData sheetId="1181">
        <row r="9">
          <cell r="A9" t="str">
            <v>A</v>
          </cell>
        </row>
      </sheetData>
      <sheetData sheetId="1182">
        <row r="9">
          <cell r="A9" t="str">
            <v>A</v>
          </cell>
        </row>
      </sheetData>
      <sheetData sheetId="1183">
        <row r="9">
          <cell r="A9" t="str">
            <v>A</v>
          </cell>
        </row>
      </sheetData>
      <sheetData sheetId="1184">
        <row r="9">
          <cell r="A9" t="str">
            <v>A</v>
          </cell>
        </row>
      </sheetData>
      <sheetData sheetId="1185">
        <row r="9">
          <cell r="A9" t="str">
            <v>A</v>
          </cell>
        </row>
      </sheetData>
      <sheetData sheetId="1186">
        <row r="9">
          <cell r="A9" t="str">
            <v>A</v>
          </cell>
        </row>
      </sheetData>
      <sheetData sheetId="1187">
        <row r="9">
          <cell r="A9" t="str">
            <v>A</v>
          </cell>
        </row>
      </sheetData>
      <sheetData sheetId="1188">
        <row r="9">
          <cell r="A9" t="str">
            <v>A</v>
          </cell>
        </row>
      </sheetData>
      <sheetData sheetId="1189">
        <row r="9">
          <cell r="A9" t="str">
            <v>A</v>
          </cell>
        </row>
      </sheetData>
      <sheetData sheetId="1190">
        <row r="9">
          <cell r="A9" t="str">
            <v>A</v>
          </cell>
        </row>
      </sheetData>
      <sheetData sheetId="1191">
        <row r="9">
          <cell r="A9" t="str">
            <v>A</v>
          </cell>
        </row>
      </sheetData>
      <sheetData sheetId="1192">
        <row r="9">
          <cell r="A9" t="str">
            <v>A</v>
          </cell>
        </row>
      </sheetData>
      <sheetData sheetId="1193">
        <row r="9">
          <cell r="A9" t="str">
            <v>A</v>
          </cell>
        </row>
      </sheetData>
      <sheetData sheetId="1194">
        <row r="9">
          <cell r="A9" t="str">
            <v>A</v>
          </cell>
        </row>
      </sheetData>
      <sheetData sheetId="1195">
        <row r="9">
          <cell r="A9" t="str">
            <v>A</v>
          </cell>
        </row>
      </sheetData>
      <sheetData sheetId="1196">
        <row r="9">
          <cell r="A9" t="str">
            <v>A</v>
          </cell>
        </row>
      </sheetData>
      <sheetData sheetId="1197">
        <row r="9">
          <cell r="A9" t="str">
            <v>A</v>
          </cell>
        </row>
      </sheetData>
      <sheetData sheetId="1198">
        <row r="9">
          <cell r="A9" t="str">
            <v>A</v>
          </cell>
        </row>
      </sheetData>
      <sheetData sheetId="1199">
        <row r="9">
          <cell r="A9" t="str">
            <v>A</v>
          </cell>
        </row>
      </sheetData>
      <sheetData sheetId="1200">
        <row r="9">
          <cell r="A9" t="str">
            <v>A</v>
          </cell>
        </row>
      </sheetData>
      <sheetData sheetId="1201">
        <row r="9">
          <cell r="A9" t="str">
            <v>A</v>
          </cell>
        </row>
      </sheetData>
      <sheetData sheetId="1202">
        <row r="9">
          <cell r="A9" t="str">
            <v>A</v>
          </cell>
        </row>
      </sheetData>
      <sheetData sheetId="1203">
        <row r="9">
          <cell r="A9" t="str">
            <v>A</v>
          </cell>
        </row>
      </sheetData>
      <sheetData sheetId="1204">
        <row r="9">
          <cell r="A9" t="str">
            <v>A</v>
          </cell>
        </row>
      </sheetData>
      <sheetData sheetId="1205">
        <row r="9">
          <cell r="A9" t="str">
            <v>A</v>
          </cell>
        </row>
      </sheetData>
      <sheetData sheetId="1206">
        <row r="9">
          <cell r="A9" t="str">
            <v>A</v>
          </cell>
        </row>
      </sheetData>
      <sheetData sheetId="1207">
        <row r="9">
          <cell r="A9" t="str">
            <v>A</v>
          </cell>
        </row>
      </sheetData>
      <sheetData sheetId="1208">
        <row r="9">
          <cell r="A9" t="str">
            <v>A</v>
          </cell>
        </row>
      </sheetData>
      <sheetData sheetId="1209">
        <row r="9">
          <cell r="A9" t="str">
            <v>A</v>
          </cell>
        </row>
      </sheetData>
      <sheetData sheetId="1210">
        <row r="9">
          <cell r="A9" t="str">
            <v>A</v>
          </cell>
        </row>
      </sheetData>
      <sheetData sheetId="1211">
        <row r="9">
          <cell r="A9" t="str">
            <v>A</v>
          </cell>
        </row>
      </sheetData>
      <sheetData sheetId="1212">
        <row r="9">
          <cell r="A9" t="str">
            <v>A</v>
          </cell>
        </row>
      </sheetData>
      <sheetData sheetId="1213">
        <row r="9">
          <cell r="A9" t="str">
            <v>A</v>
          </cell>
        </row>
      </sheetData>
      <sheetData sheetId="1214">
        <row r="9">
          <cell r="A9" t="str">
            <v>A</v>
          </cell>
        </row>
      </sheetData>
      <sheetData sheetId="1215">
        <row r="9">
          <cell r="A9" t="str">
            <v>A</v>
          </cell>
        </row>
      </sheetData>
      <sheetData sheetId="1216">
        <row r="9">
          <cell r="A9" t="str">
            <v>A</v>
          </cell>
        </row>
      </sheetData>
      <sheetData sheetId="1217">
        <row r="9">
          <cell r="A9" t="str">
            <v>A</v>
          </cell>
        </row>
      </sheetData>
      <sheetData sheetId="1218">
        <row r="9">
          <cell r="A9" t="str">
            <v>A</v>
          </cell>
        </row>
      </sheetData>
      <sheetData sheetId="1219">
        <row r="9">
          <cell r="A9" t="str">
            <v>A</v>
          </cell>
        </row>
      </sheetData>
      <sheetData sheetId="1220">
        <row r="9">
          <cell r="A9" t="str">
            <v>A</v>
          </cell>
        </row>
      </sheetData>
      <sheetData sheetId="1221">
        <row r="9">
          <cell r="A9" t="str">
            <v>A</v>
          </cell>
        </row>
      </sheetData>
      <sheetData sheetId="1222">
        <row r="9">
          <cell r="A9" t="str">
            <v>A</v>
          </cell>
        </row>
      </sheetData>
      <sheetData sheetId="1223">
        <row r="9">
          <cell r="A9" t="str">
            <v>A</v>
          </cell>
        </row>
      </sheetData>
      <sheetData sheetId="1224">
        <row r="9">
          <cell r="A9" t="str">
            <v>A</v>
          </cell>
        </row>
      </sheetData>
      <sheetData sheetId="1225">
        <row r="9">
          <cell r="A9" t="str">
            <v>A</v>
          </cell>
        </row>
      </sheetData>
      <sheetData sheetId="1226">
        <row r="9">
          <cell r="A9" t="str">
            <v>A</v>
          </cell>
        </row>
      </sheetData>
      <sheetData sheetId="1227">
        <row r="9">
          <cell r="A9" t="str">
            <v>A</v>
          </cell>
        </row>
      </sheetData>
      <sheetData sheetId="1228">
        <row r="9">
          <cell r="A9" t="str">
            <v>A</v>
          </cell>
        </row>
      </sheetData>
      <sheetData sheetId="1229">
        <row r="9">
          <cell r="A9" t="str">
            <v>A</v>
          </cell>
        </row>
      </sheetData>
      <sheetData sheetId="1230">
        <row r="9">
          <cell r="A9" t="str">
            <v>A</v>
          </cell>
        </row>
      </sheetData>
      <sheetData sheetId="1231">
        <row r="9">
          <cell r="A9" t="str">
            <v>A</v>
          </cell>
        </row>
      </sheetData>
      <sheetData sheetId="1232">
        <row r="9">
          <cell r="A9" t="str">
            <v>A</v>
          </cell>
        </row>
      </sheetData>
      <sheetData sheetId="1233">
        <row r="9">
          <cell r="A9" t="str">
            <v>A</v>
          </cell>
        </row>
      </sheetData>
      <sheetData sheetId="1234">
        <row r="9">
          <cell r="A9" t="str">
            <v>A</v>
          </cell>
        </row>
      </sheetData>
      <sheetData sheetId="1235">
        <row r="9">
          <cell r="A9" t="str">
            <v>A</v>
          </cell>
        </row>
      </sheetData>
      <sheetData sheetId="1236">
        <row r="9">
          <cell r="A9" t="str">
            <v>A</v>
          </cell>
        </row>
      </sheetData>
      <sheetData sheetId="1237">
        <row r="9">
          <cell r="A9" t="str">
            <v>A</v>
          </cell>
        </row>
      </sheetData>
      <sheetData sheetId="1238">
        <row r="9">
          <cell r="A9" t="str">
            <v>A</v>
          </cell>
        </row>
      </sheetData>
      <sheetData sheetId="1239">
        <row r="9">
          <cell r="A9" t="str">
            <v>A</v>
          </cell>
        </row>
      </sheetData>
      <sheetData sheetId="1240">
        <row r="9">
          <cell r="A9" t="str">
            <v>A</v>
          </cell>
        </row>
      </sheetData>
      <sheetData sheetId="1241">
        <row r="9">
          <cell r="A9" t="str">
            <v>A</v>
          </cell>
        </row>
      </sheetData>
      <sheetData sheetId="1242">
        <row r="9">
          <cell r="A9" t="str">
            <v>A</v>
          </cell>
        </row>
      </sheetData>
      <sheetData sheetId="1243">
        <row r="9">
          <cell r="A9" t="str">
            <v>A</v>
          </cell>
        </row>
      </sheetData>
      <sheetData sheetId="1244">
        <row r="9">
          <cell r="A9" t="str">
            <v>A</v>
          </cell>
        </row>
      </sheetData>
      <sheetData sheetId="1245">
        <row r="9">
          <cell r="A9" t="str">
            <v>A</v>
          </cell>
        </row>
      </sheetData>
      <sheetData sheetId="1246">
        <row r="9">
          <cell r="A9" t="str">
            <v>A</v>
          </cell>
        </row>
      </sheetData>
      <sheetData sheetId="1247">
        <row r="9">
          <cell r="A9" t="str">
            <v>A</v>
          </cell>
        </row>
      </sheetData>
      <sheetData sheetId="1248">
        <row r="9">
          <cell r="A9" t="str">
            <v>A</v>
          </cell>
        </row>
      </sheetData>
      <sheetData sheetId="1249">
        <row r="9">
          <cell r="A9" t="str">
            <v>A</v>
          </cell>
        </row>
      </sheetData>
      <sheetData sheetId="1250">
        <row r="9">
          <cell r="A9" t="str">
            <v>A</v>
          </cell>
        </row>
      </sheetData>
      <sheetData sheetId="1251">
        <row r="9">
          <cell r="A9" t="str">
            <v>A</v>
          </cell>
        </row>
      </sheetData>
      <sheetData sheetId="1252">
        <row r="9">
          <cell r="A9" t="str">
            <v>A</v>
          </cell>
        </row>
      </sheetData>
      <sheetData sheetId="1253">
        <row r="9">
          <cell r="A9" t="str">
            <v>A</v>
          </cell>
        </row>
      </sheetData>
      <sheetData sheetId="1254">
        <row r="9">
          <cell r="A9" t="str">
            <v>A</v>
          </cell>
        </row>
      </sheetData>
      <sheetData sheetId="1255">
        <row r="9">
          <cell r="A9" t="str">
            <v>A</v>
          </cell>
        </row>
      </sheetData>
      <sheetData sheetId="1256">
        <row r="9">
          <cell r="A9" t="str">
            <v>A</v>
          </cell>
        </row>
      </sheetData>
      <sheetData sheetId="1257">
        <row r="9">
          <cell r="A9" t="str">
            <v>A</v>
          </cell>
        </row>
      </sheetData>
      <sheetData sheetId="1258">
        <row r="9">
          <cell r="A9" t="str">
            <v>A</v>
          </cell>
        </row>
      </sheetData>
      <sheetData sheetId="1259">
        <row r="9">
          <cell r="A9" t="str">
            <v>A</v>
          </cell>
        </row>
      </sheetData>
      <sheetData sheetId="1260">
        <row r="9">
          <cell r="A9" t="str">
            <v>A</v>
          </cell>
        </row>
      </sheetData>
      <sheetData sheetId="1261">
        <row r="9">
          <cell r="A9" t="str">
            <v>A</v>
          </cell>
        </row>
      </sheetData>
      <sheetData sheetId="1262">
        <row r="9">
          <cell r="A9" t="str">
            <v>A</v>
          </cell>
        </row>
      </sheetData>
      <sheetData sheetId="1263">
        <row r="9">
          <cell r="A9" t="str">
            <v>A</v>
          </cell>
        </row>
      </sheetData>
      <sheetData sheetId="1264">
        <row r="9">
          <cell r="A9" t="str">
            <v>A</v>
          </cell>
        </row>
      </sheetData>
      <sheetData sheetId="1265">
        <row r="9">
          <cell r="A9" t="str">
            <v>A</v>
          </cell>
        </row>
      </sheetData>
      <sheetData sheetId="1266">
        <row r="9">
          <cell r="A9" t="str">
            <v>A</v>
          </cell>
        </row>
      </sheetData>
      <sheetData sheetId="1267">
        <row r="9">
          <cell r="A9" t="str">
            <v>A</v>
          </cell>
        </row>
      </sheetData>
      <sheetData sheetId="1268">
        <row r="9">
          <cell r="A9" t="str">
            <v>A</v>
          </cell>
        </row>
      </sheetData>
      <sheetData sheetId="1269">
        <row r="9">
          <cell r="A9" t="str">
            <v>A</v>
          </cell>
        </row>
      </sheetData>
      <sheetData sheetId="1270">
        <row r="9">
          <cell r="A9" t="str">
            <v>A</v>
          </cell>
        </row>
      </sheetData>
      <sheetData sheetId="1271">
        <row r="9">
          <cell r="A9" t="str">
            <v>A</v>
          </cell>
        </row>
      </sheetData>
      <sheetData sheetId="1272">
        <row r="9">
          <cell r="A9" t="str">
            <v>A</v>
          </cell>
        </row>
      </sheetData>
      <sheetData sheetId="1273">
        <row r="9">
          <cell r="A9" t="str">
            <v>A</v>
          </cell>
        </row>
      </sheetData>
      <sheetData sheetId="1274">
        <row r="9">
          <cell r="A9" t="str">
            <v>A</v>
          </cell>
        </row>
      </sheetData>
      <sheetData sheetId="1275">
        <row r="9">
          <cell r="A9" t="str">
            <v>A</v>
          </cell>
        </row>
      </sheetData>
      <sheetData sheetId="1276">
        <row r="9">
          <cell r="A9" t="str">
            <v>A</v>
          </cell>
        </row>
      </sheetData>
      <sheetData sheetId="1277">
        <row r="9">
          <cell r="A9" t="str">
            <v>A</v>
          </cell>
        </row>
      </sheetData>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ow r="9">
          <cell r="A9" t="str">
            <v>A</v>
          </cell>
        </row>
      </sheetData>
      <sheetData sheetId="1299">
        <row r="9">
          <cell r="A9" t="str">
            <v>A</v>
          </cell>
        </row>
      </sheetData>
      <sheetData sheetId="1300">
        <row r="9">
          <cell r="A9" t="str">
            <v>A</v>
          </cell>
        </row>
      </sheetData>
      <sheetData sheetId="1301">
        <row r="9">
          <cell r="A9" t="str">
            <v>A</v>
          </cell>
        </row>
      </sheetData>
      <sheetData sheetId="1302">
        <row r="9">
          <cell r="A9" t="str">
            <v>A</v>
          </cell>
        </row>
      </sheetData>
      <sheetData sheetId="1303">
        <row r="9">
          <cell r="A9" t="str">
            <v>A</v>
          </cell>
        </row>
      </sheetData>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sheetData sheetId="1319" refreshError="1"/>
      <sheetData sheetId="1320" refreshError="1"/>
      <sheetData sheetId="1321" refreshError="1"/>
      <sheetData sheetId="1322">
        <row r="9">
          <cell r="A9" t="str">
            <v>A</v>
          </cell>
        </row>
      </sheetData>
      <sheetData sheetId="1323">
        <row r="9">
          <cell r="A9" t="str">
            <v>A</v>
          </cell>
        </row>
      </sheetData>
      <sheetData sheetId="1324" refreshError="1"/>
      <sheetData sheetId="1325">
        <row r="9">
          <cell r="A9" t="str">
            <v>A</v>
          </cell>
        </row>
      </sheetData>
      <sheetData sheetId="1326">
        <row r="9">
          <cell r="A9" t="str">
            <v>A</v>
          </cell>
        </row>
      </sheetData>
      <sheetData sheetId="1327">
        <row r="9">
          <cell r="A9" t="str">
            <v>A</v>
          </cell>
        </row>
      </sheetData>
      <sheetData sheetId="1328">
        <row r="9">
          <cell r="A9" t="str">
            <v>A</v>
          </cell>
        </row>
      </sheetData>
      <sheetData sheetId="1329">
        <row r="9">
          <cell r="A9" t="str">
            <v>A</v>
          </cell>
        </row>
      </sheetData>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ow r="9">
          <cell r="A9" t="str">
            <v>A</v>
          </cell>
        </row>
      </sheetData>
      <sheetData sheetId="1358">
        <row r="9">
          <cell r="A9" t="str">
            <v>A</v>
          </cell>
        </row>
      </sheetData>
      <sheetData sheetId="1359">
        <row r="9">
          <cell r="A9" t="str">
            <v>A</v>
          </cell>
        </row>
      </sheetData>
      <sheetData sheetId="1360">
        <row r="9">
          <cell r="A9" t="str">
            <v>A</v>
          </cell>
        </row>
      </sheetData>
      <sheetData sheetId="1361">
        <row r="9">
          <cell r="A9" t="str">
            <v>A</v>
          </cell>
        </row>
      </sheetData>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ow r="9">
          <cell r="A9" t="str">
            <v>A</v>
          </cell>
        </row>
      </sheetData>
      <sheetData sheetId="1387">
        <row r="9">
          <cell r="A9" t="str">
            <v>A</v>
          </cell>
        </row>
      </sheetData>
      <sheetData sheetId="1388">
        <row r="9">
          <cell r="A9" t="str">
            <v>A</v>
          </cell>
        </row>
      </sheetData>
      <sheetData sheetId="1389">
        <row r="9">
          <cell r="A9" t="str">
            <v>A</v>
          </cell>
        </row>
      </sheetData>
      <sheetData sheetId="1390" refreshError="1"/>
      <sheetData sheetId="1391">
        <row r="9">
          <cell r="A9" t="str">
            <v>A</v>
          </cell>
        </row>
      </sheetData>
      <sheetData sheetId="1392">
        <row r="9">
          <cell r="A9" t="str">
            <v>A</v>
          </cell>
        </row>
      </sheetData>
      <sheetData sheetId="1393">
        <row r="9">
          <cell r="A9" t="str">
            <v>A</v>
          </cell>
        </row>
      </sheetData>
      <sheetData sheetId="1394">
        <row r="9">
          <cell r="A9" t="str">
            <v>A</v>
          </cell>
        </row>
      </sheetData>
      <sheetData sheetId="1395">
        <row r="9">
          <cell r="A9" t="str">
            <v>A</v>
          </cell>
        </row>
      </sheetData>
      <sheetData sheetId="1396">
        <row r="9">
          <cell r="A9" t="str">
            <v>A</v>
          </cell>
        </row>
      </sheetData>
      <sheetData sheetId="1397">
        <row r="9">
          <cell r="A9" t="str">
            <v>A</v>
          </cell>
        </row>
      </sheetData>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ow r="9">
          <cell r="A9" t="str">
            <v>A</v>
          </cell>
        </row>
      </sheetData>
      <sheetData sheetId="1437" refreshError="1"/>
      <sheetData sheetId="1438" refreshError="1"/>
      <sheetData sheetId="1439" refreshError="1"/>
      <sheetData sheetId="1440" refreshError="1"/>
      <sheetData sheetId="1441" refreshError="1"/>
      <sheetData sheetId="1442">
        <row r="9">
          <cell r="A9" t="str">
            <v>A</v>
          </cell>
        </row>
      </sheetData>
      <sheetData sheetId="1443">
        <row r="9">
          <cell r="A9" t="str">
            <v>A</v>
          </cell>
        </row>
      </sheetData>
      <sheetData sheetId="1444">
        <row r="9">
          <cell r="A9" t="str">
            <v>A</v>
          </cell>
        </row>
      </sheetData>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ow r="9">
          <cell r="A9" t="str">
            <v>A</v>
          </cell>
        </row>
      </sheetData>
      <sheetData sheetId="1469">
        <row r="9">
          <cell r="A9" t="str">
            <v>A</v>
          </cell>
        </row>
      </sheetData>
      <sheetData sheetId="1470">
        <row r="9">
          <cell r="A9" t="str">
            <v>A</v>
          </cell>
        </row>
      </sheetData>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ow r="9">
          <cell r="A9" t="str">
            <v>A</v>
          </cell>
        </row>
      </sheetData>
      <sheetData sheetId="1491">
        <row r="9">
          <cell r="A9" t="str">
            <v>A</v>
          </cell>
        </row>
      </sheetData>
      <sheetData sheetId="1492">
        <row r="9">
          <cell r="A9" t="str">
            <v>A</v>
          </cell>
        </row>
      </sheetData>
      <sheetData sheetId="1493">
        <row r="9">
          <cell r="A9" t="str">
            <v>A</v>
          </cell>
        </row>
      </sheetData>
      <sheetData sheetId="1494">
        <row r="9">
          <cell r="A9" t="str">
            <v>A</v>
          </cell>
        </row>
      </sheetData>
      <sheetData sheetId="1495">
        <row r="9">
          <cell r="A9" t="str">
            <v>A</v>
          </cell>
        </row>
      </sheetData>
      <sheetData sheetId="1496">
        <row r="9">
          <cell r="A9" t="str">
            <v>A</v>
          </cell>
        </row>
      </sheetData>
      <sheetData sheetId="1497">
        <row r="9">
          <cell r="A9" t="str">
            <v>A</v>
          </cell>
        </row>
      </sheetData>
      <sheetData sheetId="1498">
        <row r="9">
          <cell r="A9" t="str">
            <v>A</v>
          </cell>
        </row>
      </sheetData>
      <sheetData sheetId="1499">
        <row r="9">
          <cell r="A9" t="str">
            <v>A</v>
          </cell>
        </row>
      </sheetData>
      <sheetData sheetId="1500">
        <row r="9">
          <cell r="A9" t="str">
            <v>A</v>
          </cell>
        </row>
      </sheetData>
      <sheetData sheetId="1501">
        <row r="9">
          <cell r="A9" t="str">
            <v>A</v>
          </cell>
        </row>
      </sheetData>
      <sheetData sheetId="1502">
        <row r="9">
          <cell r="A9" t="str">
            <v>A</v>
          </cell>
        </row>
      </sheetData>
      <sheetData sheetId="1503">
        <row r="9">
          <cell r="A9" t="str">
            <v>A</v>
          </cell>
        </row>
      </sheetData>
      <sheetData sheetId="1504">
        <row r="9">
          <cell r="A9" t="str">
            <v>A</v>
          </cell>
        </row>
      </sheetData>
      <sheetData sheetId="1505">
        <row r="9">
          <cell r="A9" t="str">
            <v>A</v>
          </cell>
        </row>
      </sheetData>
      <sheetData sheetId="1506">
        <row r="9">
          <cell r="A9" t="str">
            <v>A</v>
          </cell>
        </row>
      </sheetData>
      <sheetData sheetId="1507">
        <row r="9">
          <cell r="A9" t="str">
            <v>A</v>
          </cell>
        </row>
      </sheetData>
      <sheetData sheetId="1508">
        <row r="9">
          <cell r="A9" t="str">
            <v>A</v>
          </cell>
        </row>
      </sheetData>
      <sheetData sheetId="1509">
        <row r="9">
          <cell r="A9" t="str">
            <v>A</v>
          </cell>
        </row>
      </sheetData>
      <sheetData sheetId="1510">
        <row r="9">
          <cell r="A9" t="str">
            <v>A</v>
          </cell>
        </row>
      </sheetData>
      <sheetData sheetId="1511">
        <row r="9">
          <cell r="A9" t="str">
            <v>A</v>
          </cell>
        </row>
      </sheetData>
      <sheetData sheetId="1512">
        <row r="9">
          <cell r="A9" t="str">
            <v>A</v>
          </cell>
        </row>
      </sheetData>
      <sheetData sheetId="1513">
        <row r="9">
          <cell r="A9" t="str">
            <v>A</v>
          </cell>
        </row>
      </sheetData>
      <sheetData sheetId="1514">
        <row r="9">
          <cell r="A9" t="str">
            <v>A</v>
          </cell>
        </row>
      </sheetData>
      <sheetData sheetId="1515">
        <row r="9">
          <cell r="A9" t="str">
            <v>A</v>
          </cell>
        </row>
      </sheetData>
      <sheetData sheetId="1516">
        <row r="9">
          <cell r="A9" t="str">
            <v>A</v>
          </cell>
        </row>
      </sheetData>
      <sheetData sheetId="1517">
        <row r="9">
          <cell r="A9" t="str">
            <v>A</v>
          </cell>
        </row>
      </sheetData>
      <sheetData sheetId="1518">
        <row r="9">
          <cell r="A9" t="str">
            <v>A</v>
          </cell>
        </row>
      </sheetData>
      <sheetData sheetId="1519">
        <row r="9">
          <cell r="A9" t="str">
            <v>A</v>
          </cell>
        </row>
      </sheetData>
      <sheetData sheetId="1520">
        <row r="9">
          <cell r="A9" t="str">
            <v>A</v>
          </cell>
        </row>
      </sheetData>
      <sheetData sheetId="1521">
        <row r="9">
          <cell r="A9" t="str">
            <v>A</v>
          </cell>
        </row>
      </sheetData>
      <sheetData sheetId="1522">
        <row r="9">
          <cell r="A9" t="str">
            <v>A</v>
          </cell>
        </row>
      </sheetData>
      <sheetData sheetId="1523">
        <row r="9">
          <cell r="A9" t="str">
            <v>A</v>
          </cell>
        </row>
      </sheetData>
      <sheetData sheetId="1524">
        <row r="9">
          <cell r="A9" t="str">
            <v>A</v>
          </cell>
        </row>
      </sheetData>
      <sheetData sheetId="1525">
        <row r="9">
          <cell r="A9" t="str">
            <v>A</v>
          </cell>
        </row>
      </sheetData>
      <sheetData sheetId="1526">
        <row r="9">
          <cell r="A9" t="str">
            <v>A</v>
          </cell>
        </row>
      </sheetData>
      <sheetData sheetId="1527">
        <row r="9">
          <cell r="A9" t="str">
            <v>A</v>
          </cell>
        </row>
      </sheetData>
      <sheetData sheetId="1528">
        <row r="9">
          <cell r="A9" t="str">
            <v>A</v>
          </cell>
        </row>
      </sheetData>
      <sheetData sheetId="1529">
        <row r="9">
          <cell r="A9" t="str">
            <v>A</v>
          </cell>
        </row>
      </sheetData>
      <sheetData sheetId="1530">
        <row r="9">
          <cell r="A9" t="str">
            <v>A</v>
          </cell>
        </row>
      </sheetData>
      <sheetData sheetId="1531">
        <row r="9">
          <cell r="A9" t="str">
            <v>A</v>
          </cell>
        </row>
      </sheetData>
      <sheetData sheetId="1532">
        <row r="9">
          <cell r="A9" t="str">
            <v>A</v>
          </cell>
        </row>
      </sheetData>
      <sheetData sheetId="1533">
        <row r="9">
          <cell r="A9" t="str">
            <v>A</v>
          </cell>
        </row>
      </sheetData>
      <sheetData sheetId="1534">
        <row r="9">
          <cell r="A9" t="str">
            <v>A</v>
          </cell>
        </row>
      </sheetData>
      <sheetData sheetId="1535">
        <row r="9">
          <cell r="A9" t="str">
            <v>A</v>
          </cell>
        </row>
      </sheetData>
      <sheetData sheetId="1536">
        <row r="9">
          <cell r="A9" t="str">
            <v>A</v>
          </cell>
        </row>
      </sheetData>
      <sheetData sheetId="1537">
        <row r="9">
          <cell r="A9" t="str">
            <v>A</v>
          </cell>
        </row>
      </sheetData>
      <sheetData sheetId="1538">
        <row r="9">
          <cell r="A9" t="str">
            <v>A</v>
          </cell>
        </row>
      </sheetData>
      <sheetData sheetId="1539">
        <row r="9">
          <cell r="A9" t="str">
            <v>A</v>
          </cell>
        </row>
      </sheetData>
      <sheetData sheetId="1540">
        <row r="9">
          <cell r="A9" t="str">
            <v>A</v>
          </cell>
        </row>
      </sheetData>
      <sheetData sheetId="1541">
        <row r="9">
          <cell r="A9" t="str">
            <v>A</v>
          </cell>
        </row>
      </sheetData>
      <sheetData sheetId="1542">
        <row r="9">
          <cell r="A9" t="str">
            <v>A</v>
          </cell>
        </row>
      </sheetData>
      <sheetData sheetId="1543">
        <row r="9">
          <cell r="A9" t="str">
            <v>A</v>
          </cell>
        </row>
      </sheetData>
      <sheetData sheetId="1544">
        <row r="9">
          <cell r="A9" t="str">
            <v>A</v>
          </cell>
        </row>
      </sheetData>
      <sheetData sheetId="1545">
        <row r="9">
          <cell r="A9" t="str">
            <v>A</v>
          </cell>
        </row>
      </sheetData>
      <sheetData sheetId="1546">
        <row r="9">
          <cell r="A9" t="str">
            <v>A</v>
          </cell>
        </row>
      </sheetData>
      <sheetData sheetId="1547">
        <row r="9">
          <cell r="A9" t="str">
            <v>A</v>
          </cell>
        </row>
      </sheetData>
      <sheetData sheetId="1548">
        <row r="9">
          <cell r="A9" t="str">
            <v>A</v>
          </cell>
        </row>
      </sheetData>
      <sheetData sheetId="1549">
        <row r="9">
          <cell r="A9" t="str">
            <v>A</v>
          </cell>
        </row>
      </sheetData>
      <sheetData sheetId="1550">
        <row r="9">
          <cell r="A9" t="str">
            <v>A</v>
          </cell>
        </row>
      </sheetData>
      <sheetData sheetId="1551">
        <row r="9">
          <cell r="A9" t="str">
            <v>A</v>
          </cell>
        </row>
      </sheetData>
      <sheetData sheetId="1552">
        <row r="9">
          <cell r="A9" t="str">
            <v>A</v>
          </cell>
        </row>
      </sheetData>
      <sheetData sheetId="1553">
        <row r="9">
          <cell r="A9" t="str">
            <v>A</v>
          </cell>
        </row>
      </sheetData>
      <sheetData sheetId="1554">
        <row r="9">
          <cell r="A9" t="str">
            <v>A</v>
          </cell>
        </row>
      </sheetData>
      <sheetData sheetId="1555">
        <row r="9">
          <cell r="A9" t="str">
            <v>A</v>
          </cell>
        </row>
      </sheetData>
      <sheetData sheetId="1556">
        <row r="9">
          <cell r="A9" t="str">
            <v>A</v>
          </cell>
        </row>
      </sheetData>
      <sheetData sheetId="1557">
        <row r="9">
          <cell r="A9" t="str">
            <v>A</v>
          </cell>
        </row>
      </sheetData>
      <sheetData sheetId="1558">
        <row r="9">
          <cell r="A9" t="str">
            <v>A</v>
          </cell>
        </row>
      </sheetData>
      <sheetData sheetId="1559">
        <row r="9">
          <cell r="A9" t="str">
            <v>A</v>
          </cell>
        </row>
      </sheetData>
      <sheetData sheetId="1560">
        <row r="9">
          <cell r="A9" t="str">
            <v>A</v>
          </cell>
        </row>
      </sheetData>
      <sheetData sheetId="1561">
        <row r="9">
          <cell r="A9" t="str">
            <v>A</v>
          </cell>
        </row>
      </sheetData>
      <sheetData sheetId="1562">
        <row r="9">
          <cell r="A9" t="str">
            <v>A</v>
          </cell>
        </row>
      </sheetData>
      <sheetData sheetId="1563">
        <row r="9">
          <cell r="A9" t="str">
            <v>A</v>
          </cell>
        </row>
      </sheetData>
      <sheetData sheetId="1564">
        <row r="9">
          <cell r="A9" t="str">
            <v>A</v>
          </cell>
        </row>
      </sheetData>
      <sheetData sheetId="1565">
        <row r="9">
          <cell r="A9" t="str">
            <v>A</v>
          </cell>
        </row>
      </sheetData>
      <sheetData sheetId="1566">
        <row r="9">
          <cell r="A9" t="str">
            <v>A</v>
          </cell>
        </row>
      </sheetData>
      <sheetData sheetId="1567">
        <row r="9">
          <cell r="A9" t="str">
            <v>A</v>
          </cell>
        </row>
      </sheetData>
      <sheetData sheetId="1568">
        <row r="9">
          <cell r="A9" t="str">
            <v>A</v>
          </cell>
        </row>
      </sheetData>
      <sheetData sheetId="1569">
        <row r="9">
          <cell r="A9" t="str">
            <v>A</v>
          </cell>
        </row>
      </sheetData>
      <sheetData sheetId="1570">
        <row r="9">
          <cell r="A9" t="str">
            <v>A</v>
          </cell>
        </row>
      </sheetData>
      <sheetData sheetId="1571">
        <row r="9">
          <cell r="A9" t="str">
            <v>A</v>
          </cell>
        </row>
      </sheetData>
      <sheetData sheetId="1572">
        <row r="9">
          <cell r="A9" t="str">
            <v>A</v>
          </cell>
        </row>
      </sheetData>
      <sheetData sheetId="1573">
        <row r="9">
          <cell r="A9" t="str">
            <v>A</v>
          </cell>
        </row>
      </sheetData>
      <sheetData sheetId="1574">
        <row r="9">
          <cell r="A9" t="str">
            <v>A</v>
          </cell>
        </row>
      </sheetData>
      <sheetData sheetId="1575">
        <row r="9">
          <cell r="A9" t="str">
            <v>A</v>
          </cell>
        </row>
      </sheetData>
      <sheetData sheetId="1576">
        <row r="9">
          <cell r="A9" t="str">
            <v>A</v>
          </cell>
        </row>
      </sheetData>
      <sheetData sheetId="1577">
        <row r="9">
          <cell r="A9" t="str">
            <v>A</v>
          </cell>
        </row>
      </sheetData>
      <sheetData sheetId="1578">
        <row r="9">
          <cell r="A9" t="str">
            <v>A</v>
          </cell>
        </row>
      </sheetData>
      <sheetData sheetId="1579">
        <row r="9">
          <cell r="A9" t="str">
            <v>A</v>
          </cell>
        </row>
      </sheetData>
      <sheetData sheetId="1580">
        <row r="9">
          <cell r="A9" t="str">
            <v>A</v>
          </cell>
        </row>
      </sheetData>
      <sheetData sheetId="1581">
        <row r="9">
          <cell r="A9" t="str">
            <v>A</v>
          </cell>
        </row>
      </sheetData>
      <sheetData sheetId="1582">
        <row r="9">
          <cell r="A9" t="str">
            <v>A</v>
          </cell>
        </row>
      </sheetData>
      <sheetData sheetId="1583">
        <row r="9">
          <cell r="A9" t="str">
            <v>A</v>
          </cell>
        </row>
      </sheetData>
      <sheetData sheetId="1584">
        <row r="9">
          <cell r="A9" t="str">
            <v>A</v>
          </cell>
        </row>
      </sheetData>
      <sheetData sheetId="1585">
        <row r="9">
          <cell r="A9" t="str">
            <v>A</v>
          </cell>
        </row>
      </sheetData>
      <sheetData sheetId="1586">
        <row r="9">
          <cell r="A9" t="str">
            <v>A</v>
          </cell>
        </row>
      </sheetData>
      <sheetData sheetId="1587">
        <row r="9">
          <cell r="A9" t="str">
            <v>A</v>
          </cell>
        </row>
      </sheetData>
      <sheetData sheetId="1588">
        <row r="9">
          <cell r="A9" t="str">
            <v>A</v>
          </cell>
        </row>
      </sheetData>
      <sheetData sheetId="1589">
        <row r="9">
          <cell r="A9" t="str">
            <v>A</v>
          </cell>
        </row>
      </sheetData>
      <sheetData sheetId="1590">
        <row r="9">
          <cell r="A9" t="str">
            <v>A</v>
          </cell>
        </row>
      </sheetData>
      <sheetData sheetId="1591">
        <row r="9">
          <cell r="A9" t="str">
            <v>A</v>
          </cell>
        </row>
      </sheetData>
      <sheetData sheetId="1592">
        <row r="9">
          <cell r="A9" t="str">
            <v>A</v>
          </cell>
        </row>
      </sheetData>
      <sheetData sheetId="1593">
        <row r="9">
          <cell r="A9" t="str">
            <v>A</v>
          </cell>
        </row>
      </sheetData>
      <sheetData sheetId="1594">
        <row r="9">
          <cell r="A9" t="str">
            <v>A</v>
          </cell>
        </row>
      </sheetData>
      <sheetData sheetId="1595">
        <row r="9">
          <cell r="A9" t="str">
            <v>A</v>
          </cell>
        </row>
      </sheetData>
      <sheetData sheetId="1596">
        <row r="9">
          <cell r="A9" t="str">
            <v>A</v>
          </cell>
        </row>
      </sheetData>
      <sheetData sheetId="1597">
        <row r="9">
          <cell r="A9" t="str">
            <v>A</v>
          </cell>
        </row>
      </sheetData>
      <sheetData sheetId="1598">
        <row r="9">
          <cell r="A9" t="str">
            <v>A</v>
          </cell>
        </row>
      </sheetData>
      <sheetData sheetId="1599">
        <row r="9">
          <cell r="A9" t="str">
            <v>A</v>
          </cell>
        </row>
      </sheetData>
      <sheetData sheetId="1600">
        <row r="9">
          <cell r="A9" t="str">
            <v>A</v>
          </cell>
        </row>
      </sheetData>
      <sheetData sheetId="1601">
        <row r="9">
          <cell r="A9" t="str">
            <v>A</v>
          </cell>
        </row>
      </sheetData>
      <sheetData sheetId="1602">
        <row r="9">
          <cell r="A9" t="str">
            <v>A</v>
          </cell>
        </row>
      </sheetData>
      <sheetData sheetId="1603">
        <row r="9">
          <cell r="A9" t="str">
            <v>A</v>
          </cell>
        </row>
      </sheetData>
      <sheetData sheetId="1604">
        <row r="9">
          <cell r="A9" t="str">
            <v>A</v>
          </cell>
        </row>
      </sheetData>
      <sheetData sheetId="1605">
        <row r="9">
          <cell r="A9" t="str">
            <v>A</v>
          </cell>
        </row>
      </sheetData>
      <sheetData sheetId="1606">
        <row r="9">
          <cell r="A9" t="str">
            <v>A</v>
          </cell>
        </row>
      </sheetData>
      <sheetData sheetId="1607">
        <row r="9">
          <cell r="A9" t="str">
            <v>A</v>
          </cell>
        </row>
      </sheetData>
      <sheetData sheetId="1608">
        <row r="9">
          <cell r="A9" t="str">
            <v>A</v>
          </cell>
        </row>
      </sheetData>
      <sheetData sheetId="1609">
        <row r="9">
          <cell r="A9" t="str">
            <v>A</v>
          </cell>
        </row>
      </sheetData>
      <sheetData sheetId="1610">
        <row r="9">
          <cell r="A9" t="str">
            <v>A</v>
          </cell>
        </row>
      </sheetData>
      <sheetData sheetId="1611">
        <row r="9">
          <cell r="A9" t="str">
            <v>A</v>
          </cell>
        </row>
      </sheetData>
      <sheetData sheetId="1612">
        <row r="9">
          <cell r="A9" t="str">
            <v>A</v>
          </cell>
        </row>
      </sheetData>
      <sheetData sheetId="1613">
        <row r="9">
          <cell r="A9" t="str">
            <v>A</v>
          </cell>
        </row>
      </sheetData>
      <sheetData sheetId="1614">
        <row r="9">
          <cell r="A9" t="str">
            <v>A</v>
          </cell>
        </row>
      </sheetData>
      <sheetData sheetId="1615">
        <row r="9">
          <cell r="A9" t="str">
            <v>A</v>
          </cell>
        </row>
      </sheetData>
      <sheetData sheetId="1616">
        <row r="9">
          <cell r="A9" t="str">
            <v>A</v>
          </cell>
        </row>
      </sheetData>
      <sheetData sheetId="1617">
        <row r="9">
          <cell r="A9" t="str">
            <v>A</v>
          </cell>
        </row>
      </sheetData>
      <sheetData sheetId="1618">
        <row r="9">
          <cell r="A9" t="str">
            <v>A</v>
          </cell>
        </row>
      </sheetData>
      <sheetData sheetId="1619">
        <row r="9">
          <cell r="A9" t="str">
            <v>A</v>
          </cell>
        </row>
      </sheetData>
      <sheetData sheetId="1620">
        <row r="9">
          <cell r="A9" t="str">
            <v>A</v>
          </cell>
        </row>
      </sheetData>
      <sheetData sheetId="1621">
        <row r="9">
          <cell r="A9" t="str">
            <v>A</v>
          </cell>
        </row>
      </sheetData>
      <sheetData sheetId="1622">
        <row r="9">
          <cell r="A9" t="str">
            <v>A</v>
          </cell>
        </row>
      </sheetData>
      <sheetData sheetId="1623">
        <row r="9">
          <cell r="A9" t="str">
            <v>A</v>
          </cell>
        </row>
      </sheetData>
      <sheetData sheetId="1624">
        <row r="9">
          <cell r="A9" t="str">
            <v>A</v>
          </cell>
        </row>
      </sheetData>
      <sheetData sheetId="1625">
        <row r="9">
          <cell r="A9" t="str">
            <v>A</v>
          </cell>
        </row>
      </sheetData>
      <sheetData sheetId="1626">
        <row r="9">
          <cell r="A9" t="str">
            <v>A</v>
          </cell>
        </row>
      </sheetData>
      <sheetData sheetId="1627">
        <row r="9">
          <cell r="A9" t="str">
            <v>A</v>
          </cell>
        </row>
      </sheetData>
      <sheetData sheetId="1628">
        <row r="9">
          <cell r="A9" t="str">
            <v>A</v>
          </cell>
        </row>
      </sheetData>
      <sheetData sheetId="1629">
        <row r="9">
          <cell r="A9" t="str">
            <v>A</v>
          </cell>
        </row>
      </sheetData>
      <sheetData sheetId="1630">
        <row r="9">
          <cell r="A9" t="str">
            <v>A</v>
          </cell>
        </row>
      </sheetData>
      <sheetData sheetId="1631">
        <row r="9">
          <cell r="A9" t="str">
            <v>A</v>
          </cell>
        </row>
      </sheetData>
      <sheetData sheetId="1632">
        <row r="9">
          <cell r="A9" t="str">
            <v>A</v>
          </cell>
        </row>
      </sheetData>
      <sheetData sheetId="1633">
        <row r="9">
          <cell r="A9" t="str">
            <v>A</v>
          </cell>
        </row>
      </sheetData>
      <sheetData sheetId="1634">
        <row r="9">
          <cell r="A9" t="str">
            <v>A</v>
          </cell>
        </row>
      </sheetData>
      <sheetData sheetId="1635">
        <row r="9">
          <cell r="A9" t="str">
            <v>A</v>
          </cell>
        </row>
      </sheetData>
      <sheetData sheetId="1636">
        <row r="9">
          <cell r="A9" t="str">
            <v>A</v>
          </cell>
        </row>
      </sheetData>
      <sheetData sheetId="1637">
        <row r="9">
          <cell r="A9" t="str">
            <v>A</v>
          </cell>
        </row>
      </sheetData>
      <sheetData sheetId="1638">
        <row r="9">
          <cell r="A9" t="str">
            <v>A</v>
          </cell>
        </row>
      </sheetData>
      <sheetData sheetId="1639">
        <row r="9">
          <cell r="A9" t="str">
            <v>A</v>
          </cell>
        </row>
      </sheetData>
      <sheetData sheetId="1640">
        <row r="9">
          <cell r="A9" t="str">
            <v>A</v>
          </cell>
        </row>
      </sheetData>
      <sheetData sheetId="1641">
        <row r="9">
          <cell r="A9" t="str">
            <v>A</v>
          </cell>
        </row>
      </sheetData>
      <sheetData sheetId="1642">
        <row r="9">
          <cell r="A9" t="str">
            <v>A</v>
          </cell>
        </row>
      </sheetData>
      <sheetData sheetId="1643">
        <row r="9">
          <cell r="A9" t="str">
            <v>A</v>
          </cell>
        </row>
      </sheetData>
      <sheetData sheetId="1644">
        <row r="9">
          <cell r="A9" t="str">
            <v>A</v>
          </cell>
        </row>
      </sheetData>
      <sheetData sheetId="1645">
        <row r="9">
          <cell r="A9" t="str">
            <v>A</v>
          </cell>
        </row>
      </sheetData>
      <sheetData sheetId="1646">
        <row r="9">
          <cell r="A9" t="str">
            <v>A</v>
          </cell>
        </row>
      </sheetData>
      <sheetData sheetId="1647">
        <row r="9">
          <cell r="A9" t="str">
            <v>A</v>
          </cell>
        </row>
      </sheetData>
      <sheetData sheetId="1648">
        <row r="9">
          <cell r="A9" t="str">
            <v>A</v>
          </cell>
        </row>
      </sheetData>
      <sheetData sheetId="1649">
        <row r="9">
          <cell r="A9" t="str">
            <v>A</v>
          </cell>
        </row>
      </sheetData>
      <sheetData sheetId="1650">
        <row r="9">
          <cell r="A9" t="str">
            <v>A</v>
          </cell>
        </row>
      </sheetData>
      <sheetData sheetId="1651">
        <row r="9">
          <cell r="A9" t="str">
            <v>A</v>
          </cell>
        </row>
      </sheetData>
      <sheetData sheetId="1652">
        <row r="9">
          <cell r="A9" t="str">
            <v>A</v>
          </cell>
        </row>
      </sheetData>
      <sheetData sheetId="1653">
        <row r="9">
          <cell r="A9" t="str">
            <v>A</v>
          </cell>
        </row>
      </sheetData>
      <sheetData sheetId="1654">
        <row r="9">
          <cell r="A9" t="str">
            <v>A</v>
          </cell>
        </row>
      </sheetData>
      <sheetData sheetId="1655">
        <row r="9">
          <cell r="A9" t="str">
            <v>A</v>
          </cell>
        </row>
      </sheetData>
      <sheetData sheetId="1656">
        <row r="9">
          <cell r="A9" t="str">
            <v>A</v>
          </cell>
        </row>
      </sheetData>
      <sheetData sheetId="1657">
        <row r="9">
          <cell r="A9" t="str">
            <v>A</v>
          </cell>
        </row>
      </sheetData>
      <sheetData sheetId="1658">
        <row r="9">
          <cell r="A9" t="str">
            <v>A</v>
          </cell>
        </row>
      </sheetData>
      <sheetData sheetId="1659">
        <row r="9">
          <cell r="A9" t="str">
            <v>A</v>
          </cell>
        </row>
      </sheetData>
      <sheetData sheetId="1660">
        <row r="9">
          <cell r="A9" t="str">
            <v>A</v>
          </cell>
        </row>
      </sheetData>
      <sheetData sheetId="1661">
        <row r="9">
          <cell r="A9" t="str">
            <v>A</v>
          </cell>
        </row>
      </sheetData>
      <sheetData sheetId="1662">
        <row r="9">
          <cell r="A9" t="str">
            <v>A</v>
          </cell>
        </row>
      </sheetData>
      <sheetData sheetId="1663">
        <row r="9">
          <cell r="A9" t="str">
            <v>A</v>
          </cell>
        </row>
      </sheetData>
      <sheetData sheetId="1664">
        <row r="9">
          <cell r="A9" t="str">
            <v>A</v>
          </cell>
        </row>
      </sheetData>
      <sheetData sheetId="1665">
        <row r="9">
          <cell r="A9" t="str">
            <v>A</v>
          </cell>
        </row>
      </sheetData>
      <sheetData sheetId="1666">
        <row r="9">
          <cell r="A9" t="str">
            <v>A</v>
          </cell>
        </row>
      </sheetData>
      <sheetData sheetId="1667">
        <row r="9">
          <cell r="A9" t="str">
            <v>A</v>
          </cell>
        </row>
      </sheetData>
      <sheetData sheetId="1668">
        <row r="9">
          <cell r="A9" t="str">
            <v>A</v>
          </cell>
        </row>
      </sheetData>
      <sheetData sheetId="1669">
        <row r="9">
          <cell r="A9" t="str">
            <v>A</v>
          </cell>
        </row>
      </sheetData>
      <sheetData sheetId="1670">
        <row r="9">
          <cell r="A9" t="str">
            <v>A</v>
          </cell>
        </row>
      </sheetData>
      <sheetData sheetId="1671">
        <row r="9">
          <cell r="A9" t="str">
            <v>A</v>
          </cell>
        </row>
      </sheetData>
      <sheetData sheetId="1672">
        <row r="9">
          <cell r="A9" t="str">
            <v>A</v>
          </cell>
        </row>
      </sheetData>
      <sheetData sheetId="1673">
        <row r="9">
          <cell r="A9" t="str">
            <v>A</v>
          </cell>
        </row>
      </sheetData>
      <sheetData sheetId="1674">
        <row r="9">
          <cell r="A9" t="str">
            <v>A</v>
          </cell>
        </row>
      </sheetData>
      <sheetData sheetId="1675">
        <row r="9">
          <cell r="A9" t="str">
            <v>A</v>
          </cell>
        </row>
      </sheetData>
      <sheetData sheetId="1676">
        <row r="9">
          <cell r="A9" t="str">
            <v>A</v>
          </cell>
        </row>
      </sheetData>
      <sheetData sheetId="1677">
        <row r="9">
          <cell r="A9" t="str">
            <v>A</v>
          </cell>
        </row>
      </sheetData>
      <sheetData sheetId="1678">
        <row r="9">
          <cell r="A9" t="str">
            <v>A</v>
          </cell>
        </row>
      </sheetData>
      <sheetData sheetId="1679">
        <row r="9">
          <cell r="A9" t="str">
            <v>A</v>
          </cell>
        </row>
      </sheetData>
      <sheetData sheetId="1680">
        <row r="9">
          <cell r="A9" t="str">
            <v>A</v>
          </cell>
        </row>
      </sheetData>
      <sheetData sheetId="1681">
        <row r="9">
          <cell r="A9" t="str">
            <v>A</v>
          </cell>
        </row>
      </sheetData>
      <sheetData sheetId="1682">
        <row r="9">
          <cell r="A9" t="str">
            <v>A</v>
          </cell>
        </row>
      </sheetData>
      <sheetData sheetId="1683">
        <row r="9">
          <cell r="A9" t="str">
            <v>A</v>
          </cell>
        </row>
      </sheetData>
      <sheetData sheetId="1684">
        <row r="9">
          <cell r="A9" t="str">
            <v>A</v>
          </cell>
        </row>
      </sheetData>
      <sheetData sheetId="1685">
        <row r="9">
          <cell r="A9" t="str">
            <v>A</v>
          </cell>
        </row>
      </sheetData>
      <sheetData sheetId="1686">
        <row r="9">
          <cell r="A9" t="str">
            <v>A</v>
          </cell>
        </row>
      </sheetData>
      <sheetData sheetId="1687">
        <row r="9">
          <cell r="A9" t="str">
            <v>A</v>
          </cell>
        </row>
      </sheetData>
      <sheetData sheetId="1688">
        <row r="9">
          <cell r="A9" t="str">
            <v>A</v>
          </cell>
        </row>
      </sheetData>
      <sheetData sheetId="1689">
        <row r="9">
          <cell r="A9" t="str">
            <v>A</v>
          </cell>
        </row>
      </sheetData>
      <sheetData sheetId="1690">
        <row r="9">
          <cell r="A9" t="str">
            <v>A</v>
          </cell>
        </row>
      </sheetData>
      <sheetData sheetId="1691">
        <row r="9">
          <cell r="A9" t="str">
            <v>A</v>
          </cell>
        </row>
      </sheetData>
      <sheetData sheetId="1692">
        <row r="9">
          <cell r="A9" t="str">
            <v>A</v>
          </cell>
        </row>
      </sheetData>
      <sheetData sheetId="1693">
        <row r="9">
          <cell r="A9" t="str">
            <v>A</v>
          </cell>
        </row>
      </sheetData>
      <sheetData sheetId="1694">
        <row r="9">
          <cell r="A9" t="str">
            <v>A</v>
          </cell>
        </row>
      </sheetData>
      <sheetData sheetId="1695">
        <row r="9">
          <cell r="A9" t="str">
            <v>A</v>
          </cell>
        </row>
      </sheetData>
      <sheetData sheetId="1696">
        <row r="9">
          <cell r="A9" t="str">
            <v>A</v>
          </cell>
        </row>
      </sheetData>
      <sheetData sheetId="1697">
        <row r="9">
          <cell r="A9" t="str">
            <v>A</v>
          </cell>
        </row>
      </sheetData>
      <sheetData sheetId="1698">
        <row r="9">
          <cell r="A9" t="str">
            <v>A</v>
          </cell>
        </row>
      </sheetData>
      <sheetData sheetId="1699">
        <row r="9">
          <cell r="A9" t="str">
            <v>A</v>
          </cell>
        </row>
      </sheetData>
      <sheetData sheetId="1700">
        <row r="9">
          <cell r="A9" t="str">
            <v>A</v>
          </cell>
        </row>
      </sheetData>
      <sheetData sheetId="1701">
        <row r="9">
          <cell r="A9" t="str">
            <v>A</v>
          </cell>
        </row>
      </sheetData>
      <sheetData sheetId="1702">
        <row r="9">
          <cell r="A9" t="str">
            <v>A</v>
          </cell>
        </row>
      </sheetData>
      <sheetData sheetId="1703">
        <row r="9">
          <cell r="A9" t="str">
            <v>A</v>
          </cell>
        </row>
      </sheetData>
      <sheetData sheetId="1704">
        <row r="9">
          <cell r="A9" t="str">
            <v>A</v>
          </cell>
        </row>
      </sheetData>
      <sheetData sheetId="1705">
        <row r="9">
          <cell r="A9" t="str">
            <v>A</v>
          </cell>
        </row>
      </sheetData>
      <sheetData sheetId="1706">
        <row r="9">
          <cell r="A9" t="str">
            <v>A</v>
          </cell>
        </row>
      </sheetData>
      <sheetData sheetId="1707">
        <row r="9">
          <cell r="A9" t="str">
            <v>A</v>
          </cell>
        </row>
      </sheetData>
      <sheetData sheetId="1708">
        <row r="9">
          <cell r="A9" t="str">
            <v>A</v>
          </cell>
        </row>
      </sheetData>
      <sheetData sheetId="1709">
        <row r="9">
          <cell r="A9" t="str">
            <v>A</v>
          </cell>
        </row>
      </sheetData>
      <sheetData sheetId="1710">
        <row r="9">
          <cell r="A9" t="str">
            <v>A</v>
          </cell>
        </row>
      </sheetData>
      <sheetData sheetId="1711">
        <row r="9">
          <cell r="A9" t="str">
            <v>A</v>
          </cell>
        </row>
      </sheetData>
      <sheetData sheetId="1712">
        <row r="9">
          <cell r="A9" t="str">
            <v>A</v>
          </cell>
        </row>
      </sheetData>
      <sheetData sheetId="1713">
        <row r="9">
          <cell r="A9" t="str">
            <v>A</v>
          </cell>
        </row>
      </sheetData>
      <sheetData sheetId="1714">
        <row r="9">
          <cell r="A9" t="str">
            <v>A</v>
          </cell>
        </row>
      </sheetData>
      <sheetData sheetId="1715">
        <row r="9">
          <cell r="A9" t="str">
            <v>A</v>
          </cell>
        </row>
      </sheetData>
      <sheetData sheetId="1716">
        <row r="9">
          <cell r="A9" t="str">
            <v>A</v>
          </cell>
        </row>
      </sheetData>
      <sheetData sheetId="1717">
        <row r="9">
          <cell r="A9" t="str">
            <v>A</v>
          </cell>
        </row>
      </sheetData>
      <sheetData sheetId="1718">
        <row r="9">
          <cell r="A9" t="str">
            <v>A</v>
          </cell>
        </row>
      </sheetData>
      <sheetData sheetId="1719">
        <row r="9">
          <cell r="A9" t="str">
            <v>A</v>
          </cell>
        </row>
      </sheetData>
      <sheetData sheetId="1720">
        <row r="9">
          <cell r="A9" t="str">
            <v>A</v>
          </cell>
        </row>
      </sheetData>
      <sheetData sheetId="1721">
        <row r="9">
          <cell r="A9" t="str">
            <v>A</v>
          </cell>
        </row>
      </sheetData>
      <sheetData sheetId="1722">
        <row r="9">
          <cell r="A9" t="str">
            <v>A</v>
          </cell>
        </row>
      </sheetData>
      <sheetData sheetId="1723">
        <row r="9">
          <cell r="A9" t="str">
            <v>A</v>
          </cell>
        </row>
      </sheetData>
      <sheetData sheetId="1724">
        <row r="9">
          <cell r="A9" t="str">
            <v>A</v>
          </cell>
        </row>
      </sheetData>
      <sheetData sheetId="1725">
        <row r="9">
          <cell r="A9" t="str">
            <v>A</v>
          </cell>
        </row>
      </sheetData>
      <sheetData sheetId="1726">
        <row r="9">
          <cell r="A9" t="str">
            <v>A</v>
          </cell>
        </row>
      </sheetData>
      <sheetData sheetId="1727">
        <row r="9">
          <cell r="A9" t="str">
            <v>A</v>
          </cell>
        </row>
      </sheetData>
      <sheetData sheetId="1728">
        <row r="9">
          <cell r="A9" t="str">
            <v>A</v>
          </cell>
        </row>
      </sheetData>
      <sheetData sheetId="1729">
        <row r="9">
          <cell r="A9" t="str">
            <v>A</v>
          </cell>
        </row>
      </sheetData>
      <sheetData sheetId="1730">
        <row r="9">
          <cell r="A9" t="str">
            <v>A</v>
          </cell>
        </row>
      </sheetData>
      <sheetData sheetId="1731">
        <row r="9">
          <cell r="A9" t="str">
            <v>A</v>
          </cell>
        </row>
      </sheetData>
      <sheetData sheetId="1732">
        <row r="9">
          <cell r="A9" t="str">
            <v>A</v>
          </cell>
        </row>
      </sheetData>
      <sheetData sheetId="1733">
        <row r="9">
          <cell r="A9" t="str">
            <v>A</v>
          </cell>
        </row>
      </sheetData>
      <sheetData sheetId="1734">
        <row r="9">
          <cell r="A9" t="str">
            <v>A</v>
          </cell>
        </row>
      </sheetData>
      <sheetData sheetId="1735">
        <row r="9">
          <cell r="A9" t="str">
            <v>A</v>
          </cell>
        </row>
      </sheetData>
      <sheetData sheetId="1736">
        <row r="9">
          <cell r="A9" t="str">
            <v>A</v>
          </cell>
        </row>
      </sheetData>
      <sheetData sheetId="1737">
        <row r="9">
          <cell r="A9" t="str">
            <v>A</v>
          </cell>
        </row>
      </sheetData>
      <sheetData sheetId="1738">
        <row r="9">
          <cell r="A9" t="str">
            <v>A</v>
          </cell>
        </row>
      </sheetData>
      <sheetData sheetId="1739">
        <row r="9">
          <cell r="A9" t="str">
            <v>A</v>
          </cell>
        </row>
      </sheetData>
      <sheetData sheetId="1740">
        <row r="9">
          <cell r="A9" t="str">
            <v>A</v>
          </cell>
        </row>
      </sheetData>
      <sheetData sheetId="1741">
        <row r="9">
          <cell r="A9" t="str">
            <v>A</v>
          </cell>
        </row>
      </sheetData>
      <sheetData sheetId="1742">
        <row r="9">
          <cell r="A9" t="str">
            <v>A</v>
          </cell>
        </row>
      </sheetData>
      <sheetData sheetId="1743">
        <row r="9">
          <cell r="A9" t="str">
            <v>A</v>
          </cell>
        </row>
      </sheetData>
      <sheetData sheetId="1744">
        <row r="9">
          <cell r="A9" t="str">
            <v>A</v>
          </cell>
        </row>
      </sheetData>
      <sheetData sheetId="1745">
        <row r="9">
          <cell r="A9" t="str">
            <v>A</v>
          </cell>
        </row>
      </sheetData>
      <sheetData sheetId="1746">
        <row r="9">
          <cell r="A9" t="str">
            <v>A</v>
          </cell>
        </row>
      </sheetData>
      <sheetData sheetId="1747">
        <row r="9">
          <cell r="A9" t="str">
            <v>A</v>
          </cell>
        </row>
      </sheetData>
      <sheetData sheetId="1748">
        <row r="9">
          <cell r="A9" t="str">
            <v>A</v>
          </cell>
        </row>
      </sheetData>
      <sheetData sheetId="1749">
        <row r="9">
          <cell r="A9" t="str">
            <v>A</v>
          </cell>
        </row>
      </sheetData>
      <sheetData sheetId="1750">
        <row r="9">
          <cell r="A9" t="str">
            <v>A</v>
          </cell>
        </row>
      </sheetData>
      <sheetData sheetId="1751">
        <row r="9">
          <cell r="A9" t="str">
            <v>A</v>
          </cell>
        </row>
      </sheetData>
      <sheetData sheetId="1752">
        <row r="9">
          <cell r="A9" t="str">
            <v>A</v>
          </cell>
        </row>
      </sheetData>
      <sheetData sheetId="1753">
        <row r="9">
          <cell r="A9" t="str">
            <v>A</v>
          </cell>
        </row>
      </sheetData>
      <sheetData sheetId="1754">
        <row r="9">
          <cell r="A9" t="str">
            <v>A</v>
          </cell>
        </row>
      </sheetData>
      <sheetData sheetId="1755">
        <row r="9">
          <cell r="A9" t="str">
            <v>A</v>
          </cell>
        </row>
      </sheetData>
      <sheetData sheetId="1756">
        <row r="9">
          <cell r="A9" t="str">
            <v>A</v>
          </cell>
        </row>
      </sheetData>
      <sheetData sheetId="1757">
        <row r="9">
          <cell r="A9" t="str">
            <v>A</v>
          </cell>
        </row>
      </sheetData>
      <sheetData sheetId="1758">
        <row r="9">
          <cell r="A9" t="str">
            <v>A</v>
          </cell>
        </row>
      </sheetData>
      <sheetData sheetId="1759">
        <row r="9">
          <cell r="A9" t="str">
            <v>A</v>
          </cell>
        </row>
      </sheetData>
      <sheetData sheetId="1760">
        <row r="9">
          <cell r="A9" t="str">
            <v>A</v>
          </cell>
        </row>
      </sheetData>
      <sheetData sheetId="1761">
        <row r="9">
          <cell r="A9" t="str">
            <v>A</v>
          </cell>
        </row>
      </sheetData>
      <sheetData sheetId="1762">
        <row r="9">
          <cell r="A9" t="str">
            <v>A</v>
          </cell>
        </row>
      </sheetData>
      <sheetData sheetId="1763" refreshError="1"/>
      <sheetData sheetId="1764">
        <row r="9">
          <cell r="A9" t="str">
            <v>A</v>
          </cell>
        </row>
      </sheetData>
      <sheetData sheetId="1765">
        <row r="9">
          <cell r="A9" t="str">
            <v>A</v>
          </cell>
        </row>
      </sheetData>
      <sheetData sheetId="1766">
        <row r="9">
          <cell r="A9" t="str">
            <v>A</v>
          </cell>
        </row>
      </sheetData>
      <sheetData sheetId="1767">
        <row r="9">
          <cell r="A9" t="str">
            <v>A</v>
          </cell>
        </row>
      </sheetData>
      <sheetData sheetId="1768">
        <row r="9">
          <cell r="A9" t="str">
            <v>A</v>
          </cell>
        </row>
      </sheetData>
      <sheetData sheetId="1769">
        <row r="9">
          <cell r="A9" t="str">
            <v>A</v>
          </cell>
        </row>
      </sheetData>
      <sheetData sheetId="1770">
        <row r="9">
          <cell r="A9" t="str">
            <v>A</v>
          </cell>
        </row>
      </sheetData>
      <sheetData sheetId="1771">
        <row r="9">
          <cell r="A9" t="str">
            <v>A</v>
          </cell>
        </row>
      </sheetData>
      <sheetData sheetId="1772">
        <row r="9">
          <cell r="A9" t="str">
            <v>A</v>
          </cell>
        </row>
      </sheetData>
      <sheetData sheetId="1773">
        <row r="9">
          <cell r="A9" t="str">
            <v>A</v>
          </cell>
        </row>
      </sheetData>
      <sheetData sheetId="1774">
        <row r="9">
          <cell r="A9" t="str">
            <v>A</v>
          </cell>
        </row>
      </sheetData>
      <sheetData sheetId="1775">
        <row r="9">
          <cell r="A9" t="str">
            <v>A</v>
          </cell>
        </row>
      </sheetData>
      <sheetData sheetId="1776">
        <row r="9">
          <cell r="A9" t="str">
            <v>A</v>
          </cell>
        </row>
      </sheetData>
      <sheetData sheetId="1777">
        <row r="9">
          <cell r="A9" t="str">
            <v>A</v>
          </cell>
        </row>
      </sheetData>
      <sheetData sheetId="1778">
        <row r="9">
          <cell r="A9" t="str">
            <v>A</v>
          </cell>
        </row>
      </sheetData>
      <sheetData sheetId="1779">
        <row r="9">
          <cell r="A9" t="str">
            <v>A</v>
          </cell>
        </row>
      </sheetData>
      <sheetData sheetId="1780">
        <row r="9">
          <cell r="A9" t="str">
            <v>A</v>
          </cell>
        </row>
      </sheetData>
      <sheetData sheetId="1781">
        <row r="9">
          <cell r="A9" t="str">
            <v>A</v>
          </cell>
        </row>
      </sheetData>
      <sheetData sheetId="1782">
        <row r="9">
          <cell r="A9" t="str">
            <v>A</v>
          </cell>
        </row>
      </sheetData>
      <sheetData sheetId="1783">
        <row r="9">
          <cell r="A9" t="str">
            <v>A</v>
          </cell>
        </row>
      </sheetData>
      <sheetData sheetId="1784">
        <row r="9">
          <cell r="A9" t="str">
            <v>A</v>
          </cell>
        </row>
      </sheetData>
      <sheetData sheetId="1785">
        <row r="9">
          <cell r="A9" t="str">
            <v>A</v>
          </cell>
        </row>
      </sheetData>
      <sheetData sheetId="1786">
        <row r="9">
          <cell r="A9" t="str">
            <v>A</v>
          </cell>
        </row>
      </sheetData>
      <sheetData sheetId="1787">
        <row r="9">
          <cell r="A9" t="str">
            <v>A</v>
          </cell>
        </row>
      </sheetData>
      <sheetData sheetId="1788">
        <row r="9">
          <cell r="A9" t="str">
            <v>A</v>
          </cell>
        </row>
      </sheetData>
      <sheetData sheetId="1789">
        <row r="9">
          <cell r="A9" t="str">
            <v>A</v>
          </cell>
        </row>
      </sheetData>
      <sheetData sheetId="1790">
        <row r="9">
          <cell r="A9" t="str">
            <v>A</v>
          </cell>
        </row>
      </sheetData>
      <sheetData sheetId="1791">
        <row r="9">
          <cell r="A9" t="str">
            <v>A</v>
          </cell>
        </row>
      </sheetData>
      <sheetData sheetId="1792">
        <row r="9">
          <cell r="A9" t="str">
            <v>A</v>
          </cell>
        </row>
      </sheetData>
      <sheetData sheetId="1793">
        <row r="9">
          <cell r="A9" t="str">
            <v>A</v>
          </cell>
        </row>
      </sheetData>
      <sheetData sheetId="1794">
        <row r="9">
          <cell r="A9" t="str">
            <v>A</v>
          </cell>
        </row>
      </sheetData>
      <sheetData sheetId="1795">
        <row r="9">
          <cell r="A9" t="str">
            <v>A</v>
          </cell>
        </row>
      </sheetData>
      <sheetData sheetId="1796">
        <row r="9">
          <cell r="A9" t="str">
            <v>A</v>
          </cell>
        </row>
      </sheetData>
      <sheetData sheetId="1797">
        <row r="9">
          <cell r="A9" t="str">
            <v>A</v>
          </cell>
        </row>
      </sheetData>
      <sheetData sheetId="1798">
        <row r="9">
          <cell r="A9" t="str">
            <v>A</v>
          </cell>
        </row>
      </sheetData>
      <sheetData sheetId="1799">
        <row r="9">
          <cell r="A9" t="str">
            <v>A</v>
          </cell>
        </row>
      </sheetData>
      <sheetData sheetId="1800">
        <row r="9">
          <cell r="A9" t="str">
            <v>A</v>
          </cell>
        </row>
      </sheetData>
      <sheetData sheetId="1801">
        <row r="9">
          <cell r="A9" t="str">
            <v>A</v>
          </cell>
        </row>
      </sheetData>
      <sheetData sheetId="1802">
        <row r="9">
          <cell r="A9" t="str">
            <v>A</v>
          </cell>
        </row>
      </sheetData>
      <sheetData sheetId="1803">
        <row r="9">
          <cell r="A9" t="str">
            <v>A</v>
          </cell>
        </row>
      </sheetData>
      <sheetData sheetId="1804">
        <row r="9">
          <cell r="A9" t="str">
            <v>A</v>
          </cell>
        </row>
      </sheetData>
      <sheetData sheetId="1805">
        <row r="9">
          <cell r="A9" t="str">
            <v>A</v>
          </cell>
        </row>
      </sheetData>
      <sheetData sheetId="1806">
        <row r="9">
          <cell r="A9" t="str">
            <v>A</v>
          </cell>
        </row>
      </sheetData>
      <sheetData sheetId="1807">
        <row r="9">
          <cell r="A9" t="str">
            <v>A</v>
          </cell>
        </row>
      </sheetData>
      <sheetData sheetId="1808">
        <row r="9">
          <cell r="A9" t="str">
            <v>A</v>
          </cell>
        </row>
      </sheetData>
      <sheetData sheetId="1809">
        <row r="9">
          <cell r="A9" t="str">
            <v>A</v>
          </cell>
        </row>
      </sheetData>
      <sheetData sheetId="1810">
        <row r="9">
          <cell r="A9" t="str">
            <v>A</v>
          </cell>
        </row>
      </sheetData>
      <sheetData sheetId="1811">
        <row r="9">
          <cell r="A9" t="str">
            <v>A</v>
          </cell>
        </row>
      </sheetData>
      <sheetData sheetId="1812">
        <row r="9">
          <cell r="A9" t="str">
            <v>A</v>
          </cell>
        </row>
      </sheetData>
      <sheetData sheetId="1813" refreshError="1"/>
      <sheetData sheetId="1814" refreshError="1"/>
      <sheetData sheetId="1815">
        <row r="9">
          <cell r="A9" t="str">
            <v>A</v>
          </cell>
        </row>
      </sheetData>
      <sheetData sheetId="1816">
        <row r="9">
          <cell r="A9" t="str">
            <v>A</v>
          </cell>
        </row>
      </sheetData>
      <sheetData sheetId="1817">
        <row r="9">
          <cell r="A9" t="str">
            <v>A</v>
          </cell>
        </row>
      </sheetData>
      <sheetData sheetId="1818">
        <row r="9">
          <cell r="A9" t="str">
            <v>A</v>
          </cell>
        </row>
      </sheetData>
      <sheetData sheetId="1819">
        <row r="9">
          <cell r="A9" t="str">
            <v>A</v>
          </cell>
        </row>
      </sheetData>
      <sheetData sheetId="1820">
        <row r="9">
          <cell r="A9" t="str">
            <v>A</v>
          </cell>
        </row>
      </sheetData>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ow r="9">
          <cell r="A9" t="str">
            <v>A</v>
          </cell>
        </row>
      </sheetData>
      <sheetData sheetId="1834">
        <row r="9">
          <cell r="A9" t="str">
            <v>A</v>
          </cell>
        </row>
      </sheetData>
      <sheetData sheetId="1835">
        <row r="9">
          <cell r="A9" t="str">
            <v>A</v>
          </cell>
        </row>
      </sheetData>
      <sheetData sheetId="1836">
        <row r="9">
          <cell r="A9" t="str">
            <v>A</v>
          </cell>
        </row>
      </sheetData>
      <sheetData sheetId="1837">
        <row r="9">
          <cell r="A9" t="str">
            <v>A</v>
          </cell>
        </row>
      </sheetData>
      <sheetData sheetId="1838">
        <row r="9">
          <cell r="A9" t="str">
            <v>A</v>
          </cell>
        </row>
      </sheetData>
      <sheetData sheetId="1839">
        <row r="9">
          <cell r="A9" t="str">
            <v>A</v>
          </cell>
        </row>
      </sheetData>
      <sheetData sheetId="1840">
        <row r="9">
          <cell r="A9" t="str">
            <v>A</v>
          </cell>
        </row>
      </sheetData>
      <sheetData sheetId="1841">
        <row r="9">
          <cell r="A9" t="str">
            <v>A</v>
          </cell>
        </row>
      </sheetData>
      <sheetData sheetId="1842">
        <row r="9">
          <cell r="A9" t="str">
            <v>A</v>
          </cell>
        </row>
      </sheetData>
      <sheetData sheetId="1843">
        <row r="9">
          <cell r="A9" t="str">
            <v>A</v>
          </cell>
        </row>
      </sheetData>
      <sheetData sheetId="1844">
        <row r="9">
          <cell r="A9" t="str">
            <v>A</v>
          </cell>
        </row>
      </sheetData>
      <sheetData sheetId="1845">
        <row r="9">
          <cell r="A9" t="str">
            <v>A</v>
          </cell>
        </row>
      </sheetData>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ow r="9">
          <cell r="A9" t="str">
            <v>A</v>
          </cell>
        </row>
      </sheetData>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ow r="9">
          <cell r="A9" t="str">
            <v>A</v>
          </cell>
        </row>
      </sheetData>
      <sheetData sheetId="1911">
        <row r="9">
          <cell r="A9" t="str">
            <v>A</v>
          </cell>
        </row>
      </sheetData>
      <sheetData sheetId="1912"/>
      <sheetData sheetId="1913" refreshError="1"/>
      <sheetData sheetId="1914"/>
      <sheetData sheetId="1915">
        <row r="9">
          <cell r="A9" t="str">
            <v>A</v>
          </cell>
        </row>
      </sheetData>
      <sheetData sheetId="1916" refreshError="1"/>
      <sheetData sheetId="1917" refreshError="1"/>
      <sheetData sheetId="1918" refreshError="1"/>
      <sheetData sheetId="1919" refreshError="1"/>
      <sheetData sheetId="1920" refreshError="1"/>
      <sheetData sheetId="1921">
        <row r="9">
          <cell r="A9" t="str">
            <v>A</v>
          </cell>
        </row>
      </sheetData>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ow r="9">
          <cell r="A9" t="str">
            <v>A</v>
          </cell>
        </row>
      </sheetData>
      <sheetData sheetId="1936" refreshError="1"/>
      <sheetData sheetId="1937" refreshError="1"/>
      <sheetData sheetId="1938" refreshError="1"/>
      <sheetData sheetId="1939" refreshError="1"/>
      <sheetData sheetId="1940" refreshError="1"/>
      <sheetData sheetId="1941" refreshError="1"/>
      <sheetData sheetId="1942" refreshError="1"/>
      <sheetData sheetId="1943">
        <row r="9">
          <cell r="A9" t="str">
            <v>A</v>
          </cell>
        </row>
      </sheetData>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ow r="9">
          <cell r="A9" t="str">
            <v>A</v>
          </cell>
        </row>
      </sheetData>
      <sheetData sheetId="1953" refreshError="1"/>
      <sheetData sheetId="1954">
        <row r="9">
          <cell r="A9" t="str">
            <v>A</v>
          </cell>
        </row>
      </sheetData>
      <sheetData sheetId="1955" refreshError="1"/>
      <sheetData sheetId="1956" refreshError="1"/>
      <sheetData sheetId="1957" refreshError="1"/>
      <sheetData sheetId="1958" refreshError="1"/>
      <sheetData sheetId="1959">
        <row r="9">
          <cell r="A9" t="str">
            <v>A</v>
          </cell>
        </row>
      </sheetData>
      <sheetData sheetId="1960">
        <row r="9">
          <cell r="A9" t="str">
            <v>A</v>
          </cell>
        </row>
      </sheetData>
      <sheetData sheetId="1961">
        <row r="9">
          <cell r="A9" t="str">
            <v>A</v>
          </cell>
        </row>
      </sheetData>
      <sheetData sheetId="1962">
        <row r="9">
          <cell r="A9" t="str">
            <v>A</v>
          </cell>
        </row>
      </sheetData>
      <sheetData sheetId="1963">
        <row r="9">
          <cell r="A9" t="str">
            <v>A</v>
          </cell>
        </row>
      </sheetData>
      <sheetData sheetId="1964">
        <row r="9">
          <cell r="A9" t="str">
            <v>A</v>
          </cell>
        </row>
      </sheetData>
      <sheetData sheetId="1965">
        <row r="9">
          <cell r="A9" t="str">
            <v>A</v>
          </cell>
        </row>
      </sheetData>
      <sheetData sheetId="1966">
        <row r="9">
          <cell r="A9" t="str">
            <v>A</v>
          </cell>
        </row>
      </sheetData>
      <sheetData sheetId="1967">
        <row r="9">
          <cell r="A9" t="str">
            <v>A</v>
          </cell>
        </row>
      </sheetData>
      <sheetData sheetId="1968">
        <row r="9">
          <cell r="A9" t="str">
            <v>A</v>
          </cell>
        </row>
      </sheetData>
      <sheetData sheetId="1969">
        <row r="9">
          <cell r="A9" t="str">
            <v>A</v>
          </cell>
        </row>
      </sheetData>
      <sheetData sheetId="1970">
        <row r="9">
          <cell r="A9" t="str">
            <v>A</v>
          </cell>
        </row>
      </sheetData>
      <sheetData sheetId="1971">
        <row r="9">
          <cell r="A9" t="str">
            <v>A</v>
          </cell>
        </row>
      </sheetData>
      <sheetData sheetId="1972">
        <row r="9">
          <cell r="A9" t="str">
            <v>A</v>
          </cell>
        </row>
      </sheetData>
      <sheetData sheetId="1973">
        <row r="9">
          <cell r="A9" t="str">
            <v>A</v>
          </cell>
        </row>
      </sheetData>
      <sheetData sheetId="1974">
        <row r="9">
          <cell r="A9" t="str">
            <v>A</v>
          </cell>
        </row>
      </sheetData>
      <sheetData sheetId="1975">
        <row r="9">
          <cell r="A9" t="str">
            <v>A</v>
          </cell>
        </row>
      </sheetData>
      <sheetData sheetId="1976">
        <row r="9">
          <cell r="A9" t="str">
            <v>A</v>
          </cell>
        </row>
      </sheetData>
      <sheetData sheetId="1977">
        <row r="9">
          <cell r="A9" t="str">
            <v>A</v>
          </cell>
        </row>
      </sheetData>
      <sheetData sheetId="1978">
        <row r="9">
          <cell r="A9" t="str">
            <v>A</v>
          </cell>
        </row>
      </sheetData>
      <sheetData sheetId="1979">
        <row r="9">
          <cell r="A9" t="str">
            <v>A</v>
          </cell>
        </row>
      </sheetData>
      <sheetData sheetId="1980">
        <row r="9">
          <cell r="A9" t="str">
            <v>A</v>
          </cell>
        </row>
      </sheetData>
      <sheetData sheetId="1981">
        <row r="9">
          <cell r="A9" t="str">
            <v>A</v>
          </cell>
        </row>
      </sheetData>
      <sheetData sheetId="1982">
        <row r="9">
          <cell r="A9" t="str">
            <v>A</v>
          </cell>
        </row>
      </sheetData>
      <sheetData sheetId="1983">
        <row r="9">
          <cell r="A9" t="str">
            <v>A</v>
          </cell>
        </row>
      </sheetData>
      <sheetData sheetId="1984">
        <row r="9">
          <cell r="A9" t="str">
            <v>A</v>
          </cell>
        </row>
      </sheetData>
      <sheetData sheetId="1985">
        <row r="9">
          <cell r="A9" t="str">
            <v>A</v>
          </cell>
        </row>
      </sheetData>
      <sheetData sheetId="1986">
        <row r="9">
          <cell r="A9" t="str">
            <v>A</v>
          </cell>
        </row>
      </sheetData>
      <sheetData sheetId="1987">
        <row r="9">
          <cell r="A9" t="str">
            <v>A</v>
          </cell>
        </row>
      </sheetData>
      <sheetData sheetId="1988">
        <row r="9">
          <cell r="A9" t="str">
            <v>A</v>
          </cell>
        </row>
      </sheetData>
      <sheetData sheetId="1989">
        <row r="9">
          <cell r="A9" t="str">
            <v>A</v>
          </cell>
        </row>
      </sheetData>
      <sheetData sheetId="1990">
        <row r="9">
          <cell r="A9" t="str">
            <v>A</v>
          </cell>
        </row>
      </sheetData>
      <sheetData sheetId="1991">
        <row r="9">
          <cell r="A9" t="str">
            <v>A</v>
          </cell>
        </row>
      </sheetData>
      <sheetData sheetId="1992">
        <row r="9">
          <cell r="A9" t="str">
            <v>A</v>
          </cell>
        </row>
      </sheetData>
      <sheetData sheetId="1993">
        <row r="9">
          <cell r="A9" t="str">
            <v>A</v>
          </cell>
        </row>
      </sheetData>
      <sheetData sheetId="1994">
        <row r="9">
          <cell r="A9" t="str">
            <v>A</v>
          </cell>
        </row>
      </sheetData>
      <sheetData sheetId="1995">
        <row r="9">
          <cell r="A9" t="str">
            <v>A</v>
          </cell>
        </row>
      </sheetData>
      <sheetData sheetId="1996">
        <row r="9">
          <cell r="A9" t="str">
            <v>A</v>
          </cell>
        </row>
      </sheetData>
      <sheetData sheetId="1997">
        <row r="9">
          <cell r="A9" t="str">
            <v>A</v>
          </cell>
        </row>
      </sheetData>
      <sheetData sheetId="1998">
        <row r="9">
          <cell r="A9" t="str">
            <v>A</v>
          </cell>
        </row>
      </sheetData>
      <sheetData sheetId="1999">
        <row r="9">
          <cell r="A9" t="str">
            <v>A</v>
          </cell>
        </row>
      </sheetData>
      <sheetData sheetId="2000">
        <row r="9">
          <cell r="A9" t="str">
            <v>A</v>
          </cell>
        </row>
      </sheetData>
      <sheetData sheetId="2001">
        <row r="9">
          <cell r="A9" t="str">
            <v>A</v>
          </cell>
        </row>
      </sheetData>
      <sheetData sheetId="2002">
        <row r="9">
          <cell r="A9" t="str">
            <v>A</v>
          </cell>
        </row>
      </sheetData>
      <sheetData sheetId="2003">
        <row r="9">
          <cell r="A9" t="str">
            <v>A</v>
          </cell>
        </row>
      </sheetData>
      <sheetData sheetId="2004">
        <row r="9">
          <cell r="A9" t="str">
            <v>A</v>
          </cell>
        </row>
      </sheetData>
      <sheetData sheetId="2005">
        <row r="9">
          <cell r="A9" t="str">
            <v>A</v>
          </cell>
        </row>
      </sheetData>
      <sheetData sheetId="2006">
        <row r="9">
          <cell r="A9" t="str">
            <v>A</v>
          </cell>
        </row>
      </sheetData>
      <sheetData sheetId="2007">
        <row r="9">
          <cell r="A9" t="str">
            <v>A</v>
          </cell>
        </row>
      </sheetData>
      <sheetData sheetId="2008">
        <row r="9">
          <cell r="A9" t="str">
            <v>A</v>
          </cell>
        </row>
      </sheetData>
      <sheetData sheetId="2009">
        <row r="9">
          <cell r="A9" t="str">
            <v>A</v>
          </cell>
        </row>
      </sheetData>
      <sheetData sheetId="2010">
        <row r="9">
          <cell r="A9" t="str">
            <v>A</v>
          </cell>
        </row>
      </sheetData>
      <sheetData sheetId="2011">
        <row r="9">
          <cell r="A9" t="str">
            <v>A</v>
          </cell>
        </row>
      </sheetData>
      <sheetData sheetId="2012">
        <row r="9">
          <cell r="A9" t="str">
            <v>A</v>
          </cell>
        </row>
      </sheetData>
      <sheetData sheetId="2013">
        <row r="9">
          <cell r="A9" t="str">
            <v>A</v>
          </cell>
        </row>
      </sheetData>
      <sheetData sheetId="2014">
        <row r="9">
          <cell r="A9" t="str">
            <v>A</v>
          </cell>
        </row>
      </sheetData>
      <sheetData sheetId="2015">
        <row r="9">
          <cell r="A9" t="str">
            <v>A</v>
          </cell>
        </row>
      </sheetData>
      <sheetData sheetId="2016">
        <row r="9">
          <cell r="A9" t="str">
            <v>A</v>
          </cell>
        </row>
      </sheetData>
      <sheetData sheetId="2017">
        <row r="9">
          <cell r="A9" t="str">
            <v>A</v>
          </cell>
        </row>
      </sheetData>
      <sheetData sheetId="2018">
        <row r="9">
          <cell r="A9" t="str">
            <v>A</v>
          </cell>
        </row>
      </sheetData>
      <sheetData sheetId="2019">
        <row r="9">
          <cell r="A9" t="str">
            <v>A</v>
          </cell>
        </row>
      </sheetData>
      <sheetData sheetId="2020">
        <row r="9">
          <cell r="A9" t="str">
            <v>A</v>
          </cell>
        </row>
      </sheetData>
      <sheetData sheetId="2021">
        <row r="9">
          <cell r="A9" t="str">
            <v>A</v>
          </cell>
        </row>
      </sheetData>
      <sheetData sheetId="2022">
        <row r="9">
          <cell r="A9" t="str">
            <v>A</v>
          </cell>
        </row>
      </sheetData>
      <sheetData sheetId="2023">
        <row r="9">
          <cell r="A9" t="str">
            <v>A</v>
          </cell>
        </row>
      </sheetData>
      <sheetData sheetId="2024">
        <row r="9">
          <cell r="A9" t="str">
            <v>A</v>
          </cell>
        </row>
      </sheetData>
      <sheetData sheetId="2025">
        <row r="9">
          <cell r="A9" t="str">
            <v>A</v>
          </cell>
        </row>
      </sheetData>
      <sheetData sheetId="2026">
        <row r="9">
          <cell r="A9" t="str">
            <v>A</v>
          </cell>
        </row>
      </sheetData>
      <sheetData sheetId="2027">
        <row r="9">
          <cell r="A9" t="str">
            <v>A</v>
          </cell>
        </row>
      </sheetData>
      <sheetData sheetId="2028">
        <row r="9">
          <cell r="A9" t="str">
            <v>A</v>
          </cell>
        </row>
      </sheetData>
      <sheetData sheetId="2029">
        <row r="9">
          <cell r="A9" t="str">
            <v>A</v>
          </cell>
        </row>
      </sheetData>
      <sheetData sheetId="2030">
        <row r="9">
          <cell r="A9" t="str">
            <v>A</v>
          </cell>
        </row>
      </sheetData>
      <sheetData sheetId="2031">
        <row r="9">
          <cell r="A9" t="str">
            <v>A</v>
          </cell>
        </row>
      </sheetData>
      <sheetData sheetId="2032">
        <row r="9">
          <cell r="A9" t="str">
            <v>A</v>
          </cell>
        </row>
      </sheetData>
      <sheetData sheetId="2033">
        <row r="9">
          <cell r="A9" t="str">
            <v>A</v>
          </cell>
        </row>
      </sheetData>
      <sheetData sheetId="2034">
        <row r="9">
          <cell r="A9" t="str">
            <v>A</v>
          </cell>
        </row>
      </sheetData>
      <sheetData sheetId="2035">
        <row r="9">
          <cell r="A9" t="str">
            <v>A</v>
          </cell>
        </row>
      </sheetData>
      <sheetData sheetId="2036">
        <row r="9">
          <cell r="A9" t="str">
            <v>A</v>
          </cell>
        </row>
      </sheetData>
      <sheetData sheetId="2037">
        <row r="9">
          <cell r="A9" t="str">
            <v>A</v>
          </cell>
        </row>
      </sheetData>
      <sheetData sheetId="2038">
        <row r="9">
          <cell r="A9" t="str">
            <v>A</v>
          </cell>
        </row>
      </sheetData>
      <sheetData sheetId="2039">
        <row r="9">
          <cell r="A9" t="str">
            <v>A</v>
          </cell>
        </row>
      </sheetData>
      <sheetData sheetId="2040">
        <row r="9">
          <cell r="A9" t="str">
            <v>A</v>
          </cell>
        </row>
      </sheetData>
      <sheetData sheetId="2041">
        <row r="9">
          <cell r="A9" t="str">
            <v>A</v>
          </cell>
        </row>
      </sheetData>
      <sheetData sheetId="2042">
        <row r="9">
          <cell r="A9" t="str">
            <v>A</v>
          </cell>
        </row>
      </sheetData>
      <sheetData sheetId="2043">
        <row r="9">
          <cell r="A9" t="str">
            <v>A</v>
          </cell>
        </row>
      </sheetData>
      <sheetData sheetId="2044">
        <row r="9">
          <cell r="A9" t="str">
            <v>A</v>
          </cell>
        </row>
      </sheetData>
      <sheetData sheetId="2045">
        <row r="9">
          <cell r="A9" t="str">
            <v>A</v>
          </cell>
        </row>
      </sheetData>
      <sheetData sheetId="2046">
        <row r="9">
          <cell r="A9" t="str">
            <v>A</v>
          </cell>
        </row>
      </sheetData>
      <sheetData sheetId="2047">
        <row r="9">
          <cell r="A9" t="str">
            <v>A</v>
          </cell>
        </row>
      </sheetData>
      <sheetData sheetId="2048">
        <row r="9">
          <cell r="A9" t="str">
            <v>A</v>
          </cell>
        </row>
      </sheetData>
      <sheetData sheetId="2049">
        <row r="9">
          <cell r="A9" t="str">
            <v>A</v>
          </cell>
        </row>
      </sheetData>
      <sheetData sheetId="2050">
        <row r="9">
          <cell r="A9" t="str">
            <v>A</v>
          </cell>
        </row>
      </sheetData>
      <sheetData sheetId="2051">
        <row r="9">
          <cell r="A9" t="str">
            <v>A</v>
          </cell>
        </row>
      </sheetData>
      <sheetData sheetId="2052">
        <row r="9">
          <cell r="A9" t="str">
            <v>A</v>
          </cell>
        </row>
      </sheetData>
      <sheetData sheetId="2053">
        <row r="9">
          <cell r="A9" t="str">
            <v>A</v>
          </cell>
        </row>
      </sheetData>
      <sheetData sheetId="2054">
        <row r="9">
          <cell r="A9" t="str">
            <v>A</v>
          </cell>
        </row>
      </sheetData>
      <sheetData sheetId="2055">
        <row r="9">
          <cell r="A9" t="str">
            <v>A</v>
          </cell>
        </row>
      </sheetData>
      <sheetData sheetId="2056">
        <row r="9">
          <cell r="A9" t="str">
            <v>A</v>
          </cell>
        </row>
      </sheetData>
      <sheetData sheetId="2057">
        <row r="9">
          <cell r="A9" t="str">
            <v>A</v>
          </cell>
        </row>
      </sheetData>
      <sheetData sheetId="2058">
        <row r="9">
          <cell r="A9" t="str">
            <v>A</v>
          </cell>
        </row>
      </sheetData>
      <sheetData sheetId="2059">
        <row r="9">
          <cell r="A9" t="str">
            <v>A</v>
          </cell>
        </row>
      </sheetData>
      <sheetData sheetId="2060">
        <row r="9">
          <cell r="A9" t="str">
            <v>A</v>
          </cell>
        </row>
      </sheetData>
      <sheetData sheetId="2061">
        <row r="9">
          <cell r="A9" t="str">
            <v>A</v>
          </cell>
        </row>
      </sheetData>
      <sheetData sheetId="2062">
        <row r="9">
          <cell r="A9" t="str">
            <v>A</v>
          </cell>
        </row>
      </sheetData>
      <sheetData sheetId="2063">
        <row r="9">
          <cell r="A9" t="str">
            <v>A</v>
          </cell>
        </row>
      </sheetData>
      <sheetData sheetId="2064">
        <row r="9">
          <cell r="A9" t="str">
            <v>A</v>
          </cell>
        </row>
      </sheetData>
      <sheetData sheetId="2065">
        <row r="9">
          <cell r="A9" t="str">
            <v>A</v>
          </cell>
        </row>
      </sheetData>
      <sheetData sheetId="2066">
        <row r="9">
          <cell r="A9" t="str">
            <v>A</v>
          </cell>
        </row>
      </sheetData>
      <sheetData sheetId="2067">
        <row r="9">
          <cell r="A9" t="str">
            <v>A</v>
          </cell>
        </row>
      </sheetData>
      <sheetData sheetId="2068">
        <row r="9">
          <cell r="A9" t="str">
            <v>A</v>
          </cell>
        </row>
      </sheetData>
      <sheetData sheetId="2069">
        <row r="9">
          <cell r="A9" t="str">
            <v>A</v>
          </cell>
        </row>
      </sheetData>
      <sheetData sheetId="2070">
        <row r="9">
          <cell r="A9" t="str">
            <v>A</v>
          </cell>
        </row>
      </sheetData>
      <sheetData sheetId="2071">
        <row r="9">
          <cell r="A9" t="str">
            <v>A</v>
          </cell>
        </row>
      </sheetData>
      <sheetData sheetId="2072">
        <row r="9">
          <cell r="A9" t="str">
            <v>A</v>
          </cell>
        </row>
      </sheetData>
      <sheetData sheetId="2073">
        <row r="9">
          <cell r="A9" t="str">
            <v>A</v>
          </cell>
        </row>
      </sheetData>
      <sheetData sheetId="2074">
        <row r="9">
          <cell r="A9" t="str">
            <v>A</v>
          </cell>
        </row>
      </sheetData>
      <sheetData sheetId="2075">
        <row r="9">
          <cell r="A9" t="str">
            <v>A</v>
          </cell>
        </row>
      </sheetData>
      <sheetData sheetId="2076">
        <row r="9">
          <cell r="A9" t="str">
            <v>A</v>
          </cell>
        </row>
      </sheetData>
      <sheetData sheetId="2077">
        <row r="9">
          <cell r="A9" t="str">
            <v>A</v>
          </cell>
        </row>
      </sheetData>
      <sheetData sheetId="2078">
        <row r="9">
          <cell r="A9" t="str">
            <v>A</v>
          </cell>
        </row>
      </sheetData>
      <sheetData sheetId="2079">
        <row r="9">
          <cell r="A9" t="str">
            <v>A</v>
          </cell>
        </row>
      </sheetData>
      <sheetData sheetId="2080">
        <row r="9">
          <cell r="A9" t="str">
            <v>A</v>
          </cell>
        </row>
      </sheetData>
      <sheetData sheetId="2081">
        <row r="9">
          <cell r="A9" t="str">
            <v>A</v>
          </cell>
        </row>
      </sheetData>
      <sheetData sheetId="2082">
        <row r="9">
          <cell r="A9" t="str">
            <v>A</v>
          </cell>
        </row>
      </sheetData>
      <sheetData sheetId="2083">
        <row r="9">
          <cell r="A9" t="str">
            <v>A</v>
          </cell>
        </row>
      </sheetData>
      <sheetData sheetId="2084">
        <row r="9">
          <cell r="A9" t="str">
            <v>A</v>
          </cell>
        </row>
      </sheetData>
      <sheetData sheetId="2085">
        <row r="9">
          <cell r="A9" t="str">
            <v>A</v>
          </cell>
        </row>
      </sheetData>
      <sheetData sheetId="2086">
        <row r="9">
          <cell r="A9" t="str">
            <v>A</v>
          </cell>
        </row>
      </sheetData>
      <sheetData sheetId="2087">
        <row r="9">
          <cell r="A9" t="str">
            <v>A</v>
          </cell>
        </row>
      </sheetData>
      <sheetData sheetId="2088">
        <row r="9">
          <cell r="A9" t="str">
            <v>A</v>
          </cell>
        </row>
      </sheetData>
      <sheetData sheetId="2089">
        <row r="9">
          <cell r="A9" t="str">
            <v>A</v>
          </cell>
        </row>
      </sheetData>
      <sheetData sheetId="2090">
        <row r="9">
          <cell r="A9" t="str">
            <v>A</v>
          </cell>
        </row>
      </sheetData>
      <sheetData sheetId="2091">
        <row r="9">
          <cell r="A9" t="str">
            <v>A</v>
          </cell>
        </row>
      </sheetData>
      <sheetData sheetId="2092">
        <row r="9">
          <cell r="A9" t="str">
            <v>A</v>
          </cell>
        </row>
      </sheetData>
      <sheetData sheetId="2093">
        <row r="9">
          <cell r="A9" t="str">
            <v>A</v>
          </cell>
        </row>
      </sheetData>
      <sheetData sheetId="2094">
        <row r="9">
          <cell r="A9" t="str">
            <v>A</v>
          </cell>
        </row>
      </sheetData>
      <sheetData sheetId="2095">
        <row r="9">
          <cell r="A9" t="str">
            <v>A</v>
          </cell>
        </row>
      </sheetData>
      <sheetData sheetId="2096">
        <row r="9">
          <cell r="A9" t="str">
            <v>A</v>
          </cell>
        </row>
      </sheetData>
      <sheetData sheetId="2097">
        <row r="9">
          <cell r="A9" t="str">
            <v>A</v>
          </cell>
        </row>
      </sheetData>
      <sheetData sheetId="2098">
        <row r="9">
          <cell r="A9" t="str">
            <v>A</v>
          </cell>
        </row>
      </sheetData>
      <sheetData sheetId="2099">
        <row r="9">
          <cell r="A9" t="str">
            <v>A</v>
          </cell>
        </row>
      </sheetData>
      <sheetData sheetId="2100">
        <row r="9">
          <cell r="A9" t="str">
            <v>A</v>
          </cell>
        </row>
      </sheetData>
      <sheetData sheetId="2101">
        <row r="9">
          <cell r="A9" t="str">
            <v>A</v>
          </cell>
        </row>
      </sheetData>
      <sheetData sheetId="2102">
        <row r="9">
          <cell r="A9" t="str">
            <v>A</v>
          </cell>
        </row>
      </sheetData>
      <sheetData sheetId="2103">
        <row r="9">
          <cell r="A9" t="str">
            <v>A</v>
          </cell>
        </row>
      </sheetData>
      <sheetData sheetId="2104">
        <row r="9">
          <cell r="A9" t="str">
            <v>A</v>
          </cell>
        </row>
      </sheetData>
      <sheetData sheetId="2105">
        <row r="9">
          <cell r="A9" t="str">
            <v>A</v>
          </cell>
        </row>
      </sheetData>
      <sheetData sheetId="2106">
        <row r="9">
          <cell r="A9" t="str">
            <v>A</v>
          </cell>
        </row>
      </sheetData>
      <sheetData sheetId="2107">
        <row r="9">
          <cell r="A9" t="str">
            <v>A</v>
          </cell>
        </row>
      </sheetData>
      <sheetData sheetId="2108">
        <row r="9">
          <cell r="A9" t="str">
            <v>A</v>
          </cell>
        </row>
      </sheetData>
      <sheetData sheetId="2109">
        <row r="9">
          <cell r="A9" t="str">
            <v>A</v>
          </cell>
        </row>
      </sheetData>
      <sheetData sheetId="2110">
        <row r="9">
          <cell r="A9" t="str">
            <v>A</v>
          </cell>
        </row>
      </sheetData>
      <sheetData sheetId="2111">
        <row r="9">
          <cell r="A9" t="str">
            <v>A</v>
          </cell>
        </row>
      </sheetData>
      <sheetData sheetId="2112">
        <row r="9">
          <cell r="A9" t="str">
            <v>A</v>
          </cell>
        </row>
      </sheetData>
      <sheetData sheetId="2113">
        <row r="9">
          <cell r="A9" t="str">
            <v>A</v>
          </cell>
        </row>
      </sheetData>
      <sheetData sheetId="2114">
        <row r="9">
          <cell r="A9" t="str">
            <v>A</v>
          </cell>
        </row>
      </sheetData>
      <sheetData sheetId="2115">
        <row r="9">
          <cell r="A9" t="str">
            <v>A</v>
          </cell>
        </row>
      </sheetData>
      <sheetData sheetId="2116">
        <row r="9">
          <cell r="A9" t="str">
            <v>A</v>
          </cell>
        </row>
      </sheetData>
      <sheetData sheetId="2117">
        <row r="9">
          <cell r="A9" t="str">
            <v>A</v>
          </cell>
        </row>
      </sheetData>
      <sheetData sheetId="2118">
        <row r="9">
          <cell r="A9" t="str">
            <v>A</v>
          </cell>
        </row>
      </sheetData>
      <sheetData sheetId="2119">
        <row r="9">
          <cell r="A9" t="str">
            <v>A</v>
          </cell>
        </row>
      </sheetData>
      <sheetData sheetId="2120">
        <row r="9">
          <cell r="A9" t="str">
            <v>A</v>
          </cell>
        </row>
      </sheetData>
      <sheetData sheetId="2121">
        <row r="9">
          <cell r="A9" t="str">
            <v>A</v>
          </cell>
        </row>
      </sheetData>
      <sheetData sheetId="2122">
        <row r="9">
          <cell r="A9" t="str">
            <v>A</v>
          </cell>
        </row>
      </sheetData>
      <sheetData sheetId="2123">
        <row r="9">
          <cell r="A9" t="str">
            <v>A</v>
          </cell>
        </row>
      </sheetData>
      <sheetData sheetId="2124">
        <row r="9">
          <cell r="A9" t="str">
            <v>A</v>
          </cell>
        </row>
      </sheetData>
      <sheetData sheetId="2125">
        <row r="9">
          <cell r="A9" t="str">
            <v>A</v>
          </cell>
        </row>
      </sheetData>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ow r="9">
          <cell r="A9" t="str">
            <v>A</v>
          </cell>
        </row>
      </sheetData>
      <sheetData sheetId="2375">
        <row r="9">
          <cell r="A9" t="str">
            <v>A</v>
          </cell>
        </row>
      </sheetData>
      <sheetData sheetId="2376">
        <row r="9">
          <cell r="A9" t="str">
            <v>A</v>
          </cell>
        </row>
      </sheetData>
      <sheetData sheetId="2377">
        <row r="9">
          <cell r="A9" t="str">
            <v>A</v>
          </cell>
        </row>
      </sheetData>
      <sheetData sheetId="2378">
        <row r="9">
          <cell r="A9" t="str">
            <v>A</v>
          </cell>
        </row>
      </sheetData>
      <sheetData sheetId="2379">
        <row r="9">
          <cell r="A9" t="str">
            <v>A</v>
          </cell>
        </row>
      </sheetData>
      <sheetData sheetId="2380">
        <row r="9">
          <cell r="A9" t="str">
            <v>A</v>
          </cell>
        </row>
      </sheetData>
      <sheetData sheetId="2381">
        <row r="9">
          <cell r="A9" t="str">
            <v>A</v>
          </cell>
        </row>
      </sheetData>
      <sheetData sheetId="2382">
        <row r="9">
          <cell r="A9" t="str">
            <v>A</v>
          </cell>
        </row>
      </sheetData>
      <sheetData sheetId="2383" refreshError="1"/>
      <sheetData sheetId="2384" refreshError="1"/>
      <sheetData sheetId="2385"/>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ow r="9">
          <cell r="A9" t="str">
            <v>A</v>
          </cell>
        </row>
      </sheetData>
      <sheetData sheetId="2404" refreshError="1"/>
      <sheetData sheetId="2405"/>
      <sheetData sheetId="2406">
        <row r="9">
          <cell r="A9" t="str">
            <v>A</v>
          </cell>
        </row>
      </sheetData>
      <sheetData sheetId="2407" refreshError="1"/>
      <sheetData sheetId="2408" refreshError="1"/>
      <sheetData sheetId="2409" refreshError="1"/>
      <sheetData sheetId="2410" refreshError="1"/>
      <sheetData sheetId="2411" refreshError="1"/>
      <sheetData sheetId="2412" refreshError="1"/>
      <sheetData sheetId="2413" refreshError="1"/>
      <sheetData sheetId="2414">
        <row r="9">
          <cell r="A9" t="str">
            <v>A</v>
          </cell>
        </row>
      </sheetData>
      <sheetData sheetId="2415">
        <row r="9">
          <cell r="A9" t="str">
            <v>A</v>
          </cell>
        </row>
      </sheetData>
      <sheetData sheetId="2416">
        <row r="9">
          <cell r="A9" t="str">
            <v>A</v>
          </cell>
        </row>
      </sheetData>
      <sheetData sheetId="2417">
        <row r="9">
          <cell r="A9" t="str">
            <v>A</v>
          </cell>
        </row>
      </sheetData>
      <sheetData sheetId="2418">
        <row r="9">
          <cell r="A9" t="str">
            <v>A</v>
          </cell>
        </row>
      </sheetData>
      <sheetData sheetId="2419">
        <row r="9">
          <cell r="A9" t="str">
            <v>A</v>
          </cell>
        </row>
      </sheetData>
      <sheetData sheetId="2420">
        <row r="9">
          <cell r="A9" t="str">
            <v>A</v>
          </cell>
        </row>
      </sheetData>
      <sheetData sheetId="2421">
        <row r="9">
          <cell r="A9" t="str">
            <v>A</v>
          </cell>
        </row>
      </sheetData>
      <sheetData sheetId="2422">
        <row r="9">
          <cell r="A9" t="str">
            <v>A</v>
          </cell>
        </row>
      </sheetData>
      <sheetData sheetId="2423">
        <row r="9">
          <cell r="A9" t="str">
            <v>A</v>
          </cell>
        </row>
      </sheetData>
      <sheetData sheetId="2424">
        <row r="9">
          <cell r="A9" t="str">
            <v>A</v>
          </cell>
        </row>
      </sheetData>
      <sheetData sheetId="2425" refreshError="1"/>
      <sheetData sheetId="2426" refreshError="1"/>
      <sheetData sheetId="2427" refreshError="1"/>
      <sheetData sheetId="2428" refreshError="1"/>
      <sheetData sheetId="2429" refreshError="1"/>
      <sheetData sheetId="2430">
        <row r="9">
          <cell r="A9" t="str">
            <v>A</v>
          </cell>
        </row>
      </sheetData>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ow r="9">
          <cell r="A9" t="str">
            <v>A</v>
          </cell>
        </row>
      </sheetData>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ow r="9">
          <cell r="A9" t="str">
            <v>A</v>
          </cell>
        </row>
      </sheetData>
      <sheetData sheetId="2493" refreshError="1"/>
      <sheetData sheetId="2494" refreshError="1"/>
      <sheetData sheetId="2495" refreshError="1"/>
      <sheetData sheetId="2496" refreshError="1"/>
      <sheetData sheetId="2497">
        <row r="9">
          <cell r="A9" t="str">
            <v>A</v>
          </cell>
        </row>
      </sheetData>
      <sheetData sheetId="2498" refreshError="1"/>
      <sheetData sheetId="2499" refreshError="1"/>
      <sheetData sheetId="2500" refreshError="1"/>
      <sheetData sheetId="2501">
        <row r="9">
          <cell r="A9" t="str">
            <v>A</v>
          </cell>
        </row>
      </sheetData>
      <sheetData sheetId="2502">
        <row r="9">
          <cell r="A9" t="str">
            <v>A</v>
          </cell>
        </row>
      </sheetData>
      <sheetData sheetId="2503">
        <row r="9">
          <cell r="A9" t="str">
            <v>A</v>
          </cell>
        </row>
      </sheetData>
      <sheetData sheetId="2504">
        <row r="9">
          <cell r="A9" t="str">
            <v>A</v>
          </cell>
        </row>
      </sheetData>
      <sheetData sheetId="2505">
        <row r="9">
          <cell r="A9" t="str">
            <v>A</v>
          </cell>
        </row>
      </sheetData>
      <sheetData sheetId="2506">
        <row r="9">
          <cell r="A9" t="str">
            <v>A</v>
          </cell>
        </row>
      </sheetData>
      <sheetData sheetId="2507">
        <row r="9">
          <cell r="A9" t="str">
            <v>A</v>
          </cell>
        </row>
      </sheetData>
      <sheetData sheetId="2508">
        <row r="9">
          <cell r="A9" t="str">
            <v>A</v>
          </cell>
        </row>
      </sheetData>
      <sheetData sheetId="2509">
        <row r="9">
          <cell r="A9" t="str">
            <v>A</v>
          </cell>
        </row>
      </sheetData>
      <sheetData sheetId="2510">
        <row r="9">
          <cell r="A9" t="str">
            <v>A</v>
          </cell>
        </row>
      </sheetData>
      <sheetData sheetId="2511">
        <row r="9">
          <cell r="A9" t="str">
            <v>A</v>
          </cell>
        </row>
      </sheetData>
      <sheetData sheetId="2512">
        <row r="9">
          <cell r="A9" t="str">
            <v>A</v>
          </cell>
        </row>
      </sheetData>
      <sheetData sheetId="2513">
        <row r="9">
          <cell r="A9" t="str">
            <v>A</v>
          </cell>
        </row>
      </sheetData>
      <sheetData sheetId="2514">
        <row r="9">
          <cell r="A9" t="str">
            <v>A</v>
          </cell>
        </row>
      </sheetData>
      <sheetData sheetId="2515">
        <row r="9">
          <cell r="A9" t="str">
            <v>A</v>
          </cell>
        </row>
      </sheetData>
      <sheetData sheetId="2516">
        <row r="9">
          <cell r="A9" t="str">
            <v>A</v>
          </cell>
        </row>
      </sheetData>
      <sheetData sheetId="2517" refreshError="1"/>
      <sheetData sheetId="2518" refreshError="1"/>
      <sheetData sheetId="2519" refreshError="1"/>
      <sheetData sheetId="2520" refreshError="1"/>
      <sheetData sheetId="2521" refreshError="1"/>
      <sheetData sheetId="2522">
        <row r="9">
          <cell r="A9" t="str">
            <v>A</v>
          </cell>
        </row>
      </sheetData>
      <sheetData sheetId="2523">
        <row r="9">
          <cell r="A9" t="str">
            <v>A</v>
          </cell>
        </row>
      </sheetData>
      <sheetData sheetId="2524">
        <row r="9">
          <cell r="A9" t="str">
            <v>A</v>
          </cell>
        </row>
      </sheetData>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ow r="9">
          <cell r="A9" t="str">
            <v>A</v>
          </cell>
        </row>
      </sheetData>
      <sheetData sheetId="2535">
        <row r="9">
          <cell r="A9" t="str">
            <v>A</v>
          </cell>
        </row>
      </sheetData>
      <sheetData sheetId="2536">
        <row r="9">
          <cell r="A9" t="str">
            <v>A</v>
          </cell>
        </row>
      </sheetData>
      <sheetData sheetId="2537">
        <row r="9">
          <cell r="A9" t="str">
            <v>A</v>
          </cell>
        </row>
      </sheetData>
      <sheetData sheetId="2538">
        <row r="9">
          <cell r="A9" t="str">
            <v>A</v>
          </cell>
        </row>
      </sheetData>
      <sheetData sheetId="2539">
        <row r="9">
          <cell r="A9" t="str">
            <v>A</v>
          </cell>
        </row>
      </sheetData>
      <sheetData sheetId="2540">
        <row r="9">
          <cell r="A9" t="str">
            <v>A</v>
          </cell>
        </row>
      </sheetData>
      <sheetData sheetId="2541">
        <row r="9">
          <cell r="A9" t="str">
            <v>A</v>
          </cell>
        </row>
      </sheetData>
      <sheetData sheetId="2542">
        <row r="9">
          <cell r="A9" t="str">
            <v>A</v>
          </cell>
        </row>
      </sheetData>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ow r="9">
          <cell r="A9" t="str">
            <v>A</v>
          </cell>
        </row>
      </sheetData>
      <sheetData sheetId="2559">
        <row r="9">
          <cell r="A9" t="str">
            <v>A</v>
          </cell>
        </row>
      </sheetData>
      <sheetData sheetId="2560">
        <row r="9">
          <cell r="A9" t="str">
            <v>A</v>
          </cell>
        </row>
      </sheetData>
      <sheetData sheetId="2561">
        <row r="9">
          <cell r="A9" t="str">
            <v>A</v>
          </cell>
        </row>
      </sheetData>
      <sheetData sheetId="2562">
        <row r="9">
          <cell r="A9" t="str">
            <v>A</v>
          </cell>
        </row>
      </sheetData>
      <sheetData sheetId="2563">
        <row r="9">
          <cell r="A9" t="str">
            <v>A</v>
          </cell>
        </row>
      </sheetData>
      <sheetData sheetId="2564">
        <row r="9">
          <cell r="A9" t="str">
            <v>A</v>
          </cell>
        </row>
      </sheetData>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ow r="9">
          <cell r="A9" t="str">
            <v>A</v>
          </cell>
        </row>
      </sheetData>
      <sheetData sheetId="2586">
        <row r="9">
          <cell r="A9" t="str">
            <v>A</v>
          </cell>
        </row>
      </sheetData>
      <sheetData sheetId="2587">
        <row r="9">
          <cell r="A9" t="str">
            <v>A</v>
          </cell>
        </row>
      </sheetData>
      <sheetData sheetId="2588">
        <row r="9">
          <cell r="A9" t="str">
            <v>A</v>
          </cell>
        </row>
      </sheetData>
      <sheetData sheetId="2589">
        <row r="9">
          <cell r="A9" t="str">
            <v>A</v>
          </cell>
        </row>
      </sheetData>
      <sheetData sheetId="2590">
        <row r="9">
          <cell r="A9" t="str">
            <v>A</v>
          </cell>
        </row>
      </sheetData>
      <sheetData sheetId="2591">
        <row r="9">
          <cell r="A9" t="str">
            <v>A</v>
          </cell>
        </row>
      </sheetData>
      <sheetData sheetId="2592">
        <row r="9">
          <cell r="A9" t="str">
            <v>A</v>
          </cell>
        </row>
      </sheetData>
      <sheetData sheetId="2593">
        <row r="9">
          <cell r="A9" t="str">
            <v>A</v>
          </cell>
        </row>
      </sheetData>
      <sheetData sheetId="2594">
        <row r="9">
          <cell r="A9" t="str">
            <v>A</v>
          </cell>
        </row>
      </sheetData>
      <sheetData sheetId="2595">
        <row r="9">
          <cell r="A9" t="str">
            <v>A</v>
          </cell>
        </row>
      </sheetData>
      <sheetData sheetId="2596">
        <row r="9">
          <cell r="A9" t="str">
            <v>A</v>
          </cell>
        </row>
      </sheetData>
      <sheetData sheetId="2597">
        <row r="9">
          <cell r="A9" t="str">
            <v>A</v>
          </cell>
        </row>
      </sheetData>
      <sheetData sheetId="2598">
        <row r="9">
          <cell r="A9" t="str">
            <v>A</v>
          </cell>
        </row>
      </sheetData>
      <sheetData sheetId="2599">
        <row r="9">
          <cell r="A9" t="str">
            <v>A</v>
          </cell>
        </row>
      </sheetData>
      <sheetData sheetId="2600">
        <row r="9">
          <cell r="A9" t="str">
            <v>A</v>
          </cell>
        </row>
      </sheetData>
      <sheetData sheetId="2601">
        <row r="9">
          <cell r="A9" t="str">
            <v>A</v>
          </cell>
        </row>
      </sheetData>
      <sheetData sheetId="2602">
        <row r="9">
          <cell r="A9" t="str">
            <v>A</v>
          </cell>
        </row>
      </sheetData>
      <sheetData sheetId="2603">
        <row r="9">
          <cell r="A9" t="str">
            <v>A</v>
          </cell>
        </row>
      </sheetData>
      <sheetData sheetId="2604">
        <row r="9">
          <cell r="A9" t="str">
            <v>A</v>
          </cell>
        </row>
      </sheetData>
      <sheetData sheetId="2605">
        <row r="9">
          <cell r="A9" t="str">
            <v>A</v>
          </cell>
        </row>
      </sheetData>
      <sheetData sheetId="2606">
        <row r="9">
          <cell r="A9" t="str">
            <v>A</v>
          </cell>
        </row>
      </sheetData>
      <sheetData sheetId="2607">
        <row r="9">
          <cell r="A9" t="str">
            <v>A</v>
          </cell>
        </row>
      </sheetData>
      <sheetData sheetId="2608">
        <row r="9">
          <cell r="A9" t="str">
            <v>A</v>
          </cell>
        </row>
      </sheetData>
      <sheetData sheetId="2609">
        <row r="9">
          <cell r="A9" t="str">
            <v>A</v>
          </cell>
        </row>
      </sheetData>
      <sheetData sheetId="2610">
        <row r="9">
          <cell r="A9" t="str">
            <v>A</v>
          </cell>
        </row>
      </sheetData>
      <sheetData sheetId="2611">
        <row r="9">
          <cell r="A9" t="str">
            <v>A</v>
          </cell>
        </row>
      </sheetData>
      <sheetData sheetId="2612">
        <row r="9">
          <cell r="A9" t="str">
            <v>A</v>
          </cell>
        </row>
      </sheetData>
      <sheetData sheetId="2613">
        <row r="9">
          <cell r="A9" t="str">
            <v>A</v>
          </cell>
        </row>
      </sheetData>
      <sheetData sheetId="2614">
        <row r="9">
          <cell r="A9" t="str">
            <v>A</v>
          </cell>
        </row>
      </sheetData>
      <sheetData sheetId="2615">
        <row r="9">
          <cell r="A9" t="str">
            <v>A</v>
          </cell>
        </row>
      </sheetData>
      <sheetData sheetId="2616">
        <row r="9">
          <cell r="A9" t="str">
            <v>A</v>
          </cell>
        </row>
      </sheetData>
      <sheetData sheetId="2617">
        <row r="9">
          <cell r="A9" t="str">
            <v>A</v>
          </cell>
        </row>
      </sheetData>
      <sheetData sheetId="2618">
        <row r="9">
          <cell r="A9" t="str">
            <v>A</v>
          </cell>
        </row>
      </sheetData>
      <sheetData sheetId="2619">
        <row r="9">
          <cell r="A9" t="str">
            <v>A</v>
          </cell>
        </row>
      </sheetData>
      <sheetData sheetId="2620">
        <row r="9">
          <cell r="A9" t="str">
            <v>A</v>
          </cell>
        </row>
      </sheetData>
      <sheetData sheetId="2621">
        <row r="9">
          <cell r="A9" t="str">
            <v>A</v>
          </cell>
        </row>
      </sheetData>
      <sheetData sheetId="2622">
        <row r="9">
          <cell r="A9" t="str">
            <v>A</v>
          </cell>
        </row>
      </sheetData>
      <sheetData sheetId="2623">
        <row r="9">
          <cell r="A9" t="str">
            <v>A</v>
          </cell>
        </row>
      </sheetData>
      <sheetData sheetId="2624">
        <row r="9">
          <cell r="A9" t="str">
            <v>A</v>
          </cell>
        </row>
      </sheetData>
      <sheetData sheetId="2625">
        <row r="9">
          <cell r="A9" t="str">
            <v>A</v>
          </cell>
        </row>
      </sheetData>
      <sheetData sheetId="2626">
        <row r="9">
          <cell r="A9" t="str">
            <v>A</v>
          </cell>
        </row>
      </sheetData>
      <sheetData sheetId="2627">
        <row r="9">
          <cell r="A9" t="str">
            <v>A</v>
          </cell>
        </row>
      </sheetData>
      <sheetData sheetId="2628">
        <row r="9">
          <cell r="A9" t="str">
            <v>A</v>
          </cell>
        </row>
      </sheetData>
      <sheetData sheetId="2629">
        <row r="9">
          <cell r="A9" t="str">
            <v>A</v>
          </cell>
        </row>
      </sheetData>
      <sheetData sheetId="2630">
        <row r="9">
          <cell r="A9" t="str">
            <v>A</v>
          </cell>
        </row>
      </sheetData>
      <sheetData sheetId="2631">
        <row r="9">
          <cell r="A9" t="str">
            <v>A</v>
          </cell>
        </row>
      </sheetData>
      <sheetData sheetId="2632">
        <row r="9">
          <cell r="A9" t="str">
            <v>A</v>
          </cell>
        </row>
      </sheetData>
      <sheetData sheetId="2633">
        <row r="9">
          <cell r="A9" t="str">
            <v>A</v>
          </cell>
        </row>
      </sheetData>
      <sheetData sheetId="2634">
        <row r="9">
          <cell r="A9" t="str">
            <v>A</v>
          </cell>
        </row>
      </sheetData>
      <sheetData sheetId="2635">
        <row r="9">
          <cell r="A9" t="str">
            <v>A</v>
          </cell>
        </row>
      </sheetData>
      <sheetData sheetId="2636">
        <row r="9">
          <cell r="A9" t="str">
            <v>A</v>
          </cell>
        </row>
      </sheetData>
      <sheetData sheetId="2637">
        <row r="9">
          <cell r="A9" t="str">
            <v>A</v>
          </cell>
        </row>
      </sheetData>
      <sheetData sheetId="2638">
        <row r="9">
          <cell r="A9" t="str">
            <v>A</v>
          </cell>
        </row>
      </sheetData>
      <sheetData sheetId="2639">
        <row r="9">
          <cell r="A9" t="str">
            <v>A</v>
          </cell>
        </row>
      </sheetData>
      <sheetData sheetId="2640">
        <row r="9">
          <cell r="A9" t="str">
            <v>A</v>
          </cell>
        </row>
      </sheetData>
      <sheetData sheetId="2641">
        <row r="9">
          <cell r="A9" t="str">
            <v>A</v>
          </cell>
        </row>
      </sheetData>
      <sheetData sheetId="2642">
        <row r="9">
          <cell r="A9" t="str">
            <v>A</v>
          </cell>
        </row>
      </sheetData>
      <sheetData sheetId="2643">
        <row r="9">
          <cell r="A9" t="str">
            <v>A</v>
          </cell>
        </row>
      </sheetData>
      <sheetData sheetId="2644">
        <row r="9">
          <cell r="A9" t="str">
            <v>A</v>
          </cell>
        </row>
      </sheetData>
      <sheetData sheetId="2645">
        <row r="9">
          <cell r="A9" t="str">
            <v>A</v>
          </cell>
        </row>
      </sheetData>
      <sheetData sheetId="2646">
        <row r="9">
          <cell r="A9" t="str">
            <v>A</v>
          </cell>
        </row>
      </sheetData>
      <sheetData sheetId="2647">
        <row r="9">
          <cell r="A9" t="str">
            <v>A</v>
          </cell>
        </row>
      </sheetData>
      <sheetData sheetId="2648">
        <row r="9">
          <cell r="A9" t="str">
            <v>A</v>
          </cell>
        </row>
      </sheetData>
      <sheetData sheetId="2649">
        <row r="9">
          <cell r="A9" t="str">
            <v>A</v>
          </cell>
        </row>
      </sheetData>
      <sheetData sheetId="2650">
        <row r="9">
          <cell r="A9" t="str">
            <v>A</v>
          </cell>
        </row>
      </sheetData>
      <sheetData sheetId="2651">
        <row r="9">
          <cell r="A9" t="str">
            <v>A</v>
          </cell>
        </row>
      </sheetData>
      <sheetData sheetId="2652">
        <row r="9">
          <cell r="A9" t="str">
            <v>A</v>
          </cell>
        </row>
      </sheetData>
      <sheetData sheetId="2653">
        <row r="9">
          <cell r="A9" t="str">
            <v>A</v>
          </cell>
        </row>
      </sheetData>
      <sheetData sheetId="2654">
        <row r="9">
          <cell r="A9" t="str">
            <v>A</v>
          </cell>
        </row>
      </sheetData>
      <sheetData sheetId="2655">
        <row r="9">
          <cell r="A9" t="str">
            <v>A</v>
          </cell>
        </row>
      </sheetData>
      <sheetData sheetId="2656">
        <row r="9">
          <cell r="A9" t="str">
            <v>A</v>
          </cell>
        </row>
      </sheetData>
      <sheetData sheetId="2657">
        <row r="9">
          <cell r="A9" t="str">
            <v>A</v>
          </cell>
        </row>
      </sheetData>
      <sheetData sheetId="2658">
        <row r="9">
          <cell r="A9" t="str">
            <v>A</v>
          </cell>
        </row>
      </sheetData>
      <sheetData sheetId="2659">
        <row r="9">
          <cell r="A9" t="str">
            <v>A</v>
          </cell>
        </row>
      </sheetData>
      <sheetData sheetId="2660">
        <row r="9">
          <cell r="A9" t="str">
            <v>A</v>
          </cell>
        </row>
      </sheetData>
      <sheetData sheetId="2661">
        <row r="9">
          <cell r="A9" t="str">
            <v>A</v>
          </cell>
        </row>
      </sheetData>
      <sheetData sheetId="2662">
        <row r="9">
          <cell r="A9" t="str">
            <v>A</v>
          </cell>
        </row>
      </sheetData>
      <sheetData sheetId="2663">
        <row r="9">
          <cell r="A9" t="str">
            <v>A</v>
          </cell>
        </row>
      </sheetData>
      <sheetData sheetId="2664">
        <row r="9">
          <cell r="A9" t="str">
            <v>A</v>
          </cell>
        </row>
      </sheetData>
      <sheetData sheetId="2665">
        <row r="9">
          <cell r="A9" t="str">
            <v>A</v>
          </cell>
        </row>
      </sheetData>
      <sheetData sheetId="2666">
        <row r="9">
          <cell r="A9" t="str">
            <v>A</v>
          </cell>
        </row>
      </sheetData>
      <sheetData sheetId="2667">
        <row r="9">
          <cell r="A9" t="str">
            <v>A</v>
          </cell>
        </row>
      </sheetData>
      <sheetData sheetId="2668">
        <row r="9">
          <cell r="A9" t="str">
            <v>A</v>
          </cell>
        </row>
      </sheetData>
      <sheetData sheetId="2669">
        <row r="9">
          <cell r="A9" t="str">
            <v>A</v>
          </cell>
        </row>
      </sheetData>
      <sheetData sheetId="2670">
        <row r="9">
          <cell r="A9" t="str">
            <v>A</v>
          </cell>
        </row>
      </sheetData>
      <sheetData sheetId="2671">
        <row r="9">
          <cell r="A9" t="str">
            <v>A</v>
          </cell>
        </row>
      </sheetData>
      <sheetData sheetId="2672">
        <row r="9">
          <cell r="A9" t="str">
            <v>A</v>
          </cell>
        </row>
      </sheetData>
      <sheetData sheetId="2673">
        <row r="9">
          <cell r="A9" t="str">
            <v>A</v>
          </cell>
        </row>
      </sheetData>
      <sheetData sheetId="2674">
        <row r="9">
          <cell r="A9" t="str">
            <v>A</v>
          </cell>
        </row>
      </sheetData>
      <sheetData sheetId="2675">
        <row r="9">
          <cell r="A9" t="str">
            <v>A</v>
          </cell>
        </row>
      </sheetData>
      <sheetData sheetId="2676">
        <row r="9">
          <cell r="A9" t="str">
            <v>A</v>
          </cell>
        </row>
      </sheetData>
      <sheetData sheetId="2677">
        <row r="9">
          <cell r="A9" t="str">
            <v>A</v>
          </cell>
        </row>
      </sheetData>
      <sheetData sheetId="2678">
        <row r="9">
          <cell r="A9" t="str">
            <v>A</v>
          </cell>
        </row>
      </sheetData>
      <sheetData sheetId="2679">
        <row r="9">
          <cell r="A9" t="str">
            <v>A</v>
          </cell>
        </row>
      </sheetData>
      <sheetData sheetId="2680">
        <row r="9">
          <cell r="A9" t="str">
            <v>A</v>
          </cell>
        </row>
      </sheetData>
      <sheetData sheetId="2681">
        <row r="9">
          <cell r="A9" t="str">
            <v>A</v>
          </cell>
        </row>
      </sheetData>
      <sheetData sheetId="2682">
        <row r="9">
          <cell r="A9" t="str">
            <v>A</v>
          </cell>
        </row>
      </sheetData>
      <sheetData sheetId="2683">
        <row r="9">
          <cell r="A9" t="str">
            <v>A</v>
          </cell>
        </row>
      </sheetData>
      <sheetData sheetId="2684">
        <row r="9">
          <cell r="A9" t="str">
            <v>A</v>
          </cell>
        </row>
      </sheetData>
      <sheetData sheetId="2685">
        <row r="9">
          <cell r="A9" t="str">
            <v>A</v>
          </cell>
        </row>
      </sheetData>
      <sheetData sheetId="2686">
        <row r="9">
          <cell r="A9" t="str">
            <v>A</v>
          </cell>
        </row>
      </sheetData>
      <sheetData sheetId="2687">
        <row r="9">
          <cell r="A9" t="str">
            <v>A</v>
          </cell>
        </row>
      </sheetData>
      <sheetData sheetId="2688">
        <row r="9">
          <cell r="A9" t="str">
            <v>A</v>
          </cell>
        </row>
      </sheetData>
      <sheetData sheetId="2689">
        <row r="9">
          <cell r="A9" t="str">
            <v>A</v>
          </cell>
        </row>
      </sheetData>
      <sheetData sheetId="2690">
        <row r="9">
          <cell r="A9" t="str">
            <v>A</v>
          </cell>
        </row>
      </sheetData>
      <sheetData sheetId="2691">
        <row r="9">
          <cell r="A9" t="str">
            <v>A</v>
          </cell>
        </row>
      </sheetData>
      <sheetData sheetId="2692">
        <row r="9">
          <cell r="A9" t="str">
            <v>A</v>
          </cell>
        </row>
      </sheetData>
      <sheetData sheetId="2693">
        <row r="9">
          <cell r="A9" t="str">
            <v>A</v>
          </cell>
        </row>
      </sheetData>
      <sheetData sheetId="2694">
        <row r="9">
          <cell r="A9" t="str">
            <v>A</v>
          </cell>
        </row>
      </sheetData>
      <sheetData sheetId="2695">
        <row r="9">
          <cell r="A9" t="str">
            <v>A</v>
          </cell>
        </row>
      </sheetData>
      <sheetData sheetId="2696">
        <row r="9">
          <cell r="A9" t="str">
            <v>A</v>
          </cell>
        </row>
      </sheetData>
      <sheetData sheetId="2697">
        <row r="9">
          <cell r="A9" t="str">
            <v>A</v>
          </cell>
        </row>
      </sheetData>
      <sheetData sheetId="2698">
        <row r="9">
          <cell r="A9" t="str">
            <v>A</v>
          </cell>
        </row>
      </sheetData>
      <sheetData sheetId="2699">
        <row r="9">
          <cell r="A9" t="str">
            <v>A</v>
          </cell>
        </row>
      </sheetData>
      <sheetData sheetId="2700">
        <row r="9">
          <cell r="A9" t="str">
            <v>A</v>
          </cell>
        </row>
      </sheetData>
      <sheetData sheetId="2701">
        <row r="9">
          <cell r="A9" t="str">
            <v>A</v>
          </cell>
        </row>
      </sheetData>
      <sheetData sheetId="2702">
        <row r="9">
          <cell r="A9" t="str">
            <v>A</v>
          </cell>
        </row>
      </sheetData>
      <sheetData sheetId="2703">
        <row r="9">
          <cell r="A9" t="str">
            <v>A</v>
          </cell>
        </row>
      </sheetData>
      <sheetData sheetId="2704">
        <row r="9">
          <cell r="A9" t="str">
            <v>A</v>
          </cell>
        </row>
      </sheetData>
      <sheetData sheetId="2705">
        <row r="9">
          <cell r="A9" t="str">
            <v>A</v>
          </cell>
        </row>
      </sheetData>
      <sheetData sheetId="2706">
        <row r="9">
          <cell r="A9" t="str">
            <v>A</v>
          </cell>
        </row>
      </sheetData>
      <sheetData sheetId="2707">
        <row r="9">
          <cell r="A9" t="str">
            <v>A</v>
          </cell>
        </row>
      </sheetData>
      <sheetData sheetId="2708">
        <row r="9">
          <cell r="A9" t="str">
            <v>A</v>
          </cell>
        </row>
      </sheetData>
      <sheetData sheetId="2709">
        <row r="9">
          <cell r="A9" t="str">
            <v>A</v>
          </cell>
        </row>
      </sheetData>
      <sheetData sheetId="2710">
        <row r="9">
          <cell r="A9" t="str">
            <v>A</v>
          </cell>
        </row>
      </sheetData>
      <sheetData sheetId="2711">
        <row r="9">
          <cell r="A9" t="str">
            <v>A</v>
          </cell>
        </row>
      </sheetData>
      <sheetData sheetId="2712">
        <row r="9">
          <cell r="A9" t="str">
            <v>A</v>
          </cell>
        </row>
      </sheetData>
      <sheetData sheetId="2713">
        <row r="9">
          <cell r="A9" t="str">
            <v>A</v>
          </cell>
        </row>
      </sheetData>
      <sheetData sheetId="2714">
        <row r="9">
          <cell r="A9" t="str">
            <v>A</v>
          </cell>
        </row>
      </sheetData>
      <sheetData sheetId="2715">
        <row r="9">
          <cell r="A9" t="str">
            <v>A</v>
          </cell>
        </row>
      </sheetData>
      <sheetData sheetId="2716">
        <row r="9">
          <cell r="A9" t="str">
            <v>A</v>
          </cell>
        </row>
      </sheetData>
      <sheetData sheetId="2717">
        <row r="9">
          <cell r="A9" t="str">
            <v>A</v>
          </cell>
        </row>
      </sheetData>
      <sheetData sheetId="2718">
        <row r="9">
          <cell r="A9" t="str">
            <v>A</v>
          </cell>
        </row>
      </sheetData>
      <sheetData sheetId="2719">
        <row r="9">
          <cell r="A9" t="str">
            <v>A</v>
          </cell>
        </row>
      </sheetData>
      <sheetData sheetId="2720">
        <row r="9">
          <cell r="A9" t="str">
            <v>A</v>
          </cell>
        </row>
      </sheetData>
      <sheetData sheetId="2721">
        <row r="9">
          <cell r="A9" t="str">
            <v>A</v>
          </cell>
        </row>
      </sheetData>
      <sheetData sheetId="2722">
        <row r="9">
          <cell r="A9" t="str">
            <v>A</v>
          </cell>
        </row>
      </sheetData>
      <sheetData sheetId="2723">
        <row r="9">
          <cell r="A9" t="str">
            <v>A</v>
          </cell>
        </row>
      </sheetData>
      <sheetData sheetId="2724">
        <row r="9">
          <cell r="A9" t="str">
            <v>A</v>
          </cell>
        </row>
      </sheetData>
      <sheetData sheetId="2725">
        <row r="9">
          <cell r="A9" t="str">
            <v>A</v>
          </cell>
        </row>
      </sheetData>
      <sheetData sheetId="2726">
        <row r="9">
          <cell r="A9" t="str">
            <v>A</v>
          </cell>
        </row>
      </sheetData>
      <sheetData sheetId="2727">
        <row r="9">
          <cell r="A9" t="str">
            <v>A</v>
          </cell>
        </row>
      </sheetData>
      <sheetData sheetId="2728">
        <row r="9">
          <cell r="A9" t="str">
            <v>A</v>
          </cell>
        </row>
      </sheetData>
      <sheetData sheetId="2729">
        <row r="9">
          <cell r="A9" t="str">
            <v>A</v>
          </cell>
        </row>
      </sheetData>
      <sheetData sheetId="2730">
        <row r="9">
          <cell r="A9" t="str">
            <v>A</v>
          </cell>
        </row>
      </sheetData>
      <sheetData sheetId="2731">
        <row r="9">
          <cell r="A9" t="str">
            <v>A</v>
          </cell>
        </row>
      </sheetData>
      <sheetData sheetId="2732">
        <row r="9">
          <cell r="A9" t="str">
            <v>A</v>
          </cell>
        </row>
      </sheetData>
      <sheetData sheetId="2733">
        <row r="9">
          <cell r="A9" t="str">
            <v>A</v>
          </cell>
        </row>
      </sheetData>
      <sheetData sheetId="2734">
        <row r="9">
          <cell r="A9" t="str">
            <v>A</v>
          </cell>
        </row>
      </sheetData>
      <sheetData sheetId="2735">
        <row r="9">
          <cell r="A9" t="str">
            <v>A</v>
          </cell>
        </row>
      </sheetData>
      <sheetData sheetId="2736">
        <row r="9">
          <cell r="A9" t="str">
            <v>A</v>
          </cell>
        </row>
      </sheetData>
      <sheetData sheetId="2737">
        <row r="9">
          <cell r="A9" t="str">
            <v>A</v>
          </cell>
        </row>
      </sheetData>
      <sheetData sheetId="2738">
        <row r="9">
          <cell r="A9" t="str">
            <v>A</v>
          </cell>
        </row>
      </sheetData>
      <sheetData sheetId="2739">
        <row r="9">
          <cell r="A9" t="str">
            <v>A</v>
          </cell>
        </row>
      </sheetData>
      <sheetData sheetId="2740">
        <row r="9">
          <cell r="A9" t="str">
            <v>A</v>
          </cell>
        </row>
      </sheetData>
      <sheetData sheetId="2741">
        <row r="9">
          <cell r="A9" t="str">
            <v>A</v>
          </cell>
        </row>
      </sheetData>
      <sheetData sheetId="2742">
        <row r="9">
          <cell r="A9" t="str">
            <v>A</v>
          </cell>
        </row>
      </sheetData>
      <sheetData sheetId="2743">
        <row r="9">
          <cell r="A9" t="str">
            <v>A</v>
          </cell>
        </row>
      </sheetData>
      <sheetData sheetId="2744">
        <row r="9">
          <cell r="A9" t="str">
            <v>A</v>
          </cell>
        </row>
      </sheetData>
      <sheetData sheetId="2745">
        <row r="9">
          <cell r="A9" t="str">
            <v>A</v>
          </cell>
        </row>
      </sheetData>
      <sheetData sheetId="2746">
        <row r="9">
          <cell r="A9" t="str">
            <v>A</v>
          </cell>
        </row>
      </sheetData>
      <sheetData sheetId="2747">
        <row r="9">
          <cell r="A9" t="str">
            <v>A</v>
          </cell>
        </row>
      </sheetData>
      <sheetData sheetId="2748">
        <row r="9">
          <cell r="A9" t="str">
            <v>A</v>
          </cell>
        </row>
      </sheetData>
      <sheetData sheetId="2749">
        <row r="9">
          <cell r="A9" t="str">
            <v>A</v>
          </cell>
        </row>
      </sheetData>
      <sheetData sheetId="2750">
        <row r="9">
          <cell r="A9" t="str">
            <v>A</v>
          </cell>
        </row>
      </sheetData>
      <sheetData sheetId="2751">
        <row r="9">
          <cell r="A9" t="str">
            <v>A</v>
          </cell>
        </row>
      </sheetData>
      <sheetData sheetId="2752">
        <row r="9">
          <cell r="A9" t="str">
            <v>A</v>
          </cell>
        </row>
      </sheetData>
      <sheetData sheetId="2753">
        <row r="9">
          <cell r="A9" t="str">
            <v>A</v>
          </cell>
        </row>
      </sheetData>
      <sheetData sheetId="2754">
        <row r="9">
          <cell r="A9" t="str">
            <v>A</v>
          </cell>
        </row>
      </sheetData>
      <sheetData sheetId="2755">
        <row r="9">
          <cell r="A9" t="str">
            <v>A</v>
          </cell>
        </row>
      </sheetData>
      <sheetData sheetId="2756">
        <row r="9">
          <cell r="A9" t="str">
            <v>A</v>
          </cell>
        </row>
      </sheetData>
      <sheetData sheetId="2757">
        <row r="9">
          <cell r="A9" t="str">
            <v>A</v>
          </cell>
        </row>
      </sheetData>
      <sheetData sheetId="2758">
        <row r="9">
          <cell r="A9" t="str">
            <v>A</v>
          </cell>
        </row>
      </sheetData>
      <sheetData sheetId="2759">
        <row r="9">
          <cell r="A9" t="str">
            <v>A</v>
          </cell>
        </row>
      </sheetData>
      <sheetData sheetId="2760">
        <row r="9">
          <cell r="A9" t="str">
            <v>A</v>
          </cell>
        </row>
      </sheetData>
      <sheetData sheetId="2761">
        <row r="9">
          <cell r="A9" t="str">
            <v>A</v>
          </cell>
        </row>
      </sheetData>
      <sheetData sheetId="2762">
        <row r="9">
          <cell r="A9" t="str">
            <v>A</v>
          </cell>
        </row>
      </sheetData>
      <sheetData sheetId="2763">
        <row r="9">
          <cell r="A9" t="str">
            <v>A</v>
          </cell>
        </row>
      </sheetData>
      <sheetData sheetId="2764">
        <row r="9">
          <cell r="A9" t="str">
            <v>A</v>
          </cell>
        </row>
      </sheetData>
      <sheetData sheetId="2765">
        <row r="9">
          <cell r="A9" t="str">
            <v>A</v>
          </cell>
        </row>
      </sheetData>
      <sheetData sheetId="2766">
        <row r="9">
          <cell r="A9" t="str">
            <v>A</v>
          </cell>
        </row>
      </sheetData>
      <sheetData sheetId="2767">
        <row r="9">
          <cell r="A9" t="str">
            <v>A</v>
          </cell>
        </row>
      </sheetData>
      <sheetData sheetId="2768">
        <row r="9">
          <cell r="A9" t="str">
            <v>A</v>
          </cell>
        </row>
      </sheetData>
      <sheetData sheetId="2769">
        <row r="9">
          <cell r="A9" t="str">
            <v>A</v>
          </cell>
        </row>
      </sheetData>
      <sheetData sheetId="2770">
        <row r="9">
          <cell r="A9" t="str">
            <v>A</v>
          </cell>
        </row>
      </sheetData>
      <sheetData sheetId="2771">
        <row r="9">
          <cell r="A9" t="str">
            <v>A</v>
          </cell>
        </row>
      </sheetData>
      <sheetData sheetId="2772">
        <row r="9">
          <cell r="A9" t="str">
            <v>A</v>
          </cell>
        </row>
      </sheetData>
      <sheetData sheetId="2773">
        <row r="9">
          <cell r="A9" t="str">
            <v>A</v>
          </cell>
        </row>
      </sheetData>
      <sheetData sheetId="2774">
        <row r="9">
          <cell r="A9" t="str">
            <v>A</v>
          </cell>
        </row>
      </sheetData>
      <sheetData sheetId="2775">
        <row r="9">
          <cell r="A9" t="str">
            <v>A</v>
          </cell>
        </row>
      </sheetData>
      <sheetData sheetId="2776">
        <row r="9">
          <cell r="A9" t="str">
            <v>A</v>
          </cell>
        </row>
      </sheetData>
      <sheetData sheetId="2777">
        <row r="9">
          <cell r="A9" t="str">
            <v>A</v>
          </cell>
        </row>
      </sheetData>
      <sheetData sheetId="2778">
        <row r="9">
          <cell r="A9" t="str">
            <v>A</v>
          </cell>
        </row>
      </sheetData>
      <sheetData sheetId="2779">
        <row r="9">
          <cell r="A9" t="str">
            <v>A</v>
          </cell>
        </row>
      </sheetData>
      <sheetData sheetId="2780">
        <row r="9">
          <cell r="A9" t="str">
            <v>A</v>
          </cell>
        </row>
      </sheetData>
      <sheetData sheetId="2781">
        <row r="9">
          <cell r="A9" t="str">
            <v>A</v>
          </cell>
        </row>
      </sheetData>
      <sheetData sheetId="2782">
        <row r="9">
          <cell r="A9" t="str">
            <v>A</v>
          </cell>
        </row>
      </sheetData>
      <sheetData sheetId="2783">
        <row r="9">
          <cell r="A9" t="str">
            <v>A</v>
          </cell>
        </row>
      </sheetData>
      <sheetData sheetId="2784">
        <row r="9">
          <cell r="A9" t="str">
            <v>A</v>
          </cell>
        </row>
      </sheetData>
      <sheetData sheetId="2785">
        <row r="9">
          <cell r="A9" t="str">
            <v>A</v>
          </cell>
        </row>
      </sheetData>
      <sheetData sheetId="2786">
        <row r="9">
          <cell r="A9" t="str">
            <v>A</v>
          </cell>
        </row>
      </sheetData>
      <sheetData sheetId="2787">
        <row r="9">
          <cell r="A9" t="str">
            <v>A</v>
          </cell>
        </row>
      </sheetData>
      <sheetData sheetId="2788">
        <row r="9">
          <cell r="A9" t="str">
            <v>A</v>
          </cell>
        </row>
      </sheetData>
      <sheetData sheetId="2789">
        <row r="9">
          <cell r="A9" t="str">
            <v>A</v>
          </cell>
        </row>
      </sheetData>
      <sheetData sheetId="2790">
        <row r="9">
          <cell r="A9" t="str">
            <v>A</v>
          </cell>
        </row>
      </sheetData>
      <sheetData sheetId="2791">
        <row r="9">
          <cell r="A9" t="str">
            <v>A</v>
          </cell>
        </row>
      </sheetData>
      <sheetData sheetId="2792">
        <row r="9">
          <cell r="A9" t="str">
            <v>A</v>
          </cell>
        </row>
      </sheetData>
      <sheetData sheetId="2793">
        <row r="9">
          <cell r="A9" t="str">
            <v>A</v>
          </cell>
        </row>
      </sheetData>
      <sheetData sheetId="2794">
        <row r="9">
          <cell r="A9" t="str">
            <v>A</v>
          </cell>
        </row>
      </sheetData>
      <sheetData sheetId="2795">
        <row r="9">
          <cell r="A9" t="str">
            <v>A</v>
          </cell>
        </row>
      </sheetData>
      <sheetData sheetId="2796">
        <row r="9">
          <cell r="A9" t="str">
            <v>A</v>
          </cell>
        </row>
      </sheetData>
      <sheetData sheetId="2797">
        <row r="9">
          <cell r="A9" t="str">
            <v>A</v>
          </cell>
        </row>
      </sheetData>
      <sheetData sheetId="2798">
        <row r="9">
          <cell r="A9" t="str">
            <v>A</v>
          </cell>
        </row>
      </sheetData>
      <sheetData sheetId="2799">
        <row r="9">
          <cell r="A9" t="str">
            <v>A</v>
          </cell>
        </row>
      </sheetData>
      <sheetData sheetId="2800">
        <row r="9">
          <cell r="A9" t="str">
            <v>A</v>
          </cell>
        </row>
      </sheetData>
      <sheetData sheetId="2801">
        <row r="9">
          <cell r="A9" t="str">
            <v>A</v>
          </cell>
        </row>
      </sheetData>
      <sheetData sheetId="2802">
        <row r="9">
          <cell r="A9" t="str">
            <v>A</v>
          </cell>
        </row>
      </sheetData>
      <sheetData sheetId="2803">
        <row r="9">
          <cell r="A9" t="str">
            <v>A</v>
          </cell>
        </row>
      </sheetData>
      <sheetData sheetId="2804">
        <row r="9">
          <cell r="A9" t="str">
            <v>A</v>
          </cell>
        </row>
      </sheetData>
      <sheetData sheetId="2805">
        <row r="9">
          <cell r="A9" t="str">
            <v>A</v>
          </cell>
        </row>
      </sheetData>
      <sheetData sheetId="2806">
        <row r="9">
          <cell r="A9" t="str">
            <v>A</v>
          </cell>
        </row>
      </sheetData>
      <sheetData sheetId="2807">
        <row r="9">
          <cell r="A9" t="str">
            <v>A</v>
          </cell>
        </row>
      </sheetData>
      <sheetData sheetId="2808">
        <row r="9">
          <cell r="A9" t="str">
            <v>A</v>
          </cell>
        </row>
      </sheetData>
      <sheetData sheetId="2809">
        <row r="9">
          <cell r="A9" t="str">
            <v>A</v>
          </cell>
        </row>
      </sheetData>
      <sheetData sheetId="2810">
        <row r="9">
          <cell r="A9" t="str">
            <v>A</v>
          </cell>
        </row>
      </sheetData>
      <sheetData sheetId="2811">
        <row r="9">
          <cell r="A9" t="str">
            <v>A</v>
          </cell>
        </row>
      </sheetData>
      <sheetData sheetId="2812">
        <row r="9">
          <cell r="A9" t="str">
            <v>A</v>
          </cell>
        </row>
      </sheetData>
      <sheetData sheetId="2813">
        <row r="9">
          <cell r="A9" t="str">
            <v>A</v>
          </cell>
        </row>
      </sheetData>
      <sheetData sheetId="2814">
        <row r="9">
          <cell r="A9" t="str">
            <v>A</v>
          </cell>
        </row>
      </sheetData>
      <sheetData sheetId="2815">
        <row r="9">
          <cell r="A9" t="str">
            <v>A</v>
          </cell>
        </row>
      </sheetData>
      <sheetData sheetId="2816">
        <row r="9">
          <cell r="A9" t="str">
            <v>A</v>
          </cell>
        </row>
      </sheetData>
      <sheetData sheetId="2817">
        <row r="9">
          <cell r="A9" t="str">
            <v>A</v>
          </cell>
        </row>
      </sheetData>
      <sheetData sheetId="2818">
        <row r="9">
          <cell r="A9" t="str">
            <v>A</v>
          </cell>
        </row>
      </sheetData>
      <sheetData sheetId="2819">
        <row r="9">
          <cell r="A9" t="str">
            <v>A</v>
          </cell>
        </row>
      </sheetData>
      <sheetData sheetId="2820">
        <row r="9">
          <cell r="A9" t="str">
            <v>A</v>
          </cell>
        </row>
      </sheetData>
      <sheetData sheetId="2821">
        <row r="9">
          <cell r="A9" t="str">
            <v>A</v>
          </cell>
        </row>
      </sheetData>
      <sheetData sheetId="2822">
        <row r="9">
          <cell r="A9" t="str">
            <v>A</v>
          </cell>
        </row>
      </sheetData>
      <sheetData sheetId="2823">
        <row r="9">
          <cell r="A9" t="str">
            <v>A</v>
          </cell>
        </row>
      </sheetData>
      <sheetData sheetId="2824">
        <row r="9">
          <cell r="A9" t="str">
            <v>A</v>
          </cell>
        </row>
      </sheetData>
      <sheetData sheetId="2825">
        <row r="9">
          <cell r="A9" t="str">
            <v>A</v>
          </cell>
        </row>
      </sheetData>
      <sheetData sheetId="2826">
        <row r="9">
          <cell r="A9" t="str">
            <v>A</v>
          </cell>
        </row>
      </sheetData>
      <sheetData sheetId="2827">
        <row r="9">
          <cell r="A9" t="str">
            <v>A</v>
          </cell>
        </row>
      </sheetData>
      <sheetData sheetId="2828">
        <row r="9">
          <cell r="A9" t="str">
            <v>A</v>
          </cell>
        </row>
      </sheetData>
      <sheetData sheetId="2829">
        <row r="9">
          <cell r="A9" t="str">
            <v>A</v>
          </cell>
        </row>
      </sheetData>
      <sheetData sheetId="2830">
        <row r="9">
          <cell r="A9" t="str">
            <v>A</v>
          </cell>
        </row>
      </sheetData>
      <sheetData sheetId="2831">
        <row r="9">
          <cell r="A9" t="str">
            <v>A</v>
          </cell>
        </row>
      </sheetData>
      <sheetData sheetId="2832">
        <row r="9">
          <cell r="A9" t="str">
            <v>A</v>
          </cell>
        </row>
      </sheetData>
      <sheetData sheetId="2833">
        <row r="9">
          <cell r="A9" t="str">
            <v>A</v>
          </cell>
        </row>
      </sheetData>
      <sheetData sheetId="2834">
        <row r="9">
          <cell r="A9" t="str">
            <v>A</v>
          </cell>
        </row>
      </sheetData>
      <sheetData sheetId="2835">
        <row r="9">
          <cell r="A9" t="str">
            <v>A</v>
          </cell>
        </row>
      </sheetData>
      <sheetData sheetId="2836">
        <row r="9">
          <cell r="A9" t="str">
            <v>A</v>
          </cell>
        </row>
      </sheetData>
      <sheetData sheetId="2837">
        <row r="9">
          <cell r="A9" t="str">
            <v>A</v>
          </cell>
        </row>
      </sheetData>
      <sheetData sheetId="2838">
        <row r="9">
          <cell r="A9" t="str">
            <v>A</v>
          </cell>
        </row>
      </sheetData>
      <sheetData sheetId="2839">
        <row r="9">
          <cell r="A9" t="str">
            <v>A</v>
          </cell>
        </row>
      </sheetData>
      <sheetData sheetId="2840">
        <row r="9">
          <cell r="A9" t="str">
            <v>A</v>
          </cell>
        </row>
      </sheetData>
      <sheetData sheetId="2841">
        <row r="9">
          <cell r="A9" t="str">
            <v>A</v>
          </cell>
        </row>
      </sheetData>
      <sheetData sheetId="2842">
        <row r="9">
          <cell r="A9" t="str">
            <v>A</v>
          </cell>
        </row>
      </sheetData>
      <sheetData sheetId="2843">
        <row r="9">
          <cell r="A9" t="str">
            <v>A</v>
          </cell>
        </row>
      </sheetData>
      <sheetData sheetId="2844">
        <row r="9">
          <cell r="A9" t="str">
            <v>A</v>
          </cell>
        </row>
      </sheetData>
      <sheetData sheetId="2845">
        <row r="9">
          <cell r="A9" t="str">
            <v>A</v>
          </cell>
        </row>
      </sheetData>
      <sheetData sheetId="2846">
        <row r="9">
          <cell r="A9" t="str">
            <v>A</v>
          </cell>
        </row>
      </sheetData>
      <sheetData sheetId="2847">
        <row r="9">
          <cell r="A9" t="str">
            <v>A</v>
          </cell>
        </row>
      </sheetData>
      <sheetData sheetId="2848">
        <row r="9">
          <cell r="A9" t="str">
            <v>A</v>
          </cell>
        </row>
      </sheetData>
      <sheetData sheetId="2849">
        <row r="9">
          <cell r="A9" t="str">
            <v>A</v>
          </cell>
        </row>
      </sheetData>
      <sheetData sheetId="2850">
        <row r="9">
          <cell r="A9" t="str">
            <v>A</v>
          </cell>
        </row>
      </sheetData>
      <sheetData sheetId="2851">
        <row r="9">
          <cell r="A9" t="str">
            <v>A</v>
          </cell>
        </row>
      </sheetData>
      <sheetData sheetId="2852">
        <row r="9">
          <cell r="A9" t="str">
            <v>A</v>
          </cell>
        </row>
      </sheetData>
      <sheetData sheetId="2853">
        <row r="9">
          <cell r="A9" t="str">
            <v>A</v>
          </cell>
        </row>
      </sheetData>
      <sheetData sheetId="2854">
        <row r="9">
          <cell r="A9" t="str">
            <v>A</v>
          </cell>
        </row>
      </sheetData>
      <sheetData sheetId="2855">
        <row r="9">
          <cell r="A9" t="str">
            <v>A</v>
          </cell>
        </row>
      </sheetData>
      <sheetData sheetId="2856">
        <row r="9">
          <cell r="A9" t="str">
            <v>A</v>
          </cell>
        </row>
      </sheetData>
      <sheetData sheetId="2857">
        <row r="9">
          <cell r="A9" t="str">
            <v>A</v>
          </cell>
        </row>
      </sheetData>
      <sheetData sheetId="2858">
        <row r="9">
          <cell r="A9" t="str">
            <v>A</v>
          </cell>
        </row>
      </sheetData>
      <sheetData sheetId="2859">
        <row r="9">
          <cell r="A9" t="str">
            <v>A</v>
          </cell>
        </row>
      </sheetData>
      <sheetData sheetId="2860">
        <row r="9">
          <cell r="A9" t="str">
            <v>A</v>
          </cell>
        </row>
      </sheetData>
      <sheetData sheetId="2861">
        <row r="9">
          <cell r="A9" t="str">
            <v>A</v>
          </cell>
        </row>
      </sheetData>
      <sheetData sheetId="2862">
        <row r="9">
          <cell r="A9" t="str">
            <v>A</v>
          </cell>
        </row>
      </sheetData>
      <sheetData sheetId="2863">
        <row r="9">
          <cell r="A9" t="str">
            <v>A</v>
          </cell>
        </row>
      </sheetData>
      <sheetData sheetId="2864">
        <row r="9">
          <cell r="A9" t="str">
            <v>A</v>
          </cell>
        </row>
      </sheetData>
      <sheetData sheetId="2865">
        <row r="9">
          <cell r="A9" t="str">
            <v>A</v>
          </cell>
        </row>
      </sheetData>
      <sheetData sheetId="2866">
        <row r="9">
          <cell r="A9" t="str">
            <v>A</v>
          </cell>
        </row>
      </sheetData>
      <sheetData sheetId="2867">
        <row r="9">
          <cell r="A9" t="str">
            <v>A</v>
          </cell>
        </row>
      </sheetData>
      <sheetData sheetId="2868">
        <row r="9">
          <cell r="A9" t="str">
            <v>A</v>
          </cell>
        </row>
      </sheetData>
      <sheetData sheetId="2869">
        <row r="9">
          <cell r="A9" t="str">
            <v>A</v>
          </cell>
        </row>
      </sheetData>
      <sheetData sheetId="2870">
        <row r="9">
          <cell r="A9" t="str">
            <v>A</v>
          </cell>
        </row>
      </sheetData>
      <sheetData sheetId="2871">
        <row r="9">
          <cell r="A9" t="str">
            <v>A</v>
          </cell>
        </row>
      </sheetData>
      <sheetData sheetId="2872">
        <row r="9">
          <cell r="A9" t="str">
            <v>A</v>
          </cell>
        </row>
      </sheetData>
      <sheetData sheetId="2873">
        <row r="9">
          <cell r="A9" t="str">
            <v>A</v>
          </cell>
        </row>
      </sheetData>
      <sheetData sheetId="2874">
        <row r="9">
          <cell r="A9" t="str">
            <v>A</v>
          </cell>
        </row>
      </sheetData>
      <sheetData sheetId="2875">
        <row r="9">
          <cell r="A9" t="str">
            <v>A</v>
          </cell>
        </row>
      </sheetData>
      <sheetData sheetId="2876">
        <row r="9">
          <cell r="A9" t="str">
            <v>A</v>
          </cell>
        </row>
      </sheetData>
      <sheetData sheetId="2877">
        <row r="9">
          <cell r="A9" t="str">
            <v>A</v>
          </cell>
        </row>
      </sheetData>
      <sheetData sheetId="2878">
        <row r="9">
          <cell r="A9" t="str">
            <v>A</v>
          </cell>
        </row>
      </sheetData>
      <sheetData sheetId="2879">
        <row r="9">
          <cell r="A9" t="str">
            <v>A</v>
          </cell>
        </row>
      </sheetData>
      <sheetData sheetId="2880">
        <row r="9">
          <cell r="A9" t="str">
            <v>A</v>
          </cell>
        </row>
      </sheetData>
      <sheetData sheetId="2881">
        <row r="9">
          <cell r="A9" t="str">
            <v>A</v>
          </cell>
        </row>
      </sheetData>
      <sheetData sheetId="2882">
        <row r="9">
          <cell r="A9" t="str">
            <v>A</v>
          </cell>
        </row>
      </sheetData>
      <sheetData sheetId="2883">
        <row r="9">
          <cell r="A9" t="str">
            <v>A</v>
          </cell>
        </row>
      </sheetData>
      <sheetData sheetId="2884">
        <row r="9">
          <cell r="A9" t="str">
            <v>A</v>
          </cell>
        </row>
      </sheetData>
      <sheetData sheetId="2885">
        <row r="9">
          <cell r="A9" t="str">
            <v>A</v>
          </cell>
        </row>
      </sheetData>
      <sheetData sheetId="2886">
        <row r="9">
          <cell r="A9" t="str">
            <v>A</v>
          </cell>
        </row>
      </sheetData>
      <sheetData sheetId="2887">
        <row r="9">
          <cell r="A9" t="str">
            <v>A</v>
          </cell>
        </row>
      </sheetData>
      <sheetData sheetId="2888">
        <row r="9">
          <cell r="A9" t="str">
            <v>A</v>
          </cell>
        </row>
      </sheetData>
      <sheetData sheetId="2889">
        <row r="9">
          <cell r="A9" t="str">
            <v>A</v>
          </cell>
        </row>
      </sheetData>
      <sheetData sheetId="2890">
        <row r="9">
          <cell r="A9" t="str">
            <v>A</v>
          </cell>
        </row>
      </sheetData>
      <sheetData sheetId="2891">
        <row r="9">
          <cell r="A9" t="str">
            <v>A</v>
          </cell>
        </row>
      </sheetData>
      <sheetData sheetId="2892">
        <row r="9">
          <cell r="A9" t="str">
            <v>A</v>
          </cell>
        </row>
      </sheetData>
      <sheetData sheetId="2893">
        <row r="9">
          <cell r="A9" t="str">
            <v>A</v>
          </cell>
        </row>
      </sheetData>
      <sheetData sheetId="2894">
        <row r="9">
          <cell r="A9" t="str">
            <v>A</v>
          </cell>
        </row>
      </sheetData>
      <sheetData sheetId="2895">
        <row r="9">
          <cell r="A9" t="str">
            <v>A</v>
          </cell>
        </row>
      </sheetData>
      <sheetData sheetId="2896">
        <row r="9">
          <cell r="A9" t="str">
            <v>A</v>
          </cell>
        </row>
      </sheetData>
      <sheetData sheetId="2897">
        <row r="9">
          <cell r="A9" t="str">
            <v>A</v>
          </cell>
        </row>
      </sheetData>
      <sheetData sheetId="2898">
        <row r="9">
          <cell r="A9" t="str">
            <v>A</v>
          </cell>
        </row>
      </sheetData>
      <sheetData sheetId="2899">
        <row r="9">
          <cell r="A9" t="str">
            <v>A</v>
          </cell>
        </row>
      </sheetData>
      <sheetData sheetId="2900">
        <row r="9">
          <cell r="A9" t="str">
            <v>A</v>
          </cell>
        </row>
      </sheetData>
      <sheetData sheetId="2901">
        <row r="9">
          <cell r="A9" t="str">
            <v>A</v>
          </cell>
        </row>
      </sheetData>
      <sheetData sheetId="2902">
        <row r="9">
          <cell r="A9" t="str">
            <v>A</v>
          </cell>
        </row>
      </sheetData>
      <sheetData sheetId="2903">
        <row r="9">
          <cell r="A9" t="str">
            <v>A</v>
          </cell>
        </row>
      </sheetData>
      <sheetData sheetId="2904">
        <row r="9">
          <cell r="A9" t="str">
            <v>A</v>
          </cell>
        </row>
      </sheetData>
      <sheetData sheetId="2905">
        <row r="9">
          <cell r="A9" t="str">
            <v>A</v>
          </cell>
        </row>
      </sheetData>
      <sheetData sheetId="2906">
        <row r="9">
          <cell r="A9" t="str">
            <v>A</v>
          </cell>
        </row>
      </sheetData>
      <sheetData sheetId="2907">
        <row r="9">
          <cell r="A9" t="str">
            <v>A</v>
          </cell>
        </row>
      </sheetData>
      <sheetData sheetId="2908">
        <row r="9">
          <cell r="A9" t="str">
            <v>A</v>
          </cell>
        </row>
      </sheetData>
      <sheetData sheetId="2909">
        <row r="9">
          <cell r="A9" t="str">
            <v>A</v>
          </cell>
        </row>
      </sheetData>
      <sheetData sheetId="2910">
        <row r="9">
          <cell r="A9" t="str">
            <v>A</v>
          </cell>
        </row>
      </sheetData>
      <sheetData sheetId="2911">
        <row r="9">
          <cell r="A9" t="str">
            <v>A</v>
          </cell>
        </row>
      </sheetData>
      <sheetData sheetId="2912">
        <row r="9">
          <cell r="A9" t="str">
            <v>A</v>
          </cell>
        </row>
      </sheetData>
      <sheetData sheetId="2913">
        <row r="9">
          <cell r="A9" t="str">
            <v>A</v>
          </cell>
        </row>
      </sheetData>
      <sheetData sheetId="2914">
        <row r="9">
          <cell r="A9" t="str">
            <v>A</v>
          </cell>
        </row>
      </sheetData>
      <sheetData sheetId="2915">
        <row r="9">
          <cell r="A9" t="str">
            <v>A</v>
          </cell>
        </row>
      </sheetData>
      <sheetData sheetId="2916">
        <row r="9">
          <cell r="A9" t="str">
            <v>A</v>
          </cell>
        </row>
      </sheetData>
      <sheetData sheetId="2917">
        <row r="9">
          <cell r="A9" t="str">
            <v>A</v>
          </cell>
        </row>
      </sheetData>
      <sheetData sheetId="2918">
        <row r="9">
          <cell r="A9" t="str">
            <v>A</v>
          </cell>
        </row>
      </sheetData>
      <sheetData sheetId="2919">
        <row r="9">
          <cell r="A9" t="str">
            <v>A</v>
          </cell>
        </row>
      </sheetData>
      <sheetData sheetId="2920">
        <row r="9">
          <cell r="A9" t="str">
            <v>A</v>
          </cell>
        </row>
      </sheetData>
      <sheetData sheetId="2921">
        <row r="9">
          <cell r="A9" t="str">
            <v>A</v>
          </cell>
        </row>
      </sheetData>
      <sheetData sheetId="2922">
        <row r="9">
          <cell r="A9" t="str">
            <v>A</v>
          </cell>
        </row>
      </sheetData>
      <sheetData sheetId="2923">
        <row r="9">
          <cell r="A9" t="str">
            <v>A</v>
          </cell>
        </row>
      </sheetData>
      <sheetData sheetId="2924">
        <row r="9">
          <cell r="A9" t="str">
            <v>A</v>
          </cell>
        </row>
      </sheetData>
      <sheetData sheetId="2925">
        <row r="9">
          <cell r="A9" t="str">
            <v>A</v>
          </cell>
        </row>
      </sheetData>
      <sheetData sheetId="2926">
        <row r="9">
          <cell r="A9" t="str">
            <v>A</v>
          </cell>
        </row>
      </sheetData>
      <sheetData sheetId="2927">
        <row r="9">
          <cell r="A9" t="str">
            <v>A</v>
          </cell>
        </row>
      </sheetData>
      <sheetData sheetId="2928">
        <row r="9">
          <cell r="A9" t="str">
            <v>A</v>
          </cell>
        </row>
      </sheetData>
      <sheetData sheetId="2929">
        <row r="9">
          <cell r="A9" t="str">
            <v>A</v>
          </cell>
        </row>
      </sheetData>
      <sheetData sheetId="2930">
        <row r="9">
          <cell r="A9" t="str">
            <v>A</v>
          </cell>
        </row>
      </sheetData>
      <sheetData sheetId="2931">
        <row r="9">
          <cell r="A9" t="str">
            <v>A</v>
          </cell>
        </row>
      </sheetData>
      <sheetData sheetId="2932">
        <row r="9">
          <cell r="A9" t="str">
            <v>A</v>
          </cell>
        </row>
      </sheetData>
      <sheetData sheetId="2933">
        <row r="9">
          <cell r="A9" t="str">
            <v>A</v>
          </cell>
        </row>
      </sheetData>
      <sheetData sheetId="2934">
        <row r="9">
          <cell r="A9" t="str">
            <v>A</v>
          </cell>
        </row>
      </sheetData>
      <sheetData sheetId="2935">
        <row r="9">
          <cell r="A9" t="str">
            <v>A</v>
          </cell>
        </row>
      </sheetData>
      <sheetData sheetId="2936">
        <row r="9">
          <cell r="A9" t="str">
            <v>A</v>
          </cell>
        </row>
      </sheetData>
      <sheetData sheetId="2937">
        <row r="9">
          <cell r="A9" t="str">
            <v>A</v>
          </cell>
        </row>
      </sheetData>
      <sheetData sheetId="2938">
        <row r="9">
          <cell r="A9" t="str">
            <v>A</v>
          </cell>
        </row>
      </sheetData>
      <sheetData sheetId="2939">
        <row r="9">
          <cell r="A9" t="str">
            <v>A</v>
          </cell>
        </row>
      </sheetData>
      <sheetData sheetId="2940">
        <row r="9">
          <cell r="A9" t="str">
            <v>A</v>
          </cell>
        </row>
      </sheetData>
      <sheetData sheetId="2941">
        <row r="9">
          <cell r="A9" t="str">
            <v>A</v>
          </cell>
        </row>
      </sheetData>
      <sheetData sheetId="2942">
        <row r="9">
          <cell r="A9" t="str">
            <v>A</v>
          </cell>
        </row>
      </sheetData>
      <sheetData sheetId="2943">
        <row r="9">
          <cell r="A9" t="str">
            <v>A</v>
          </cell>
        </row>
      </sheetData>
      <sheetData sheetId="2944">
        <row r="9">
          <cell r="A9" t="str">
            <v>A</v>
          </cell>
        </row>
      </sheetData>
      <sheetData sheetId="2945">
        <row r="9">
          <cell r="A9" t="str">
            <v>A</v>
          </cell>
        </row>
      </sheetData>
      <sheetData sheetId="2946">
        <row r="9">
          <cell r="A9" t="str">
            <v>A</v>
          </cell>
        </row>
      </sheetData>
      <sheetData sheetId="2947">
        <row r="9">
          <cell r="A9" t="str">
            <v>A</v>
          </cell>
        </row>
      </sheetData>
      <sheetData sheetId="2948">
        <row r="9">
          <cell r="A9" t="str">
            <v>A</v>
          </cell>
        </row>
      </sheetData>
      <sheetData sheetId="2949">
        <row r="9">
          <cell r="A9" t="str">
            <v>A</v>
          </cell>
        </row>
      </sheetData>
      <sheetData sheetId="2950">
        <row r="9">
          <cell r="A9" t="str">
            <v>A</v>
          </cell>
        </row>
      </sheetData>
      <sheetData sheetId="2951">
        <row r="9">
          <cell r="A9" t="str">
            <v>A</v>
          </cell>
        </row>
      </sheetData>
      <sheetData sheetId="2952">
        <row r="9">
          <cell r="A9" t="str">
            <v>A</v>
          </cell>
        </row>
      </sheetData>
      <sheetData sheetId="2953">
        <row r="9">
          <cell r="A9" t="str">
            <v>A</v>
          </cell>
        </row>
      </sheetData>
      <sheetData sheetId="2954">
        <row r="9">
          <cell r="A9" t="str">
            <v>A</v>
          </cell>
        </row>
      </sheetData>
      <sheetData sheetId="2955">
        <row r="9">
          <cell r="A9" t="str">
            <v>A</v>
          </cell>
        </row>
      </sheetData>
      <sheetData sheetId="2956">
        <row r="9">
          <cell r="A9" t="str">
            <v>A</v>
          </cell>
        </row>
      </sheetData>
      <sheetData sheetId="2957">
        <row r="9">
          <cell r="A9" t="str">
            <v>A</v>
          </cell>
        </row>
      </sheetData>
      <sheetData sheetId="2958">
        <row r="9">
          <cell r="A9" t="str">
            <v>A</v>
          </cell>
        </row>
      </sheetData>
      <sheetData sheetId="2959">
        <row r="9">
          <cell r="A9" t="str">
            <v>A</v>
          </cell>
        </row>
      </sheetData>
      <sheetData sheetId="2960">
        <row r="9">
          <cell r="A9" t="str">
            <v>A</v>
          </cell>
        </row>
      </sheetData>
      <sheetData sheetId="2961">
        <row r="9">
          <cell r="A9" t="str">
            <v>A</v>
          </cell>
        </row>
      </sheetData>
      <sheetData sheetId="2962">
        <row r="9">
          <cell r="A9" t="str">
            <v>A</v>
          </cell>
        </row>
      </sheetData>
      <sheetData sheetId="2963">
        <row r="9">
          <cell r="A9" t="str">
            <v>A</v>
          </cell>
        </row>
      </sheetData>
      <sheetData sheetId="2964">
        <row r="9">
          <cell r="A9" t="str">
            <v>A</v>
          </cell>
        </row>
      </sheetData>
      <sheetData sheetId="2965">
        <row r="9">
          <cell r="A9" t="str">
            <v>A</v>
          </cell>
        </row>
      </sheetData>
      <sheetData sheetId="2966">
        <row r="9">
          <cell r="A9" t="str">
            <v>A</v>
          </cell>
        </row>
      </sheetData>
      <sheetData sheetId="2967">
        <row r="9">
          <cell r="A9" t="str">
            <v>A</v>
          </cell>
        </row>
      </sheetData>
      <sheetData sheetId="2968">
        <row r="9">
          <cell r="A9" t="str">
            <v>A</v>
          </cell>
        </row>
      </sheetData>
      <sheetData sheetId="2969">
        <row r="9">
          <cell r="A9" t="str">
            <v>A</v>
          </cell>
        </row>
      </sheetData>
      <sheetData sheetId="2970">
        <row r="9">
          <cell r="A9" t="str">
            <v>A</v>
          </cell>
        </row>
      </sheetData>
      <sheetData sheetId="2971">
        <row r="9">
          <cell r="A9" t="str">
            <v>A</v>
          </cell>
        </row>
      </sheetData>
      <sheetData sheetId="2972">
        <row r="9">
          <cell r="A9" t="str">
            <v>A</v>
          </cell>
        </row>
      </sheetData>
      <sheetData sheetId="2973">
        <row r="9">
          <cell r="A9" t="str">
            <v>A</v>
          </cell>
        </row>
      </sheetData>
      <sheetData sheetId="2974">
        <row r="9">
          <cell r="A9" t="str">
            <v>A</v>
          </cell>
        </row>
      </sheetData>
      <sheetData sheetId="2975">
        <row r="9">
          <cell r="A9" t="str">
            <v>A</v>
          </cell>
        </row>
      </sheetData>
      <sheetData sheetId="2976">
        <row r="9">
          <cell r="A9" t="str">
            <v>A</v>
          </cell>
        </row>
      </sheetData>
      <sheetData sheetId="2977">
        <row r="9">
          <cell r="A9" t="str">
            <v>A</v>
          </cell>
        </row>
      </sheetData>
      <sheetData sheetId="2978">
        <row r="9">
          <cell r="A9" t="str">
            <v>A</v>
          </cell>
        </row>
      </sheetData>
      <sheetData sheetId="2979">
        <row r="9">
          <cell r="A9" t="str">
            <v>A</v>
          </cell>
        </row>
      </sheetData>
      <sheetData sheetId="2980">
        <row r="9">
          <cell r="A9" t="str">
            <v>A</v>
          </cell>
        </row>
      </sheetData>
      <sheetData sheetId="2981">
        <row r="9">
          <cell r="A9" t="str">
            <v>A</v>
          </cell>
        </row>
      </sheetData>
      <sheetData sheetId="2982">
        <row r="9">
          <cell r="A9" t="str">
            <v>A</v>
          </cell>
        </row>
      </sheetData>
      <sheetData sheetId="2983">
        <row r="9">
          <cell r="A9" t="str">
            <v>A</v>
          </cell>
        </row>
      </sheetData>
      <sheetData sheetId="2984">
        <row r="9">
          <cell r="A9" t="str">
            <v>A</v>
          </cell>
        </row>
      </sheetData>
      <sheetData sheetId="2985">
        <row r="9">
          <cell r="A9" t="str">
            <v>A</v>
          </cell>
        </row>
      </sheetData>
      <sheetData sheetId="2986">
        <row r="9">
          <cell r="A9" t="str">
            <v>A</v>
          </cell>
        </row>
      </sheetData>
      <sheetData sheetId="2987">
        <row r="9">
          <cell r="A9" t="str">
            <v>A</v>
          </cell>
        </row>
      </sheetData>
      <sheetData sheetId="2988">
        <row r="9">
          <cell r="A9" t="str">
            <v>A</v>
          </cell>
        </row>
      </sheetData>
      <sheetData sheetId="2989">
        <row r="9">
          <cell r="A9" t="str">
            <v>A</v>
          </cell>
        </row>
      </sheetData>
      <sheetData sheetId="2990">
        <row r="9">
          <cell r="A9" t="str">
            <v>A</v>
          </cell>
        </row>
      </sheetData>
      <sheetData sheetId="2991">
        <row r="9">
          <cell r="A9" t="str">
            <v>A</v>
          </cell>
        </row>
      </sheetData>
      <sheetData sheetId="2992">
        <row r="9">
          <cell r="A9" t="str">
            <v>A</v>
          </cell>
        </row>
      </sheetData>
      <sheetData sheetId="2993">
        <row r="9">
          <cell r="A9" t="str">
            <v>A</v>
          </cell>
        </row>
      </sheetData>
      <sheetData sheetId="2994">
        <row r="9">
          <cell r="A9" t="str">
            <v>A</v>
          </cell>
        </row>
      </sheetData>
      <sheetData sheetId="2995">
        <row r="9">
          <cell r="A9" t="str">
            <v>A</v>
          </cell>
        </row>
      </sheetData>
      <sheetData sheetId="2996">
        <row r="9">
          <cell r="A9" t="str">
            <v>A</v>
          </cell>
        </row>
      </sheetData>
      <sheetData sheetId="2997">
        <row r="9">
          <cell r="A9" t="str">
            <v>A</v>
          </cell>
        </row>
      </sheetData>
      <sheetData sheetId="2998">
        <row r="9">
          <cell r="A9" t="str">
            <v>A</v>
          </cell>
        </row>
      </sheetData>
      <sheetData sheetId="2999">
        <row r="9">
          <cell r="A9" t="str">
            <v>A</v>
          </cell>
        </row>
      </sheetData>
      <sheetData sheetId="3000">
        <row r="9">
          <cell r="A9" t="str">
            <v>A</v>
          </cell>
        </row>
      </sheetData>
      <sheetData sheetId="3001">
        <row r="9">
          <cell r="A9" t="str">
            <v>A</v>
          </cell>
        </row>
      </sheetData>
      <sheetData sheetId="3002">
        <row r="9">
          <cell r="A9" t="str">
            <v>A</v>
          </cell>
        </row>
      </sheetData>
      <sheetData sheetId="3003">
        <row r="9">
          <cell r="A9" t="str">
            <v>A</v>
          </cell>
        </row>
      </sheetData>
      <sheetData sheetId="3004">
        <row r="9">
          <cell r="A9" t="str">
            <v>A</v>
          </cell>
        </row>
      </sheetData>
      <sheetData sheetId="3005">
        <row r="9">
          <cell r="A9" t="str">
            <v>A</v>
          </cell>
        </row>
      </sheetData>
      <sheetData sheetId="3006">
        <row r="9">
          <cell r="A9" t="str">
            <v>A</v>
          </cell>
        </row>
      </sheetData>
      <sheetData sheetId="3007">
        <row r="9">
          <cell r="A9" t="str">
            <v>A</v>
          </cell>
        </row>
      </sheetData>
      <sheetData sheetId="3008">
        <row r="9">
          <cell r="A9" t="str">
            <v>A</v>
          </cell>
        </row>
      </sheetData>
      <sheetData sheetId="3009">
        <row r="9">
          <cell r="A9" t="str">
            <v>A</v>
          </cell>
        </row>
      </sheetData>
      <sheetData sheetId="3010">
        <row r="9">
          <cell r="A9" t="str">
            <v>A</v>
          </cell>
        </row>
      </sheetData>
      <sheetData sheetId="3011">
        <row r="9">
          <cell r="A9" t="str">
            <v>A</v>
          </cell>
        </row>
      </sheetData>
      <sheetData sheetId="3012">
        <row r="9">
          <cell r="A9" t="str">
            <v>A</v>
          </cell>
        </row>
      </sheetData>
      <sheetData sheetId="3013">
        <row r="9">
          <cell r="A9" t="str">
            <v>A</v>
          </cell>
        </row>
      </sheetData>
      <sheetData sheetId="3014">
        <row r="9">
          <cell r="A9" t="str">
            <v>A</v>
          </cell>
        </row>
      </sheetData>
      <sheetData sheetId="3015">
        <row r="9">
          <cell r="A9" t="str">
            <v>A</v>
          </cell>
        </row>
      </sheetData>
      <sheetData sheetId="3016">
        <row r="9">
          <cell r="A9" t="str">
            <v>A</v>
          </cell>
        </row>
      </sheetData>
      <sheetData sheetId="3017">
        <row r="9">
          <cell r="A9" t="str">
            <v>A</v>
          </cell>
        </row>
      </sheetData>
      <sheetData sheetId="3018">
        <row r="9">
          <cell r="A9" t="str">
            <v>A</v>
          </cell>
        </row>
      </sheetData>
      <sheetData sheetId="3019">
        <row r="9">
          <cell r="A9" t="str">
            <v>A</v>
          </cell>
        </row>
      </sheetData>
      <sheetData sheetId="3020">
        <row r="9">
          <cell r="A9" t="str">
            <v>A</v>
          </cell>
        </row>
      </sheetData>
      <sheetData sheetId="3021">
        <row r="9">
          <cell r="A9" t="str">
            <v>A</v>
          </cell>
        </row>
      </sheetData>
      <sheetData sheetId="3022">
        <row r="9">
          <cell r="A9" t="str">
            <v>A</v>
          </cell>
        </row>
      </sheetData>
      <sheetData sheetId="3023">
        <row r="9">
          <cell r="A9" t="str">
            <v>A</v>
          </cell>
        </row>
      </sheetData>
      <sheetData sheetId="3024">
        <row r="9">
          <cell r="A9" t="str">
            <v>A</v>
          </cell>
        </row>
      </sheetData>
      <sheetData sheetId="3025">
        <row r="9">
          <cell r="A9" t="str">
            <v>A</v>
          </cell>
        </row>
      </sheetData>
      <sheetData sheetId="3026">
        <row r="9">
          <cell r="A9" t="str">
            <v>A</v>
          </cell>
        </row>
      </sheetData>
      <sheetData sheetId="3027">
        <row r="9">
          <cell r="A9" t="str">
            <v>A</v>
          </cell>
        </row>
      </sheetData>
      <sheetData sheetId="3028">
        <row r="9">
          <cell r="A9" t="str">
            <v>A</v>
          </cell>
        </row>
      </sheetData>
      <sheetData sheetId="3029">
        <row r="9">
          <cell r="A9" t="str">
            <v>A</v>
          </cell>
        </row>
      </sheetData>
      <sheetData sheetId="3030">
        <row r="9">
          <cell r="A9" t="str">
            <v>A</v>
          </cell>
        </row>
      </sheetData>
      <sheetData sheetId="3031">
        <row r="9">
          <cell r="A9" t="str">
            <v>A</v>
          </cell>
        </row>
      </sheetData>
      <sheetData sheetId="3032">
        <row r="9">
          <cell r="A9" t="str">
            <v>A</v>
          </cell>
        </row>
      </sheetData>
      <sheetData sheetId="3033">
        <row r="9">
          <cell r="A9" t="str">
            <v>A</v>
          </cell>
        </row>
      </sheetData>
      <sheetData sheetId="3034">
        <row r="9">
          <cell r="A9" t="str">
            <v>A</v>
          </cell>
        </row>
      </sheetData>
      <sheetData sheetId="3035">
        <row r="9">
          <cell r="A9" t="str">
            <v>A</v>
          </cell>
        </row>
      </sheetData>
      <sheetData sheetId="3036">
        <row r="9">
          <cell r="A9" t="str">
            <v>A</v>
          </cell>
        </row>
      </sheetData>
      <sheetData sheetId="3037">
        <row r="9">
          <cell r="A9" t="str">
            <v>A</v>
          </cell>
        </row>
      </sheetData>
      <sheetData sheetId="3038">
        <row r="9">
          <cell r="A9" t="str">
            <v>A</v>
          </cell>
        </row>
      </sheetData>
      <sheetData sheetId="3039">
        <row r="9">
          <cell r="A9" t="str">
            <v>A</v>
          </cell>
        </row>
      </sheetData>
      <sheetData sheetId="3040">
        <row r="9">
          <cell r="A9" t="str">
            <v>A</v>
          </cell>
        </row>
      </sheetData>
      <sheetData sheetId="3041">
        <row r="9">
          <cell r="A9" t="str">
            <v>A</v>
          </cell>
        </row>
      </sheetData>
      <sheetData sheetId="3042">
        <row r="9">
          <cell r="A9" t="str">
            <v>A</v>
          </cell>
        </row>
      </sheetData>
      <sheetData sheetId="3043">
        <row r="9">
          <cell r="A9" t="str">
            <v>A</v>
          </cell>
        </row>
      </sheetData>
      <sheetData sheetId="3044">
        <row r="9">
          <cell r="A9" t="str">
            <v>A</v>
          </cell>
        </row>
      </sheetData>
      <sheetData sheetId="3045">
        <row r="9">
          <cell r="A9" t="str">
            <v>A</v>
          </cell>
        </row>
      </sheetData>
      <sheetData sheetId="3046">
        <row r="9">
          <cell r="A9" t="str">
            <v>A</v>
          </cell>
        </row>
      </sheetData>
      <sheetData sheetId="3047">
        <row r="9">
          <cell r="A9" t="str">
            <v>A</v>
          </cell>
        </row>
      </sheetData>
      <sheetData sheetId="3048">
        <row r="9">
          <cell r="A9" t="str">
            <v>A</v>
          </cell>
        </row>
      </sheetData>
      <sheetData sheetId="3049">
        <row r="9">
          <cell r="A9" t="str">
            <v>A</v>
          </cell>
        </row>
      </sheetData>
      <sheetData sheetId="3050">
        <row r="9">
          <cell r="A9" t="str">
            <v>A</v>
          </cell>
        </row>
      </sheetData>
      <sheetData sheetId="3051">
        <row r="9">
          <cell r="A9" t="str">
            <v>A</v>
          </cell>
        </row>
      </sheetData>
      <sheetData sheetId="3052">
        <row r="9">
          <cell r="A9" t="str">
            <v>A</v>
          </cell>
        </row>
      </sheetData>
      <sheetData sheetId="3053">
        <row r="9">
          <cell r="A9" t="str">
            <v>A</v>
          </cell>
        </row>
      </sheetData>
      <sheetData sheetId="3054">
        <row r="9">
          <cell r="A9" t="str">
            <v>A</v>
          </cell>
        </row>
      </sheetData>
      <sheetData sheetId="3055">
        <row r="9">
          <cell r="A9" t="str">
            <v>A</v>
          </cell>
        </row>
      </sheetData>
      <sheetData sheetId="3056">
        <row r="9">
          <cell r="A9" t="str">
            <v>A</v>
          </cell>
        </row>
      </sheetData>
      <sheetData sheetId="3057">
        <row r="9">
          <cell r="A9" t="str">
            <v>A</v>
          </cell>
        </row>
      </sheetData>
      <sheetData sheetId="3058">
        <row r="9">
          <cell r="A9" t="str">
            <v>A</v>
          </cell>
        </row>
      </sheetData>
      <sheetData sheetId="3059">
        <row r="9">
          <cell r="A9" t="str">
            <v>A</v>
          </cell>
        </row>
      </sheetData>
      <sheetData sheetId="3060">
        <row r="9">
          <cell r="A9" t="str">
            <v>A</v>
          </cell>
        </row>
      </sheetData>
      <sheetData sheetId="3061">
        <row r="9">
          <cell r="A9" t="str">
            <v>A</v>
          </cell>
        </row>
      </sheetData>
      <sheetData sheetId="3062">
        <row r="9">
          <cell r="A9" t="str">
            <v>A</v>
          </cell>
        </row>
      </sheetData>
      <sheetData sheetId="3063">
        <row r="9">
          <cell r="A9" t="str">
            <v>A</v>
          </cell>
        </row>
      </sheetData>
      <sheetData sheetId="3064">
        <row r="9">
          <cell r="A9" t="str">
            <v>A</v>
          </cell>
        </row>
      </sheetData>
      <sheetData sheetId="3065">
        <row r="9">
          <cell r="A9" t="str">
            <v>A</v>
          </cell>
        </row>
      </sheetData>
      <sheetData sheetId="3066">
        <row r="9">
          <cell r="A9" t="str">
            <v>A</v>
          </cell>
        </row>
      </sheetData>
      <sheetData sheetId="3067">
        <row r="9">
          <cell r="A9" t="str">
            <v>A</v>
          </cell>
        </row>
      </sheetData>
      <sheetData sheetId="3068">
        <row r="9">
          <cell r="A9" t="str">
            <v>A</v>
          </cell>
        </row>
      </sheetData>
      <sheetData sheetId="3069">
        <row r="9">
          <cell r="A9" t="str">
            <v>A</v>
          </cell>
        </row>
      </sheetData>
      <sheetData sheetId="3070">
        <row r="9">
          <cell r="A9" t="str">
            <v>A</v>
          </cell>
        </row>
      </sheetData>
      <sheetData sheetId="3071">
        <row r="9">
          <cell r="A9" t="str">
            <v>A</v>
          </cell>
        </row>
      </sheetData>
      <sheetData sheetId="3072">
        <row r="9">
          <cell r="A9" t="str">
            <v>A</v>
          </cell>
        </row>
      </sheetData>
      <sheetData sheetId="3073">
        <row r="9">
          <cell r="A9" t="str">
            <v>A</v>
          </cell>
        </row>
      </sheetData>
      <sheetData sheetId="3074">
        <row r="9">
          <cell r="A9" t="str">
            <v>A</v>
          </cell>
        </row>
      </sheetData>
      <sheetData sheetId="3075">
        <row r="9">
          <cell r="A9" t="str">
            <v>A</v>
          </cell>
        </row>
      </sheetData>
      <sheetData sheetId="3076">
        <row r="9">
          <cell r="A9" t="str">
            <v>A</v>
          </cell>
        </row>
      </sheetData>
      <sheetData sheetId="3077">
        <row r="9">
          <cell r="A9" t="str">
            <v>A</v>
          </cell>
        </row>
      </sheetData>
      <sheetData sheetId="3078">
        <row r="9">
          <cell r="A9" t="str">
            <v>A</v>
          </cell>
        </row>
      </sheetData>
      <sheetData sheetId="3079">
        <row r="9">
          <cell r="A9" t="str">
            <v>A</v>
          </cell>
        </row>
      </sheetData>
      <sheetData sheetId="3080">
        <row r="9">
          <cell r="A9" t="str">
            <v>A</v>
          </cell>
        </row>
      </sheetData>
      <sheetData sheetId="3081">
        <row r="9">
          <cell r="A9" t="str">
            <v>A</v>
          </cell>
        </row>
      </sheetData>
      <sheetData sheetId="3082">
        <row r="9">
          <cell r="A9" t="str">
            <v>A</v>
          </cell>
        </row>
      </sheetData>
      <sheetData sheetId="3083">
        <row r="9">
          <cell r="A9" t="str">
            <v>A</v>
          </cell>
        </row>
      </sheetData>
      <sheetData sheetId="3084">
        <row r="9">
          <cell r="A9" t="str">
            <v>A</v>
          </cell>
        </row>
      </sheetData>
      <sheetData sheetId="3085">
        <row r="9">
          <cell r="A9" t="str">
            <v>A</v>
          </cell>
        </row>
      </sheetData>
      <sheetData sheetId="3086">
        <row r="9">
          <cell r="A9" t="str">
            <v>A</v>
          </cell>
        </row>
      </sheetData>
      <sheetData sheetId="3087">
        <row r="9">
          <cell r="A9" t="str">
            <v>A</v>
          </cell>
        </row>
      </sheetData>
      <sheetData sheetId="3088">
        <row r="9">
          <cell r="A9" t="str">
            <v>A</v>
          </cell>
        </row>
      </sheetData>
      <sheetData sheetId="3089">
        <row r="9">
          <cell r="A9" t="str">
            <v>A</v>
          </cell>
        </row>
      </sheetData>
      <sheetData sheetId="3090">
        <row r="9">
          <cell r="A9" t="str">
            <v>A</v>
          </cell>
        </row>
      </sheetData>
      <sheetData sheetId="3091">
        <row r="9">
          <cell r="A9" t="str">
            <v>A</v>
          </cell>
        </row>
      </sheetData>
      <sheetData sheetId="3092">
        <row r="9">
          <cell r="A9" t="str">
            <v>A</v>
          </cell>
        </row>
      </sheetData>
      <sheetData sheetId="3093">
        <row r="9">
          <cell r="A9" t="str">
            <v>A</v>
          </cell>
        </row>
      </sheetData>
      <sheetData sheetId="3094">
        <row r="9">
          <cell r="A9" t="str">
            <v>A</v>
          </cell>
        </row>
      </sheetData>
      <sheetData sheetId="3095">
        <row r="9">
          <cell r="A9" t="str">
            <v>A</v>
          </cell>
        </row>
      </sheetData>
      <sheetData sheetId="3096">
        <row r="9">
          <cell r="A9" t="str">
            <v>A</v>
          </cell>
        </row>
      </sheetData>
      <sheetData sheetId="3097">
        <row r="9">
          <cell r="A9" t="str">
            <v>A</v>
          </cell>
        </row>
      </sheetData>
      <sheetData sheetId="3098" refreshError="1"/>
      <sheetData sheetId="3099">
        <row r="9">
          <cell r="A9" t="str">
            <v>A</v>
          </cell>
        </row>
      </sheetData>
      <sheetData sheetId="3100">
        <row r="9">
          <cell r="A9" t="str">
            <v>A</v>
          </cell>
        </row>
      </sheetData>
      <sheetData sheetId="3101">
        <row r="9">
          <cell r="A9" t="str">
            <v>A</v>
          </cell>
        </row>
      </sheetData>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ow r="9">
          <cell r="A9" t="str">
            <v>A</v>
          </cell>
        </row>
      </sheetData>
      <sheetData sheetId="3126">
        <row r="9">
          <cell r="A9" t="str">
            <v>A</v>
          </cell>
        </row>
      </sheetData>
      <sheetData sheetId="3127">
        <row r="9">
          <cell r="A9" t="str">
            <v>A</v>
          </cell>
        </row>
      </sheetData>
      <sheetData sheetId="3128">
        <row r="9">
          <cell r="A9" t="str">
            <v>A</v>
          </cell>
        </row>
      </sheetData>
      <sheetData sheetId="3129">
        <row r="9">
          <cell r="A9" t="str">
            <v>A</v>
          </cell>
        </row>
      </sheetData>
      <sheetData sheetId="3130">
        <row r="9">
          <cell r="A9" t="str">
            <v>A</v>
          </cell>
        </row>
      </sheetData>
      <sheetData sheetId="3131">
        <row r="9">
          <cell r="A9" t="str">
            <v>A</v>
          </cell>
        </row>
      </sheetData>
      <sheetData sheetId="3132">
        <row r="9">
          <cell r="A9" t="str">
            <v>A</v>
          </cell>
        </row>
      </sheetData>
      <sheetData sheetId="3133">
        <row r="9">
          <cell r="A9" t="str">
            <v>A</v>
          </cell>
        </row>
      </sheetData>
      <sheetData sheetId="3134">
        <row r="9">
          <cell r="A9" t="str">
            <v>A</v>
          </cell>
        </row>
      </sheetData>
      <sheetData sheetId="3135">
        <row r="9">
          <cell r="A9" t="str">
            <v>A</v>
          </cell>
        </row>
      </sheetData>
      <sheetData sheetId="3136">
        <row r="9">
          <cell r="A9" t="str">
            <v>A</v>
          </cell>
        </row>
      </sheetData>
      <sheetData sheetId="3137">
        <row r="9">
          <cell r="A9" t="str">
            <v>A</v>
          </cell>
        </row>
      </sheetData>
      <sheetData sheetId="3138">
        <row r="9">
          <cell r="A9" t="str">
            <v>A</v>
          </cell>
        </row>
      </sheetData>
      <sheetData sheetId="3139">
        <row r="9">
          <cell r="A9" t="str">
            <v>A</v>
          </cell>
        </row>
      </sheetData>
      <sheetData sheetId="3140">
        <row r="9">
          <cell r="A9" t="str">
            <v>A</v>
          </cell>
        </row>
      </sheetData>
      <sheetData sheetId="3141">
        <row r="9">
          <cell r="A9" t="str">
            <v>A</v>
          </cell>
        </row>
      </sheetData>
      <sheetData sheetId="3142">
        <row r="9">
          <cell r="A9" t="str">
            <v>A</v>
          </cell>
        </row>
      </sheetData>
      <sheetData sheetId="3143">
        <row r="9">
          <cell r="A9" t="str">
            <v>A</v>
          </cell>
        </row>
      </sheetData>
      <sheetData sheetId="3144">
        <row r="9">
          <cell r="A9" t="str">
            <v>A</v>
          </cell>
        </row>
      </sheetData>
      <sheetData sheetId="3145">
        <row r="9">
          <cell r="A9" t="str">
            <v>A</v>
          </cell>
        </row>
      </sheetData>
      <sheetData sheetId="3146">
        <row r="9">
          <cell r="A9" t="str">
            <v>A</v>
          </cell>
        </row>
      </sheetData>
      <sheetData sheetId="3147">
        <row r="9">
          <cell r="A9" t="str">
            <v>A</v>
          </cell>
        </row>
      </sheetData>
      <sheetData sheetId="3148">
        <row r="9">
          <cell r="A9" t="str">
            <v>A</v>
          </cell>
        </row>
      </sheetData>
      <sheetData sheetId="3149">
        <row r="9">
          <cell r="A9" t="str">
            <v>A</v>
          </cell>
        </row>
      </sheetData>
      <sheetData sheetId="3150">
        <row r="9">
          <cell r="A9" t="str">
            <v>A</v>
          </cell>
        </row>
      </sheetData>
      <sheetData sheetId="3151">
        <row r="9">
          <cell r="A9" t="str">
            <v>A</v>
          </cell>
        </row>
      </sheetData>
      <sheetData sheetId="3152">
        <row r="9">
          <cell r="A9" t="str">
            <v>A</v>
          </cell>
        </row>
      </sheetData>
      <sheetData sheetId="3153">
        <row r="9">
          <cell r="A9" t="str">
            <v>A</v>
          </cell>
        </row>
      </sheetData>
      <sheetData sheetId="3154">
        <row r="9">
          <cell r="A9" t="str">
            <v>A</v>
          </cell>
        </row>
      </sheetData>
      <sheetData sheetId="3155">
        <row r="9">
          <cell r="A9" t="str">
            <v>A</v>
          </cell>
        </row>
      </sheetData>
      <sheetData sheetId="3156">
        <row r="9">
          <cell r="A9" t="str">
            <v>A</v>
          </cell>
        </row>
      </sheetData>
      <sheetData sheetId="3157">
        <row r="9">
          <cell r="A9" t="str">
            <v>A</v>
          </cell>
        </row>
      </sheetData>
      <sheetData sheetId="3158">
        <row r="9">
          <cell r="A9" t="str">
            <v>A</v>
          </cell>
        </row>
      </sheetData>
      <sheetData sheetId="3159">
        <row r="9">
          <cell r="A9" t="str">
            <v>A</v>
          </cell>
        </row>
      </sheetData>
      <sheetData sheetId="3160">
        <row r="9">
          <cell r="A9" t="str">
            <v>A</v>
          </cell>
        </row>
      </sheetData>
      <sheetData sheetId="3161">
        <row r="9">
          <cell r="A9" t="str">
            <v>A</v>
          </cell>
        </row>
      </sheetData>
      <sheetData sheetId="3162">
        <row r="9">
          <cell r="A9" t="str">
            <v>A</v>
          </cell>
        </row>
      </sheetData>
      <sheetData sheetId="3163">
        <row r="9">
          <cell r="A9" t="str">
            <v>A</v>
          </cell>
        </row>
      </sheetData>
      <sheetData sheetId="3164">
        <row r="9">
          <cell r="A9" t="str">
            <v>A</v>
          </cell>
        </row>
      </sheetData>
      <sheetData sheetId="3165">
        <row r="9">
          <cell r="A9" t="str">
            <v>A</v>
          </cell>
        </row>
      </sheetData>
      <sheetData sheetId="3166" refreshError="1"/>
      <sheetData sheetId="3167" refreshError="1"/>
      <sheetData sheetId="3168" refreshError="1"/>
      <sheetData sheetId="3169" refreshError="1"/>
      <sheetData sheetId="3170" refreshError="1"/>
      <sheetData sheetId="3171">
        <row r="9">
          <cell r="A9" t="str">
            <v>A</v>
          </cell>
        </row>
      </sheetData>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ow r="9">
          <cell r="A9" t="str">
            <v>A</v>
          </cell>
        </row>
      </sheetData>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ow r="9">
          <cell r="A9" t="str">
            <v>A</v>
          </cell>
        </row>
      </sheetData>
      <sheetData sheetId="3384">
        <row r="9">
          <cell r="A9" t="str">
            <v>A</v>
          </cell>
        </row>
      </sheetData>
      <sheetData sheetId="3385"/>
      <sheetData sheetId="3386"/>
      <sheetData sheetId="3387"/>
      <sheetData sheetId="3388"/>
      <sheetData sheetId="3389"/>
      <sheetData sheetId="3390"/>
      <sheetData sheetId="3391"/>
      <sheetData sheetId="3392"/>
      <sheetData sheetId="3393"/>
      <sheetData sheetId="3394" refreshError="1"/>
      <sheetData sheetId="3395" refreshError="1"/>
      <sheetData sheetId="3396" refreshError="1"/>
      <sheetData sheetId="3397" refreshError="1"/>
      <sheetData sheetId="3398" refreshError="1"/>
      <sheetData sheetId="3399" refreshError="1"/>
      <sheetData sheetId="3400"/>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u_lieu"/>
      <sheetName val="Tong_gia"/>
      <sheetName val="Chi_tiet_gia"/>
      <sheetName val="KL_dao_Lap_dat"/>
      <sheetName val="THKP_don_gia_chao"/>
      <sheetName val="Tong_GT_khac_Pbo_vao_GT"/>
      <sheetName val="THKP_XL_Khac"/>
      <sheetName val="Lan_trai_tam"/>
      <sheetName val="Chuyen_quan"/>
      <sheetName val="Den_bu"/>
      <sheetName val="VL_NC_M_XL_khac"/>
      <sheetName val="BT_cot_thep"/>
      <sheetName val="KL_cot_thep"/>
      <sheetName val="Dap_Dat"/>
      <sheetName val="Tinh_CT_dao_dat_Luu"/>
      <sheetName val="Tinh_CT_dao_dat"/>
      <sheetName val="Chi_tiet_cot_pha"/>
      <sheetName val="Chiet_tinh_don_gia"/>
      <sheetName val="Don_gia_VCTC"/>
      <sheetName val="Gia_HTXL+VC"/>
      <sheetName val="XL4Poppy"/>
      <sheetName val="Bang ve"/>
      <sheetName val="Bang tong ke"/>
      <sheetName val="Liet ke vat tu"/>
      <sheetName val="Hung"/>
      <sheetName val="Dau"/>
      <sheetName val="Doan"/>
      <sheetName val="Xanh"/>
      <sheetName val="Tri"/>
      <sheetName val="Chuong"/>
      <sheetName val="Hue"/>
      <sheetName val="Tien"/>
      <sheetName val="Sanh"/>
      <sheetName val="Phuc"/>
      <sheetName val="Hai"/>
      <sheetName val="Chau"/>
      <sheetName val="Lien"/>
      <sheetName val="Trieu"/>
      <sheetName val="Huong"/>
      <sheetName val="Canh"/>
      <sheetName val="Bao"/>
      <sheetName val="Kim"/>
      <sheetName val="Son"/>
      <sheetName val="Phuong"/>
      <sheetName val="Nga"/>
      <sheetName val="TONG HOP"/>
      <sheetName val="BIA HUDA CHAI"/>
      <sheetName val="BIA HUDA LON"/>
      <sheetName val="BIA SG 450"/>
      <sheetName val="BIA SG 330"/>
      <sheetName val="BIA HENIKEN 330"/>
      <sheetName val="BG SUNNY 100g"/>
      <sheetName val="BG SUNNY 200g"/>
      <sheetName val="BG MEO 500g"/>
      <sheetName val="BG SOPHA 200g"/>
      <sheetName val="BG SUNNEW 100g"/>
      <sheetName val="BG SUNNEW 200g"/>
      <sheetName val="BG SUNNEW 500g"/>
      <sheetName val="BG ISO 400g "/>
      <sheetName val="BG ISO 180g"/>
      <sheetName val="PIN DEN CON VOI"/>
      <sheetName val="LOP OTO 500-12"/>
      <sheetName val="LOP OTO 700-16"/>
      <sheetName val="LOP OTO 840-15"/>
      <sheetName val="LOP OTO 900-20 DN"/>
      <sheetName val="LOP OTO 1000-20 DN"/>
      <sheetName val="LOP OTO 1100-20 DN"/>
      <sheetName val="LOP OTO 1200-20 DN"/>
      <sheetName val="LOP SIAM 900"/>
      <sheetName val="LOP SIAM 1000"/>
      <sheetName val="LOP SIAM 1100"/>
      <sheetName val="SAM OTO 1000-20 DN"/>
      <sheetName val="SAM OTO 1100-20 DN"/>
      <sheetName val="SAM OTO 1200-20 DN"/>
      <sheetName val="YEM OTO 1100-20"/>
      <sheetName val="YEM OTO 1200-20"/>
      <sheetName val="ACQUY 50 A"/>
      <sheetName val="ACQUY 70 A"/>
      <sheetName val="ACQUY 100 A"/>
      <sheetName val="ACQUY 120 A"/>
      <sheetName val="ACQUY 150 A"/>
      <sheetName val="ACQUY 200 A"/>
      <sheetName val="TL BASTOR"/>
      <sheetName val="TL ERA DO"/>
      <sheetName val="TL ERA XANH"/>
      <sheetName val="TL NGUA TRANG"/>
      <sheetName val="TL DALAT DO"/>
      <sheetName val="TL DA LAT XANH"/>
      <sheetName val="TL BLU XANH"/>
      <sheetName val="Tl CHO LON"/>
      <sheetName val="MI TALIFOOD"/>
      <sheetName val="MI  SAFOOD"/>
      <sheetName val="PHO BO GA"/>
      <sheetName val="MI BO RAU THOM"/>
      <sheetName val="MI  30 GOI"/>
      <sheetName val="MI BO BIT TET"/>
      <sheetName val="MI LAU THAI"/>
      <sheetName val="MI PH DONG DO"/>
      <sheetName val="NHUA LA PHONG "/>
      <sheetName val="KEO XOP CHANH"/>
      <sheetName val="SAT  4"/>
      <sheetName val="SAT 6"/>
      <sheetName val="SAT 8"/>
      <sheetName val="SAT 10"/>
      <sheetName val="SAT 12"/>
      <sheetName val="THEP BUOC"/>
      <sheetName val="KEM GAI"/>
      <sheetName val="THEP LUOI B40"/>
      <sheetName val="NHOM LA"/>
      <sheetName val="CAN N 5 LIT"/>
      <sheetName val="CAN N 20 LIT"/>
      <sheetName val="CAN N 30 LIT"/>
      <sheetName val="NI LONG (VAI N PVC)"/>
      <sheetName val="N- RUA SUMMER"/>
      <sheetName val="N- RUA SUPER 500 ml"/>
      <sheetName val="N- RUA TLONG"/>
      <sheetName val="DAY DIEN BOC PVC "/>
      <sheetName val="VO (GIAY TRANG)"/>
      <sheetName val="TON KEM"/>
      <sheetName val="QUAT TREO TUONG"/>
      <sheetName val="SUA DAC DD"/>
      <sheetName val="SUATUOI CO DUONG"/>
      <sheetName val="SUA PN XANH"/>
      <sheetName val="SUA ONG THO DO"/>
      <sheetName val="SUA BOT RILAC NGOT"/>
      <sheetName val="SUA  BOT RILAC MAN"/>
      <sheetName val="SUA PHINO"/>
      <sheetName val="SUA BOT 1,2,3"/>
      <sheetName val="MILO 200g"/>
      <sheetName val="MILO HOP 300g"/>
      <sheetName val="MILO 400g"/>
      <sheetName val="NUOC SAM YEN"/>
      <sheetName val="CAFE NET 20 goi"/>
      <sheetName val="CAFE NET 50 goi"/>
    </sheetNames>
    <sheetDataSet>
      <sheetData sheetId="0"/>
      <sheetData sheetId="1" refreshError="1">
        <row r="6">
          <cell r="C6">
            <v>1.5644349070100143</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hung ten TD"/>
      <sheetName val="khung ten LM7"/>
      <sheetName val="khung ten HC Q3"/>
      <sheetName val="khung ten HC HOAI NHON"/>
      <sheetName val="khung ten HC Hoa Khanh"/>
      <sheetName val="Khung ten TK"/>
      <sheetName val="thong ke"/>
      <sheetName val="Sheet6"/>
      <sheetName val="Sheet7"/>
      <sheetName val="Sheet8"/>
      <sheetName val="Sheet9"/>
      <sheetName val="Sheet10"/>
      <sheetName val="Sheet11"/>
      <sheetName val="Sheet12"/>
      <sheetName val="Sheet13"/>
      <sheetName val="Sheet14"/>
      <sheetName val="Sheet15"/>
      <sheetName val="Sheet16"/>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NV"/>
      <sheetName val="THÁNG 1"/>
      <sheetName val="THÁNG "/>
      <sheetName val="THÁNG"/>
      <sheetName val="kế hoạch chi phí nhân công "/>
    </sheetNames>
    <sheetDataSet>
      <sheetData sheetId="0"/>
      <sheetData sheetId="1">
        <row r="1">
          <cell r="C1">
            <v>2019</v>
          </cell>
        </row>
      </sheetData>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BASE"/>
      <sheetName val="Sheet1"/>
      <sheetName val="T3-99"/>
      <sheetName val="T4-99"/>
      <sheetName val="T5-99"/>
      <sheetName val="T6-99"/>
      <sheetName val="T7-99"/>
      <sheetName val="T8-99"/>
      <sheetName val="T9-99"/>
      <sheetName val="T10-99"/>
      <sheetName val="T11-99"/>
      <sheetName val="T12-99"/>
      <sheetName val="CVden ngoai TCT (1)"/>
      <sheetName val="CV den ngoai TCT (2)"/>
      <sheetName val="CV den ngoai TCT (3)"/>
      <sheetName val="QDcua TGD"/>
      <sheetName val="QD cua HDQT"/>
      <sheetName val="QD cua HDQT (2)"/>
      <sheetName val="CV di ngoai tong"/>
      <sheetName val="CV di ngoai tong (2)"/>
      <sheetName val="Chart1"/>
      <sheetName val="To trinh"/>
      <sheetName val="Giao nhiem vu"/>
      <sheetName val="QDcua TGD (2)"/>
      <sheetName val="Thong tu"/>
      <sheetName val="CV di trong  tong"/>
      <sheetName val="nghi dinh-CP"/>
      <sheetName val="CV den trong tong"/>
      <sheetName val="Sheet2"/>
      <sheetName val="00000000"/>
      <sheetName val="KHQ2"/>
      <sheetName val="KHT4,5-02"/>
      <sheetName val="KHVt "/>
      <sheetName val="KHVtt4"/>
      <sheetName val="KHVt XL"/>
      <sheetName val="KHVt XLT4"/>
      <sheetName val="TNHNoi"/>
      <sheetName val="Sheet3"/>
      <sheetName val="XL4Poppy"/>
      <sheetName val="km248"/>
      <sheetName val="TBA"/>
      <sheetName val="Netbook"/>
      <sheetName val="DZ"/>
      <sheetName val="Muatb"/>
      <sheetName val="lapdat TB "/>
      <sheetName val="TNghiªm TB "/>
      <sheetName val="VËt liÖu"/>
      <sheetName val="vc-TBA"/>
      <sheetName val="Lap ®at ®iÖn"/>
      <sheetName val="TNghiÖm VL"/>
      <sheetName val="tt-TBA"/>
      <sheetName val="TDT"/>
      <sheetName val="TDT-TBA"/>
      <sheetName val="KSTK"/>
      <sheetName val="th "/>
      <sheetName val="tien luong"/>
      <sheetName val="dutoan"/>
      <sheetName val="CLech"/>
      <sheetName val="mong"/>
      <sheetName val="PA_coso"/>
      <sheetName val="PA_von"/>
      <sheetName val="PA_nhucau"/>
      <sheetName val="PA_TH"/>
      <sheetName val="THDT"/>
      <sheetName val="XL35"/>
      <sheetName val="DZ-35"/>
      <sheetName val="TN_35"/>
      <sheetName val="CT-DZ"/>
      <sheetName val="VC"/>
      <sheetName val="TC"/>
      <sheetName val="TH_BA"/>
      <sheetName val="TNT"/>
      <sheetName val="CT_TBA"/>
      <sheetName val="KB"/>
      <sheetName val="CT_BT"/>
      <sheetName val="KS"/>
      <sheetName val="BT"/>
      <sheetName val="CP_BT"/>
      <sheetName val="Sheet4"/>
      <sheetName val="Sheet5"/>
      <sheetName val="DB"/>
      <sheetName val="XXXXXXXX"/>
      <sheetName val="Thep be"/>
      <sheetName val="Thep than"/>
      <sheetName val="Thep xa mu"/>
      <sheetName val="Song trai"/>
      <sheetName val="Dinh+ha nha"/>
      <sheetName val="PTLK"/>
      <sheetName val="NG k"/>
      <sheetName val="THcong"/>
      <sheetName val="BHXH"/>
      <sheetName val="BHXH12"/>
      <sheetName val="Sheet8"/>
      <sheetName val="Sheet9"/>
      <sheetName val="142201-T1-th"/>
      <sheetName val="142201-T1 "/>
      <sheetName val="142201-T2-th "/>
      <sheetName val="142201-T2"/>
      <sheetName val="142201-T3-th "/>
      <sheetName val="142201-T3"/>
      <sheetName val="142201-T4-th  "/>
      <sheetName val="142201-T4"/>
      <sheetName val="142201-T6"/>
      <sheetName val="142201-T10"/>
      <sheetName val="Kluong phu"/>
      <sheetName val="Lan can"/>
      <sheetName val="Ho lan"/>
      <sheetName val="Coc tieu"/>
      <sheetName val="Bien bao"/>
      <sheetName val="Ranh"/>
      <sheetName val="Tuongchan"/>
      <sheetName val="Op mai 274"/>
      <sheetName val="Op mai 275"/>
      <sheetName val="Op mai 276"/>
      <sheetName val="Op mai 277"/>
      <sheetName val="Op mai 278"/>
      <sheetName val="Op mai 279"/>
      <sheetName val="Op mai 280"/>
      <sheetName val="Op mai 281"/>
      <sheetName val="Op mai 282"/>
      <sheetName val="Op mai 283"/>
      <sheetName val="Km274-Km275"/>
      <sheetName val="Km275-Km276"/>
      <sheetName val="Km276-Km277"/>
      <sheetName val="Km277-Km278"/>
      <sheetName val="Km278-Km279"/>
      <sheetName val="Km279-Km280"/>
      <sheetName val="Km280-Km281"/>
      <sheetName val="Km281-Km282"/>
      <sheetName val="Km282-Km283"/>
      <sheetName val="Km283-Km284"/>
      <sheetName val="Km284-Km285"/>
      <sheetName val="Nenduong"/>
      <sheetName val="Op mai 284"/>
      <sheetName val="Op mai"/>
      <sheetName val="Sheet6"/>
      <sheetName val="Congty"/>
      <sheetName val="VPPN"/>
      <sheetName val="XN74"/>
      <sheetName val="XN54"/>
      <sheetName val="XN33"/>
      <sheetName val="NK96"/>
      <sheetName val="XL4Test5"/>
      <sheetName val="thkl"/>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THVDT"/>
      <sheetName val="NCLD"/>
      <sheetName val="MMTB"/>
      <sheetName val="CFSX"/>
      <sheetName val="KQ"/>
      <sheetName val="DTSL"/>
      <sheetName val="XDCBK"/>
      <sheetName val="KHTSCD"/>
      <sheetName val="XDCB"/>
      <sheetName val="LuongT1"/>
      <sheetName val="LuongT2"/>
      <sheetName val="luongthang12"/>
      <sheetName val="LuongT11"/>
      <sheetName val="thang5"/>
      <sheetName val="T7"/>
      <sheetName val="T10"/>
      <sheetName val="T9"/>
      <sheetName val="T8"/>
      <sheetName val="thang6"/>
      <sheetName val="thang4"/>
      <sheetName val="LuongT3"/>
      <sheetName val="NKC"/>
      <sheetName val="SoquyTM"/>
      <sheetName val="TK 112"/>
      <sheetName val="TK 131"/>
      <sheetName val="TK133"/>
      <sheetName val="TK 141"/>
      <sheetName val="TK 153"/>
      <sheetName val="TK214"/>
      <sheetName val="TK 211"/>
      <sheetName val="TK 242"/>
      <sheetName val="TK33311"/>
      <sheetName val="TK331"/>
      <sheetName val="TK333"/>
      <sheetName val="TK 334"/>
      <sheetName val="TK711"/>
      <sheetName val="TK411"/>
      <sheetName val="TK421"/>
      <sheetName val="TK 511"/>
      <sheetName val="TK 515"/>
      <sheetName val="TK642"/>
      <sheetName val="TK 911"/>
      <sheetName val="TK811"/>
      <sheetName val="CDKT"/>
      <sheetName val="CDPS1"/>
      <sheetName val="KQKD"/>
      <sheetName val="KHTSCD1"/>
      <sheetName val="KHTSCD2"/>
      <sheetName val="10000000"/>
      <sheetName val="SoCaiTM"/>
      <sheetName val="NK"/>
      <sheetName val="PhieuKT"/>
      <sheetName val="t1"/>
      <sheetName val=" t5"/>
      <sheetName val="t.4"/>
      <sheetName val=" t3 "/>
      <sheetName val="T2"/>
      <sheetName val="t"/>
      <sheetName val=" TH331"/>
      <sheetName val=" Minh ha"/>
      <sheetName val="HTay03"/>
      <sheetName val=" Ha Tay"/>
      <sheetName val="tw2"/>
      <sheetName val=" Vinhphuc"/>
      <sheetName val=" Nbinh"/>
      <sheetName val=" QVinh"/>
      <sheetName val=" TW1"/>
      <sheetName val="T.so thay doi"/>
      <sheetName val="BTHDT_DZcaothe"/>
      <sheetName val="BTHDT_TBA"/>
      <sheetName val="THXL_DZcaothe"/>
      <sheetName val="TN_DZcaothe"/>
      <sheetName val="b.THchitietDZCT"/>
      <sheetName val="tr_tinhDZcaothe"/>
      <sheetName val="THXL_TBA"/>
      <sheetName val="TN_TBA"/>
      <sheetName val="b.THchitietTBA"/>
      <sheetName val="tr_tinhTBA"/>
      <sheetName val="Khao sat"/>
      <sheetName val="TT khao sat"/>
      <sheetName val="VtuHaTheSauTramBT3"/>
      <sheetName val="VtuHaTheSauTRamBT9"/>
      <sheetName val="VtuHaTheSautramLienThang"/>
      <sheetName val="VTuHaTheSautramBT5"/>
      <sheetName val="VTuHaTheSautramBT2"/>
      <sheetName val="VtuHaTheSautramTTCocSoi"/>
      <sheetName val="VtuHaTheSauTBAKhoi13"/>
      <sheetName val="VtuHaTheSauTBAKhoi12"/>
      <sheetName val="VtuHaTheSauTBANgDu4"/>
      <sheetName val="VtuHaTheSauTBAHungThuy"/>
      <sheetName val="VtuHaTheSauTBAHaiSan"/>
      <sheetName val="VtuHaTheSauTBANgVanTroi1"/>
      <sheetName val="VtuHaTheSauTBANgVanTroi2"/>
      <sheetName val="VtuHaTheSauTBANguyenDu2"/>
      <sheetName val="VtuHaTheSauTBANguyenDu6"/>
      <sheetName val="VtuHaTheSauTBABenThuy1"/>
      <sheetName val="VatTuThuHoi"/>
      <sheetName val="VtuHaTheSauTBABenThuy1 (2)"/>
      <sheetName val="Km274 - Km275"/>
      <sheetName val="Km275 - Km276"/>
      <sheetName val="Km276 - Km277"/>
      <sheetName val="Km277 - Km278 "/>
      <sheetName val="Km278 - Km279"/>
      <sheetName val="Km279 - Km280"/>
      <sheetName val="Km280 - Km281"/>
      <sheetName val="Km281 - Km282"/>
      <sheetName val="Km282 - Km283"/>
      <sheetName val="Km283 - Km284"/>
      <sheetName val="Km284 - Km285"/>
      <sheetName val="Tong hop Matduong"/>
      <sheetName val="Cong D75"/>
      <sheetName val="Cong D100"/>
      <sheetName val="Cong D150"/>
      <sheetName val="Cong 2D150"/>
      <sheetName val="Cong ban 0,7x0,7"/>
      <sheetName val="Cong ban 0,8x0,8"/>
      <sheetName val="Cong ban 1x1"/>
      <sheetName val="Cong ban 1x1,2"/>
      <sheetName val="Cong ban 1,5x1,5"/>
      <sheetName val="Cong ban 2x1,5"/>
      <sheetName val="Cong ban 2x2"/>
      <sheetName val="Tong hop"/>
      <sheetName val="Tong hop (2)"/>
      <sheetName val="Cong"/>
      <sheetName val="Cong cu"/>
      <sheetName val="Dinhhinh"/>
      <sheetName val="Cot thep"/>
      <sheetName val="Cong tron D75"/>
      <sheetName val="Cong tron D100"/>
      <sheetName val="Cong tron D150"/>
      <sheetName val="Cong tron 2D150"/>
      <sheetName val="Cong ban 1,0x1,0"/>
      <sheetName val="Cong ban 1,0x1,2"/>
      <sheetName val="Cong hop 1,5x1,5"/>
      <sheetName val="Cong hop 2,0x1,5"/>
      <sheetName val="Cong hop 2,0x2,0"/>
      <sheetName val="KM"/>
      <sheetName val="KHOANMUC"/>
      <sheetName val="QTNC"/>
      <sheetName val="CPQL"/>
      <sheetName val="SANLUONG"/>
      <sheetName val="SSCP-SL"/>
      <sheetName val="CPSX"/>
      <sheetName val="CDSL (2)"/>
      <sheetName val="tb1"/>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Trich Ngang"/>
      <sheetName val="Danh sach Rieng"/>
      <sheetName val="Dia Diem Thuc Tap"/>
      <sheetName val="De Tai Thuc Tap"/>
      <sheetName val="phan tich DG"/>
      <sheetName val="gia vat lieu"/>
      <sheetName val="gia xe may"/>
      <sheetName val="gia nhan cong"/>
      <sheetName val="XXXXXX_xda24_X"/>
      <sheetName val="HHVt "/>
      <sheetName val="F ThanhTri"/>
      <sheetName val="F Gialam"/>
      <sheetName val="DG"/>
      <sheetName val="TH dam"/>
      <sheetName val="SX dam"/>
      <sheetName val="LD dam"/>
      <sheetName val="Bang gia VL"/>
      <sheetName val="Gia NC"/>
      <sheetName val="Gia may"/>
      <sheetName val="socai2003-6tc"/>
      <sheetName val="SCT Cong trinh"/>
      <sheetName val="06-2003 (2)"/>
      <sheetName val="CDPS 6tc"/>
      <sheetName val="SCT Nha thau"/>
      <sheetName val="socai2003 (6tc)dp"/>
      <sheetName val="socai2003 (6tc)"/>
      <sheetName val="CDPS 6tc (2)"/>
      <sheetName val="20000000"/>
      <sheetName val="Thau"/>
      <sheetName val="CT-BT"/>
      <sheetName val="Xa"/>
      <sheetName val="Napheo-SPP"/>
      <sheetName val="VPLaichau"/>
      <sheetName val="VPTruongson"/>
      <sheetName val="D9"/>
      <sheetName val="TLNamChim"/>
      <sheetName val="Dancau-Q.Ninh"/>
      <sheetName val="D91"/>
      <sheetName val="Kenhta-himlam"/>
      <sheetName val="TCQ5-"/>
      <sheetName val="HDkhoanduoc"/>
      <sheetName val="TCQ1-4"/>
      <sheetName val="Khac"/>
      <sheetName val="BaTrieu-L.son"/>
      <sheetName val="SBayDBien"/>
      <sheetName val="QL32YB(12)"/>
      <sheetName val="QL32AYB"/>
      <sheetName val="THSonNam"/>
      <sheetName val="Coquan"/>
      <sheetName val="Quoclo6mchau"/>
      <sheetName val="QLo4B-LS"/>
      <sheetName val="Phanthiet"/>
      <sheetName val="Muongnhe"/>
      <sheetName val="TM01"/>
      <sheetName val="CDKTKT02"/>
      <sheetName val="KQKD02-2"/>
      <sheetName val="KQKD02-2 (2)"/>
      <sheetName val="CDKTKT03"/>
      <sheetName val="DC02"/>
      <sheetName val="CDPS02"/>
      <sheetName val="KQKDKT'02-1"/>
      <sheetName val="KQKDKT'03-1"/>
      <sheetName val="DC03"/>
      <sheetName val="CDKTKT04"/>
      <sheetName val="CCPS03"/>
      <sheetName val="CDPS04"/>
      <sheetName val="KQKDKT'04-1"/>
      <sheetName val="DC04"/>
      <sheetName val="TSCD"/>
      <sheetName val="DC2002"/>
      <sheetName val="CDKTKT2002"/>
      <sheetName val="KQKD-2"/>
      <sheetName val="KQKD-2 (2)"/>
      <sheetName val="DC2003"/>
      <sheetName val="CDPS03"/>
      <sheetName val="KQKD thu2004"/>
      <sheetName val="Tonghop"/>
      <sheetName val="Sheet7"/>
      <sheetName val="GVL"/>
      <sheetName val="giai thich"/>
      <sheetName val="Heso"/>
      <sheetName val="CTDG"/>
      <sheetName val="DT - Ro"/>
      <sheetName val="TH - Ro "/>
      <sheetName val="GDT - Ro"/>
      <sheetName val="DT - TB"/>
      <sheetName val="TH - TB"/>
      <sheetName val="GDT - TB"/>
      <sheetName val="DT - NT"/>
      <sheetName val="TH - NT"/>
      <sheetName val="GDT - NT"/>
      <sheetName val="THGT"/>
      <sheetName val="D1"/>
      <sheetName val="D2"/>
      <sheetName val="D3"/>
      <sheetName val="D4"/>
      <sheetName val="D5"/>
      <sheetName val="D6"/>
      <sheetName val="Tay ninh"/>
      <sheetName val="A.Duc"/>
      <sheetName val="TH"/>
      <sheetName val="TH2003"/>
      <sheetName val="TH du toan "/>
      <sheetName val="Du toan "/>
      <sheetName val="C.Tinh"/>
      <sheetName val="TK_cap"/>
      <sheetName val="Sheet10"/>
      <sheetName val="Co~g hop 1,5x1,5"/>
      <sheetName val="T03 - 03"/>
      <sheetName val="AncaT03"/>
      <sheetName val="THL T03"/>
      <sheetName val="TTBC T03"/>
      <sheetName val="Luong noi Bo - T3"/>
      <sheetName val="Tong hop - T3"/>
      <sheetName val="Thuong Quy 3"/>
      <sheetName val="LBS"/>
      <sheetName val="Phu cap trach nhiem"/>
      <sheetName val="tmt4"/>
      <sheetName val="t3-01"/>
      <sheetName val="t4-01"/>
      <sheetName val="t5-01"/>
      <sheetName val="t6-01"/>
      <sheetName val="t7-01"/>
      <sheetName val="t8-01"/>
      <sheetName val="t9-01"/>
      <sheetName val="t10-01"/>
      <sheetName val="t11-01"/>
      <sheetName val="t12-"/>
      <sheetName val="t3"/>
      <sheetName val="t4"/>
      <sheetName val="t5"/>
      <sheetName val="t06"/>
      <sheetName val="t07"/>
      <sheetName val="t08"/>
      <sheetName val="t09"/>
      <sheetName val="t11"/>
      <sheetName val="t12"/>
      <sheetName val="0103"/>
      <sheetName val="0203"/>
      <sheetName val="th-nop"/>
      <sheetName val=" KQTH quy hoach 135"/>
      <sheetName val="Bao cao KQTH quy hoach 135"/>
      <sheetName val="Don gia CPM"/>
      <sheetName val="Tong Thieu HD cac CT-2001"/>
      <sheetName val="VL thieu HD - 2001"/>
      <sheetName val="Tong thieu HD cac CT - 2002"/>
      <sheetName val="Lan trai"/>
      <sheetName val="Van chuyen"/>
      <sheetName val="Vchuyen(C)"/>
      <sheetName val="HDong VC"/>
      <sheetName val="ThieuHD nam 2001"/>
      <sheetName val="CPChung"/>
      <sheetName val="Bang TH"/>
      <sheetName val="Tong Chinh"/>
      <sheetName val="000000000000"/>
      <sheetName val="100000000000"/>
      <sheetName val="200000000000"/>
      <sheetName val="300000000000"/>
      <sheetName val="CT 03"/>
      <sheetName val="TH 03"/>
      <sheetName val="[IBASE2.XLSѝTNHNoi"/>
      <sheetName val="Ctieucnghe(12-03"/>
      <sheetName val="DmdbTVN"/>
      <sheetName val="Hsdancach"/>
      <sheetName val="TanLap"/>
      <sheetName val="CaoThang"/>
      <sheetName val="GiapKhau"/>
      <sheetName val="917"/>
      <sheetName val="CBTT"/>
      <sheetName val="TramKCS"/>
      <sheetName val="Tohop1(LD"/>
      <sheetName val="Tohop2(QL&amp;an"/>
      <sheetName val="ThunhapBQ"/>
      <sheetName val="QDgiao1"/>
      <sheetName val="So sanh"/>
      <sheetName val="NCxdcb"/>
      <sheetName val="BangTH"/>
      <sheetName val="Xaylap "/>
      <sheetName val="Nhan cong"/>
      <sheetName val="Thietbi"/>
      <sheetName val="Diengiai"/>
      <sheetName val="Vanchuyen"/>
      <sheetName val="CV di trong  dong"/>
      <sheetName val="Heso 3-2004 (3)"/>
      <sheetName val="Luong (2)"/>
      <sheetName val="heso T3"/>
      <sheetName val="heso T4"/>
      <sheetName val="heso T5"/>
      <sheetName val="Heso T6"/>
      <sheetName val="Heso T7"/>
      <sheetName val="Heso T8"/>
      <sheetName val="Heso T9"/>
      <sheetName val="Heso 2-2004"/>
      <sheetName val="Heso 3-2004"/>
      <sheetName val="chamcong"/>
      <sheetName val="Baocao"/>
      <sheetName val="Heso 3-2004 (2)"/>
      <sheetName val="Km282-Km_x0003__x0000_3"/>
      <sheetName val="cn"/>
      <sheetName val="ct"/>
      <sheetName val="Nc"/>
      <sheetName val="pt"/>
      <sheetName val="ql"/>
      <sheetName val="ql (2)"/>
      <sheetName val="4"/>
      <sheetName val="Sheet13"/>
      <sheetName val="Sheet14"/>
      <sheetName val="Sheet15"/>
      <sheetName val="Sheet16"/>
      <sheetName val="CamPha"/>
      <sheetName val="MongCai"/>
      <sheetName val="30000000"/>
      <sheetName val="40000000"/>
      <sheetName val="50000000"/>
      <sheetName val="60000000"/>
      <sheetName val="70000000"/>
      <sheetName val="Co quan TCT"/>
      <sheetName val="BOT"/>
      <sheetName val="BOT (PA chon)"/>
      <sheetName val="Yaly &amp; Ri Ninh"/>
      <sheetName val="Thuy dien Na Loi"/>
      <sheetName val="bang so sanh tong hop"/>
      <sheetName val="bang so sanh tong hop (ty le)"/>
      <sheetName val="thu nhap binh quan (2)"/>
      <sheetName val="dang huong"/>
      <sheetName val="phuong an 1"/>
      <sheetName val="phuong an 1 (2)"/>
      <sheetName val="phuong an2"/>
      <sheetName val="tong hop BQ"/>
      <sheetName val="Binhquan3"/>
      <sheetName val="tong hop BQ-1"/>
      <sheetName val="phuong an chon"/>
      <sheetName val="bang so sanh tong hop ( PA chon"/>
      <sheetName val="dang ap dung"/>
      <sheetName val="bang tong hop (dang huong)"/>
      <sheetName val="TH_BQ"/>
      <sheetName val="L-THANG03"/>
      <sheetName val="L-THANG04"/>
      <sheetName val="luongthuong"/>
      <sheetName val="tkcb-cnv"/>
      <sheetName val="KETQUAHOC"/>
      <sheetName val="KHACHSAN"/>
      <sheetName val="THANHTOAN"/>
      <sheetName val="BC-BANHANG"/>
      <sheetName val="DOANH SO"/>
      <sheetName val="BD-SINH VIEN"/>
      <sheetName val="luongsanpham"/>
      <sheetName val="TUYENSINH02"/>
      <sheetName val="cuocphi"/>
      <sheetName val="banhang"/>
      <sheetName val="bh-thang4"/>
      <sheetName val="BC TH CK (2)"/>
      <sheetName val="BC TH CK"/>
      <sheetName val="BC6tT19 food"/>
      <sheetName val="BC6tT19"/>
      <sheetName val="BC6tT18"/>
      <sheetName val="BC6tT18 - Food"/>
      <sheetName val="CTTH"/>
      <sheetName val="BC6tT17"/>
      <sheetName val="BCCK 4"/>
      <sheetName val="BCFood- T16"/>
      <sheetName val="BC6tT16"/>
      <sheetName val="BCFood- T15"/>
      <sheetName val="BC6tT15"/>
      <sheetName val="BCFood- T14"/>
      <sheetName val="BC6tT14"/>
      <sheetName val="BCFood- T13"/>
      <sheetName val="BC6tT13"/>
      <sheetName val="THCK3"/>
      <sheetName val="BC6tT12"/>
      <sheetName val="BC6tT11"/>
      <sheetName val="BC6tT10"/>
      <sheetName val="BC6tT9"/>
      <sheetName val="TH CK2"/>
      <sheetName val="BC6tT8"/>
      <sheetName val="BC6tT7"/>
      <sheetName val="BC6tT5"/>
      <sheetName val="BC6tT52 (3)"/>
      <sheetName val="BCTH"/>
      <sheetName val="BC6tT4"/>
      <sheetName val="BC6tT3"/>
      <sheetName val="BC6tT2"/>
      <sheetName val="BC6tT1"/>
      <sheetName val="BC6tT52 (2)"/>
      <sheetName val="BC6tT52"/>
      <sheetName val="BC6tT51"/>
      <sheetName val="BC6tT50"/>
      <sheetName val="BC6tT49"/>
      <sheetName val="TCK 12"/>
      <sheetName val="BC6tT48"/>
      <sheetName val="BC6tT47"/>
      <sheetName val="BC6tT46"/>
      <sheetName val="BC6tT45"/>
      <sheetName val="Tong CK"/>
      <sheetName val="BC6tT44"/>
      <sheetName val="BC6tT43"/>
      <sheetName val="BC6t"/>
      <sheetName val="T42"/>
      <sheetName val="T41"/>
      <sheetName val="T40"/>
      <sheetName val="HD1"/>
      <sheetName val="HD4"/>
      <sheetName val="HD3"/>
      <sheetName val="HD5"/>
      <sheetName val="HD7"/>
      <sheetName val="HD6"/>
      <sheetName val="HD2"/>
      <sheetName val="bcth 05-04"/>
      <sheetName val="baocao 05-04"/>
      <sheetName val="bcth04-04"/>
      <sheetName val="baocao04-04"/>
      <sheetName val="bcth03-04"/>
      <sheetName val="baocao03-04"/>
      <sheetName val="bcth02-04"/>
      <sheetName val="baocao02-04"/>
      <sheetName val="bcth01-04"/>
      <sheetName val="baocao01-04"/>
      <sheetName val="Thi_sinh"/>
      <sheetName val="Luong"/>
      <sheetName val="HethongDebai"/>
      <sheetName val="TH131"/>
      <sheetName val="TH155&amp;156"/>
      <sheetName val="TH152"/>
      <sheetName val="TH153"/>
      <sheetName val="TH331"/>
      <sheetName val="KhoDL"/>
      <sheetName val="THSPHH"/>
      <sheetName val="THVL"/>
      <sheetName val="DMTK"/>
      <sheetName val="DMKH"/>
      <sheetName val="DMNB"/>
      <sheetName val="DMNV"/>
      <sheetName val="Dinh_ha nha"/>
      <sheetName val="[IBASE2.XLS}BHXH"/>
      <sheetName val="20+590"/>
      <sheetName val="20+1218"/>
      <sheetName val="22+456"/>
      <sheetName val="23+200"/>
      <sheetName val="23+327"/>
      <sheetName val="23+468"/>
      <sheetName val="23+563"/>
      <sheetName val="24+520"/>
      <sheetName val="25"/>
      <sheetName val="Luu goc"/>
      <sheetName val="km22+93.86-km22+121.86"/>
      <sheetName val="km22+177.14-km22+205.64"/>
      <sheetName val="Bang 20-25"/>
      <sheetName val="km22+267.96-km22+283.96"/>
      <sheetName val="km22+304.31-km22+344.31"/>
      <sheetName val="km22+460.92-km22+614.57"/>
      <sheetName val="km22+671.78-km22+713.32"/>
      <sheetName val="DTCT"/>
      <sheetName val="PTVT"/>
      <sheetName val="THVT"/>
      <sheetName val="GIA NUOC"/>
      <sheetName val="GIA DIEN THOAI"/>
      <sheetName val="GIA DIEN"/>
      <sheetName val="chiet tinh XD"/>
      <sheetName val="Triet T"/>
      <sheetName val="Phan tich gia"/>
      <sheetName val="pHAN CONG"/>
      <sheetName val="GIA XD"/>
      <sheetName val="Cone"/>
      <sheetName val=".tuanM"/>
      <sheetName val="Sheed5"/>
      <sheetName val="T.K H.T.T5"/>
      <sheetName val="T.K T7"/>
      <sheetName val="TK T6"/>
      <sheetName val="T.K T5"/>
      <sheetName val="Bang thong ke hang ton"/>
      <sheetName val="thong ke "/>
      <sheetName val="T.KT04"/>
      <sheetName val="T8-9)"/>
      <sheetName val="Nhap lieu"/>
      <sheetName val="PGT"/>
      <sheetName val="Tien dien"/>
      <sheetName val="Thue GTGT"/>
      <sheetName val="KHVô XL"/>
      <sheetName val="Coc 6"/>
      <sheetName val="Deo nai"/>
      <sheetName val="CKD than"/>
      <sheetName val="CTT Thong nhat"/>
      <sheetName val="CTT Nui beo"/>
      <sheetName val="CTT cao son"/>
      <sheetName val="CTT Khe cham"/>
      <sheetName val="XNxlva sxthanKCII"/>
      <sheetName val="Cam Y ut KC"/>
      <sheetName val="CTxay lap mo CP"/>
      <sheetName val="CTdo luong GDSP"/>
      <sheetName val="Dong bac"/>
      <sheetName val="Cac cang UT mua than Dong bac"/>
      <sheetName val="cua hang vtu"/>
      <sheetName val="Khach hang le "/>
      <sheetName val="nhat ky 5"/>
      <sheetName val="cac cong ty van tai"/>
      <sheetName val="Bia1"/>
      <sheetName val="Bia"/>
      <sheetName val="THTBO"/>
      <sheetName val="XLAP"/>
      <sheetName val="th22"/>
      <sheetName val="CT22"/>
      <sheetName val="MuaVL_DZ"/>
      <sheetName val="LD&amp;TNTB"/>
      <sheetName val="TH_TBA"/>
      <sheetName val="MuaVL_bu"/>
      <sheetName val="MuaVL_TBA"/>
      <sheetName val="TBi"/>
      <sheetName val="XL_TN"/>
      <sheetName val="TN"/>
      <sheetName val="lietke_TBA"/>
      <sheetName val="lietke_DZ"/>
      <sheetName val="vc_Bocdo"/>
      <sheetName val="m3"/>
      <sheetName val="TK_TD"/>
      <sheetName val="Cap_dat"/>
      <sheetName val="TK _TK"/>
      <sheetName val="Cuoc89"/>
      <sheetName val="ChiTiet"/>
      <sheetName val="CongNo"/>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refreshError="1"/>
      <sheetData sheetId="296"/>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refreshError="1"/>
      <sheetData sheetId="354" refreshError="1"/>
      <sheetData sheetId="355" refreshError="1"/>
      <sheetData sheetId="356" refreshError="1"/>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refreshError="1"/>
      <sheetData sheetId="419" refreshError="1"/>
      <sheetData sheetId="420" refreshError="1"/>
      <sheetData sheetId="421" refreshError="1"/>
      <sheetData sheetId="422" refreshError="1"/>
      <sheetData sheetId="423" refreshError="1"/>
      <sheetData sheetId="424" refreshError="1"/>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refreshError="1"/>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sheetData sheetId="544" refreshError="1"/>
      <sheetData sheetId="545" refreshError="1"/>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sheetData sheetId="701"/>
      <sheetData sheetId="702"/>
      <sheetData sheetId="703"/>
      <sheetData sheetId="704"/>
      <sheetData sheetId="705"/>
      <sheetData sheetId="706"/>
      <sheetData sheetId="707"/>
      <sheetData sheetId="708"/>
      <sheetData sheetId="709"/>
      <sheetData sheetId="710"/>
      <sheetData sheetId="711" refreshError="1"/>
      <sheetData sheetId="712"/>
      <sheetData sheetId="713"/>
      <sheetData sheetId="714"/>
      <sheetData sheetId="715"/>
      <sheetData sheetId="716"/>
      <sheetData sheetId="717"/>
      <sheetData sheetId="718"/>
      <sheetData sheetId="719"/>
      <sheetData sheetId="720"/>
      <sheetData sheetId="721" refreshError="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enluong"/>
      <sheetName val="kinhphi"/>
      <sheetName val="ptvt"/>
      <sheetName val="sat"/>
      <sheetName val="clechvt"/>
      <sheetName val="dongia"/>
      <sheetName val="tonghop"/>
      <sheetName val="ctttc"/>
      <sheetName val="bia"/>
    </sheetNames>
    <sheetDataSet>
      <sheetData sheetId="0"/>
      <sheetData sheetId="1"/>
      <sheetData sheetId="2" refreshError="1">
        <row r="6">
          <cell r="A6">
            <v>1</v>
          </cell>
          <cell r="B6">
            <v>2</v>
          </cell>
          <cell r="C6">
            <v>3</v>
          </cell>
          <cell r="D6">
            <v>4</v>
          </cell>
          <cell r="E6">
            <v>5</v>
          </cell>
          <cell r="F6">
            <v>6</v>
          </cell>
          <cell r="G6">
            <v>7</v>
          </cell>
          <cell r="H6">
            <v>8</v>
          </cell>
          <cell r="I6">
            <v>9</v>
          </cell>
          <cell r="J6">
            <v>10</v>
          </cell>
          <cell r="K6">
            <v>11</v>
          </cell>
          <cell r="L6">
            <v>12</v>
          </cell>
          <cell r="M6">
            <v>13</v>
          </cell>
          <cell r="N6">
            <v>14</v>
          </cell>
          <cell r="O6">
            <v>15</v>
          </cell>
          <cell r="P6">
            <v>16</v>
          </cell>
          <cell r="Q6">
            <v>17</v>
          </cell>
          <cell r="R6">
            <v>18</v>
          </cell>
          <cell r="S6">
            <v>19</v>
          </cell>
          <cell r="T6">
            <v>20</v>
          </cell>
          <cell r="U6">
            <v>21</v>
          </cell>
          <cell r="V6">
            <v>22</v>
          </cell>
          <cell r="W6">
            <v>23</v>
          </cell>
          <cell r="X6">
            <v>24</v>
          </cell>
        </row>
        <row r="7">
          <cell r="B7" t="str">
            <v>I. NÃÖN MOÏNG :</v>
          </cell>
          <cell r="C7">
            <v>0</v>
          </cell>
          <cell r="D7">
            <v>0</v>
          </cell>
          <cell r="F7">
            <v>22169.059999999998</v>
          </cell>
          <cell r="G7">
            <v>22.68</v>
          </cell>
          <cell r="H7">
            <v>53.999999999999993</v>
          </cell>
          <cell r="I7">
            <v>10.17</v>
          </cell>
          <cell r="J7">
            <v>30.39</v>
          </cell>
          <cell r="K7">
            <v>110.8</v>
          </cell>
          <cell r="L7">
            <v>0</v>
          </cell>
          <cell r="M7">
            <v>8043.3</v>
          </cell>
          <cell r="N7">
            <v>5713</v>
          </cell>
          <cell r="O7">
            <v>0</v>
          </cell>
          <cell r="P7">
            <v>0</v>
          </cell>
          <cell r="Q7">
            <v>0</v>
          </cell>
          <cell r="R7">
            <v>0.67</v>
          </cell>
          <cell r="S7">
            <v>10.039999999999999</v>
          </cell>
          <cell r="T7">
            <v>0</v>
          </cell>
          <cell r="U7">
            <v>0</v>
          </cell>
          <cell r="V7">
            <v>0</v>
          </cell>
          <cell r="W7">
            <v>0</v>
          </cell>
          <cell r="X7">
            <v>1.45</v>
          </cell>
        </row>
        <row r="8">
          <cell r="A8" t="str">
            <v>221.110</v>
          </cell>
          <cell r="B8" t="str">
            <v>Bã täng loït moïng âaï 4x6 M50</v>
          </cell>
          <cell r="C8" t="str">
            <v>m3</v>
          </cell>
          <cell r="D8">
            <v>16.239999999999998</v>
          </cell>
          <cell r="E8">
            <v>16.649999999999999</v>
          </cell>
          <cell r="F8">
            <v>2573</v>
          </cell>
          <cell r="G8">
            <v>7.24</v>
          </cell>
          <cell r="J8">
            <v>12.44</v>
          </cell>
          <cell r="K8">
            <v>0</v>
          </cell>
          <cell r="L8">
            <v>0</v>
          </cell>
          <cell r="M8">
            <v>0</v>
          </cell>
          <cell r="N8">
            <v>0</v>
          </cell>
          <cell r="O8">
            <v>0</v>
          </cell>
          <cell r="P8">
            <v>0</v>
          </cell>
          <cell r="Q8">
            <v>0</v>
          </cell>
          <cell r="R8">
            <v>0</v>
          </cell>
          <cell r="S8">
            <v>0</v>
          </cell>
          <cell r="T8">
            <v>0</v>
          </cell>
          <cell r="U8">
            <v>0</v>
          </cell>
          <cell r="V8">
            <v>0</v>
          </cell>
          <cell r="W8">
            <v>0</v>
          </cell>
          <cell r="X8">
            <v>0</v>
          </cell>
        </row>
        <row r="9">
          <cell r="A9" t="str">
            <v>200.110</v>
          </cell>
          <cell r="B9" t="str">
            <v>Xáy âaï häüc væîa XM M75</v>
          </cell>
          <cell r="C9" t="str">
            <v>m3</v>
          </cell>
          <cell r="D9">
            <v>92.33</v>
          </cell>
          <cell r="E9">
            <v>38.78</v>
          </cell>
          <cell r="F9">
            <v>9987.7900000000009</v>
          </cell>
          <cell r="H9">
            <v>43.36</v>
          </cell>
          <cell r="K9">
            <v>110.8</v>
          </cell>
          <cell r="L9">
            <v>0</v>
          </cell>
          <cell r="M9">
            <v>0</v>
          </cell>
          <cell r="N9">
            <v>0</v>
          </cell>
          <cell r="O9">
            <v>0</v>
          </cell>
          <cell r="P9">
            <v>0</v>
          </cell>
          <cell r="Q9">
            <v>0</v>
          </cell>
          <cell r="R9">
            <v>0</v>
          </cell>
          <cell r="S9">
            <v>0</v>
          </cell>
          <cell r="T9">
            <v>0</v>
          </cell>
          <cell r="U9">
            <v>0</v>
          </cell>
          <cell r="V9">
            <v>0</v>
          </cell>
          <cell r="W9">
            <v>0</v>
          </cell>
          <cell r="X9">
            <v>0</v>
          </cell>
        </row>
        <row r="10">
          <cell r="A10" t="str">
            <v>204.410</v>
          </cell>
          <cell r="B10" t="str">
            <v xml:space="preserve">Xáy gaûch âàûc væîa XM M75 báûc cáúp , bäön hoa </v>
          </cell>
          <cell r="C10" t="str">
            <v>m2</v>
          </cell>
          <cell r="D10">
            <v>9.93</v>
          </cell>
          <cell r="E10">
            <v>2.98</v>
          </cell>
          <cell r="F10">
            <v>767.5</v>
          </cell>
          <cell r="H10">
            <v>3.33</v>
          </cell>
          <cell r="K10">
            <v>0</v>
          </cell>
          <cell r="L10">
            <v>0</v>
          </cell>
          <cell r="M10">
            <v>8043.3</v>
          </cell>
          <cell r="N10">
            <v>0</v>
          </cell>
          <cell r="O10">
            <v>0</v>
          </cell>
          <cell r="P10">
            <v>0</v>
          </cell>
          <cell r="Q10">
            <v>0</v>
          </cell>
          <cell r="R10">
            <v>0</v>
          </cell>
          <cell r="S10">
            <v>0</v>
          </cell>
          <cell r="T10">
            <v>0</v>
          </cell>
          <cell r="U10">
            <v>0</v>
          </cell>
          <cell r="V10">
            <v>0</v>
          </cell>
          <cell r="W10">
            <v>0</v>
          </cell>
          <cell r="X10">
            <v>0.03</v>
          </cell>
        </row>
        <row r="11">
          <cell r="A11" t="str">
            <v>224.110</v>
          </cell>
          <cell r="B11" t="str">
            <v>Bã täng giàòng moïng âaï 1x2 M200</v>
          </cell>
          <cell r="C11">
            <v>0</v>
          </cell>
          <cell r="D11">
            <v>8.52</v>
          </cell>
          <cell r="E11">
            <v>8.73</v>
          </cell>
          <cell r="F11">
            <v>2839</v>
          </cell>
          <cell r="G11">
            <v>3.6</v>
          </cell>
          <cell r="I11">
            <v>7.34</v>
          </cell>
          <cell r="K11">
            <v>0</v>
          </cell>
          <cell r="L11">
            <v>0</v>
          </cell>
          <cell r="M11">
            <v>0</v>
          </cell>
          <cell r="N11">
            <v>0</v>
          </cell>
          <cell r="O11">
            <v>0</v>
          </cell>
          <cell r="P11">
            <v>0</v>
          </cell>
          <cell r="Q11">
            <v>0</v>
          </cell>
          <cell r="R11">
            <v>0</v>
          </cell>
          <cell r="S11">
            <v>0</v>
          </cell>
          <cell r="T11">
            <v>0</v>
          </cell>
          <cell r="U11">
            <v>0</v>
          </cell>
          <cell r="V11">
            <v>0</v>
          </cell>
          <cell r="W11">
            <v>0</v>
          </cell>
          <cell r="X11">
            <v>0.98</v>
          </cell>
        </row>
        <row r="12">
          <cell r="A12" t="str">
            <v>222.410</v>
          </cell>
          <cell r="B12" t="str">
            <v xml:space="preserve">Bã täng moïng cäüt M200 âaï 1x2 </v>
          </cell>
          <cell r="C12" t="str">
            <v>m3</v>
          </cell>
          <cell r="D12">
            <v>3.2899999999999996</v>
          </cell>
          <cell r="E12">
            <v>3.37</v>
          </cell>
          <cell r="F12">
            <v>1095.92</v>
          </cell>
          <cell r="G12">
            <v>1.39</v>
          </cell>
          <cell r="I12">
            <v>2.83</v>
          </cell>
          <cell r="K12">
            <v>0</v>
          </cell>
          <cell r="L12">
            <v>0</v>
          </cell>
          <cell r="M12">
            <v>0</v>
          </cell>
          <cell r="N12">
            <v>0</v>
          </cell>
          <cell r="O12">
            <v>0</v>
          </cell>
          <cell r="P12">
            <v>0</v>
          </cell>
          <cell r="Q12">
            <v>0</v>
          </cell>
          <cell r="R12">
            <v>0</v>
          </cell>
          <cell r="S12">
            <v>0</v>
          </cell>
          <cell r="T12">
            <v>0</v>
          </cell>
          <cell r="U12">
            <v>0</v>
          </cell>
          <cell r="V12">
            <v>0</v>
          </cell>
          <cell r="W12">
            <v>0</v>
          </cell>
          <cell r="X12">
            <v>0.44</v>
          </cell>
        </row>
        <row r="13">
          <cell r="A13" t="str">
            <v>651.150</v>
          </cell>
          <cell r="B13" t="str">
            <v>Traït moïng tæåìng væîa XM M50 daìy 20</v>
          </cell>
          <cell r="C13" t="str">
            <v>m2</v>
          </cell>
          <cell r="D13">
            <v>25.27</v>
          </cell>
          <cell r="E13">
            <v>0.57999999999999996</v>
          </cell>
          <cell r="F13">
            <v>105.44</v>
          </cell>
          <cell r="H13">
            <v>0.69</v>
          </cell>
          <cell r="K13">
            <v>0</v>
          </cell>
          <cell r="L13">
            <v>0</v>
          </cell>
          <cell r="M13">
            <v>0</v>
          </cell>
          <cell r="N13">
            <v>0</v>
          </cell>
          <cell r="O13">
            <v>0</v>
          </cell>
          <cell r="P13">
            <v>0</v>
          </cell>
          <cell r="Q13">
            <v>0</v>
          </cell>
          <cell r="R13">
            <v>0</v>
          </cell>
          <cell r="S13">
            <v>0</v>
          </cell>
          <cell r="T13">
            <v>0</v>
          </cell>
          <cell r="U13">
            <v>0</v>
          </cell>
          <cell r="V13">
            <v>0</v>
          </cell>
          <cell r="W13">
            <v>0</v>
          </cell>
          <cell r="X13">
            <v>0</v>
          </cell>
        </row>
        <row r="14">
          <cell r="A14" t="str">
            <v>651.310</v>
          </cell>
          <cell r="B14" t="str">
            <v xml:space="preserve">Traït báûc cáúp væîa XM M75 daìy 20 âaïnh maìu </v>
          </cell>
          <cell r="C14" t="str">
            <v>m2</v>
          </cell>
          <cell r="D14">
            <v>38.61</v>
          </cell>
          <cell r="E14">
            <v>0.69</v>
          </cell>
          <cell r="F14">
            <v>177.71</v>
          </cell>
          <cell r="H14">
            <v>0.77</v>
          </cell>
          <cell r="K14">
            <v>0</v>
          </cell>
          <cell r="L14">
            <v>0</v>
          </cell>
          <cell r="M14">
            <v>0</v>
          </cell>
          <cell r="N14">
            <v>0</v>
          </cell>
          <cell r="O14">
            <v>0</v>
          </cell>
          <cell r="P14">
            <v>0</v>
          </cell>
          <cell r="Q14">
            <v>0</v>
          </cell>
          <cell r="R14">
            <v>0</v>
          </cell>
          <cell r="S14">
            <v>0</v>
          </cell>
          <cell r="T14">
            <v>0</v>
          </cell>
          <cell r="U14">
            <v>0</v>
          </cell>
          <cell r="V14">
            <v>0</v>
          </cell>
          <cell r="W14">
            <v>0</v>
          </cell>
          <cell r="X14">
            <v>0</v>
          </cell>
        </row>
        <row r="15">
          <cell r="A15" t="str">
            <v>651.130</v>
          </cell>
          <cell r="B15" t="str">
            <v>Traït bäön hoa væîa XM M75 daìy 15</v>
          </cell>
          <cell r="C15" t="str">
            <v>m2</v>
          </cell>
          <cell r="D15">
            <v>8.1999999999999993</v>
          </cell>
          <cell r="E15">
            <v>0.14000000000000001</v>
          </cell>
          <cell r="F15">
            <v>36.06</v>
          </cell>
          <cell r="H15">
            <v>0.16</v>
          </cell>
          <cell r="K15">
            <v>0</v>
          </cell>
          <cell r="L15">
            <v>0</v>
          </cell>
          <cell r="M15">
            <v>0</v>
          </cell>
          <cell r="N15">
            <v>0</v>
          </cell>
          <cell r="O15">
            <v>0</v>
          </cell>
          <cell r="P15">
            <v>0</v>
          </cell>
          <cell r="Q15">
            <v>0</v>
          </cell>
          <cell r="R15">
            <v>0</v>
          </cell>
          <cell r="S15">
            <v>0</v>
          </cell>
          <cell r="T15">
            <v>0</v>
          </cell>
          <cell r="U15">
            <v>0</v>
          </cell>
          <cell r="V15">
            <v>0</v>
          </cell>
          <cell r="W15">
            <v>0</v>
          </cell>
          <cell r="X15">
            <v>0</v>
          </cell>
        </row>
        <row r="16">
          <cell r="A16" t="str">
            <v>701.110</v>
          </cell>
          <cell r="B16" t="str">
            <v xml:space="preserve">Queït väi moïng tæåìng , bäön hoa 1 tràõng , 2 maìu </v>
          </cell>
          <cell r="C16" t="str">
            <v>m2</v>
          </cell>
          <cell r="D16">
            <v>33.47</v>
          </cell>
          <cell r="E16">
            <v>0</v>
          </cell>
          <cell r="K16">
            <v>0</v>
          </cell>
          <cell r="L16">
            <v>0</v>
          </cell>
          <cell r="M16">
            <v>0</v>
          </cell>
          <cell r="N16">
            <v>0</v>
          </cell>
          <cell r="O16">
            <v>0</v>
          </cell>
          <cell r="P16">
            <v>0</v>
          </cell>
          <cell r="Q16">
            <v>0</v>
          </cell>
          <cell r="R16">
            <v>0.67</v>
          </cell>
          <cell r="S16">
            <v>10.039999999999999</v>
          </cell>
          <cell r="T16">
            <v>0</v>
          </cell>
          <cell r="U16">
            <v>0</v>
          </cell>
          <cell r="V16">
            <v>0</v>
          </cell>
          <cell r="W16">
            <v>0</v>
          </cell>
          <cell r="X16">
            <v>0</v>
          </cell>
        </row>
        <row r="17">
          <cell r="A17" t="str">
            <v>221.110</v>
          </cell>
          <cell r="B17" t="str">
            <v xml:space="preserve">Bã täng âaï 4x6 M50 nãön nhaì </v>
          </cell>
          <cell r="C17" t="str">
            <v>m3</v>
          </cell>
          <cell r="D17">
            <v>23.44</v>
          </cell>
          <cell r="E17">
            <v>24.03</v>
          </cell>
          <cell r="F17">
            <v>3714</v>
          </cell>
          <cell r="G17">
            <v>10.45</v>
          </cell>
          <cell r="J17">
            <v>17.95</v>
          </cell>
          <cell r="K17">
            <v>0</v>
          </cell>
          <cell r="L17">
            <v>0</v>
          </cell>
          <cell r="M17">
            <v>0</v>
          </cell>
          <cell r="N17">
            <v>0</v>
          </cell>
          <cell r="O17">
            <v>0</v>
          </cell>
          <cell r="P17">
            <v>0</v>
          </cell>
          <cell r="Q17">
            <v>0</v>
          </cell>
          <cell r="R17">
            <v>0</v>
          </cell>
          <cell r="S17">
            <v>0</v>
          </cell>
          <cell r="T17">
            <v>0</v>
          </cell>
          <cell r="U17">
            <v>0</v>
          </cell>
          <cell r="V17">
            <v>0</v>
          </cell>
          <cell r="W17">
            <v>0</v>
          </cell>
          <cell r="X17">
            <v>0</v>
          </cell>
        </row>
        <row r="18">
          <cell r="A18" t="str">
            <v>684.130</v>
          </cell>
          <cell r="B18" t="str">
            <v>Laït gaûch hoa XM væîa XM M50</v>
          </cell>
          <cell r="C18" t="str">
            <v>m2</v>
          </cell>
          <cell r="D18">
            <v>228.52</v>
          </cell>
          <cell r="E18">
            <v>4.8</v>
          </cell>
          <cell r="F18">
            <v>872.64</v>
          </cell>
          <cell r="H18">
            <v>5.69</v>
          </cell>
          <cell r="K18">
            <v>0</v>
          </cell>
          <cell r="L18">
            <v>0</v>
          </cell>
          <cell r="M18">
            <v>0</v>
          </cell>
          <cell r="N18">
            <v>5713</v>
          </cell>
          <cell r="O18">
            <v>0</v>
          </cell>
          <cell r="P18">
            <v>0</v>
          </cell>
          <cell r="Q18">
            <v>0</v>
          </cell>
          <cell r="R18">
            <v>0</v>
          </cell>
          <cell r="S18">
            <v>0</v>
          </cell>
          <cell r="T18">
            <v>0</v>
          </cell>
          <cell r="U18">
            <v>0</v>
          </cell>
          <cell r="V18">
            <v>0</v>
          </cell>
          <cell r="W18">
            <v>0</v>
          </cell>
          <cell r="X18">
            <v>0</v>
          </cell>
        </row>
        <row r="20">
          <cell r="A20">
            <v>0</v>
          </cell>
          <cell r="B20" t="str">
            <v>II. THÁN NHAÌ :</v>
          </cell>
          <cell r="C20">
            <v>0</v>
          </cell>
          <cell r="D20">
            <v>0</v>
          </cell>
          <cell r="F20">
            <v>10941.180000000002</v>
          </cell>
          <cell r="G20">
            <v>4.0500000000000007</v>
          </cell>
          <cell r="H20">
            <v>48.71</v>
          </cell>
          <cell r="I20">
            <v>8.26</v>
          </cell>
          <cell r="J20">
            <v>0</v>
          </cell>
          <cell r="K20">
            <v>0</v>
          </cell>
          <cell r="L20">
            <v>43421.97</v>
          </cell>
          <cell r="M20">
            <v>680.34</v>
          </cell>
          <cell r="N20">
            <v>0</v>
          </cell>
          <cell r="O20">
            <v>0</v>
          </cell>
          <cell r="P20">
            <v>0</v>
          </cell>
          <cell r="Q20">
            <v>0</v>
          </cell>
          <cell r="R20">
            <v>27.17</v>
          </cell>
          <cell r="S20">
            <v>426.23</v>
          </cell>
          <cell r="T20">
            <v>34.340000000000003</v>
          </cell>
          <cell r="U20">
            <v>0</v>
          </cell>
          <cell r="V20">
            <v>0</v>
          </cell>
          <cell r="W20">
            <v>0</v>
          </cell>
          <cell r="X20">
            <v>1.21</v>
          </cell>
        </row>
        <row r="21">
          <cell r="A21" t="str">
            <v>205.130</v>
          </cell>
          <cell r="B21" t="str">
            <v>Xáy tæåìng 220 gaûch äúng væîa XM M50 cao &lt;= 4m</v>
          </cell>
          <cell r="C21" t="str">
            <v>m3</v>
          </cell>
          <cell r="D21">
            <v>48.07</v>
          </cell>
          <cell r="E21">
            <v>7.93</v>
          </cell>
          <cell r="F21">
            <v>1441.67</v>
          </cell>
          <cell r="H21">
            <v>9.4</v>
          </cell>
          <cell r="K21">
            <v>0</v>
          </cell>
          <cell r="L21">
            <v>21631.5</v>
          </cell>
          <cell r="M21">
            <v>0</v>
          </cell>
          <cell r="N21">
            <v>0</v>
          </cell>
          <cell r="O21">
            <v>0</v>
          </cell>
          <cell r="P21">
            <v>0</v>
          </cell>
          <cell r="Q21">
            <v>0</v>
          </cell>
          <cell r="R21">
            <v>0</v>
          </cell>
          <cell r="S21">
            <v>0</v>
          </cell>
          <cell r="T21">
            <v>0</v>
          </cell>
          <cell r="U21">
            <v>0</v>
          </cell>
          <cell r="V21">
            <v>0</v>
          </cell>
          <cell r="W21">
            <v>0</v>
          </cell>
          <cell r="X21">
            <v>0.14000000000000001</v>
          </cell>
        </row>
        <row r="22">
          <cell r="A22" t="str">
            <v>205.140</v>
          </cell>
          <cell r="B22" t="str">
            <v xml:space="preserve">Xáy tæåìng 220 gaûch äúng væîa XM M50 cao &gt; 4m : </v>
          </cell>
          <cell r="C22" t="str">
            <v>m3</v>
          </cell>
          <cell r="D22">
            <v>1.22</v>
          </cell>
          <cell r="E22">
            <v>0.2</v>
          </cell>
          <cell r="F22">
            <v>36.36</v>
          </cell>
          <cell r="H22">
            <v>0.24</v>
          </cell>
          <cell r="K22">
            <v>0</v>
          </cell>
          <cell r="L22">
            <v>549</v>
          </cell>
          <cell r="M22">
            <v>0</v>
          </cell>
          <cell r="N22">
            <v>0</v>
          </cell>
          <cell r="O22">
            <v>0</v>
          </cell>
          <cell r="P22">
            <v>0</v>
          </cell>
          <cell r="Q22">
            <v>0</v>
          </cell>
          <cell r="R22">
            <v>0</v>
          </cell>
          <cell r="S22">
            <v>0</v>
          </cell>
          <cell r="T22">
            <v>0</v>
          </cell>
          <cell r="U22">
            <v>0</v>
          </cell>
          <cell r="V22">
            <v>0</v>
          </cell>
          <cell r="W22">
            <v>0</v>
          </cell>
          <cell r="X22">
            <v>0.01</v>
          </cell>
        </row>
        <row r="23">
          <cell r="A23" t="str">
            <v>205.110</v>
          </cell>
          <cell r="B23" t="str">
            <v>Xáy tæåìng 110 gaûch äúng væîa XM M50 cao &lt;= 4m</v>
          </cell>
          <cell r="C23" t="str">
            <v>m3</v>
          </cell>
          <cell r="D23">
            <v>41.357100000000003</v>
          </cell>
          <cell r="E23">
            <v>6.2</v>
          </cell>
          <cell r="F23">
            <v>1127.1600000000001</v>
          </cell>
          <cell r="H23">
            <v>7.35</v>
          </cell>
          <cell r="K23">
            <v>0</v>
          </cell>
          <cell r="L23">
            <v>19024.27</v>
          </cell>
          <cell r="M23">
            <v>0</v>
          </cell>
          <cell r="N23">
            <v>0</v>
          </cell>
          <cell r="O23">
            <v>0</v>
          </cell>
          <cell r="P23">
            <v>0</v>
          </cell>
          <cell r="Q23">
            <v>0</v>
          </cell>
          <cell r="R23">
            <v>0</v>
          </cell>
          <cell r="S23">
            <v>0</v>
          </cell>
          <cell r="T23">
            <v>0</v>
          </cell>
          <cell r="U23">
            <v>0</v>
          </cell>
          <cell r="V23">
            <v>0</v>
          </cell>
          <cell r="W23">
            <v>0</v>
          </cell>
          <cell r="X23">
            <v>0.12</v>
          </cell>
        </row>
        <row r="24">
          <cell r="A24" t="str">
            <v>205.120</v>
          </cell>
          <cell r="B24" t="str">
            <v>Xáy tæåìng 110 gaûch äúng væîa XM M50 cao &gt; 4m</v>
          </cell>
          <cell r="C24" t="str">
            <v>m3</v>
          </cell>
          <cell r="D24">
            <v>4.82</v>
          </cell>
          <cell r="E24">
            <v>0.72</v>
          </cell>
          <cell r="F24">
            <v>130.9</v>
          </cell>
          <cell r="H24">
            <v>0.85</v>
          </cell>
          <cell r="K24">
            <v>0</v>
          </cell>
          <cell r="L24">
            <v>2217.1999999999998</v>
          </cell>
          <cell r="M24">
            <v>0</v>
          </cell>
          <cell r="N24">
            <v>0</v>
          </cell>
          <cell r="O24">
            <v>0</v>
          </cell>
          <cell r="P24">
            <v>0</v>
          </cell>
          <cell r="Q24">
            <v>0</v>
          </cell>
          <cell r="R24">
            <v>0</v>
          </cell>
          <cell r="S24">
            <v>0</v>
          </cell>
          <cell r="T24">
            <v>0</v>
          </cell>
          <cell r="U24">
            <v>0</v>
          </cell>
          <cell r="V24">
            <v>0</v>
          </cell>
          <cell r="W24">
            <v>0</v>
          </cell>
          <cell r="X24">
            <v>0.05</v>
          </cell>
        </row>
        <row r="25">
          <cell r="A25" t="str">
            <v>651.130</v>
          </cell>
          <cell r="B25" t="str">
            <v>Traït tæåìng gaûch äúng cao &lt;= 4m væîa XM M50 daìy 15</v>
          </cell>
          <cell r="C25" t="str">
            <v>m2</v>
          </cell>
          <cell r="D25">
            <v>1226.18</v>
          </cell>
          <cell r="E25">
            <v>20.85</v>
          </cell>
          <cell r="F25">
            <v>3790.53</v>
          </cell>
          <cell r="H25">
            <v>24.71</v>
          </cell>
          <cell r="K25">
            <v>0</v>
          </cell>
          <cell r="L25">
            <v>0</v>
          </cell>
          <cell r="M25">
            <v>0</v>
          </cell>
          <cell r="N25">
            <v>0</v>
          </cell>
          <cell r="O25">
            <v>0</v>
          </cell>
          <cell r="P25">
            <v>0</v>
          </cell>
          <cell r="Q25">
            <v>0</v>
          </cell>
          <cell r="R25">
            <v>0</v>
          </cell>
          <cell r="S25">
            <v>0</v>
          </cell>
          <cell r="T25">
            <v>0</v>
          </cell>
          <cell r="U25">
            <v>0</v>
          </cell>
          <cell r="V25">
            <v>0</v>
          </cell>
          <cell r="W25">
            <v>0</v>
          </cell>
          <cell r="X25">
            <v>0</v>
          </cell>
        </row>
        <row r="26">
          <cell r="A26" t="str">
            <v>651.140</v>
          </cell>
          <cell r="B26" t="str">
            <v>Traït tæåìng gaûch äúng cao &gt; 4m væîa XM M50 daìy 15</v>
          </cell>
          <cell r="C26" t="str">
            <v>m2</v>
          </cell>
          <cell r="D26">
            <v>98.64</v>
          </cell>
          <cell r="E26">
            <v>1.68</v>
          </cell>
          <cell r="F26">
            <v>305.42</v>
          </cell>
          <cell r="H26">
            <v>1.99</v>
          </cell>
          <cell r="K26">
            <v>0</v>
          </cell>
          <cell r="L26">
            <v>0</v>
          </cell>
          <cell r="M26">
            <v>0</v>
          </cell>
          <cell r="N26">
            <v>0</v>
          </cell>
          <cell r="O26">
            <v>0</v>
          </cell>
          <cell r="P26">
            <v>0</v>
          </cell>
          <cell r="Q26">
            <v>0</v>
          </cell>
          <cell r="R26">
            <v>0</v>
          </cell>
          <cell r="S26">
            <v>0</v>
          </cell>
          <cell r="T26">
            <v>0</v>
          </cell>
          <cell r="U26">
            <v>0</v>
          </cell>
          <cell r="V26">
            <v>0</v>
          </cell>
          <cell r="W26">
            <v>0</v>
          </cell>
          <cell r="X26">
            <v>0</v>
          </cell>
        </row>
        <row r="27">
          <cell r="A27" t="str">
            <v>204.310</v>
          </cell>
          <cell r="B27" t="str">
            <v xml:space="preserve">Xáy äÚp truû væîa XM M75 gaûch âàûc </v>
          </cell>
          <cell r="C27" t="str">
            <v>m3</v>
          </cell>
          <cell r="D27">
            <v>0.87</v>
          </cell>
          <cell r="E27">
            <v>0.27</v>
          </cell>
          <cell r="F27">
            <v>69.540000000000006</v>
          </cell>
          <cell r="H27">
            <v>0.3</v>
          </cell>
          <cell r="K27">
            <v>0</v>
          </cell>
          <cell r="L27">
            <v>0</v>
          </cell>
          <cell r="M27">
            <v>680.34</v>
          </cell>
          <cell r="N27">
            <v>0</v>
          </cell>
          <cell r="O27">
            <v>0</v>
          </cell>
          <cell r="P27">
            <v>0</v>
          </cell>
          <cell r="Q27">
            <v>0</v>
          </cell>
          <cell r="R27">
            <v>0</v>
          </cell>
          <cell r="S27">
            <v>0</v>
          </cell>
          <cell r="T27">
            <v>0</v>
          </cell>
          <cell r="U27">
            <v>0</v>
          </cell>
          <cell r="V27">
            <v>0</v>
          </cell>
          <cell r="W27">
            <v>0</v>
          </cell>
          <cell r="X27">
            <v>0</v>
          </cell>
        </row>
        <row r="28">
          <cell r="A28" t="str">
            <v>651.220</v>
          </cell>
          <cell r="B28" t="str">
            <v>Traït truû væîa XM M75 daìy 15</v>
          </cell>
          <cell r="C28" t="str">
            <v>m2</v>
          </cell>
          <cell r="D28">
            <v>7.92</v>
          </cell>
          <cell r="E28">
            <v>0.14000000000000001</v>
          </cell>
          <cell r="F28">
            <v>36.06</v>
          </cell>
          <cell r="H28">
            <v>0.16</v>
          </cell>
          <cell r="K28">
            <v>0</v>
          </cell>
          <cell r="L28">
            <v>0</v>
          </cell>
          <cell r="M28">
            <v>0</v>
          </cell>
          <cell r="N28">
            <v>0</v>
          </cell>
          <cell r="O28">
            <v>0</v>
          </cell>
          <cell r="P28">
            <v>0</v>
          </cell>
          <cell r="Q28">
            <v>0</v>
          </cell>
          <cell r="R28">
            <v>0</v>
          </cell>
          <cell r="S28">
            <v>0</v>
          </cell>
          <cell r="T28">
            <v>0</v>
          </cell>
          <cell r="U28">
            <v>0</v>
          </cell>
          <cell r="V28">
            <v>0</v>
          </cell>
          <cell r="W28">
            <v>0</v>
          </cell>
          <cell r="X28">
            <v>0</v>
          </cell>
        </row>
        <row r="29">
          <cell r="A29" t="str">
            <v>651.220</v>
          </cell>
          <cell r="B29" t="str">
            <v>Traït chaình cæía væîa XM M75 daìy 20</v>
          </cell>
          <cell r="C29" t="str">
            <v>m2</v>
          </cell>
          <cell r="D29">
            <v>54.48</v>
          </cell>
          <cell r="E29">
            <v>0.98</v>
          </cell>
          <cell r="F29">
            <v>252.4</v>
          </cell>
          <cell r="H29">
            <v>1.1000000000000001</v>
          </cell>
          <cell r="K29">
            <v>0</v>
          </cell>
          <cell r="L29">
            <v>0</v>
          </cell>
          <cell r="M29">
            <v>0</v>
          </cell>
          <cell r="N29">
            <v>0</v>
          </cell>
          <cell r="O29">
            <v>0</v>
          </cell>
          <cell r="P29">
            <v>0</v>
          </cell>
          <cell r="Q29">
            <v>0</v>
          </cell>
          <cell r="R29">
            <v>0</v>
          </cell>
          <cell r="S29">
            <v>0</v>
          </cell>
          <cell r="T29">
            <v>0</v>
          </cell>
          <cell r="U29">
            <v>0</v>
          </cell>
          <cell r="V29">
            <v>0</v>
          </cell>
          <cell r="W29">
            <v>0</v>
          </cell>
          <cell r="X29">
            <v>0</v>
          </cell>
        </row>
        <row r="30">
          <cell r="A30" t="str">
            <v>222.410</v>
          </cell>
          <cell r="B30" t="str">
            <v xml:space="preserve">Bã täng truû M200 âaï 1x2 </v>
          </cell>
          <cell r="C30" t="str">
            <v>m3</v>
          </cell>
          <cell r="D30">
            <v>1.1200000000000001</v>
          </cell>
          <cell r="E30">
            <v>1.1499999999999999</v>
          </cell>
          <cell r="F30">
            <v>373.98</v>
          </cell>
          <cell r="G30">
            <v>0.47</v>
          </cell>
          <cell r="I30">
            <v>0.97</v>
          </cell>
          <cell r="K30">
            <v>0</v>
          </cell>
          <cell r="L30">
            <v>0</v>
          </cell>
          <cell r="M30">
            <v>0</v>
          </cell>
          <cell r="N30">
            <v>0</v>
          </cell>
          <cell r="O30">
            <v>0</v>
          </cell>
          <cell r="P30">
            <v>0</v>
          </cell>
          <cell r="Q30">
            <v>0</v>
          </cell>
          <cell r="R30">
            <v>0</v>
          </cell>
          <cell r="S30">
            <v>0</v>
          </cell>
          <cell r="T30">
            <v>0</v>
          </cell>
          <cell r="U30">
            <v>0</v>
          </cell>
          <cell r="V30">
            <v>0</v>
          </cell>
          <cell r="W30">
            <v>0</v>
          </cell>
          <cell r="X30">
            <v>0.15</v>
          </cell>
        </row>
        <row r="31">
          <cell r="A31" t="str">
            <v>300.510</v>
          </cell>
          <cell r="B31" t="str">
            <v xml:space="preserve">Bã täng lanh tä M200 âaï 1x2 </v>
          </cell>
          <cell r="C31" t="str">
            <v>m3</v>
          </cell>
          <cell r="D31">
            <v>2.0500000000000003</v>
          </cell>
          <cell r="E31">
            <v>2.08</v>
          </cell>
          <cell r="F31">
            <v>676.42</v>
          </cell>
          <cell r="G31">
            <v>0.86</v>
          </cell>
          <cell r="I31">
            <v>1.75</v>
          </cell>
          <cell r="K31">
            <v>0</v>
          </cell>
          <cell r="L31">
            <v>0</v>
          </cell>
          <cell r="M31">
            <v>0</v>
          </cell>
          <cell r="N31">
            <v>0</v>
          </cell>
          <cell r="O31">
            <v>0</v>
          </cell>
          <cell r="P31">
            <v>0</v>
          </cell>
          <cell r="Q31">
            <v>0</v>
          </cell>
          <cell r="R31">
            <v>0</v>
          </cell>
          <cell r="S31">
            <v>0</v>
          </cell>
          <cell r="T31">
            <v>0</v>
          </cell>
          <cell r="U31">
            <v>0</v>
          </cell>
          <cell r="V31">
            <v>0</v>
          </cell>
          <cell r="W31">
            <v>0</v>
          </cell>
          <cell r="X31">
            <v>0.03</v>
          </cell>
        </row>
        <row r="32">
          <cell r="A32" t="str">
            <v>300.510</v>
          </cell>
          <cell r="B32" t="str">
            <v xml:space="preserve">Bã täng ä vàng M200 âaï 1x2 </v>
          </cell>
          <cell r="C32" t="str">
            <v>m3</v>
          </cell>
          <cell r="D32">
            <v>0.28000000000000003</v>
          </cell>
          <cell r="E32">
            <v>0.28000000000000003</v>
          </cell>
          <cell r="F32">
            <v>91.06</v>
          </cell>
          <cell r="G32">
            <v>0.12</v>
          </cell>
          <cell r="I32">
            <v>0.24</v>
          </cell>
          <cell r="K32">
            <v>0</v>
          </cell>
          <cell r="L32">
            <v>0</v>
          </cell>
          <cell r="M32">
            <v>0</v>
          </cell>
          <cell r="N32">
            <v>0</v>
          </cell>
          <cell r="O32">
            <v>0</v>
          </cell>
          <cell r="P32">
            <v>0</v>
          </cell>
          <cell r="Q32">
            <v>0</v>
          </cell>
          <cell r="R32">
            <v>0</v>
          </cell>
          <cell r="S32">
            <v>0</v>
          </cell>
          <cell r="T32">
            <v>0</v>
          </cell>
          <cell r="U32">
            <v>0</v>
          </cell>
          <cell r="V32">
            <v>0</v>
          </cell>
          <cell r="W32">
            <v>0</v>
          </cell>
          <cell r="X32">
            <v>0</v>
          </cell>
        </row>
        <row r="33">
          <cell r="A33" t="str">
            <v>651.320</v>
          </cell>
          <cell r="B33" t="str">
            <v>Traït ä vàng væîa XM M50 daìy 15</v>
          </cell>
          <cell r="C33" t="str">
            <v>m2</v>
          </cell>
          <cell r="D33">
            <v>4.62</v>
          </cell>
          <cell r="E33">
            <v>0.08</v>
          </cell>
          <cell r="F33">
            <v>14.54</v>
          </cell>
          <cell r="H33">
            <v>0.09</v>
          </cell>
          <cell r="K33">
            <v>0</v>
          </cell>
          <cell r="L33">
            <v>0</v>
          </cell>
          <cell r="M33">
            <v>0</v>
          </cell>
          <cell r="N33">
            <v>0</v>
          </cell>
          <cell r="O33">
            <v>0</v>
          </cell>
          <cell r="P33">
            <v>0</v>
          </cell>
          <cell r="Q33">
            <v>0</v>
          </cell>
          <cell r="R33">
            <v>0</v>
          </cell>
          <cell r="S33">
            <v>0</v>
          </cell>
          <cell r="T33">
            <v>0</v>
          </cell>
          <cell r="U33">
            <v>0</v>
          </cell>
          <cell r="V33">
            <v>0</v>
          </cell>
          <cell r="W33">
            <v>0</v>
          </cell>
          <cell r="X33">
            <v>0</v>
          </cell>
        </row>
        <row r="34">
          <cell r="A34" t="str">
            <v>672.110</v>
          </cell>
          <cell r="B34" t="str">
            <v>Laïng ä vàng væîa XM M75 daìy 20</v>
          </cell>
          <cell r="C34" t="str">
            <v>m2</v>
          </cell>
          <cell r="D34">
            <v>4.62</v>
          </cell>
          <cell r="E34">
            <v>0.06</v>
          </cell>
          <cell r="F34">
            <v>15.45</v>
          </cell>
          <cell r="H34">
            <v>7.0000000000000007E-2</v>
          </cell>
          <cell r="K34">
            <v>0</v>
          </cell>
          <cell r="L34">
            <v>0</v>
          </cell>
          <cell r="M34">
            <v>0</v>
          </cell>
          <cell r="N34">
            <v>0</v>
          </cell>
          <cell r="O34">
            <v>0</v>
          </cell>
          <cell r="P34">
            <v>0</v>
          </cell>
          <cell r="Q34">
            <v>0</v>
          </cell>
          <cell r="R34">
            <v>0</v>
          </cell>
          <cell r="S34">
            <v>0</v>
          </cell>
          <cell r="T34">
            <v>0</v>
          </cell>
          <cell r="U34">
            <v>0</v>
          </cell>
          <cell r="V34">
            <v>0</v>
          </cell>
          <cell r="W34">
            <v>0</v>
          </cell>
          <cell r="X34">
            <v>0</v>
          </cell>
        </row>
        <row r="35">
          <cell r="A35" t="str">
            <v>651.420</v>
          </cell>
          <cell r="B35" t="str">
            <v>Traït chè næåïc ä vàng væîa XM M75</v>
          </cell>
          <cell r="C35" t="str">
            <v>md</v>
          </cell>
          <cell r="D35">
            <v>16.100000000000001</v>
          </cell>
          <cell r="E35">
            <v>7.0000000000000007E-2</v>
          </cell>
          <cell r="F35">
            <v>18.03</v>
          </cell>
          <cell r="H35">
            <v>0.08</v>
          </cell>
          <cell r="K35">
            <v>0</v>
          </cell>
          <cell r="L35">
            <v>0</v>
          </cell>
          <cell r="M35">
            <v>0</v>
          </cell>
          <cell r="N35">
            <v>0</v>
          </cell>
          <cell r="O35">
            <v>0</v>
          </cell>
          <cell r="P35">
            <v>0</v>
          </cell>
          <cell r="Q35">
            <v>0</v>
          </cell>
          <cell r="R35">
            <v>0</v>
          </cell>
          <cell r="S35">
            <v>0</v>
          </cell>
          <cell r="T35">
            <v>0</v>
          </cell>
          <cell r="U35">
            <v>0</v>
          </cell>
          <cell r="V35">
            <v>0</v>
          </cell>
          <cell r="W35">
            <v>0</v>
          </cell>
          <cell r="X35">
            <v>0</v>
          </cell>
        </row>
        <row r="36">
          <cell r="A36" t="str">
            <v>651.330</v>
          </cell>
          <cell r="B36" t="str">
            <v xml:space="preserve">Traït häö dáöu vaìo ä vàng </v>
          </cell>
          <cell r="C36" t="str">
            <v>m2</v>
          </cell>
          <cell r="D36">
            <v>9.24</v>
          </cell>
          <cell r="F36">
            <v>10</v>
          </cell>
          <cell r="K36">
            <v>0</v>
          </cell>
          <cell r="L36">
            <v>0</v>
          </cell>
          <cell r="M36">
            <v>0</v>
          </cell>
          <cell r="N36">
            <v>0</v>
          </cell>
          <cell r="O36">
            <v>0</v>
          </cell>
          <cell r="P36">
            <v>0</v>
          </cell>
          <cell r="Q36">
            <v>0</v>
          </cell>
          <cell r="R36">
            <v>0</v>
          </cell>
          <cell r="S36">
            <v>0</v>
          </cell>
          <cell r="T36">
            <v>0</v>
          </cell>
          <cell r="U36">
            <v>0</v>
          </cell>
          <cell r="V36">
            <v>0</v>
          </cell>
          <cell r="W36">
            <v>0</v>
          </cell>
          <cell r="X36">
            <v>0</v>
          </cell>
        </row>
        <row r="37">
          <cell r="A37" t="str">
            <v>651.220</v>
          </cell>
          <cell r="B37" t="str">
            <v>Traït truû truûc A væîa XM M75 daìy 15</v>
          </cell>
          <cell r="C37" t="str">
            <v>m2</v>
          </cell>
          <cell r="D37">
            <v>25.76</v>
          </cell>
          <cell r="E37">
            <v>0.46</v>
          </cell>
          <cell r="F37">
            <v>118.47</v>
          </cell>
          <cell r="H37">
            <v>0.51</v>
          </cell>
          <cell r="K37">
            <v>0</v>
          </cell>
          <cell r="L37">
            <v>0</v>
          </cell>
          <cell r="M37">
            <v>0</v>
          </cell>
          <cell r="N37">
            <v>0</v>
          </cell>
          <cell r="O37">
            <v>0</v>
          </cell>
          <cell r="P37">
            <v>0</v>
          </cell>
          <cell r="Q37">
            <v>0</v>
          </cell>
          <cell r="R37">
            <v>0</v>
          </cell>
          <cell r="S37">
            <v>0</v>
          </cell>
          <cell r="T37">
            <v>0</v>
          </cell>
          <cell r="U37">
            <v>0</v>
          </cell>
          <cell r="V37">
            <v>0</v>
          </cell>
          <cell r="W37">
            <v>0</v>
          </cell>
          <cell r="X37">
            <v>0</v>
          </cell>
        </row>
        <row r="38">
          <cell r="A38" t="str">
            <v>224.110</v>
          </cell>
          <cell r="B38" t="str">
            <v xml:space="preserve">Bã täng dáöm M200 âaï 1x2 </v>
          </cell>
          <cell r="C38" t="str">
            <v>m3</v>
          </cell>
          <cell r="D38">
            <v>6.1499999999999995</v>
          </cell>
          <cell r="E38">
            <v>6.3</v>
          </cell>
          <cell r="F38">
            <v>2048.7600000000002</v>
          </cell>
          <cell r="G38">
            <v>2.6</v>
          </cell>
          <cell r="I38">
            <v>5.3</v>
          </cell>
          <cell r="K38">
            <v>0</v>
          </cell>
          <cell r="L38">
            <v>0</v>
          </cell>
          <cell r="M38">
            <v>0</v>
          </cell>
          <cell r="N38">
            <v>0</v>
          </cell>
          <cell r="O38">
            <v>0</v>
          </cell>
          <cell r="P38">
            <v>0</v>
          </cell>
          <cell r="Q38">
            <v>0</v>
          </cell>
          <cell r="R38">
            <v>0</v>
          </cell>
          <cell r="S38">
            <v>0</v>
          </cell>
          <cell r="T38">
            <v>0</v>
          </cell>
          <cell r="U38">
            <v>0</v>
          </cell>
          <cell r="V38">
            <v>0</v>
          </cell>
          <cell r="W38">
            <v>0</v>
          </cell>
          <cell r="X38">
            <v>0.71</v>
          </cell>
        </row>
        <row r="39">
          <cell r="A39" t="str">
            <v>651.330</v>
          </cell>
          <cell r="B39" t="str">
            <v>Traït dáöm væîa XM M50 daìy 15</v>
          </cell>
          <cell r="C39" t="str">
            <v>m2</v>
          </cell>
          <cell r="D39">
            <v>87.44</v>
          </cell>
          <cell r="E39">
            <v>1.57</v>
          </cell>
          <cell r="F39">
            <v>285.43</v>
          </cell>
          <cell r="H39">
            <v>1.86</v>
          </cell>
          <cell r="K39">
            <v>0</v>
          </cell>
          <cell r="L39">
            <v>0</v>
          </cell>
          <cell r="M39">
            <v>0</v>
          </cell>
          <cell r="N39">
            <v>0</v>
          </cell>
          <cell r="O39">
            <v>0</v>
          </cell>
          <cell r="P39">
            <v>0</v>
          </cell>
          <cell r="Q39">
            <v>0</v>
          </cell>
          <cell r="R39">
            <v>0</v>
          </cell>
          <cell r="S39">
            <v>0</v>
          </cell>
          <cell r="T39">
            <v>0</v>
          </cell>
          <cell r="U39">
            <v>0</v>
          </cell>
          <cell r="V39">
            <v>0</v>
          </cell>
          <cell r="W39">
            <v>0</v>
          </cell>
          <cell r="X39">
            <v>0</v>
          </cell>
        </row>
        <row r="40">
          <cell r="A40" t="str">
            <v>651.330</v>
          </cell>
          <cell r="B40" t="str">
            <v xml:space="preserve">Traït häö dáöu vaìo âáöm bã täng </v>
          </cell>
          <cell r="C40" t="str">
            <v>m2</v>
          </cell>
          <cell r="D40">
            <v>87.44</v>
          </cell>
          <cell r="F40">
            <v>99</v>
          </cell>
          <cell r="K40">
            <v>0</v>
          </cell>
          <cell r="L40">
            <v>0</v>
          </cell>
          <cell r="M40">
            <v>0</v>
          </cell>
          <cell r="N40">
            <v>0</v>
          </cell>
          <cell r="O40">
            <v>0</v>
          </cell>
          <cell r="P40">
            <v>0</v>
          </cell>
          <cell r="Q40">
            <v>0</v>
          </cell>
          <cell r="R40">
            <v>0</v>
          </cell>
          <cell r="S40">
            <v>0</v>
          </cell>
          <cell r="T40">
            <v>0</v>
          </cell>
          <cell r="U40">
            <v>0</v>
          </cell>
          <cell r="V40">
            <v>0</v>
          </cell>
          <cell r="W40">
            <v>0</v>
          </cell>
          <cell r="X40">
            <v>0</v>
          </cell>
        </row>
        <row r="41">
          <cell r="A41" t="str">
            <v>701.110</v>
          </cell>
          <cell r="B41" t="str">
            <v xml:space="preserve">Queït väi tæåìng truû 1 tràõng 2 maìu </v>
          </cell>
          <cell r="C41" t="str">
            <v>m2</v>
          </cell>
          <cell r="D41">
            <v>1358.5000000000002</v>
          </cell>
          <cell r="E41">
            <v>0</v>
          </cell>
          <cell r="K41">
            <v>0</v>
          </cell>
          <cell r="L41">
            <v>0</v>
          </cell>
          <cell r="M41">
            <v>0</v>
          </cell>
          <cell r="N41">
            <v>0</v>
          </cell>
          <cell r="O41">
            <v>0</v>
          </cell>
          <cell r="P41">
            <v>0</v>
          </cell>
          <cell r="Q41">
            <v>0</v>
          </cell>
          <cell r="R41">
            <v>27.17</v>
          </cell>
          <cell r="S41">
            <v>407.55</v>
          </cell>
          <cell r="T41">
            <v>0</v>
          </cell>
          <cell r="U41">
            <v>0</v>
          </cell>
          <cell r="V41">
            <v>0</v>
          </cell>
          <cell r="W41">
            <v>0</v>
          </cell>
          <cell r="X41">
            <v>0</v>
          </cell>
        </row>
        <row r="42">
          <cell r="A42" t="str">
            <v>701.130</v>
          </cell>
          <cell r="B42" t="str">
            <v>Queït väi chaình cæía , ä vàng , lanh tä 3 næåïc tràõng</v>
          </cell>
          <cell r="C42" t="str">
            <v>m2</v>
          </cell>
          <cell r="D42">
            <v>59.099999999999994</v>
          </cell>
          <cell r="E42">
            <v>0</v>
          </cell>
          <cell r="K42">
            <v>0</v>
          </cell>
          <cell r="L42">
            <v>0</v>
          </cell>
          <cell r="M42">
            <v>0</v>
          </cell>
          <cell r="N42">
            <v>0</v>
          </cell>
          <cell r="O42">
            <v>0</v>
          </cell>
          <cell r="P42">
            <v>0</v>
          </cell>
          <cell r="Q42">
            <v>0</v>
          </cell>
          <cell r="R42">
            <v>0</v>
          </cell>
          <cell r="S42">
            <v>18.68</v>
          </cell>
          <cell r="T42">
            <v>0</v>
          </cell>
          <cell r="U42">
            <v>0</v>
          </cell>
          <cell r="V42">
            <v>0</v>
          </cell>
          <cell r="W42">
            <v>0</v>
          </cell>
          <cell r="X42">
            <v>0</v>
          </cell>
        </row>
        <row r="43">
          <cell r="A43" t="str">
            <v>703.440</v>
          </cell>
          <cell r="B43" t="str">
            <v xml:space="preserve">Sån cæía âi, säø panä, panä kênh 3 næåïc  maìu xaïm </v>
          </cell>
          <cell r="C43" t="str">
            <v>m2</v>
          </cell>
          <cell r="D43">
            <v>113.4</v>
          </cell>
          <cell r="E43">
            <v>0</v>
          </cell>
          <cell r="K43">
            <v>0</v>
          </cell>
          <cell r="L43">
            <v>0</v>
          </cell>
          <cell r="M43">
            <v>0</v>
          </cell>
          <cell r="N43">
            <v>0</v>
          </cell>
          <cell r="O43">
            <v>0</v>
          </cell>
          <cell r="P43">
            <v>0</v>
          </cell>
          <cell r="Q43">
            <v>0</v>
          </cell>
          <cell r="R43">
            <v>0</v>
          </cell>
          <cell r="S43">
            <v>0</v>
          </cell>
          <cell r="T43">
            <v>25.52</v>
          </cell>
          <cell r="U43">
            <v>0</v>
          </cell>
          <cell r="V43">
            <v>0</v>
          </cell>
          <cell r="W43">
            <v>0</v>
          </cell>
          <cell r="X43">
            <v>0</v>
          </cell>
        </row>
        <row r="44">
          <cell r="A44" t="str">
            <v>703.440</v>
          </cell>
          <cell r="B44" t="str">
            <v xml:space="preserve">Sån cæía säø sàõt chåïp kênh 3 næåïc maìu xaïm </v>
          </cell>
          <cell r="C44" t="str">
            <v>m2</v>
          </cell>
          <cell r="D44">
            <v>39.200000000000003</v>
          </cell>
          <cell r="E44">
            <v>0</v>
          </cell>
          <cell r="K44">
            <v>0</v>
          </cell>
          <cell r="L44">
            <v>0</v>
          </cell>
          <cell r="M44">
            <v>0</v>
          </cell>
          <cell r="N44">
            <v>0</v>
          </cell>
          <cell r="O44">
            <v>0</v>
          </cell>
          <cell r="P44">
            <v>0</v>
          </cell>
          <cell r="Q44">
            <v>0</v>
          </cell>
          <cell r="R44">
            <v>0</v>
          </cell>
          <cell r="S44">
            <v>0</v>
          </cell>
          <cell r="T44">
            <v>8.82</v>
          </cell>
          <cell r="U44">
            <v>0</v>
          </cell>
          <cell r="V44">
            <v>0</v>
          </cell>
          <cell r="W44">
            <v>0</v>
          </cell>
          <cell r="X44">
            <v>0</v>
          </cell>
        </row>
        <row r="45">
          <cell r="A45">
            <v>0</v>
          </cell>
          <cell r="B45" t="str">
            <v>III. TRÁÖN + MAÏI NHAÌ :</v>
          </cell>
          <cell r="C45">
            <v>0</v>
          </cell>
          <cell r="D45">
            <v>0</v>
          </cell>
          <cell r="F45">
            <v>2651.1300000000006</v>
          </cell>
          <cell r="G45">
            <v>2.1</v>
          </cell>
          <cell r="H45">
            <v>4.4899999999999993</v>
          </cell>
          <cell r="I45">
            <v>4.2600000000000007</v>
          </cell>
          <cell r="J45">
            <v>0</v>
          </cell>
          <cell r="K45">
            <v>0</v>
          </cell>
          <cell r="L45">
            <v>0</v>
          </cell>
          <cell r="M45">
            <v>713.4</v>
          </cell>
          <cell r="N45">
            <v>0</v>
          </cell>
          <cell r="O45">
            <v>0</v>
          </cell>
          <cell r="P45">
            <v>0</v>
          </cell>
          <cell r="Q45">
            <v>0</v>
          </cell>
          <cell r="R45">
            <v>0.53</v>
          </cell>
          <cell r="S45">
            <v>33.880000000000003</v>
          </cell>
          <cell r="T45">
            <v>51.07</v>
          </cell>
          <cell r="U45">
            <v>6.6899999999999995</v>
          </cell>
          <cell r="V45">
            <v>355.45</v>
          </cell>
          <cell r="W45">
            <v>175.56</v>
          </cell>
          <cell r="X45">
            <v>0.5</v>
          </cell>
        </row>
        <row r="46">
          <cell r="A46" t="str">
            <v>225.110</v>
          </cell>
          <cell r="B46" t="str">
            <v xml:space="preserve">Bã täng saìn maïi M200 âaï 1x2 </v>
          </cell>
          <cell r="C46" t="str">
            <v>m3</v>
          </cell>
          <cell r="D46">
            <v>3.71</v>
          </cell>
          <cell r="E46">
            <v>3.8</v>
          </cell>
          <cell r="F46">
            <v>1235.76</v>
          </cell>
          <cell r="G46">
            <v>1.57</v>
          </cell>
          <cell r="I46">
            <v>3.2</v>
          </cell>
          <cell r="K46">
            <v>0</v>
          </cell>
          <cell r="L46">
            <v>0</v>
          </cell>
          <cell r="M46">
            <v>0</v>
          </cell>
          <cell r="N46">
            <v>0</v>
          </cell>
          <cell r="O46">
            <v>0</v>
          </cell>
          <cell r="P46">
            <v>0</v>
          </cell>
          <cell r="Q46">
            <v>0</v>
          </cell>
          <cell r="R46">
            <v>0</v>
          </cell>
          <cell r="S46">
            <v>0</v>
          </cell>
          <cell r="T46">
            <v>0</v>
          </cell>
          <cell r="U46">
            <v>0</v>
          </cell>
          <cell r="V46">
            <v>0</v>
          </cell>
          <cell r="W46">
            <v>0</v>
          </cell>
          <cell r="X46">
            <v>0.37</v>
          </cell>
        </row>
        <row r="47">
          <cell r="A47" t="str">
            <v>225.210</v>
          </cell>
          <cell r="B47" t="str">
            <v xml:space="preserve">Bã täng sã nä M200 âaï 1x2 </v>
          </cell>
          <cell r="C47" t="str">
            <v>m3</v>
          </cell>
          <cell r="D47">
            <v>0.77</v>
          </cell>
          <cell r="E47">
            <v>0.79</v>
          </cell>
          <cell r="F47">
            <v>256.91000000000003</v>
          </cell>
          <cell r="G47">
            <v>0.33</v>
          </cell>
          <cell r="I47">
            <v>0.66</v>
          </cell>
          <cell r="K47">
            <v>0</v>
          </cell>
          <cell r="L47">
            <v>0</v>
          </cell>
          <cell r="M47">
            <v>0</v>
          </cell>
          <cell r="N47">
            <v>0</v>
          </cell>
          <cell r="O47">
            <v>0</v>
          </cell>
          <cell r="P47">
            <v>0</v>
          </cell>
          <cell r="Q47">
            <v>0</v>
          </cell>
          <cell r="R47">
            <v>0</v>
          </cell>
          <cell r="S47">
            <v>0</v>
          </cell>
          <cell r="T47">
            <v>0</v>
          </cell>
          <cell r="U47">
            <v>0</v>
          </cell>
          <cell r="V47">
            <v>0</v>
          </cell>
          <cell r="W47">
            <v>0</v>
          </cell>
          <cell r="X47">
            <v>0.08</v>
          </cell>
        </row>
        <row r="48">
          <cell r="A48" t="str">
            <v>651.320</v>
          </cell>
          <cell r="B48" t="str">
            <v>Traït saìn maïi sã nä væîa XM M50 daìy 15</v>
          </cell>
          <cell r="C48" t="str">
            <v>m2</v>
          </cell>
          <cell r="D48">
            <v>52.94</v>
          </cell>
          <cell r="E48">
            <v>0.95</v>
          </cell>
          <cell r="F48">
            <v>172.71</v>
          </cell>
          <cell r="H48">
            <v>1.1299999999999999</v>
          </cell>
          <cell r="K48">
            <v>0</v>
          </cell>
          <cell r="L48">
            <v>0</v>
          </cell>
          <cell r="M48">
            <v>0</v>
          </cell>
          <cell r="N48">
            <v>0</v>
          </cell>
          <cell r="O48">
            <v>0</v>
          </cell>
          <cell r="P48">
            <v>0</v>
          </cell>
          <cell r="Q48">
            <v>0</v>
          </cell>
          <cell r="R48">
            <v>0</v>
          </cell>
          <cell r="S48">
            <v>0</v>
          </cell>
          <cell r="T48">
            <v>0</v>
          </cell>
          <cell r="U48">
            <v>0</v>
          </cell>
          <cell r="V48">
            <v>0</v>
          </cell>
          <cell r="W48">
            <v>0</v>
          </cell>
          <cell r="X48">
            <v>0</v>
          </cell>
        </row>
        <row r="49">
          <cell r="A49" t="str">
            <v>671.140</v>
          </cell>
          <cell r="B49" t="str">
            <v>Laïng saìn maïi væîa XM M75 daìy 30</v>
          </cell>
          <cell r="C49" t="str">
            <v>m2</v>
          </cell>
          <cell r="D49">
            <v>49.96</v>
          </cell>
          <cell r="E49">
            <v>1.75</v>
          </cell>
          <cell r="F49">
            <v>450.71</v>
          </cell>
          <cell r="H49">
            <v>1.96</v>
          </cell>
          <cell r="K49">
            <v>0</v>
          </cell>
          <cell r="L49">
            <v>0</v>
          </cell>
          <cell r="M49">
            <v>0</v>
          </cell>
          <cell r="N49">
            <v>0</v>
          </cell>
          <cell r="O49">
            <v>0</v>
          </cell>
          <cell r="P49">
            <v>0</v>
          </cell>
          <cell r="Q49">
            <v>0</v>
          </cell>
          <cell r="R49">
            <v>0</v>
          </cell>
          <cell r="S49">
            <v>0</v>
          </cell>
          <cell r="T49">
            <v>0</v>
          </cell>
          <cell r="U49">
            <v>0</v>
          </cell>
          <cell r="V49">
            <v>0</v>
          </cell>
          <cell r="W49">
            <v>0</v>
          </cell>
          <cell r="X49">
            <v>0</v>
          </cell>
        </row>
        <row r="50">
          <cell r="A50" t="str">
            <v>651.330</v>
          </cell>
          <cell r="B50" t="str">
            <v xml:space="preserve">Ngám næåïc XM chäúng tháúm saìn </v>
          </cell>
          <cell r="C50" t="str">
            <v>m2</v>
          </cell>
          <cell r="D50">
            <v>49.96</v>
          </cell>
          <cell r="F50">
            <v>57</v>
          </cell>
          <cell r="K50">
            <v>0</v>
          </cell>
          <cell r="L50">
            <v>0</v>
          </cell>
          <cell r="M50">
            <v>0</v>
          </cell>
          <cell r="N50">
            <v>0</v>
          </cell>
          <cell r="O50">
            <v>0</v>
          </cell>
          <cell r="P50">
            <v>0</v>
          </cell>
          <cell r="Q50">
            <v>0</v>
          </cell>
          <cell r="R50">
            <v>0</v>
          </cell>
          <cell r="S50">
            <v>0</v>
          </cell>
          <cell r="T50">
            <v>0</v>
          </cell>
          <cell r="U50">
            <v>0</v>
          </cell>
          <cell r="V50">
            <v>0</v>
          </cell>
          <cell r="W50">
            <v>0</v>
          </cell>
          <cell r="X50">
            <v>0</v>
          </cell>
        </row>
        <row r="51">
          <cell r="A51" t="str">
            <v>651.510</v>
          </cell>
          <cell r="B51" t="str">
            <v>Traït thaình sã nä væîa XM M75 trong vaì ngoaìi  daìy 15</v>
          </cell>
          <cell r="C51" t="str">
            <v>m2</v>
          </cell>
          <cell r="D51">
            <v>26.72</v>
          </cell>
          <cell r="E51">
            <v>0.32</v>
          </cell>
          <cell r="F51">
            <v>82.42</v>
          </cell>
          <cell r="H51">
            <v>0.36</v>
          </cell>
          <cell r="K51">
            <v>0</v>
          </cell>
          <cell r="L51">
            <v>0</v>
          </cell>
          <cell r="M51">
            <v>0</v>
          </cell>
          <cell r="N51">
            <v>0</v>
          </cell>
          <cell r="O51">
            <v>0</v>
          </cell>
          <cell r="P51">
            <v>0</v>
          </cell>
          <cell r="Q51">
            <v>0</v>
          </cell>
          <cell r="R51">
            <v>0</v>
          </cell>
          <cell r="S51">
            <v>0</v>
          </cell>
          <cell r="T51">
            <v>0</v>
          </cell>
          <cell r="U51">
            <v>0</v>
          </cell>
          <cell r="V51">
            <v>0</v>
          </cell>
          <cell r="W51">
            <v>0</v>
          </cell>
          <cell r="X51">
            <v>0</v>
          </cell>
        </row>
        <row r="52">
          <cell r="A52" t="str">
            <v>225.210</v>
          </cell>
          <cell r="B52" t="str">
            <v xml:space="preserve">Bã täng lam ngang M200 âaï 1x2 </v>
          </cell>
          <cell r="C52" t="str">
            <v>m3</v>
          </cell>
          <cell r="D52">
            <v>0.47</v>
          </cell>
          <cell r="E52">
            <v>0.48</v>
          </cell>
          <cell r="F52">
            <v>156.1</v>
          </cell>
          <cell r="G52">
            <v>0.2</v>
          </cell>
          <cell r="I52">
            <v>0.4</v>
          </cell>
          <cell r="K52">
            <v>0</v>
          </cell>
          <cell r="L52">
            <v>0</v>
          </cell>
          <cell r="M52">
            <v>0</v>
          </cell>
          <cell r="N52">
            <v>0</v>
          </cell>
          <cell r="O52">
            <v>0</v>
          </cell>
          <cell r="P52">
            <v>0</v>
          </cell>
          <cell r="Q52">
            <v>0</v>
          </cell>
          <cell r="R52">
            <v>0</v>
          </cell>
          <cell r="S52">
            <v>0</v>
          </cell>
          <cell r="T52">
            <v>0</v>
          </cell>
          <cell r="U52">
            <v>0</v>
          </cell>
          <cell r="V52">
            <v>0</v>
          </cell>
          <cell r="W52">
            <v>0</v>
          </cell>
          <cell r="X52">
            <v>0.05</v>
          </cell>
        </row>
        <row r="53">
          <cell r="A53" t="str">
            <v>651.310</v>
          </cell>
          <cell r="B53" t="str">
            <v>Traït lam ngang væîa XM M75 daìy 15</v>
          </cell>
          <cell r="C53" t="str">
            <v>m2</v>
          </cell>
          <cell r="D53">
            <v>17.64</v>
          </cell>
          <cell r="E53">
            <v>0.32</v>
          </cell>
          <cell r="F53">
            <v>82.42</v>
          </cell>
          <cell r="H53">
            <v>0.36</v>
          </cell>
          <cell r="K53">
            <v>0</v>
          </cell>
          <cell r="L53">
            <v>0</v>
          </cell>
          <cell r="M53">
            <v>0</v>
          </cell>
          <cell r="N53">
            <v>0</v>
          </cell>
          <cell r="O53">
            <v>0</v>
          </cell>
          <cell r="P53">
            <v>0</v>
          </cell>
          <cell r="Q53">
            <v>0</v>
          </cell>
          <cell r="R53">
            <v>0</v>
          </cell>
          <cell r="S53">
            <v>0</v>
          </cell>
          <cell r="T53">
            <v>0</v>
          </cell>
          <cell r="U53">
            <v>0</v>
          </cell>
          <cell r="V53">
            <v>0</v>
          </cell>
          <cell r="W53">
            <v>0</v>
          </cell>
          <cell r="X53">
            <v>0</v>
          </cell>
        </row>
        <row r="54">
          <cell r="A54" t="str">
            <v>701.130</v>
          </cell>
          <cell r="B54" t="str">
            <v xml:space="preserve">Queït väi lam ngang , tráön 3 næåïc tràõng </v>
          </cell>
          <cell r="C54" t="str">
            <v>m2</v>
          </cell>
          <cell r="D54">
            <v>70.58</v>
          </cell>
          <cell r="E54">
            <v>0</v>
          </cell>
          <cell r="K54">
            <v>0</v>
          </cell>
          <cell r="L54">
            <v>0</v>
          </cell>
          <cell r="M54">
            <v>0</v>
          </cell>
          <cell r="N54">
            <v>0</v>
          </cell>
          <cell r="O54">
            <v>0</v>
          </cell>
          <cell r="P54">
            <v>0</v>
          </cell>
          <cell r="Q54">
            <v>0</v>
          </cell>
          <cell r="R54">
            <v>0</v>
          </cell>
          <cell r="S54">
            <v>22.3</v>
          </cell>
          <cell r="T54">
            <v>0</v>
          </cell>
          <cell r="U54">
            <v>0</v>
          </cell>
          <cell r="V54">
            <v>0</v>
          </cell>
          <cell r="W54">
            <v>0</v>
          </cell>
          <cell r="X54">
            <v>0</v>
          </cell>
        </row>
        <row r="55">
          <cell r="A55" t="str">
            <v>701.120</v>
          </cell>
          <cell r="B55" t="str">
            <v xml:space="preserve">Queït väi sã nä 1 tràõng , 2 maìu </v>
          </cell>
          <cell r="C55" t="str">
            <v>m2</v>
          </cell>
          <cell r="D55">
            <v>26.72</v>
          </cell>
          <cell r="E55">
            <v>0</v>
          </cell>
          <cell r="K55">
            <v>0</v>
          </cell>
          <cell r="L55">
            <v>0</v>
          </cell>
          <cell r="M55">
            <v>0</v>
          </cell>
          <cell r="N55">
            <v>0</v>
          </cell>
          <cell r="O55">
            <v>0</v>
          </cell>
          <cell r="P55">
            <v>0</v>
          </cell>
          <cell r="Q55">
            <v>0</v>
          </cell>
          <cell r="R55">
            <v>0.53</v>
          </cell>
          <cell r="S55">
            <v>8.02</v>
          </cell>
          <cell r="T55">
            <v>0</v>
          </cell>
          <cell r="U55">
            <v>0</v>
          </cell>
          <cell r="V55">
            <v>0</v>
          </cell>
          <cell r="W55">
            <v>0</v>
          </cell>
          <cell r="X55">
            <v>0</v>
          </cell>
        </row>
        <row r="56">
          <cell r="A56" t="str">
            <v>694.110</v>
          </cell>
          <cell r="B56" t="str">
            <v xml:space="preserve">Gia cäng âoïng tráön vaïn eïp </v>
          </cell>
          <cell r="C56" t="str">
            <v>m2</v>
          </cell>
          <cell r="D56">
            <v>159.6</v>
          </cell>
          <cell r="E56">
            <v>0</v>
          </cell>
          <cell r="K56">
            <v>0</v>
          </cell>
          <cell r="L56">
            <v>0</v>
          </cell>
          <cell r="M56">
            <v>0</v>
          </cell>
          <cell r="N56">
            <v>0</v>
          </cell>
          <cell r="O56">
            <v>0</v>
          </cell>
          <cell r="P56">
            <v>0</v>
          </cell>
          <cell r="Q56">
            <v>0</v>
          </cell>
          <cell r="R56">
            <v>0</v>
          </cell>
          <cell r="S56">
            <v>0</v>
          </cell>
          <cell r="T56">
            <v>0</v>
          </cell>
          <cell r="U56">
            <v>3.19</v>
          </cell>
          <cell r="V56">
            <v>0</v>
          </cell>
          <cell r="W56">
            <v>175.56</v>
          </cell>
          <cell r="X56">
            <v>0</v>
          </cell>
        </row>
        <row r="57">
          <cell r="A57" t="str">
            <v>703.220</v>
          </cell>
          <cell r="B57" t="str">
            <v xml:space="preserve">Sån tráön vaïn eïp 3 næåïc tràõng </v>
          </cell>
          <cell r="C57" t="str">
            <v>m2</v>
          </cell>
          <cell r="D57">
            <v>159.6</v>
          </cell>
          <cell r="E57">
            <v>0</v>
          </cell>
          <cell r="K57">
            <v>0</v>
          </cell>
          <cell r="L57">
            <v>0</v>
          </cell>
          <cell r="M57">
            <v>0</v>
          </cell>
          <cell r="N57">
            <v>0</v>
          </cell>
          <cell r="O57">
            <v>0</v>
          </cell>
          <cell r="P57">
            <v>0</v>
          </cell>
          <cell r="Q57">
            <v>0</v>
          </cell>
          <cell r="R57">
            <v>0</v>
          </cell>
          <cell r="S57">
            <v>0</v>
          </cell>
          <cell r="T57">
            <v>51.07</v>
          </cell>
          <cell r="U57">
            <v>0</v>
          </cell>
          <cell r="V57">
            <v>0</v>
          </cell>
          <cell r="W57">
            <v>0</v>
          </cell>
          <cell r="X57">
            <v>0</v>
          </cell>
        </row>
        <row r="58">
          <cell r="A58" t="str">
            <v>401.420</v>
          </cell>
          <cell r="B58" t="str">
            <v>Gia cäng xaì gäö gäù maïi nhaì ( gäù nhoïm 3 )</v>
          </cell>
          <cell r="C58" t="str">
            <v>m3</v>
          </cell>
          <cell r="D58">
            <v>3.18</v>
          </cell>
          <cell r="E58">
            <v>0</v>
          </cell>
          <cell r="K58">
            <v>0</v>
          </cell>
          <cell r="L58">
            <v>0</v>
          </cell>
          <cell r="M58">
            <v>0</v>
          </cell>
          <cell r="N58">
            <v>0</v>
          </cell>
          <cell r="O58">
            <v>0</v>
          </cell>
          <cell r="P58">
            <v>0</v>
          </cell>
          <cell r="Q58">
            <v>0</v>
          </cell>
          <cell r="R58">
            <v>0</v>
          </cell>
          <cell r="S58">
            <v>0</v>
          </cell>
          <cell r="T58">
            <v>0</v>
          </cell>
          <cell r="U58">
            <v>3.5</v>
          </cell>
          <cell r="V58">
            <v>0</v>
          </cell>
          <cell r="W58">
            <v>0</v>
          </cell>
          <cell r="X58">
            <v>0</v>
          </cell>
        </row>
        <row r="59">
          <cell r="A59" t="str">
            <v>605.210</v>
          </cell>
          <cell r="B59" t="str">
            <v xml:space="preserve">Låüp tän traïng keîm maïi nhaì </v>
          </cell>
          <cell r="C59" t="str">
            <v>m2</v>
          </cell>
          <cell r="D59">
            <v>269.27999999999997</v>
          </cell>
          <cell r="E59">
            <v>0</v>
          </cell>
          <cell r="K59">
            <v>0</v>
          </cell>
          <cell r="L59">
            <v>0</v>
          </cell>
          <cell r="M59">
            <v>0</v>
          </cell>
          <cell r="N59">
            <v>0</v>
          </cell>
          <cell r="O59">
            <v>0</v>
          </cell>
          <cell r="P59">
            <v>0</v>
          </cell>
          <cell r="Q59">
            <v>0</v>
          </cell>
          <cell r="R59">
            <v>0</v>
          </cell>
          <cell r="S59">
            <v>0</v>
          </cell>
          <cell r="T59">
            <v>0</v>
          </cell>
          <cell r="U59">
            <v>0</v>
          </cell>
          <cell r="V59">
            <v>355.45</v>
          </cell>
          <cell r="W59">
            <v>0</v>
          </cell>
          <cell r="X59">
            <v>0</v>
          </cell>
        </row>
        <row r="60">
          <cell r="A60" t="str">
            <v>204.420</v>
          </cell>
          <cell r="B60" t="str">
            <v>Xáy båì chaíy gaûch âàûc væîa XM M75</v>
          </cell>
          <cell r="C60" t="str">
            <v>m3</v>
          </cell>
          <cell r="D60">
            <v>0.87</v>
          </cell>
          <cell r="E60">
            <v>0.26</v>
          </cell>
          <cell r="F60">
            <v>66.959999999999994</v>
          </cell>
          <cell r="H60">
            <v>0.28999999999999998</v>
          </cell>
          <cell r="M60">
            <v>713.4</v>
          </cell>
        </row>
        <row r="61">
          <cell r="A61" t="str">
            <v>651.140</v>
          </cell>
          <cell r="B61" t="str">
            <v>Traït båì chaíy væîa XM M75 daìy 15</v>
          </cell>
          <cell r="C61" t="str">
            <v>m2</v>
          </cell>
          <cell r="D61">
            <v>11.88</v>
          </cell>
          <cell r="E61">
            <v>0.2</v>
          </cell>
          <cell r="F61">
            <v>51.51</v>
          </cell>
          <cell r="H61">
            <v>0.22</v>
          </cell>
        </row>
        <row r="62">
          <cell r="A62" t="str">
            <v>701.120</v>
          </cell>
          <cell r="B62" t="str">
            <v>Queït väi båì chaíy 3 næåïc tràõng</v>
          </cell>
          <cell r="C62" t="str">
            <v>m2</v>
          </cell>
          <cell r="D62">
            <v>11.88</v>
          </cell>
          <cell r="E62">
            <v>0</v>
          </cell>
          <cell r="F62">
            <v>0</v>
          </cell>
          <cell r="H62">
            <v>0</v>
          </cell>
          <cell r="S62">
            <v>3.56</v>
          </cell>
        </row>
        <row r="63">
          <cell r="A63" t="str">
            <v>651.420</v>
          </cell>
          <cell r="B63" t="str">
            <v>Traït chè næåïc sã nä</v>
          </cell>
          <cell r="C63" t="str">
            <v>m</v>
          </cell>
          <cell r="D63">
            <v>33.200000000000003</v>
          </cell>
          <cell r="E63">
            <v>0.15</v>
          </cell>
          <cell r="F63">
            <v>38.630000000000003</v>
          </cell>
          <cell r="H63">
            <v>0.17</v>
          </cell>
        </row>
        <row r="64">
          <cell r="A64">
            <v>0</v>
          </cell>
          <cell r="B64" t="str">
            <v>IV. KHU VÃÛ SINH - BÃØ TÆÛ HOAÛI - BÃÚP - HÄÚ GA :</v>
          </cell>
          <cell r="C64">
            <v>0</v>
          </cell>
          <cell r="D64">
            <v>0</v>
          </cell>
          <cell r="F64">
            <v>3304.2599999999998</v>
          </cell>
          <cell r="G64">
            <v>2.27</v>
          </cell>
          <cell r="H64">
            <v>9.629999999999999</v>
          </cell>
          <cell r="I64">
            <v>1.67</v>
          </cell>
          <cell r="J64">
            <v>2.68</v>
          </cell>
          <cell r="K64">
            <v>0</v>
          </cell>
          <cell r="L64">
            <v>0</v>
          </cell>
          <cell r="M64">
            <v>10479.6</v>
          </cell>
          <cell r="N64">
            <v>0</v>
          </cell>
          <cell r="O64">
            <v>13.51</v>
          </cell>
          <cell r="P64">
            <v>5664.75</v>
          </cell>
          <cell r="Q64">
            <v>50.769999999999996</v>
          </cell>
          <cell r="R64">
            <v>0.27</v>
          </cell>
          <cell r="S64">
            <v>4.12</v>
          </cell>
          <cell r="T64">
            <v>0</v>
          </cell>
          <cell r="U64">
            <v>0</v>
          </cell>
          <cell r="V64">
            <v>0</v>
          </cell>
          <cell r="W64">
            <v>0</v>
          </cell>
          <cell r="X64">
            <v>6.0000000000000005E-2</v>
          </cell>
        </row>
        <row r="65">
          <cell r="A65">
            <v>0</v>
          </cell>
          <cell r="B65" t="str">
            <v>a, Khu vãû sinh :</v>
          </cell>
          <cell r="C65">
            <v>0</v>
          </cell>
          <cell r="D65">
            <v>0</v>
          </cell>
        </row>
        <row r="66">
          <cell r="A66" t="str">
            <v>204.410</v>
          </cell>
          <cell r="B66" t="str">
            <v xml:space="preserve">Xáy thaình bãø næåïc khu vãû sinh daìy 110 væîa XM M75 </v>
          </cell>
          <cell r="C66" t="str">
            <v>m3</v>
          </cell>
          <cell r="D66">
            <v>0.65</v>
          </cell>
          <cell r="E66">
            <v>0.2</v>
          </cell>
          <cell r="F66">
            <v>51.51</v>
          </cell>
          <cell r="H66">
            <v>0.22</v>
          </cell>
          <cell r="K66">
            <v>0</v>
          </cell>
          <cell r="L66">
            <v>0</v>
          </cell>
          <cell r="M66">
            <v>533</v>
          </cell>
          <cell r="N66">
            <v>0</v>
          </cell>
          <cell r="O66">
            <v>0</v>
          </cell>
          <cell r="P66">
            <v>0</v>
          </cell>
          <cell r="Q66">
            <v>0</v>
          </cell>
          <cell r="R66">
            <v>0</v>
          </cell>
          <cell r="S66">
            <v>0</v>
          </cell>
          <cell r="T66">
            <v>0</v>
          </cell>
          <cell r="U66">
            <v>0</v>
          </cell>
          <cell r="V66">
            <v>0</v>
          </cell>
          <cell r="W66">
            <v>0</v>
          </cell>
          <cell r="X66">
            <v>0</v>
          </cell>
        </row>
        <row r="67">
          <cell r="A67" t="str">
            <v>651.510</v>
          </cell>
          <cell r="B67" t="str">
            <v>Traït thaình bãø næåïc væîa XM M75 daìy 20</v>
          </cell>
          <cell r="C67" t="str">
            <v>m2</v>
          </cell>
          <cell r="D67">
            <v>7.35</v>
          </cell>
          <cell r="E67">
            <v>0.09</v>
          </cell>
          <cell r="F67">
            <v>23.18</v>
          </cell>
          <cell r="H67">
            <v>0.1</v>
          </cell>
          <cell r="K67">
            <v>0</v>
          </cell>
          <cell r="L67">
            <v>0</v>
          </cell>
          <cell r="M67">
            <v>0</v>
          </cell>
          <cell r="N67">
            <v>0</v>
          </cell>
          <cell r="O67">
            <v>0</v>
          </cell>
          <cell r="P67">
            <v>0</v>
          </cell>
          <cell r="Q67">
            <v>0</v>
          </cell>
          <cell r="R67">
            <v>0</v>
          </cell>
          <cell r="S67">
            <v>0</v>
          </cell>
          <cell r="T67">
            <v>0</v>
          </cell>
          <cell r="U67">
            <v>0</v>
          </cell>
          <cell r="V67">
            <v>0</v>
          </cell>
          <cell r="W67">
            <v>0</v>
          </cell>
          <cell r="X67">
            <v>0</v>
          </cell>
        </row>
        <row r="68">
          <cell r="A68" t="str">
            <v>672.120</v>
          </cell>
          <cell r="B68" t="str">
            <v xml:space="preserve">Laïng bãø næåïc , xê xäøm væîa XM M75 daìy 30 âaïnh maìu </v>
          </cell>
          <cell r="C68" t="str">
            <v>m2</v>
          </cell>
          <cell r="D68">
            <v>8.19</v>
          </cell>
          <cell r="E68">
            <v>0.18</v>
          </cell>
          <cell r="F68">
            <v>46.36</v>
          </cell>
          <cell r="H68">
            <v>0.2</v>
          </cell>
          <cell r="K68">
            <v>0</v>
          </cell>
          <cell r="L68">
            <v>0</v>
          </cell>
          <cell r="M68">
            <v>0</v>
          </cell>
          <cell r="N68">
            <v>0</v>
          </cell>
          <cell r="O68">
            <v>0</v>
          </cell>
          <cell r="P68">
            <v>0</v>
          </cell>
          <cell r="Q68">
            <v>0</v>
          </cell>
          <cell r="R68">
            <v>0</v>
          </cell>
          <cell r="S68">
            <v>0</v>
          </cell>
          <cell r="T68">
            <v>0</v>
          </cell>
          <cell r="U68">
            <v>0</v>
          </cell>
          <cell r="V68">
            <v>0</v>
          </cell>
          <cell r="W68">
            <v>0</v>
          </cell>
          <cell r="X68">
            <v>0</v>
          </cell>
        </row>
        <row r="69">
          <cell r="A69" t="str">
            <v>651.330</v>
          </cell>
          <cell r="B69" t="str">
            <v xml:space="preserve">Âaïnh maìu thaình bãø næåïc bàòng xi màng nguyãn cháút </v>
          </cell>
          <cell r="C69" t="str">
            <v>m2</v>
          </cell>
          <cell r="D69">
            <v>7.35</v>
          </cell>
          <cell r="F69">
            <v>8</v>
          </cell>
          <cell r="K69">
            <v>0</v>
          </cell>
          <cell r="L69">
            <v>0</v>
          </cell>
          <cell r="M69">
            <v>0</v>
          </cell>
          <cell r="N69">
            <v>0</v>
          </cell>
          <cell r="O69">
            <v>0</v>
          </cell>
          <cell r="P69">
            <v>0</v>
          </cell>
          <cell r="Q69">
            <v>0</v>
          </cell>
          <cell r="R69">
            <v>0</v>
          </cell>
          <cell r="S69">
            <v>0</v>
          </cell>
          <cell r="T69">
            <v>0</v>
          </cell>
          <cell r="U69">
            <v>0</v>
          </cell>
          <cell r="V69">
            <v>0</v>
          </cell>
          <cell r="W69">
            <v>0</v>
          </cell>
          <cell r="X69">
            <v>0</v>
          </cell>
        </row>
        <row r="70">
          <cell r="A70" t="str">
            <v>685.130</v>
          </cell>
          <cell r="B70" t="str">
            <v>ÄÚp gaûch men Trung Quäúc loaûi 11x11 khu vãû sinh</v>
          </cell>
          <cell r="C70" t="str">
            <v>m2</v>
          </cell>
          <cell r="D70">
            <v>68.25</v>
          </cell>
          <cell r="E70">
            <v>1.43</v>
          </cell>
          <cell r="F70">
            <v>259.97000000000003</v>
          </cell>
          <cell r="H70">
            <v>1.69</v>
          </cell>
          <cell r="K70">
            <v>0</v>
          </cell>
          <cell r="L70">
            <v>0</v>
          </cell>
          <cell r="M70">
            <v>0</v>
          </cell>
          <cell r="N70">
            <v>0</v>
          </cell>
          <cell r="O70">
            <v>0</v>
          </cell>
          <cell r="P70">
            <v>5664.75</v>
          </cell>
          <cell r="Q70">
            <v>23.89</v>
          </cell>
          <cell r="R70">
            <v>0</v>
          </cell>
          <cell r="S70">
            <v>0</v>
          </cell>
          <cell r="T70">
            <v>0</v>
          </cell>
          <cell r="U70">
            <v>0</v>
          </cell>
          <cell r="V70">
            <v>0</v>
          </cell>
          <cell r="W70">
            <v>0</v>
          </cell>
          <cell r="X70">
            <v>0</v>
          </cell>
        </row>
        <row r="71">
          <cell r="A71" t="str">
            <v>686.110</v>
          </cell>
          <cell r="B71" t="str">
            <v>Laït gaûch vé khu vãû sinh 300x300</v>
          </cell>
          <cell r="C71" t="str">
            <v>m2</v>
          </cell>
          <cell r="D71">
            <v>13.44</v>
          </cell>
          <cell r="E71">
            <v>0.21</v>
          </cell>
          <cell r="F71">
            <v>38.18</v>
          </cell>
          <cell r="H71">
            <v>0.25</v>
          </cell>
          <cell r="K71">
            <v>0</v>
          </cell>
          <cell r="L71">
            <v>0</v>
          </cell>
          <cell r="M71">
            <v>0</v>
          </cell>
          <cell r="N71">
            <v>0</v>
          </cell>
          <cell r="O71">
            <v>13.51</v>
          </cell>
          <cell r="P71">
            <v>0</v>
          </cell>
          <cell r="Q71">
            <v>26.88</v>
          </cell>
          <cell r="R71">
            <v>0</v>
          </cell>
          <cell r="S71">
            <v>0</v>
          </cell>
          <cell r="T71">
            <v>0</v>
          </cell>
          <cell r="U71">
            <v>0</v>
          </cell>
          <cell r="V71">
            <v>0</v>
          </cell>
          <cell r="W71">
            <v>0</v>
          </cell>
          <cell r="X71">
            <v>0</v>
          </cell>
        </row>
        <row r="72">
          <cell r="A72">
            <v>0</v>
          </cell>
          <cell r="B72" t="str">
            <v xml:space="preserve">b, Bãø tæû hoaûi : </v>
          </cell>
          <cell r="C72">
            <v>0</v>
          </cell>
          <cell r="D72">
            <v>0</v>
          </cell>
        </row>
        <row r="73">
          <cell r="A73" t="str">
            <v>221.110</v>
          </cell>
          <cell r="B73" t="str">
            <v xml:space="preserve">Bã täng loït âaï 4x6 M100 bãø tæû hoaûi </v>
          </cell>
          <cell r="C73" t="str">
            <v>m3</v>
          </cell>
          <cell r="D73">
            <v>2.38</v>
          </cell>
          <cell r="E73">
            <v>2.44</v>
          </cell>
          <cell r="F73">
            <v>490</v>
          </cell>
          <cell r="G73">
            <v>1.2</v>
          </cell>
          <cell r="J73">
            <v>2.25</v>
          </cell>
          <cell r="K73">
            <v>0</v>
          </cell>
          <cell r="L73">
            <v>0</v>
          </cell>
          <cell r="M73">
            <v>0</v>
          </cell>
          <cell r="N73">
            <v>0</v>
          </cell>
          <cell r="O73">
            <v>0</v>
          </cell>
          <cell r="P73">
            <v>0</v>
          </cell>
          <cell r="Q73">
            <v>0</v>
          </cell>
          <cell r="R73">
            <v>0</v>
          </cell>
          <cell r="S73">
            <v>0</v>
          </cell>
          <cell r="T73">
            <v>0</v>
          </cell>
          <cell r="U73">
            <v>0</v>
          </cell>
          <cell r="V73">
            <v>0</v>
          </cell>
          <cell r="W73">
            <v>0</v>
          </cell>
          <cell r="X73">
            <v>0</v>
          </cell>
        </row>
        <row r="74">
          <cell r="A74" t="str">
            <v>204.410</v>
          </cell>
          <cell r="B74" t="str">
            <v xml:space="preserve">Xáy tæåìng häú ga væîa XM M75 gaûch âàûc </v>
          </cell>
          <cell r="C74" t="str">
            <v>m3</v>
          </cell>
          <cell r="D74">
            <v>10.3</v>
          </cell>
          <cell r="E74">
            <v>3.09</v>
          </cell>
          <cell r="F74">
            <v>795.83</v>
          </cell>
          <cell r="H74">
            <v>3.45</v>
          </cell>
          <cell r="K74">
            <v>0</v>
          </cell>
          <cell r="L74">
            <v>0</v>
          </cell>
          <cell r="M74">
            <v>8446</v>
          </cell>
          <cell r="N74">
            <v>0</v>
          </cell>
          <cell r="O74">
            <v>0</v>
          </cell>
          <cell r="P74">
            <v>0</v>
          </cell>
          <cell r="Q74">
            <v>0</v>
          </cell>
          <cell r="R74">
            <v>0</v>
          </cell>
          <cell r="S74">
            <v>0</v>
          </cell>
          <cell r="T74">
            <v>0</v>
          </cell>
          <cell r="U74">
            <v>0</v>
          </cell>
          <cell r="V74">
            <v>0</v>
          </cell>
          <cell r="W74">
            <v>0</v>
          </cell>
          <cell r="X74">
            <v>0.03</v>
          </cell>
        </row>
        <row r="75">
          <cell r="A75" t="str">
            <v>651.150</v>
          </cell>
          <cell r="B75" t="str">
            <v>Traït thaình trong bãø tæû hoaûi væîa XM M75 daìy 20</v>
          </cell>
          <cell r="C75" t="str">
            <v>m2</v>
          </cell>
          <cell r="D75">
            <v>65.099999999999994</v>
          </cell>
          <cell r="E75">
            <v>1.5</v>
          </cell>
          <cell r="F75">
            <v>386.33</v>
          </cell>
          <cell r="H75">
            <v>1.68</v>
          </cell>
          <cell r="K75">
            <v>0</v>
          </cell>
          <cell r="L75">
            <v>0</v>
          </cell>
          <cell r="M75">
            <v>0</v>
          </cell>
          <cell r="N75">
            <v>0</v>
          </cell>
          <cell r="O75">
            <v>0</v>
          </cell>
          <cell r="P75">
            <v>0</v>
          </cell>
          <cell r="Q75">
            <v>0</v>
          </cell>
          <cell r="R75">
            <v>0</v>
          </cell>
          <cell r="S75">
            <v>0</v>
          </cell>
          <cell r="T75">
            <v>0</v>
          </cell>
          <cell r="U75">
            <v>0</v>
          </cell>
          <cell r="V75">
            <v>0</v>
          </cell>
          <cell r="W75">
            <v>0</v>
          </cell>
          <cell r="X75">
            <v>0</v>
          </cell>
        </row>
        <row r="76">
          <cell r="A76" t="str">
            <v>651.330</v>
          </cell>
          <cell r="B76" t="str">
            <v xml:space="preserve">Âaïnh maìu bàòng XM nguyãn cháút bãø tæû hoaûi </v>
          </cell>
          <cell r="C76" t="str">
            <v>m2</v>
          </cell>
          <cell r="D76">
            <v>65.099999999999994</v>
          </cell>
          <cell r="F76">
            <v>74</v>
          </cell>
          <cell r="K76">
            <v>0</v>
          </cell>
          <cell r="L76">
            <v>0</v>
          </cell>
          <cell r="M76">
            <v>0</v>
          </cell>
          <cell r="N76">
            <v>0</v>
          </cell>
          <cell r="O76">
            <v>0</v>
          </cell>
          <cell r="P76">
            <v>0</v>
          </cell>
          <cell r="Q76">
            <v>0</v>
          </cell>
          <cell r="R76">
            <v>0</v>
          </cell>
          <cell r="S76">
            <v>0</v>
          </cell>
          <cell r="T76">
            <v>0</v>
          </cell>
          <cell r="U76">
            <v>0</v>
          </cell>
          <cell r="V76">
            <v>0</v>
          </cell>
          <cell r="W76">
            <v>0</v>
          </cell>
          <cell r="X76">
            <v>0</v>
          </cell>
        </row>
        <row r="77">
          <cell r="A77" t="str">
            <v>671.110</v>
          </cell>
          <cell r="B77" t="str">
            <v xml:space="preserve">Laïng âaïy bãø væîa XM M75 daìy 20 âaïnh maìu </v>
          </cell>
          <cell r="C77" t="str">
            <v>m2</v>
          </cell>
          <cell r="D77">
            <v>8.64</v>
          </cell>
          <cell r="E77">
            <v>0.22</v>
          </cell>
          <cell r="F77">
            <v>56.66</v>
          </cell>
          <cell r="H77">
            <v>0.25</v>
          </cell>
          <cell r="K77">
            <v>0</v>
          </cell>
          <cell r="L77">
            <v>0</v>
          </cell>
          <cell r="M77">
            <v>0</v>
          </cell>
          <cell r="N77">
            <v>0</v>
          </cell>
          <cell r="O77">
            <v>0</v>
          </cell>
          <cell r="P77">
            <v>0</v>
          </cell>
          <cell r="Q77">
            <v>0</v>
          </cell>
          <cell r="R77">
            <v>0</v>
          </cell>
          <cell r="S77">
            <v>0</v>
          </cell>
          <cell r="T77">
            <v>0</v>
          </cell>
          <cell r="U77">
            <v>0</v>
          </cell>
          <cell r="V77">
            <v>0</v>
          </cell>
          <cell r="W77">
            <v>0</v>
          </cell>
          <cell r="X77">
            <v>0</v>
          </cell>
        </row>
        <row r="78">
          <cell r="A78" t="str">
            <v>651.130</v>
          </cell>
          <cell r="B78" t="str">
            <v>Traït thaình ngoaìi bãø tæû hoaûi væîa XM M50 daìy 15</v>
          </cell>
          <cell r="C78" t="str">
            <v>m2</v>
          </cell>
          <cell r="D78">
            <v>15.08</v>
          </cell>
          <cell r="E78">
            <v>0.26</v>
          </cell>
          <cell r="F78">
            <v>47.27</v>
          </cell>
          <cell r="H78">
            <v>0.31</v>
          </cell>
          <cell r="K78">
            <v>0</v>
          </cell>
          <cell r="L78">
            <v>0</v>
          </cell>
          <cell r="M78">
            <v>0</v>
          </cell>
          <cell r="N78">
            <v>0</v>
          </cell>
          <cell r="O78">
            <v>0</v>
          </cell>
          <cell r="P78">
            <v>0</v>
          </cell>
          <cell r="Q78">
            <v>0</v>
          </cell>
          <cell r="R78">
            <v>0</v>
          </cell>
          <cell r="S78">
            <v>0</v>
          </cell>
          <cell r="T78">
            <v>0</v>
          </cell>
          <cell r="U78">
            <v>0</v>
          </cell>
          <cell r="V78">
            <v>0</v>
          </cell>
          <cell r="W78">
            <v>0</v>
          </cell>
          <cell r="X78">
            <v>0</v>
          </cell>
        </row>
        <row r="79">
          <cell r="A79" t="str">
            <v>300.510</v>
          </cell>
          <cell r="B79" t="str">
            <v xml:space="preserve">Bã täng táúm âan M200 âaï 1x2 âuïc sàôn </v>
          </cell>
          <cell r="C79" t="str">
            <v>m3</v>
          </cell>
          <cell r="D79">
            <v>1.38</v>
          </cell>
          <cell r="E79">
            <v>1.4</v>
          </cell>
          <cell r="F79">
            <v>455.28</v>
          </cell>
          <cell r="G79">
            <v>0.57999999999999996</v>
          </cell>
          <cell r="I79">
            <v>1.18</v>
          </cell>
          <cell r="K79">
            <v>0</v>
          </cell>
          <cell r="L79">
            <v>0</v>
          </cell>
          <cell r="M79">
            <v>0</v>
          </cell>
          <cell r="N79">
            <v>0</v>
          </cell>
          <cell r="O79">
            <v>0</v>
          </cell>
          <cell r="P79">
            <v>0</v>
          </cell>
          <cell r="Q79">
            <v>0</v>
          </cell>
          <cell r="R79">
            <v>0</v>
          </cell>
          <cell r="S79">
            <v>0</v>
          </cell>
          <cell r="T79">
            <v>0</v>
          </cell>
          <cell r="U79">
            <v>0</v>
          </cell>
          <cell r="V79">
            <v>0</v>
          </cell>
          <cell r="W79">
            <v>0</v>
          </cell>
          <cell r="X79">
            <v>0.02</v>
          </cell>
        </row>
        <row r="80">
          <cell r="A80">
            <v>0</v>
          </cell>
          <cell r="B80" t="str">
            <v xml:space="preserve">c, Bãúp : </v>
          </cell>
          <cell r="C80">
            <v>0</v>
          </cell>
          <cell r="D80">
            <v>0</v>
          </cell>
        </row>
        <row r="81">
          <cell r="A81" t="str">
            <v>204.410</v>
          </cell>
          <cell r="B81" t="str">
            <v xml:space="preserve">Xáy tæåìng 110 væîa XM M50 gaûch âàûc </v>
          </cell>
          <cell r="C81" t="str">
            <v>m3</v>
          </cell>
          <cell r="D81">
            <v>0.75</v>
          </cell>
          <cell r="E81">
            <v>0.23</v>
          </cell>
          <cell r="F81">
            <v>41.81</v>
          </cell>
          <cell r="H81">
            <v>0.27</v>
          </cell>
          <cell r="K81">
            <v>0</v>
          </cell>
          <cell r="L81">
            <v>0</v>
          </cell>
          <cell r="M81">
            <v>615</v>
          </cell>
          <cell r="N81">
            <v>0</v>
          </cell>
          <cell r="O81">
            <v>0</v>
          </cell>
          <cell r="P81">
            <v>0</v>
          </cell>
          <cell r="Q81">
            <v>0</v>
          </cell>
          <cell r="R81">
            <v>0</v>
          </cell>
          <cell r="S81">
            <v>0</v>
          </cell>
          <cell r="T81">
            <v>0</v>
          </cell>
          <cell r="U81">
            <v>0</v>
          </cell>
          <cell r="V81">
            <v>0</v>
          </cell>
          <cell r="W81">
            <v>0</v>
          </cell>
          <cell r="X81">
            <v>0</v>
          </cell>
        </row>
        <row r="82">
          <cell r="A82" t="str">
            <v>651.130</v>
          </cell>
          <cell r="B82" t="str">
            <v xml:space="preserve">Traït tæåìng væîa XM M75 bãû bãúp </v>
          </cell>
          <cell r="C82" t="str">
            <v>m2</v>
          </cell>
          <cell r="D82">
            <v>13.72</v>
          </cell>
          <cell r="E82">
            <v>0.23</v>
          </cell>
          <cell r="F82">
            <v>59.24</v>
          </cell>
          <cell r="H82">
            <v>0.26</v>
          </cell>
          <cell r="K82">
            <v>0</v>
          </cell>
          <cell r="L82">
            <v>0</v>
          </cell>
          <cell r="M82">
            <v>0</v>
          </cell>
          <cell r="N82">
            <v>0</v>
          </cell>
          <cell r="O82">
            <v>0</v>
          </cell>
          <cell r="P82">
            <v>0</v>
          </cell>
          <cell r="Q82">
            <v>0</v>
          </cell>
          <cell r="R82">
            <v>0</v>
          </cell>
          <cell r="S82">
            <v>0</v>
          </cell>
          <cell r="T82">
            <v>0</v>
          </cell>
          <cell r="U82">
            <v>0</v>
          </cell>
          <cell r="V82">
            <v>0</v>
          </cell>
          <cell r="W82">
            <v>0</v>
          </cell>
          <cell r="X82">
            <v>0</v>
          </cell>
        </row>
        <row r="83">
          <cell r="A83" t="str">
            <v>701.110</v>
          </cell>
          <cell r="B83" t="str">
            <v xml:space="preserve">Queït väi thaình bãû bãúp 1 tràõng 2 maìu </v>
          </cell>
          <cell r="C83" t="str">
            <v>m2</v>
          </cell>
          <cell r="D83">
            <v>13.72</v>
          </cell>
          <cell r="E83">
            <v>0</v>
          </cell>
          <cell r="K83">
            <v>0</v>
          </cell>
          <cell r="L83">
            <v>0</v>
          </cell>
          <cell r="M83">
            <v>0</v>
          </cell>
          <cell r="N83">
            <v>0</v>
          </cell>
          <cell r="O83">
            <v>0</v>
          </cell>
          <cell r="P83">
            <v>0</v>
          </cell>
          <cell r="Q83">
            <v>0</v>
          </cell>
          <cell r="R83">
            <v>0.27</v>
          </cell>
          <cell r="S83">
            <v>4.12</v>
          </cell>
          <cell r="T83">
            <v>0</v>
          </cell>
          <cell r="U83">
            <v>0</v>
          </cell>
          <cell r="V83">
            <v>0</v>
          </cell>
          <cell r="W83">
            <v>0</v>
          </cell>
          <cell r="X83">
            <v>0</v>
          </cell>
        </row>
        <row r="84">
          <cell r="A84" t="str">
            <v>300.510</v>
          </cell>
          <cell r="B84" t="str">
            <v xml:space="preserve">Bã täng táúm âan bãû bãúp </v>
          </cell>
          <cell r="C84" t="str">
            <v>m3</v>
          </cell>
          <cell r="D84">
            <v>0.34</v>
          </cell>
          <cell r="E84">
            <v>0.35</v>
          </cell>
          <cell r="F84">
            <v>113.82</v>
          </cell>
          <cell r="G84">
            <v>0.14000000000000001</v>
          </cell>
          <cell r="I84">
            <v>0.28999999999999998</v>
          </cell>
          <cell r="K84">
            <v>0</v>
          </cell>
          <cell r="L84">
            <v>0</v>
          </cell>
          <cell r="M84">
            <v>0</v>
          </cell>
          <cell r="N84">
            <v>0</v>
          </cell>
          <cell r="O84">
            <v>0</v>
          </cell>
          <cell r="P84">
            <v>0</v>
          </cell>
          <cell r="Q84">
            <v>0</v>
          </cell>
          <cell r="R84">
            <v>0</v>
          </cell>
          <cell r="S84">
            <v>0</v>
          </cell>
          <cell r="T84">
            <v>0</v>
          </cell>
          <cell r="U84">
            <v>0</v>
          </cell>
          <cell r="V84">
            <v>0</v>
          </cell>
          <cell r="W84">
            <v>0</v>
          </cell>
          <cell r="X84">
            <v>0.01</v>
          </cell>
        </row>
        <row r="85">
          <cell r="A85" t="str">
            <v>651.320</v>
          </cell>
          <cell r="B85" t="str">
            <v>Traït thaình dæåïi vaì trãn bãû bãúp væîa XM M75 daìy 15</v>
          </cell>
          <cell r="C85" t="str">
            <v>m2</v>
          </cell>
          <cell r="D85">
            <v>9.8000000000000007</v>
          </cell>
          <cell r="E85">
            <v>0.18</v>
          </cell>
          <cell r="F85">
            <v>46.36</v>
          </cell>
          <cell r="H85">
            <v>0.2</v>
          </cell>
          <cell r="K85">
            <v>0</v>
          </cell>
          <cell r="L85">
            <v>0</v>
          </cell>
          <cell r="M85">
            <v>0</v>
          </cell>
          <cell r="N85">
            <v>0</v>
          </cell>
          <cell r="O85">
            <v>0</v>
          </cell>
          <cell r="P85">
            <v>0</v>
          </cell>
          <cell r="Q85">
            <v>0</v>
          </cell>
          <cell r="R85">
            <v>0</v>
          </cell>
          <cell r="S85">
            <v>0</v>
          </cell>
          <cell r="T85">
            <v>0</v>
          </cell>
          <cell r="U85">
            <v>0</v>
          </cell>
          <cell r="V85">
            <v>0</v>
          </cell>
          <cell r="W85">
            <v>0</v>
          </cell>
          <cell r="X85">
            <v>0</v>
          </cell>
        </row>
        <row r="86">
          <cell r="A86" t="str">
            <v>651.330</v>
          </cell>
          <cell r="B86" t="str">
            <v xml:space="preserve">Âaïnh maìu màût trãn bãû bãúp </v>
          </cell>
          <cell r="C86" t="str">
            <v>m2</v>
          </cell>
          <cell r="D86">
            <v>4.9000000000000004</v>
          </cell>
          <cell r="K86">
            <v>0</v>
          </cell>
          <cell r="L86">
            <v>0</v>
          </cell>
          <cell r="M86">
            <v>0</v>
          </cell>
          <cell r="N86">
            <v>0</v>
          </cell>
          <cell r="O86">
            <v>0</v>
          </cell>
          <cell r="P86">
            <v>0</v>
          </cell>
          <cell r="Q86">
            <v>0</v>
          </cell>
          <cell r="R86">
            <v>0</v>
          </cell>
          <cell r="S86">
            <v>0</v>
          </cell>
          <cell r="T86">
            <v>0</v>
          </cell>
          <cell r="U86">
            <v>0</v>
          </cell>
          <cell r="V86">
            <v>0</v>
          </cell>
          <cell r="W86">
            <v>0</v>
          </cell>
          <cell r="X86">
            <v>0</v>
          </cell>
        </row>
        <row r="87">
          <cell r="A87">
            <v>0</v>
          </cell>
          <cell r="B87" t="str">
            <v>d, Häú ga :</v>
          </cell>
          <cell r="C87">
            <v>0</v>
          </cell>
          <cell r="D87">
            <v>0</v>
          </cell>
        </row>
        <row r="88">
          <cell r="A88" t="str">
            <v>221.110</v>
          </cell>
          <cell r="B88" t="str">
            <v>Bã täng loït âaï 4x6 M50</v>
          </cell>
          <cell r="C88" t="str">
            <v>m3</v>
          </cell>
          <cell r="D88">
            <v>0.56999999999999995</v>
          </cell>
          <cell r="E88">
            <v>0.57999999999999996</v>
          </cell>
          <cell r="F88">
            <v>90</v>
          </cell>
          <cell r="G88">
            <v>0.25</v>
          </cell>
          <cell r="J88">
            <v>0.43</v>
          </cell>
          <cell r="K88">
            <v>0</v>
          </cell>
          <cell r="L88">
            <v>0</v>
          </cell>
          <cell r="M88">
            <v>0</v>
          </cell>
          <cell r="N88">
            <v>0</v>
          </cell>
          <cell r="O88">
            <v>0</v>
          </cell>
          <cell r="P88">
            <v>0</v>
          </cell>
          <cell r="Q88">
            <v>0</v>
          </cell>
          <cell r="R88">
            <v>0</v>
          </cell>
          <cell r="S88">
            <v>0</v>
          </cell>
          <cell r="T88">
            <v>0</v>
          </cell>
          <cell r="U88">
            <v>0</v>
          </cell>
          <cell r="V88">
            <v>0</v>
          </cell>
          <cell r="W88">
            <v>0</v>
          </cell>
          <cell r="X88">
            <v>0</v>
          </cell>
        </row>
        <row r="89">
          <cell r="A89" t="str">
            <v>204.410</v>
          </cell>
          <cell r="B89" t="str">
            <v>Xáy tæåìng 110 häú ga væîa XM M75</v>
          </cell>
          <cell r="C89" t="str">
            <v>m3</v>
          </cell>
          <cell r="D89">
            <v>1.08</v>
          </cell>
          <cell r="E89">
            <v>0.32</v>
          </cell>
          <cell r="F89">
            <v>82.42</v>
          </cell>
          <cell r="H89">
            <v>0.36</v>
          </cell>
          <cell r="K89">
            <v>0</v>
          </cell>
          <cell r="L89">
            <v>0</v>
          </cell>
          <cell r="M89">
            <v>885.6</v>
          </cell>
          <cell r="N89">
            <v>0</v>
          </cell>
          <cell r="O89">
            <v>0</v>
          </cell>
          <cell r="P89">
            <v>0</v>
          </cell>
          <cell r="Q89">
            <v>0</v>
          </cell>
          <cell r="R89">
            <v>0</v>
          </cell>
          <cell r="S89">
            <v>0</v>
          </cell>
          <cell r="T89">
            <v>0</v>
          </cell>
          <cell r="U89">
            <v>0</v>
          </cell>
          <cell r="V89">
            <v>0</v>
          </cell>
          <cell r="W89">
            <v>0</v>
          </cell>
          <cell r="X89">
            <v>0</v>
          </cell>
        </row>
        <row r="90">
          <cell r="A90" t="str">
            <v>651.130</v>
          </cell>
          <cell r="B90" t="str">
            <v>Traït thaình trong vaì ngoaìi häú ga væîa XM M50 daìy 15</v>
          </cell>
          <cell r="C90" t="str">
            <v>m2</v>
          </cell>
          <cell r="D90">
            <v>19.600000000000001</v>
          </cell>
          <cell r="E90">
            <v>0.33</v>
          </cell>
          <cell r="F90">
            <v>59.99</v>
          </cell>
          <cell r="H90">
            <v>0.39</v>
          </cell>
          <cell r="K90">
            <v>0</v>
          </cell>
          <cell r="L90">
            <v>0</v>
          </cell>
          <cell r="M90">
            <v>0</v>
          </cell>
          <cell r="N90">
            <v>0</v>
          </cell>
          <cell r="O90">
            <v>0</v>
          </cell>
          <cell r="P90">
            <v>0</v>
          </cell>
          <cell r="Q90">
            <v>0</v>
          </cell>
          <cell r="R90">
            <v>0</v>
          </cell>
          <cell r="S90">
            <v>0</v>
          </cell>
          <cell r="T90">
            <v>0</v>
          </cell>
          <cell r="U90">
            <v>0</v>
          </cell>
          <cell r="V90">
            <v>0</v>
          </cell>
          <cell r="W90">
            <v>0</v>
          </cell>
          <cell r="X90">
            <v>0</v>
          </cell>
        </row>
        <row r="91">
          <cell r="A91" t="str">
            <v>300.510</v>
          </cell>
          <cell r="B91" t="str">
            <v xml:space="preserve">Bã täng táúm âan M200 âaï 1x2 </v>
          </cell>
          <cell r="C91" t="str">
            <v>m3</v>
          </cell>
          <cell r="D91">
            <v>0.24</v>
          </cell>
          <cell r="E91">
            <v>0.24</v>
          </cell>
          <cell r="F91">
            <v>78.05</v>
          </cell>
          <cell r="G91">
            <v>0.1</v>
          </cell>
          <cell r="I91">
            <v>0.2</v>
          </cell>
          <cell r="K91">
            <v>0</v>
          </cell>
          <cell r="L91">
            <v>0</v>
          </cell>
          <cell r="M91">
            <v>0</v>
          </cell>
          <cell r="N91">
            <v>0</v>
          </cell>
          <cell r="O91">
            <v>0</v>
          </cell>
          <cell r="P91">
            <v>0</v>
          </cell>
          <cell r="Q91">
            <v>0</v>
          </cell>
          <cell r="R91">
            <v>0</v>
          </cell>
          <cell r="S91">
            <v>0</v>
          </cell>
          <cell r="T91">
            <v>0</v>
          </cell>
          <cell r="U91">
            <v>0</v>
          </cell>
          <cell r="V91">
            <v>0</v>
          </cell>
          <cell r="W91">
            <v>0</v>
          </cell>
          <cell r="X91">
            <v>0</v>
          </cell>
        </row>
        <row r="92">
          <cell r="A92">
            <v>0</v>
          </cell>
          <cell r="B92" t="str">
            <v xml:space="preserve">V. THAÏP NÆÅÏC </v>
          </cell>
          <cell r="C92">
            <v>0</v>
          </cell>
          <cell r="D92">
            <v>0</v>
          </cell>
          <cell r="F92">
            <v>3249.1</v>
          </cell>
          <cell r="G92">
            <v>3.69</v>
          </cell>
          <cell r="H92">
            <v>2.11</v>
          </cell>
          <cell r="I92">
            <v>6.3500000000000005</v>
          </cell>
          <cell r="J92">
            <v>1.1000000000000001</v>
          </cell>
          <cell r="K92">
            <v>0</v>
          </cell>
          <cell r="L92">
            <v>0</v>
          </cell>
          <cell r="M92">
            <v>1385.8</v>
          </cell>
          <cell r="N92">
            <v>0</v>
          </cell>
          <cell r="O92">
            <v>0</v>
          </cell>
          <cell r="P92">
            <v>0</v>
          </cell>
          <cell r="Q92">
            <v>0</v>
          </cell>
          <cell r="R92">
            <v>0.83</v>
          </cell>
          <cell r="S92">
            <v>12.49</v>
          </cell>
          <cell r="T92">
            <v>0</v>
          </cell>
          <cell r="U92">
            <v>0</v>
          </cell>
          <cell r="V92">
            <v>0</v>
          </cell>
          <cell r="W92">
            <v>0</v>
          </cell>
          <cell r="X92">
            <v>0.8600000000000001</v>
          </cell>
        </row>
        <row r="93">
          <cell r="A93" t="str">
            <v>221.110</v>
          </cell>
          <cell r="B93" t="str">
            <v>Bã täng loït moïng âaï 4x6 M100</v>
          </cell>
          <cell r="C93" t="str">
            <v>m3</v>
          </cell>
          <cell r="D93">
            <v>1.1599999999999999</v>
          </cell>
          <cell r="E93">
            <v>1.19</v>
          </cell>
          <cell r="F93">
            <v>239</v>
          </cell>
          <cell r="G93">
            <v>0.57999999999999996</v>
          </cell>
          <cell r="J93">
            <v>1.1000000000000001</v>
          </cell>
          <cell r="K93">
            <v>0</v>
          </cell>
          <cell r="L93">
            <v>0</v>
          </cell>
          <cell r="M93">
            <v>0</v>
          </cell>
          <cell r="N93">
            <v>0</v>
          </cell>
          <cell r="O93">
            <v>0</v>
          </cell>
          <cell r="P93">
            <v>0</v>
          </cell>
          <cell r="Q93">
            <v>0</v>
          </cell>
          <cell r="R93">
            <v>0</v>
          </cell>
          <cell r="S93">
            <v>0</v>
          </cell>
          <cell r="T93">
            <v>0</v>
          </cell>
          <cell r="U93">
            <v>0</v>
          </cell>
          <cell r="V93">
            <v>0</v>
          </cell>
          <cell r="W93">
            <v>0</v>
          </cell>
          <cell r="X93">
            <v>0</v>
          </cell>
        </row>
        <row r="94">
          <cell r="A94" t="str">
            <v>221.340</v>
          </cell>
          <cell r="B94" t="str">
            <v>Bã täng moïng cäüt M200 âaï 1x2</v>
          </cell>
          <cell r="C94" t="str">
            <v>m3</v>
          </cell>
          <cell r="D94">
            <v>4.29</v>
          </cell>
          <cell r="E94">
            <v>4.4000000000000004</v>
          </cell>
          <cell r="F94">
            <v>1430.88</v>
          </cell>
          <cell r="G94">
            <v>1.81</v>
          </cell>
          <cell r="I94">
            <v>3.7</v>
          </cell>
          <cell r="K94">
            <v>0</v>
          </cell>
          <cell r="L94">
            <v>0</v>
          </cell>
          <cell r="M94">
            <v>0</v>
          </cell>
          <cell r="N94">
            <v>0</v>
          </cell>
          <cell r="O94">
            <v>0</v>
          </cell>
          <cell r="P94">
            <v>0</v>
          </cell>
          <cell r="Q94">
            <v>0</v>
          </cell>
          <cell r="R94">
            <v>0</v>
          </cell>
          <cell r="S94">
            <v>0</v>
          </cell>
          <cell r="T94">
            <v>0</v>
          </cell>
          <cell r="U94">
            <v>0</v>
          </cell>
          <cell r="V94">
            <v>0</v>
          </cell>
          <cell r="W94">
            <v>0</v>
          </cell>
          <cell r="X94">
            <v>7.0000000000000007E-2</v>
          </cell>
        </row>
        <row r="95">
          <cell r="A95" t="str">
            <v>226.210</v>
          </cell>
          <cell r="B95" t="str">
            <v xml:space="preserve">Bã täng thaïp næåïc M200 âaï 1x2 </v>
          </cell>
          <cell r="C95" t="str">
            <v>m3</v>
          </cell>
          <cell r="D95">
            <v>2.73</v>
          </cell>
          <cell r="E95">
            <v>2.8</v>
          </cell>
          <cell r="F95">
            <v>910.56</v>
          </cell>
          <cell r="G95">
            <v>1.1499999999999999</v>
          </cell>
          <cell r="I95">
            <v>2.35</v>
          </cell>
          <cell r="K95">
            <v>0</v>
          </cell>
          <cell r="L95">
            <v>0</v>
          </cell>
          <cell r="M95">
            <v>0</v>
          </cell>
          <cell r="N95">
            <v>0</v>
          </cell>
          <cell r="O95">
            <v>0</v>
          </cell>
          <cell r="P95">
            <v>0</v>
          </cell>
          <cell r="Q95">
            <v>0</v>
          </cell>
          <cell r="R95">
            <v>0</v>
          </cell>
          <cell r="S95">
            <v>0</v>
          </cell>
          <cell r="T95">
            <v>0</v>
          </cell>
          <cell r="U95">
            <v>0</v>
          </cell>
          <cell r="V95">
            <v>0</v>
          </cell>
          <cell r="W95">
            <v>0</v>
          </cell>
          <cell r="X95">
            <v>0.76</v>
          </cell>
        </row>
        <row r="96">
          <cell r="A96" t="str">
            <v>204.420</v>
          </cell>
          <cell r="B96" t="str">
            <v>Xáy thaình thaïp næåïc gaûch âàûc væîa XM M75 daìy 20</v>
          </cell>
          <cell r="C96" t="str">
            <v>m3</v>
          </cell>
          <cell r="D96">
            <v>1.69</v>
          </cell>
          <cell r="E96">
            <v>0.51</v>
          </cell>
          <cell r="F96">
            <v>131.35</v>
          </cell>
          <cell r="H96">
            <v>0.56999999999999995</v>
          </cell>
          <cell r="K96">
            <v>0</v>
          </cell>
          <cell r="L96">
            <v>0</v>
          </cell>
          <cell r="M96">
            <v>1385.8</v>
          </cell>
          <cell r="N96">
            <v>0</v>
          </cell>
          <cell r="O96">
            <v>0</v>
          </cell>
          <cell r="P96">
            <v>0</v>
          </cell>
          <cell r="Q96">
            <v>0</v>
          </cell>
          <cell r="R96">
            <v>0</v>
          </cell>
          <cell r="S96">
            <v>0</v>
          </cell>
          <cell r="T96">
            <v>0</v>
          </cell>
          <cell r="U96">
            <v>0</v>
          </cell>
          <cell r="V96">
            <v>0</v>
          </cell>
          <cell r="W96">
            <v>0</v>
          </cell>
          <cell r="X96">
            <v>0.02</v>
          </cell>
        </row>
        <row r="97">
          <cell r="A97" t="str">
            <v>300.510</v>
          </cell>
          <cell r="B97" t="str">
            <v xml:space="preserve">Bã täng táúm âan âáûy bãø M200 âaï 1x2 </v>
          </cell>
          <cell r="C97" t="str">
            <v>m3</v>
          </cell>
          <cell r="D97">
            <v>0.35</v>
          </cell>
          <cell r="E97">
            <v>0.36</v>
          </cell>
          <cell r="F97">
            <v>117.07</v>
          </cell>
          <cell r="G97">
            <v>0.15</v>
          </cell>
          <cell r="I97">
            <v>0.3</v>
          </cell>
          <cell r="K97">
            <v>0</v>
          </cell>
          <cell r="L97">
            <v>0</v>
          </cell>
          <cell r="M97">
            <v>0</v>
          </cell>
          <cell r="N97">
            <v>0</v>
          </cell>
          <cell r="O97">
            <v>0</v>
          </cell>
          <cell r="P97">
            <v>0</v>
          </cell>
          <cell r="Q97">
            <v>0</v>
          </cell>
          <cell r="R97">
            <v>0</v>
          </cell>
          <cell r="S97">
            <v>0</v>
          </cell>
          <cell r="T97">
            <v>0</v>
          </cell>
          <cell r="U97">
            <v>0</v>
          </cell>
          <cell r="V97">
            <v>0</v>
          </cell>
          <cell r="W97">
            <v>0</v>
          </cell>
          <cell r="X97">
            <v>0.01</v>
          </cell>
        </row>
        <row r="98">
          <cell r="A98" t="str">
            <v>651.140</v>
          </cell>
          <cell r="B98" t="str">
            <v>Traït thaình trong bãø næåïc 2 låïp væîa XM M75</v>
          </cell>
          <cell r="C98" t="str">
            <v>m2</v>
          </cell>
          <cell r="D98">
            <v>21.83</v>
          </cell>
          <cell r="E98">
            <v>0.37</v>
          </cell>
          <cell r="F98">
            <v>95.29</v>
          </cell>
          <cell r="H98">
            <v>0.41</v>
          </cell>
          <cell r="K98">
            <v>0</v>
          </cell>
          <cell r="L98">
            <v>0</v>
          </cell>
          <cell r="M98">
            <v>0</v>
          </cell>
          <cell r="N98">
            <v>0</v>
          </cell>
          <cell r="O98">
            <v>0</v>
          </cell>
          <cell r="P98">
            <v>0</v>
          </cell>
          <cell r="Q98">
            <v>0</v>
          </cell>
          <cell r="R98">
            <v>0</v>
          </cell>
          <cell r="S98">
            <v>0</v>
          </cell>
          <cell r="T98">
            <v>0</v>
          </cell>
          <cell r="U98">
            <v>0</v>
          </cell>
          <cell r="V98">
            <v>0</v>
          </cell>
          <cell r="W98">
            <v>0</v>
          </cell>
          <cell r="X98">
            <v>0</v>
          </cell>
        </row>
        <row r="99">
          <cell r="A99" t="str">
            <v>651.330</v>
          </cell>
          <cell r="B99" t="str">
            <v xml:space="preserve">Âaïnh maìu bàòng XM nguyãn cháút thaình bãø </v>
          </cell>
          <cell r="C99" t="str">
            <v>m2</v>
          </cell>
          <cell r="D99">
            <v>21.83</v>
          </cell>
          <cell r="F99">
            <v>25</v>
          </cell>
          <cell r="K99">
            <v>0</v>
          </cell>
          <cell r="L99">
            <v>0</v>
          </cell>
          <cell r="M99">
            <v>0</v>
          </cell>
          <cell r="N99">
            <v>0</v>
          </cell>
          <cell r="O99">
            <v>0</v>
          </cell>
          <cell r="P99">
            <v>0</v>
          </cell>
          <cell r="Q99">
            <v>0</v>
          </cell>
          <cell r="R99">
            <v>0</v>
          </cell>
          <cell r="S99">
            <v>0</v>
          </cell>
          <cell r="T99">
            <v>0</v>
          </cell>
          <cell r="U99">
            <v>0</v>
          </cell>
          <cell r="V99">
            <v>0</v>
          </cell>
          <cell r="W99">
            <v>0</v>
          </cell>
          <cell r="X99">
            <v>0</v>
          </cell>
        </row>
        <row r="100">
          <cell r="A100" t="str">
            <v>672.120</v>
          </cell>
          <cell r="B100" t="str">
            <v xml:space="preserve">Laïng âaïy bãø væîa XM M75 daìy 20 âaïnh maìu </v>
          </cell>
          <cell r="C100" t="str">
            <v>m2</v>
          </cell>
          <cell r="D100">
            <v>5.76</v>
          </cell>
          <cell r="E100">
            <v>0.13</v>
          </cell>
          <cell r="F100">
            <v>33.479999999999997</v>
          </cell>
          <cell r="H100">
            <v>0.15</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row>
        <row r="101">
          <cell r="A101" t="str">
            <v>651.220</v>
          </cell>
          <cell r="B101" t="str">
            <v>Traït cäüt thaïp næåïc væîa XM M75 daìy 15</v>
          </cell>
          <cell r="C101" t="str">
            <v>m2</v>
          </cell>
          <cell r="D101">
            <v>12.8</v>
          </cell>
          <cell r="E101">
            <v>0.23</v>
          </cell>
          <cell r="F101">
            <v>59.24</v>
          </cell>
          <cell r="H101">
            <v>0.26</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row>
        <row r="102">
          <cell r="A102" t="str">
            <v>651.310</v>
          </cell>
          <cell r="B102" t="str">
            <v>Traït dáöm væîa XM M75 daìy 15 : Dáöm DB1</v>
          </cell>
          <cell r="C102" t="str">
            <v>m2</v>
          </cell>
          <cell r="D102">
            <v>9.6</v>
          </cell>
          <cell r="E102">
            <v>0.17</v>
          </cell>
          <cell r="F102">
            <v>43.78</v>
          </cell>
          <cell r="H102">
            <v>0.19</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row>
        <row r="103">
          <cell r="A103" t="str">
            <v>651.320</v>
          </cell>
          <cell r="B103" t="str">
            <v>Traït âaïy bãø væîa XM M75 daìy 15</v>
          </cell>
          <cell r="C103" t="str">
            <v>m2</v>
          </cell>
          <cell r="D103">
            <v>6.76</v>
          </cell>
          <cell r="E103">
            <v>0.12</v>
          </cell>
          <cell r="F103">
            <v>30.91</v>
          </cell>
          <cell r="H103">
            <v>0.13</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row>
        <row r="104">
          <cell r="A104" t="str">
            <v>651.140</v>
          </cell>
          <cell r="B104" t="str">
            <v>Traït thaình ngoaìi bãø væîa XM M75 daìy 15</v>
          </cell>
          <cell r="C104" t="str">
            <v>m2</v>
          </cell>
          <cell r="D104">
            <v>12.48</v>
          </cell>
          <cell r="E104">
            <v>0.21</v>
          </cell>
          <cell r="F104">
            <v>54.09</v>
          </cell>
          <cell r="H104">
            <v>0.23</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row>
        <row r="105">
          <cell r="A105" t="str">
            <v>651.510</v>
          </cell>
          <cell r="B105" t="str">
            <v>Traït âan væîa XM M50 daìy 15</v>
          </cell>
          <cell r="C105" t="str">
            <v>m2</v>
          </cell>
          <cell r="D105">
            <v>11.52</v>
          </cell>
          <cell r="E105">
            <v>0.14000000000000001</v>
          </cell>
          <cell r="F105">
            <v>25.45</v>
          </cell>
          <cell r="H105">
            <v>0.17</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row>
        <row r="106">
          <cell r="A106" t="str">
            <v>651.330</v>
          </cell>
          <cell r="B106" t="str">
            <v xml:space="preserve">Traït XM nguyãn cháút vaìo cáúu kiãûn bã täng </v>
          </cell>
          <cell r="C106" t="str">
            <v>m2</v>
          </cell>
          <cell r="D106">
            <v>46.44</v>
          </cell>
          <cell r="F106">
            <v>53</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row>
        <row r="107">
          <cell r="A107" t="str">
            <v>701.110</v>
          </cell>
          <cell r="B107" t="str">
            <v xml:space="preserve">Queït väi bãø næåïc 1 tràõng 2 maìu </v>
          </cell>
          <cell r="C107" t="str">
            <v>m2</v>
          </cell>
          <cell r="D107">
            <v>41.64</v>
          </cell>
          <cell r="E107">
            <v>0</v>
          </cell>
          <cell r="K107">
            <v>0</v>
          </cell>
          <cell r="L107">
            <v>0</v>
          </cell>
          <cell r="M107">
            <v>0</v>
          </cell>
          <cell r="N107">
            <v>0</v>
          </cell>
          <cell r="O107">
            <v>0</v>
          </cell>
          <cell r="P107">
            <v>0</v>
          </cell>
          <cell r="Q107">
            <v>0</v>
          </cell>
          <cell r="R107">
            <v>0.83</v>
          </cell>
          <cell r="S107">
            <v>12.49</v>
          </cell>
          <cell r="T107">
            <v>0</v>
          </cell>
          <cell r="U107">
            <v>0</v>
          </cell>
          <cell r="V107">
            <v>0</v>
          </cell>
          <cell r="W107">
            <v>0</v>
          </cell>
          <cell r="X107">
            <v>0</v>
          </cell>
        </row>
        <row r="108">
          <cell r="A108">
            <v>0</v>
          </cell>
          <cell r="B108" t="str">
            <v xml:space="preserve">VIII. HAÌNG RAÌO - CÄØNG NGOÎ </v>
          </cell>
          <cell r="C108">
            <v>0</v>
          </cell>
          <cell r="D108">
            <v>0</v>
          </cell>
          <cell r="F108">
            <v>1569.02</v>
          </cell>
          <cell r="G108">
            <v>1.3599999999999999</v>
          </cell>
          <cell r="H108">
            <v>4.63</v>
          </cell>
          <cell r="I108">
            <v>1.51</v>
          </cell>
          <cell r="J108">
            <v>1.06</v>
          </cell>
          <cell r="K108">
            <v>5.28</v>
          </cell>
          <cell r="L108">
            <v>0</v>
          </cell>
          <cell r="M108">
            <v>2314.7200000000003</v>
          </cell>
          <cell r="N108">
            <v>0</v>
          </cell>
          <cell r="O108">
            <v>0</v>
          </cell>
          <cell r="P108">
            <v>0</v>
          </cell>
          <cell r="Q108">
            <v>0</v>
          </cell>
          <cell r="R108">
            <v>1.3399999999999999</v>
          </cell>
          <cell r="S108">
            <v>20.18</v>
          </cell>
          <cell r="T108">
            <v>9.77</v>
          </cell>
          <cell r="U108">
            <v>0</v>
          </cell>
          <cell r="V108">
            <v>0</v>
          </cell>
          <cell r="W108">
            <v>0</v>
          </cell>
          <cell r="X108">
            <v>0.02</v>
          </cell>
        </row>
        <row r="109">
          <cell r="A109">
            <v>0</v>
          </cell>
          <cell r="B109" t="str">
            <v>1, Cäøng ngoî :</v>
          </cell>
          <cell r="C109">
            <v>0</v>
          </cell>
          <cell r="D109">
            <v>0</v>
          </cell>
        </row>
        <row r="110">
          <cell r="A110" t="str">
            <v>221.110</v>
          </cell>
          <cell r="B110" t="str">
            <v>Bã täng loït âaï 4x6 M50</v>
          </cell>
          <cell r="C110" t="str">
            <v>m3</v>
          </cell>
          <cell r="D110">
            <v>7.0000000000000007E-2</v>
          </cell>
          <cell r="E110">
            <v>7.0000000000000007E-2</v>
          </cell>
          <cell r="F110">
            <v>11</v>
          </cell>
          <cell r="G110">
            <v>0.03</v>
          </cell>
          <cell r="J110">
            <v>0.05</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row>
        <row r="111">
          <cell r="A111" t="str">
            <v>204.310</v>
          </cell>
          <cell r="B111" t="str">
            <v xml:space="preserve">Xáy gaûch âàûc væîa XM M75 truû cäøng </v>
          </cell>
          <cell r="C111" t="str">
            <v>m3</v>
          </cell>
          <cell r="D111">
            <v>0.93</v>
          </cell>
          <cell r="E111">
            <v>0.28999999999999998</v>
          </cell>
          <cell r="F111">
            <v>74.69</v>
          </cell>
          <cell r="H111">
            <v>0.32</v>
          </cell>
          <cell r="K111">
            <v>0</v>
          </cell>
          <cell r="L111">
            <v>0</v>
          </cell>
          <cell r="M111">
            <v>727.26</v>
          </cell>
          <cell r="N111">
            <v>0</v>
          </cell>
          <cell r="O111">
            <v>0</v>
          </cell>
          <cell r="P111">
            <v>0</v>
          </cell>
          <cell r="Q111">
            <v>0</v>
          </cell>
          <cell r="R111">
            <v>0</v>
          </cell>
          <cell r="S111">
            <v>0</v>
          </cell>
          <cell r="T111">
            <v>0</v>
          </cell>
          <cell r="U111">
            <v>0</v>
          </cell>
          <cell r="V111">
            <v>0</v>
          </cell>
          <cell r="W111">
            <v>0</v>
          </cell>
          <cell r="X111">
            <v>0</v>
          </cell>
        </row>
        <row r="112">
          <cell r="A112" t="str">
            <v>651.220</v>
          </cell>
          <cell r="B112" t="str">
            <v>Traït truû cäøng væîa XM M75 daìy 15</v>
          </cell>
          <cell r="C112" t="str">
            <v>m2</v>
          </cell>
          <cell r="D112">
            <v>6.4</v>
          </cell>
          <cell r="E112">
            <v>0.12</v>
          </cell>
          <cell r="F112">
            <v>30.91</v>
          </cell>
          <cell r="H112">
            <v>0.13</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row>
        <row r="113">
          <cell r="A113" t="str">
            <v>703.440</v>
          </cell>
          <cell r="B113" t="str">
            <v>Sån cæía haìng raìo song sàõt 3 næåïc maìu ghi</v>
          </cell>
          <cell r="C113" t="str">
            <v>m2</v>
          </cell>
          <cell r="D113">
            <v>6</v>
          </cell>
          <cell r="E113">
            <v>0</v>
          </cell>
          <cell r="K113">
            <v>0</v>
          </cell>
          <cell r="L113">
            <v>0</v>
          </cell>
          <cell r="M113">
            <v>0</v>
          </cell>
          <cell r="N113">
            <v>0</v>
          </cell>
          <cell r="O113">
            <v>0</v>
          </cell>
          <cell r="P113">
            <v>0</v>
          </cell>
          <cell r="Q113">
            <v>0</v>
          </cell>
          <cell r="R113">
            <v>0</v>
          </cell>
          <cell r="S113">
            <v>0</v>
          </cell>
          <cell r="T113">
            <v>1.35</v>
          </cell>
          <cell r="U113">
            <v>0</v>
          </cell>
          <cell r="V113">
            <v>0</v>
          </cell>
          <cell r="W113">
            <v>0</v>
          </cell>
          <cell r="X113">
            <v>0</v>
          </cell>
        </row>
        <row r="114">
          <cell r="A114" t="str">
            <v>701.110</v>
          </cell>
          <cell r="B114" t="str">
            <v xml:space="preserve">Queït väi truû cäøng 3 næåïc </v>
          </cell>
          <cell r="C114" t="str">
            <v>m2</v>
          </cell>
          <cell r="D114">
            <v>6.4</v>
          </cell>
          <cell r="E114">
            <v>0</v>
          </cell>
          <cell r="K114">
            <v>0</v>
          </cell>
          <cell r="L114">
            <v>0</v>
          </cell>
          <cell r="M114">
            <v>0</v>
          </cell>
          <cell r="N114">
            <v>0</v>
          </cell>
          <cell r="O114">
            <v>0</v>
          </cell>
          <cell r="P114">
            <v>0</v>
          </cell>
          <cell r="Q114">
            <v>0</v>
          </cell>
          <cell r="R114">
            <v>0.13</v>
          </cell>
          <cell r="S114">
            <v>1.92</v>
          </cell>
          <cell r="T114">
            <v>0</v>
          </cell>
          <cell r="U114">
            <v>0</v>
          </cell>
          <cell r="V114">
            <v>0</v>
          </cell>
          <cell r="W114">
            <v>0</v>
          </cell>
          <cell r="X114">
            <v>0</v>
          </cell>
        </row>
        <row r="115">
          <cell r="A115">
            <v>0</v>
          </cell>
          <cell r="B115" t="str">
            <v>2, tæåìng raìo :</v>
          </cell>
          <cell r="C115">
            <v>0</v>
          </cell>
          <cell r="D115">
            <v>0</v>
          </cell>
        </row>
        <row r="116">
          <cell r="A116" t="str">
            <v>221.110</v>
          </cell>
          <cell r="B116" t="str">
            <v>Bã täng loït moïng âaï 4x6 M50</v>
          </cell>
          <cell r="C116" t="str">
            <v>m3</v>
          </cell>
          <cell r="D116">
            <v>1.32</v>
          </cell>
          <cell r="E116">
            <v>1.35</v>
          </cell>
          <cell r="F116">
            <v>209</v>
          </cell>
          <cell r="G116">
            <v>0.59</v>
          </cell>
          <cell r="J116">
            <v>1.01</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row>
        <row r="117">
          <cell r="A117" t="str">
            <v>200.110</v>
          </cell>
          <cell r="B117" t="str">
            <v>Xáy moïng âaï häüc væîa XM M50</v>
          </cell>
          <cell r="C117" t="str">
            <v>m3</v>
          </cell>
          <cell r="D117">
            <v>4.4000000000000004</v>
          </cell>
          <cell r="E117">
            <v>1.85</v>
          </cell>
          <cell r="F117">
            <v>336.33</v>
          </cell>
          <cell r="H117">
            <v>2.19</v>
          </cell>
          <cell r="K117">
            <v>5.28</v>
          </cell>
          <cell r="L117">
            <v>0</v>
          </cell>
          <cell r="M117">
            <v>0</v>
          </cell>
          <cell r="N117">
            <v>0</v>
          </cell>
          <cell r="O117">
            <v>0</v>
          </cell>
          <cell r="P117">
            <v>0</v>
          </cell>
          <cell r="Q117">
            <v>0</v>
          </cell>
          <cell r="R117">
            <v>0</v>
          </cell>
          <cell r="S117">
            <v>0</v>
          </cell>
          <cell r="T117">
            <v>0</v>
          </cell>
          <cell r="U117">
            <v>0</v>
          </cell>
          <cell r="V117">
            <v>0</v>
          </cell>
          <cell r="W117">
            <v>0</v>
          </cell>
          <cell r="X117">
            <v>0</v>
          </cell>
        </row>
        <row r="118">
          <cell r="A118" t="str">
            <v>204.310</v>
          </cell>
          <cell r="B118" t="str">
            <v>Xáy truû tæåìng raìo væîa XM M75 cao &lt; 4m</v>
          </cell>
          <cell r="C118" t="str">
            <v>m3</v>
          </cell>
          <cell r="D118">
            <v>0.68</v>
          </cell>
          <cell r="E118">
            <v>0.21</v>
          </cell>
          <cell r="F118">
            <v>54.09</v>
          </cell>
          <cell r="H118">
            <v>0.23</v>
          </cell>
          <cell r="K118">
            <v>0</v>
          </cell>
          <cell r="L118">
            <v>0</v>
          </cell>
          <cell r="M118">
            <v>531.76</v>
          </cell>
          <cell r="N118">
            <v>0</v>
          </cell>
          <cell r="O118">
            <v>0</v>
          </cell>
          <cell r="P118">
            <v>0</v>
          </cell>
          <cell r="Q118">
            <v>0</v>
          </cell>
          <cell r="R118">
            <v>0</v>
          </cell>
          <cell r="S118">
            <v>0</v>
          </cell>
          <cell r="T118">
            <v>0</v>
          </cell>
          <cell r="U118">
            <v>0</v>
          </cell>
          <cell r="V118">
            <v>0</v>
          </cell>
          <cell r="W118">
            <v>0</v>
          </cell>
          <cell r="X118">
            <v>0</v>
          </cell>
        </row>
        <row r="119">
          <cell r="A119" t="str">
            <v>651.220</v>
          </cell>
          <cell r="B119" t="str">
            <v>Traït truû tæåìng raìo væîa XM M50 daìy 15</v>
          </cell>
          <cell r="C119" t="str">
            <v>m2</v>
          </cell>
          <cell r="D119">
            <v>12.32</v>
          </cell>
          <cell r="E119">
            <v>0.22</v>
          </cell>
          <cell r="F119">
            <v>40</v>
          </cell>
          <cell r="H119">
            <v>0.26</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row>
        <row r="120">
          <cell r="A120" t="str">
            <v>204.250</v>
          </cell>
          <cell r="B120" t="str">
            <v>Xáy tæåìng raìo daìy 220 væîaM M50</v>
          </cell>
          <cell r="C120" t="str">
            <v>m3</v>
          </cell>
          <cell r="D120">
            <v>1.35</v>
          </cell>
          <cell r="E120">
            <v>0.42</v>
          </cell>
          <cell r="F120">
            <v>76.36</v>
          </cell>
          <cell r="H120">
            <v>0.5</v>
          </cell>
          <cell r="K120">
            <v>0</v>
          </cell>
          <cell r="L120">
            <v>0</v>
          </cell>
          <cell r="M120">
            <v>1055.7</v>
          </cell>
          <cell r="N120">
            <v>0</v>
          </cell>
          <cell r="O120">
            <v>0</v>
          </cell>
          <cell r="P120">
            <v>0</v>
          </cell>
          <cell r="Q120">
            <v>0</v>
          </cell>
          <cell r="R120">
            <v>0</v>
          </cell>
          <cell r="S120">
            <v>0</v>
          </cell>
          <cell r="T120">
            <v>0</v>
          </cell>
          <cell r="U120">
            <v>0</v>
          </cell>
          <cell r="V120">
            <v>0</v>
          </cell>
          <cell r="W120">
            <v>0</v>
          </cell>
          <cell r="X120">
            <v>0</v>
          </cell>
        </row>
        <row r="121">
          <cell r="A121" t="str">
            <v>651.130</v>
          </cell>
          <cell r="B121" t="str">
            <v>Traït tæåìng raìo væîa XM M50 daìy 15</v>
          </cell>
          <cell r="C121" t="str">
            <v>m2</v>
          </cell>
          <cell r="D121">
            <v>17.34</v>
          </cell>
          <cell r="E121">
            <v>0.28999999999999998</v>
          </cell>
          <cell r="F121">
            <v>52.72</v>
          </cell>
          <cell r="H121">
            <v>0.34</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row>
        <row r="122">
          <cell r="A122" t="str">
            <v>701.110</v>
          </cell>
          <cell r="B122" t="str">
            <v xml:space="preserve">Queït tæåìng raìo, truû 3 næåïc : 1 tràõng 2 maìu </v>
          </cell>
          <cell r="C122" t="str">
            <v>m2</v>
          </cell>
          <cell r="D122">
            <v>29.66</v>
          </cell>
          <cell r="E122">
            <v>0</v>
          </cell>
          <cell r="K122">
            <v>0</v>
          </cell>
          <cell r="L122">
            <v>0</v>
          </cell>
          <cell r="M122">
            <v>0</v>
          </cell>
          <cell r="N122">
            <v>0</v>
          </cell>
          <cell r="O122">
            <v>0</v>
          </cell>
          <cell r="P122">
            <v>0</v>
          </cell>
          <cell r="Q122">
            <v>0</v>
          </cell>
          <cell r="R122">
            <v>0.59</v>
          </cell>
          <cell r="S122">
            <v>8.9</v>
          </cell>
          <cell r="T122">
            <v>0</v>
          </cell>
          <cell r="U122">
            <v>0</v>
          </cell>
          <cell r="V122">
            <v>0</v>
          </cell>
          <cell r="W122">
            <v>0</v>
          </cell>
          <cell r="X122">
            <v>0</v>
          </cell>
        </row>
        <row r="123">
          <cell r="A123" t="str">
            <v>703.440</v>
          </cell>
          <cell r="B123" t="str">
            <v xml:space="preserve">Sån haìng raìo song sàõt 3 næåïc </v>
          </cell>
          <cell r="C123" t="str">
            <v>m2</v>
          </cell>
          <cell r="D123">
            <v>37.4</v>
          </cell>
          <cell r="E123">
            <v>0</v>
          </cell>
          <cell r="K123">
            <v>0</v>
          </cell>
          <cell r="L123">
            <v>0</v>
          </cell>
          <cell r="M123">
            <v>0</v>
          </cell>
          <cell r="N123">
            <v>0</v>
          </cell>
          <cell r="O123">
            <v>0</v>
          </cell>
          <cell r="P123">
            <v>0</v>
          </cell>
          <cell r="Q123">
            <v>0</v>
          </cell>
          <cell r="R123">
            <v>0</v>
          </cell>
          <cell r="S123">
            <v>0</v>
          </cell>
          <cell r="T123">
            <v>8.42</v>
          </cell>
          <cell r="U123">
            <v>0</v>
          </cell>
          <cell r="V123">
            <v>0</v>
          </cell>
          <cell r="W123">
            <v>0</v>
          </cell>
          <cell r="X123">
            <v>0</v>
          </cell>
        </row>
        <row r="124">
          <cell r="A124" t="str">
            <v>221.110</v>
          </cell>
          <cell r="B124" t="str">
            <v>Bã täng loït moïng cäüt âaï 4x6 M50</v>
          </cell>
          <cell r="C124" t="str">
            <v>m3</v>
          </cell>
          <cell r="D124">
            <v>0.23</v>
          </cell>
          <cell r="E124">
            <v>0.24</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row>
        <row r="125">
          <cell r="A125" t="str">
            <v>300.210</v>
          </cell>
          <cell r="B125" t="str">
            <v xml:space="preserve">Bã täng âuïc sàôn cäüt haìng raìo </v>
          </cell>
          <cell r="C125" t="str">
            <v>m3</v>
          </cell>
          <cell r="D125">
            <v>1.76</v>
          </cell>
          <cell r="E125">
            <v>1.79</v>
          </cell>
          <cell r="F125">
            <v>582.11</v>
          </cell>
          <cell r="G125">
            <v>0.74</v>
          </cell>
          <cell r="I125">
            <v>1.51</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0.02</v>
          </cell>
        </row>
        <row r="126">
          <cell r="A126" t="str">
            <v>651.220</v>
          </cell>
          <cell r="B126" t="str">
            <v>Traït cäüt haìng raìo væîa XM M50 daìy 15</v>
          </cell>
          <cell r="C126" t="str">
            <v>m2</v>
          </cell>
          <cell r="D126">
            <v>31.2</v>
          </cell>
          <cell r="E126">
            <v>0.56000000000000005</v>
          </cell>
          <cell r="F126">
            <v>101.81</v>
          </cell>
          <cell r="H126">
            <v>0.66</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row>
        <row r="127">
          <cell r="A127" t="str">
            <v>701.110</v>
          </cell>
          <cell r="B127" t="str">
            <v xml:space="preserve">Queït väi cäüt haìng raìo </v>
          </cell>
          <cell r="C127" t="str">
            <v>m2</v>
          </cell>
          <cell r="D127">
            <v>31.2</v>
          </cell>
          <cell r="E127">
            <v>0</v>
          </cell>
          <cell r="K127">
            <v>0</v>
          </cell>
          <cell r="L127">
            <v>0</v>
          </cell>
          <cell r="M127">
            <v>0</v>
          </cell>
          <cell r="N127">
            <v>0</v>
          </cell>
          <cell r="O127">
            <v>0</v>
          </cell>
          <cell r="P127">
            <v>0</v>
          </cell>
          <cell r="Q127">
            <v>0</v>
          </cell>
          <cell r="R127">
            <v>0.62</v>
          </cell>
          <cell r="S127">
            <v>9.36</v>
          </cell>
          <cell r="T127">
            <v>0</v>
          </cell>
          <cell r="U127">
            <v>0</v>
          </cell>
          <cell r="V127">
            <v>0</v>
          </cell>
          <cell r="W127">
            <v>0</v>
          </cell>
          <cell r="X127">
            <v>0</v>
          </cell>
        </row>
      </sheetData>
      <sheetData sheetId="3" refreshError="1">
        <row r="6">
          <cell r="A6">
            <v>1</v>
          </cell>
          <cell r="B6">
            <v>2</v>
          </cell>
          <cell r="C6">
            <v>3</v>
          </cell>
          <cell r="D6">
            <v>4</v>
          </cell>
          <cell r="E6">
            <v>5</v>
          </cell>
          <cell r="F6">
            <v>6</v>
          </cell>
          <cell r="G6">
            <v>7</v>
          </cell>
          <cell r="H6">
            <v>8</v>
          </cell>
          <cell r="I6">
            <v>9</v>
          </cell>
          <cell r="J6">
            <v>10</v>
          </cell>
          <cell r="K6">
            <v>11</v>
          </cell>
        </row>
        <row r="7">
          <cell r="B7" t="str">
            <v>I. NÃÖN MOÏNG :</v>
          </cell>
          <cell r="C7">
            <v>0</v>
          </cell>
          <cell r="E7">
            <v>190.81</v>
          </cell>
          <cell r="F7">
            <v>0</v>
          </cell>
          <cell r="G7">
            <v>0</v>
          </cell>
          <cell r="H7">
            <v>136.96</v>
          </cell>
          <cell r="I7">
            <v>1218.76</v>
          </cell>
          <cell r="J7">
            <v>0</v>
          </cell>
          <cell r="K7">
            <v>23.45</v>
          </cell>
        </row>
        <row r="8">
          <cell r="A8">
            <v>1</v>
          </cell>
          <cell r="B8" t="str">
            <v xml:space="preserve">Gia cäng sàõt theïp f &lt;= 10 moïng cäüt </v>
          </cell>
          <cell r="C8" t="str">
            <v>kg</v>
          </cell>
          <cell r="D8">
            <v>12.43</v>
          </cell>
          <cell r="E8">
            <v>12.43</v>
          </cell>
          <cell r="K8">
            <v>0.27</v>
          </cell>
        </row>
        <row r="9">
          <cell r="A9">
            <v>2</v>
          </cell>
          <cell r="B9" t="str">
            <v xml:space="preserve">Gia cäng sàõt theïp f &lt;= 18 moïng cäüt </v>
          </cell>
          <cell r="C9" t="str">
            <v>kg</v>
          </cell>
          <cell r="D9">
            <v>229.89000000000001</v>
          </cell>
          <cell r="H9">
            <v>136.96</v>
          </cell>
          <cell r="I9">
            <v>92.93</v>
          </cell>
          <cell r="K9">
            <v>3.28</v>
          </cell>
        </row>
        <row r="10">
          <cell r="A10">
            <v>3</v>
          </cell>
          <cell r="B10" t="str">
            <v xml:space="preserve">Gia cäng sàõt theïp giàòng moïng f &lt;= 18 </v>
          </cell>
          <cell r="C10" t="str">
            <v>kg</v>
          </cell>
          <cell r="D10">
            <v>1125.83</v>
          </cell>
          <cell r="I10">
            <v>1125.83</v>
          </cell>
          <cell r="K10">
            <v>16.079999999999998</v>
          </cell>
        </row>
        <row r="11">
          <cell r="A11">
            <v>4</v>
          </cell>
          <cell r="B11" t="str">
            <v>Gia cäng sàõt theïp giàòng moïng f &lt;= 10</v>
          </cell>
          <cell r="C11" t="str">
            <v>kg</v>
          </cell>
          <cell r="D11">
            <v>178.38</v>
          </cell>
          <cell r="E11">
            <v>178.38</v>
          </cell>
          <cell r="K11">
            <v>3.82</v>
          </cell>
        </row>
        <row r="12">
          <cell r="B12" t="str">
            <v>II. THÁN NHAÌ :</v>
          </cell>
          <cell r="C12">
            <v>0</v>
          </cell>
          <cell r="D12">
            <v>0</v>
          </cell>
          <cell r="E12">
            <v>228.7</v>
          </cell>
          <cell r="F12">
            <v>0</v>
          </cell>
          <cell r="G12">
            <v>0</v>
          </cell>
          <cell r="H12">
            <v>548.23</v>
          </cell>
          <cell r="I12">
            <v>558.33999999999992</v>
          </cell>
          <cell r="J12">
            <v>176.46</v>
          </cell>
          <cell r="K12">
            <v>23.22</v>
          </cell>
        </row>
        <row r="13">
          <cell r="A13">
            <v>1</v>
          </cell>
          <cell r="B13" t="str">
            <v>Gia cäng sàõt theïp truû f &lt;= 10</v>
          </cell>
          <cell r="C13" t="str">
            <v>kg</v>
          </cell>
          <cell r="D13">
            <v>23.02</v>
          </cell>
          <cell r="E13">
            <v>23.02</v>
          </cell>
          <cell r="K13">
            <v>0.49</v>
          </cell>
        </row>
        <row r="14">
          <cell r="A14">
            <v>2</v>
          </cell>
          <cell r="B14" t="str">
            <v>Gia cäng sàõt theïp truû f &lt;= 18</v>
          </cell>
          <cell r="C14" t="str">
            <v>kg</v>
          </cell>
          <cell r="D14">
            <v>143.26</v>
          </cell>
          <cell r="I14">
            <v>143.26</v>
          </cell>
          <cell r="K14">
            <v>2.0499999999999998</v>
          </cell>
        </row>
        <row r="15">
          <cell r="A15">
            <v>3</v>
          </cell>
          <cell r="B15" t="str">
            <v>Gia cäng sàõt theïp lanh tä f &lt;= 10</v>
          </cell>
          <cell r="C15" t="str">
            <v>kg</v>
          </cell>
          <cell r="D15">
            <v>49.419999999999995</v>
          </cell>
          <cell r="E15">
            <v>49.419999999999995</v>
          </cell>
          <cell r="K15">
            <v>1.06</v>
          </cell>
        </row>
        <row r="16">
          <cell r="A16">
            <v>4</v>
          </cell>
          <cell r="B16" t="str">
            <v>Gia cäng sàõt theïp lanh tä f &lt;= 18</v>
          </cell>
          <cell r="C16" t="str">
            <v>kg</v>
          </cell>
          <cell r="D16">
            <v>210.44000000000003</v>
          </cell>
          <cell r="H16">
            <v>210.44000000000003</v>
          </cell>
          <cell r="K16">
            <v>3.01</v>
          </cell>
        </row>
        <row r="17">
          <cell r="A17">
            <v>5</v>
          </cell>
          <cell r="B17" t="str">
            <v>Gia cäng sàõt theïp ä vàng f &lt;= 10</v>
          </cell>
          <cell r="C17" t="str">
            <v>kg</v>
          </cell>
          <cell r="D17">
            <v>17.02</v>
          </cell>
          <cell r="E17">
            <v>17.02</v>
          </cell>
          <cell r="K17">
            <v>0.36</v>
          </cell>
        </row>
        <row r="18">
          <cell r="A18">
            <v>6</v>
          </cell>
          <cell r="B18" t="str">
            <v>Gia cäng sàõt theïp dáöm f &lt;= 18</v>
          </cell>
          <cell r="C18" t="str">
            <v>kg</v>
          </cell>
          <cell r="D18">
            <v>929.33</v>
          </cell>
          <cell r="H18">
            <v>337.78999999999996</v>
          </cell>
          <cell r="I18">
            <v>415.08</v>
          </cell>
          <cell r="J18">
            <v>176.46</v>
          </cell>
          <cell r="K18">
            <v>13.27</v>
          </cell>
        </row>
        <row r="19">
          <cell r="A19">
            <v>7</v>
          </cell>
          <cell r="B19" t="str">
            <v>Gia cäng sàõt theïp dáöm f &lt;= 10</v>
          </cell>
          <cell r="C19" t="str">
            <v>kg</v>
          </cell>
          <cell r="D19">
            <v>139.24</v>
          </cell>
          <cell r="E19">
            <v>139.24</v>
          </cell>
          <cell r="K19">
            <v>2.98</v>
          </cell>
        </row>
        <row r="20">
          <cell r="B20" t="str">
            <v>III. TRÁÖN + MAÏI NHAÌ :</v>
          </cell>
          <cell r="C20">
            <v>0</v>
          </cell>
          <cell r="D20">
            <v>0</v>
          </cell>
          <cell r="E20">
            <v>199.06</v>
          </cell>
          <cell r="F20">
            <v>183.28</v>
          </cell>
          <cell r="G20">
            <v>0</v>
          </cell>
          <cell r="H20">
            <v>52.21</v>
          </cell>
          <cell r="I20">
            <v>0</v>
          </cell>
          <cell r="J20">
            <v>0</v>
          </cell>
          <cell r="K20">
            <v>10.02</v>
          </cell>
        </row>
        <row r="21">
          <cell r="A21">
            <v>1</v>
          </cell>
          <cell r="B21" t="str">
            <v xml:space="preserve">Gia cäng sàõt theïp saìn maïi , sã nä f &lt;= 10 </v>
          </cell>
          <cell r="C21" t="str">
            <v>kg</v>
          </cell>
          <cell r="D21">
            <v>416.59000000000003</v>
          </cell>
          <cell r="E21">
            <v>182.55</v>
          </cell>
          <cell r="F21">
            <v>183.28</v>
          </cell>
          <cell r="K21">
            <v>8.92</v>
          </cell>
        </row>
        <row r="22">
          <cell r="A22">
            <v>2</v>
          </cell>
          <cell r="B22" t="str">
            <v>Gia cäng sàõt theïp lam ngang f &lt;= 18</v>
          </cell>
          <cell r="C22" t="str">
            <v>kg</v>
          </cell>
          <cell r="D22">
            <v>52.21</v>
          </cell>
          <cell r="H22">
            <v>52.21</v>
          </cell>
          <cell r="K22">
            <v>0.75</v>
          </cell>
        </row>
        <row r="23">
          <cell r="A23">
            <v>3</v>
          </cell>
          <cell r="B23" t="str">
            <v>Gia cäng sàõt theïp lam ngang f &lt;= 10</v>
          </cell>
          <cell r="C23" t="str">
            <v>kg</v>
          </cell>
          <cell r="D23">
            <v>16.509999999999998</v>
          </cell>
          <cell r="E23">
            <v>16.509999999999998</v>
          </cell>
          <cell r="K23">
            <v>0.35</v>
          </cell>
        </row>
        <row r="24">
          <cell r="B24" t="str">
            <v>IV. KHU VÃÛ SINH - BÃØ TÆÛ HOAÛI - BÃÚP - HÄÚ GA :</v>
          </cell>
          <cell r="E24">
            <v>99.4</v>
          </cell>
          <cell r="F24">
            <v>0</v>
          </cell>
          <cell r="G24">
            <v>0</v>
          </cell>
          <cell r="H24">
            <v>0</v>
          </cell>
          <cell r="I24">
            <v>0</v>
          </cell>
          <cell r="J24">
            <v>0</v>
          </cell>
          <cell r="K24">
            <v>2.12</v>
          </cell>
        </row>
        <row r="25">
          <cell r="A25">
            <v>1</v>
          </cell>
          <cell r="B25" t="str">
            <v>Gia cäng sàõt theïp táúm âan f &lt;= 10</v>
          </cell>
          <cell r="C25" t="str">
            <v>kg</v>
          </cell>
          <cell r="D25">
            <v>61.849999999999994</v>
          </cell>
          <cell r="E25">
            <v>61.849999999999994</v>
          </cell>
          <cell r="K25">
            <v>1.32</v>
          </cell>
        </row>
        <row r="26">
          <cell r="B26" t="str">
            <v xml:space="preserve">c, Bãúp : </v>
          </cell>
          <cell r="C26">
            <v>0</v>
          </cell>
        </row>
        <row r="27">
          <cell r="A27">
            <v>1</v>
          </cell>
          <cell r="B27" t="str">
            <v>Gia cäng sàõt theïp bãû bãúp f &lt;= 10</v>
          </cell>
          <cell r="C27" t="str">
            <v>kg</v>
          </cell>
          <cell r="D27">
            <v>18.899999999999999</v>
          </cell>
          <cell r="E27">
            <v>18.899999999999999</v>
          </cell>
          <cell r="K27">
            <v>0.4</v>
          </cell>
        </row>
        <row r="28">
          <cell r="B28" t="str">
            <v>d, Häú ga :</v>
          </cell>
          <cell r="C28">
            <v>0</v>
          </cell>
        </row>
        <row r="29">
          <cell r="A29">
            <v>1</v>
          </cell>
          <cell r="B29" t="str">
            <v>Gia cäng sàõt theïp táúm âan f &lt;= 10</v>
          </cell>
          <cell r="C29" t="str">
            <v>kg</v>
          </cell>
          <cell r="D29">
            <v>18.649999999999999</v>
          </cell>
          <cell r="E29">
            <v>18.649999999999999</v>
          </cell>
          <cell r="K29">
            <v>0.4</v>
          </cell>
        </row>
        <row r="30">
          <cell r="B30" t="str">
            <v xml:space="preserve">V. THAÏP NÆÅÏC </v>
          </cell>
          <cell r="C30">
            <v>0</v>
          </cell>
          <cell r="E30">
            <v>194.42</v>
          </cell>
          <cell r="F30">
            <v>0</v>
          </cell>
          <cell r="G30">
            <v>0</v>
          </cell>
          <cell r="H30">
            <v>218.31</v>
          </cell>
          <cell r="I30">
            <v>31.46</v>
          </cell>
          <cell r="J30">
            <v>286.93</v>
          </cell>
          <cell r="K30">
            <v>11.830000000000002</v>
          </cell>
        </row>
        <row r="31">
          <cell r="A31">
            <v>1</v>
          </cell>
          <cell r="B31" t="str">
            <v>Gia cäng sàõt theïp moïng cäüt f &lt;= 10</v>
          </cell>
          <cell r="C31" t="str">
            <v>kg</v>
          </cell>
          <cell r="D31">
            <v>25.57</v>
          </cell>
          <cell r="E31">
            <v>25.57</v>
          </cell>
          <cell r="K31">
            <v>0.55000000000000004</v>
          </cell>
        </row>
        <row r="32">
          <cell r="A32">
            <v>2</v>
          </cell>
          <cell r="B32" t="str">
            <v>Gia cäng sàõt theïp moïng cäüt f &lt;= 18</v>
          </cell>
          <cell r="C32" t="str">
            <v>kg</v>
          </cell>
          <cell r="D32">
            <v>213.12</v>
          </cell>
          <cell r="H32">
            <v>139.81</v>
          </cell>
          <cell r="J32">
            <v>73.31</v>
          </cell>
          <cell r="K32">
            <v>3.04</v>
          </cell>
        </row>
        <row r="33">
          <cell r="A33">
            <v>3</v>
          </cell>
          <cell r="B33" t="str">
            <v>Gia cäng sàõt theïp thaïp næåïc f &lt;= 18</v>
          </cell>
          <cell r="C33" t="str">
            <v>kg</v>
          </cell>
          <cell r="D33">
            <v>323.57999999999993</v>
          </cell>
          <cell r="H33">
            <v>78.5</v>
          </cell>
          <cell r="I33">
            <v>31.46</v>
          </cell>
          <cell r="J33">
            <v>213.62</v>
          </cell>
          <cell r="K33">
            <v>4.62</v>
          </cell>
        </row>
        <row r="34">
          <cell r="A34">
            <v>4</v>
          </cell>
          <cell r="B34" t="str">
            <v>Gia cäng sàõt theïp thaïp næåïc f &lt;= 10</v>
          </cell>
          <cell r="C34" t="str">
            <v>kg</v>
          </cell>
          <cell r="D34">
            <v>168.85</v>
          </cell>
          <cell r="E34">
            <v>168.85</v>
          </cell>
          <cell r="K34">
            <v>3.62</v>
          </cell>
        </row>
        <row r="35">
          <cell r="B35" t="str">
            <v xml:space="preserve">VIII. HAÌNG RAÌO - CÄØNG NGOÎ </v>
          </cell>
          <cell r="C35">
            <v>0</v>
          </cell>
          <cell r="E35">
            <v>45.02</v>
          </cell>
          <cell r="F35">
            <v>0</v>
          </cell>
          <cell r="G35">
            <v>192.5</v>
          </cell>
          <cell r="H35">
            <v>0</v>
          </cell>
          <cell r="I35">
            <v>0</v>
          </cell>
          <cell r="J35">
            <v>0</v>
          </cell>
          <cell r="K35">
            <v>5.09</v>
          </cell>
        </row>
        <row r="36">
          <cell r="B36" t="str">
            <v>2, tæåìng raìo :</v>
          </cell>
          <cell r="C36">
            <v>0</v>
          </cell>
        </row>
        <row r="37">
          <cell r="A37">
            <v>1</v>
          </cell>
          <cell r="B37" t="str">
            <v>Gia cäng sàõt theïp cäüt f &lt;= 10</v>
          </cell>
          <cell r="C37" t="str">
            <v>kg</v>
          </cell>
          <cell r="D37">
            <v>237.52</v>
          </cell>
          <cell r="E37">
            <v>45.02</v>
          </cell>
          <cell r="G37">
            <v>192.5</v>
          </cell>
          <cell r="K37">
            <v>5.09</v>
          </cell>
        </row>
      </sheetData>
      <sheetData sheetId="4"/>
      <sheetData sheetId="5"/>
      <sheetData sheetId="6"/>
      <sheetData sheetId="7"/>
      <sheetData sheetId="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enluong"/>
      <sheetName val="CTdongia"/>
    </sheetNames>
    <sheetDataSet>
      <sheetData sheetId="0"/>
      <sheetData sheetId="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切割 MTL"/>
      <sheetName val="切割 DI"/>
      <sheetName val="ESTI."/>
      <sheetName val="DI-ESTI"/>
    </sheetNames>
    <sheetDataSet>
      <sheetData sheetId="0" refreshError="1"/>
      <sheetData sheetId="1" refreshError="1"/>
      <sheetData sheetId="2"/>
      <sheetData sheetId="3"/>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H-Q1,Q2,01"/>
      <sheetName val="BCCTQT-XLD4"/>
      <sheetName val="BCQT-TTD1"/>
      <sheetName val="CT-chuacoDT"/>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Sheet19"/>
      <sheetName val="Sheet20"/>
      <sheetName val="XL4Poppy"/>
      <sheetName val="TIEN VAY "/>
      <sheetName val="TIEN GOI"/>
      <sheetName val="UOC THUC HIEN TNDN"/>
      <sheetName val="SO CAI TM"/>
      <sheetName val="QUY TM"/>
      <sheetName val="NHAT KY CHI TIEN"/>
      <sheetName val="NVS DLDN"/>
      <sheetName val="HOA KHANH -HUE"/>
      <sheetName val="TO 48 C"/>
      <sheetName val="TTDIEN2"/>
      <sheetName val="HOA XUAN"/>
      <sheetName val="XT AN DON"/>
      <sheetName val="MR 110KV"/>
      <sheetName val="TBA 220 DS"/>
      <sheetName val="MONG TRU"/>
      <sheetName val="110 EAKAR"/>
      <sheetName val="VPXN"/>
      <sheetName val="HR TBA 500"/>
      <sheetName val="QUAN 3"/>
      <sheetName val="TRAM LAP HUE"/>
      <sheetName val="CQuang Q11"/>
      <sheetName val="TBA 110 Lao Bao"/>
      <sheetName val="DZ DH LBao"/>
      <sheetName val="Vi tri 268"/>
      <sheetName val="Da nhim NT"/>
      <sheetName val="TBA 220 HKhanh"/>
      <sheetName val="Vi tri 53,60"/>
      <sheetName val="XUAN HA"/>
      <sheetName val="NX CO KHI"/>
      <sheetName val="TBA 110 HKhanh"/>
      <sheetName val="KH_Q1_Q2_0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enluong"/>
      <sheetName val="kinhphi"/>
      <sheetName val="ptvt"/>
      <sheetName val="sat"/>
      <sheetName val="clechvt"/>
      <sheetName val="dongia"/>
      <sheetName val="tonghop"/>
      <sheetName val="ctttc"/>
      <sheetName val="bia"/>
    </sheetNames>
    <sheetDataSet>
      <sheetData sheetId="0"/>
      <sheetData sheetId="1"/>
      <sheetData sheetId="2" refreshError="1">
        <row r="6">
          <cell r="A6">
            <v>1</v>
          </cell>
          <cell r="B6">
            <v>2</v>
          </cell>
          <cell r="C6">
            <v>3</v>
          </cell>
          <cell r="D6">
            <v>4</v>
          </cell>
          <cell r="E6">
            <v>5</v>
          </cell>
          <cell r="F6">
            <v>6</v>
          </cell>
          <cell r="G6">
            <v>7</v>
          </cell>
          <cell r="H6">
            <v>8</v>
          </cell>
          <cell r="I6">
            <v>9</v>
          </cell>
          <cell r="J6">
            <v>10</v>
          </cell>
          <cell r="K6">
            <v>11</v>
          </cell>
          <cell r="L6">
            <v>12</v>
          </cell>
          <cell r="M6">
            <v>13</v>
          </cell>
          <cell r="N6">
            <v>14</v>
          </cell>
          <cell r="O6">
            <v>15</v>
          </cell>
          <cell r="P6">
            <v>16</v>
          </cell>
          <cell r="Q6">
            <v>17</v>
          </cell>
          <cell r="R6">
            <v>18</v>
          </cell>
          <cell r="S6">
            <v>19</v>
          </cell>
          <cell r="T6">
            <v>20</v>
          </cell>
          <cell r="U6">
            <v>21</v>
          </cell>
          <cell r="V6">
            <v>22</v>
          </cell>
          <cell r="W6">
            <v>23</v>
          </cell>
          <cell r="X6">
            <v>24</v>
          </cell>
        </row>
        <row r="7">
          <cell r="B7" t="str">
            <v>I. NÃÖN MOÏNG :</v>
          </cell>
          <cell r="C7">
            <v>0</v>
          </cell>
          <cell r="D7">
            <v>0</v>
          </cell>
          <cell r="F7">
            <v>22169.059999999998</v>
          </cell>
          <cell r="G7">
            <v>22.68</v>
          </cell>
          <cell r="H7">
            <v>53.999999999999993</v>
          </cell>
          <cell r="I7">
            <v>10.17</v>
          </cell>
          <cell r="J7">
            <v>30.39</v>
          </cell>
          <cell r="K7">
            <v>110.8</v>
          </cell>
          <cell r="L7">
            <v>0</v>
          </cell>
          <cell r="M7">
            <v>8043.3</v>
          </cell>
          <cell r="N7">
            <v>5713</v>
          </cell>
          <cell r="O7">
            <v>0</v>
          </cell>
          <cell r="P7">
            <v>0</v>
          </cell>
          <cell r="Q7">
            <v>0</v>
          </cell>
          <cell r="R7">
            <v>0.67</v>
          </cell>
          <cell r="S7">
            <v>10.039999999999999</v>
          </cell>
          <cell r="T7">
            <v>0</v>
          </cell>
          <cell r="U7">
            <v>0</v>
          </cell>
          <cell r="V7">
            <v>0</v>
          </cell>
          <cell r="W7">
            <v>0</v>
          </cell>
          <cell r="X7">
            <v>1.45</v>
          </cell>
        </row>
        <row r="8">
          <cell r="A8" t="str">
            <v>221.110</v>
          </cell>
          <cell r="B8" t="str">
            <v>Bã täng loït moïng âaï 4x6 M50</v>
          </cell>
          <cell r="C8" t="str">
            <v>m3</v>
          </cell>
          <cell r="D8">
            <v>16.239999999999998</v>
          </cell>
          <cell r="E8">
            <v>16.649999999999999</v>
          </cell>
          <cell r="F8">
            <v>2573</v>
          </cell>
          <cell r="G8">
            <v>7.24</v>
          </cell>
          <cell r="J8">
            <v>12.44</v>
          </cell>
          <cell r="K8">
            <v>0</v>
          </cell>
          <cell r="L8">
            <v>0</v>
          </cell>
          <cell r="M8">
            <v>0</v>
          </cell>
          <cell r="N8">
            <v>0</v>
          </cell>
          <cell r="O8">
            <v>0</v>
          </cell>
          <cell r="P8">
            <v>0</v>
          </cell>
          <cell r="Q8">
            <v>0</v>
          </cell>
          <cell r="R8">
            <v>0</v>
          </cell>
          <cell r="S8">
            <v>0</v>
          </cell>
          <cell r="T8">
            <v>0</v>
          </cell>
          <cell r="U8">
            <v>0</v>
          </cell>
          <cell r="V8">
            <v>0</v>
          </cell>
          <cell r="W8">
            <v>0</v>
          </cell>
          <cell r="X8">
            <v>0</v>
          </cell>
        </row>
        <row r="9">
          <cell r="A9" t="str">
            <v>200.110</v>
          </cell>
          <cell r="B9" t="str">
            <v>Xáy âaï häüc væîa XM M75</v>
          </cell>
          <cell r="C9" t="str">
            <v>m3</v>
          </cell>
          <cell r="D9">
            <v>92.33</v>
          </cell>
          <cell r="E9">
            <v>38.78</v>
          </cell>
          <cell r="F9">
            <v>9987.7900000000009</v>
          </cell>
          <cell r="H9">
            <v>43.36</v>
          </cell>
          <cell r="K9">
            <v>110.8</v>
          </cell>
          <cell r="L9">
            <v>0</v>
          </cell>
          <cell r="M9">
            <v>0</v>
          </cell>
          <cell r="N9">
            <v>0</v>
          </cell>
          <cell r="O9">
            <v>0</v>
          </cell>
          <cell r="P9">
            <v>0</v>
          </cell>
          <cell r="Q9">
            <v>0</v>
          </cell>
          <cell r="R9">
            <v>0</v>
          </cell>
          <cell r="S9">
            <v>0</v>
          </cell>
          <cell r="T9">
            <v>0</v>
          </cell>
          <cell r="U9">
            <v>0</v>
          </cell>
          <cell r="V9">
            <v>0</v>
          </cell>
          <cell r="W9">
            <v>0</v>
          </cell>
          <cell r="X9">
            <v>0</v>
          </cell>
        </row>
        <row r="10">
          <cell r="A10" t="str">
            <v>204.410</v>
          </cell>
          <cell r="B10" t="str">
            <v xml:space="preserve">Xáy gaûch âàûc væîa XM M75 báûc cáúp , bäön hoa </v>
          </cell>
          <cell r="C10" t="str">
            <v>m2</v>
          </cell>
          <cell r="D10">
            <v>9.93</v>
          </cell>
          <cell r="E10">
            <v>2.98</v>
          </cell>
          <cell r="F10">
            <v>767.5</v>
          </cell>
          <cell r="H10">
            <v>3.33</v>
          </cell>
          <cell r="K10">
            <v>0</v>
          </cell>
          <cell r="L10">
            <v>0</v>
          </cell>
          <cell r="M10">
            <v>8043.3</v>
          </cell>
          <cell r="N10">
            <v>0</v>
          </cell>
          <cell r="O10">
            <v>0</v>
          </cell>
          <cell r="P10">
            <v>0</v>
          </cell>
          <cell r="Q10">
            <v>0</v>
          </cell>
          <cell r="R10">
            <v>0</v>
          </cell>
          <cell r="S10">
            <v>0</v>
          </cell>
          <cell r="T10">
            <v>0</v>
          </cell>
          <cell r="U10">
            <v>0</v>
          </cell>
          <cell r="V10">
            <v>0</v>
          </cell>
          <cell r="W10">
            <v>0</v>
          </cell>
          <cell r="X10">
            <v>0.03</v>
          </cell>
        </row>
        <row r="11">
          <cell r="A11" t="str">
            <v>224.110</v>
          </cell>
          <cell r="B11" t="str">
            <v>Bã täng giàòng moïng âaï 1x2 M200</v>
          </cell>
          <cell r="C11">
            <v>0</v>
          </cell>
          <cell r="D11">
            <v>8.52</v>
          </cell>
          <cell r="E11">
            <v>8.73</v>
          </cell>
          <cell r="F11">
            <v>2839</v>
          </cell>
          <cell r="G11">
            <v>3.6</v>
          </cell>
          <cell r="I11">
            <v>7.34</v>
          </cell>
          <cell r="K11">
            <v>0</v>
          </cell>
          <cell r="L11">
            <v>0</v>
          </cell>
          <cell r="M11">
            <v>0</v>
          </cell>
          <cell r="N11">
            <v>0</v>
          </cell>
          <cell r="O11">
            <v>0</v>
          </cell>
          <cell r="P11">
            <v>0</v>
          </cell>
          <cell r="Q11">
            <v>0</v>
          </cell>
          <cell r="R11">
            <v>0</v>
          </cell>
          <cell r="S11">
            <v>0</v>
          </cell>
          <cell r="T11">
            <v>0</v>
          </cell>
          <cell r="U11">
            <v>0</v>
          </cell>
          <cell r="V11">
            <v>0</v>
          </cell>
          <cell r="W11">
            <v>0</v>
          </cell>
          <cell r="X11">
            <v>0.98</v>
          </cell>
        </row>
        <row r="12">
          <cell r="A12" t="str">
            <v>222.410</v>
          </cell>
          <cell r="B12" t="str">
            <v xml:space="preserve">Bã täng moïng cäüt M200 âaï 1x2 </v>
          </cell>
          <cell r="C12" t="str">
            <v>m3</v>
          </cell>
          <cell r="D12">
            <v>3.2899999999999996</v>
          </cell>
          <cell r="E12">
            <v>3.37</v>
          </cell>
          <cell r="F12">
            <v>1095.92</v>
          </cell>
          <cell r="G12">
            <v>1.39</v>
          </cell>
          <cell r="I12">
            <v>2.83</v>
          </cell>
          <cell r="K12">
            <v>0</v>
          </cell>
          <cell r="L12">
            <v>0</v>
          </cell>
          <cell r="M12">
            <v>0</v>
          </cell>
          <cell r="N12">
            <v>0</v>
          </cell>
          <cell r="O12">
            <v>0</v>
          </cell>
          <cell r="P12">
            <v>0</v>
          </cell>
          <cell r="Q12">
            <v>0</v>
          </cell>
          <cell r="R12">
            <v>0</v>
          </cell>
          <cell r="S12">
            <v>0</v>
          </cell>
          <cell r="T12">
            <v>0</v>
          </cell>
          <cell r="U12">
            <v>0</v>
          </cell>
          <cell r="V12">
            <v>0</v>
          </cell>
          <cell r="W12">
            <v>0</v>
          </cell>
          <cell r="X12">
            <v>0.44</v>
          </cell>
        </row>
        <row r="13">
          <cell r="A13" t="str">
            <v>651.150</v>
          </cell>
          <cell r="B13" t="str">
            <v>Traït moïng tæåìng væîa XM M50 daìy 20</v>
          </cell>
          <cell r="C13" t="str">
            <v>m2</v>
          </cell>
          <cell r="D13">
            <v>25.27</v>
          </cell>
          <cell r="E13">
            <v>0.57999999999999996</v>
          </cell>
          <cell r="F13">
            <v>105.44</v>
          </cell>
          <cell r="H13">
            <v>0.69</v>
          </cell>
          <cell r="K13">
            <v>0</v>
          </cell>
          <cell r="L13">
            <v>0</v>
          </cell>
          <cell r="M13">
            <v>0</v>
          </cell>
          <cell r="N13">
            <v>0</v>
          </cell>
          <cell r="O13">
            <v>0</v>
          </cell>
          <cell r="P13">
            <v>0</v>
          </cell>
          <cell r="Q13">
            <v>0</v>
          </cell>
          <cell r="R13">
            <v>0</v>
          </cell>
          <cell r="S13">
            <v>0</v>
          </cell>
          <cell r="T13">
            <v>0</v>
          </cell>
          <cell r="U13">
            <v>0</v>
          </cell>
          <cell r="V13">
            <v>0</v>
          </cell>
          <cell r="W13">
            <v>0</v>
          </cell>
          <cell r="X13">
            <v>0</v>
          </cell>
        </row>
        <row r="14">
          <cell r="A14" t="str">
            <v>651.310</v>
          </cell>
          <cell r="B14" t="str">
            <v xml:space="preserve">Traït báûc cáúp væîa XM M75 daìy 20 âaïnh maìu </v>
          </cell>
          <cell r="C14" t="str">
            <v>m2</v>
          </cell>
          <cell r="D14">
            <v>38.61</v>
          </cell>
          <cell r="E14">
            <v>0.69</v>
          </cell>
          <cell r="F14">
            <v>177.71</v>
          </cell>
          <cell r="H14">
            <v>0.77</v>
          </cell>
          <cell r="K14">
            <v>0</v>
          </cell>
          <cell r="L14">
            <v>0</v>
          </cell>
          <cell r="M14">
            <v>0</v>
          </cell>
          <cell r="N14">
            <v>0</v>
          </cell>
          <cell r="O14">
            <v>0</v>
          </cell>
          <cell r="P14">
            <v>0</v>
          </cell>
          <cell r="Q14">
            <v>0</v>
          </cell>
          <cell r="R14">
            <v>0</v>
          </cell>
          <cell r="S14">
            <v>0</v>
          </cell>
          <cell r="T14">
            <v>0</v>
          </cell>
          <cell r="U14">
            <v>0</v>
          </cell>
          <cell r="V14">
            <v>0</v>
          </cell>
          <cell r="W14">
            <v>0</v>
          </cell>
          <cell r="X14">
            <v>0</v>
          </cell>
        </row>
        <row r="15">
          <cell r="A15" t="str">
            <v>651.130</v>
          </cell>
          <cell r="B15" t="str">
            <v>Traït bäön hoa væîa XM M75 daìy 15</v>
          </cell>
          <cell r="C15" t="str">
            <v>m2</v>
          </cell>
          <cell r="D15">
            <v>8.1999999999999993</v>
          </cell>
          <cell r="E15">
            <v>0.14000000000000001</v>
          </cell>
          <cell r="F15">
            <v>36.06</v>
          </cell>
          <cell r="H15">
            <v>0.16</v>
          </cell>
          <cell r="K15">
            <v>0</v>
          </cell>
          <cell r="L15">
            <v>0</v>
          </cell>
          <cell r="M15">
            <v>0</v>
          </cell>
          <cell r="N15">
            <v>0</v>
          </cell>
          <cell r="O15">
            <v>0</v>
          </cell>
          <cell r="P15">
            <v>0</v>
          </cell>
          <cell r="Q15">
            <v>0</v>
          </cell>
          <cell r="R15">
            <v>0</v>
          </cell>
          <cell r="S15">
            <v>0</v>
          </cell>
          <cell r="T15">
            <v>0</v>
          </cell>
          <cell r="U15">
            <v>0</v>
          </cell>
          <cell r="V15">
            <v>0</v>
          </cell>
          <cell r="W15">
            <v>0</v>
          </cell>
          <cell r="X15">
            <v>0</v>
          </cell>
        </row>
        <row r="16">
          <cell r="A16" t="str">
            <v>701.110</v>
          </cell>
          <cell r="B16" t="str">
            <v xml:space="preserve">Queït väi moïng tæåìng , bäön hoa 1 tràõng , 2 maìu </v>
          </cell>
          <cell r="C16" t="str">
            <v>m2</v>
          </cell>
          <cell r="D16">
            <v>33.47</v>
          </cell>
          <cell r="E16">
            <v>0</v>
          </cell>
          <cell r="K16">
            <v>0</v>
          </cell>
          <cell r="L16">
            <v>0</v>
          </cell>
          <cell r="M16">
            <v>0</v>
          </cell>
          <cell r="N16">
            <v>0</v>
          </cell>
          <cell r="O16">
            <v>0</v>
          </cell>
          <cell r="P16">
            <v>0</v>
          </cell>
          <cell r="Q16">
            <v>0</v>
          </cell>
          <cell r="R16">
            <v>0.67</v>
          </cell>
          <cell r="S16">
            <v>10.039999999999999</v>
          </cell>
          <cell r="T16">
            <v>0</v>
          </cell>
          <cell r="U16">
            <v>0</v>
          </cell>
          <cell r="V16">
            <v>0</v>
          </cell>
          <cell r="W16">
            <v>0</v>
          </cell>
          <cell r="X16">
            <v>0</v>
          </cell>
        </row>
        <row r="17">
          <cell r="A17" t="str">
            <v>221.110</v>
          </cell>
          <cell r="B17" t="str">
            <v xml:space="preserve">Bã täng âaï 4x6 M50 nãön nhaì </v>
          </cell>
          <cell r="C17" t="str">
            <v>m3</v>
          </cell>
          <cell r="D17">
            <v>23.44</v>
          </cell>
          <cell r="E17">
            <v>24.03</v>
          </cell>
          <cell r="F17">
            <v>3714</v>
          </cell>
          <cell r="G17">
            <v>10.45</v>
          </cell>
          <cell r="J17">
            <v>17.95</v>
          </cell>
          <cell r="K17">
            <v>0</v>
          </cell>
          <cell r="L17">
            <v>0</v>
          </cell>
          <cell r="M17">
            <v>0</v>
          </cell>
          <cell r="N17">
            <v>0</v>
          </cell>
          <cell r="O17">
            <v>0</v>
          </cell>
          <cell r="P17">
            <v>0</v>
          </cell>
          <cell r="Q17">
            <v>0</v>
          </cell>
          <cell r="R17">
            <v>0</v>
          </cell>
          <cell r="S17">
            <v>0</v>
          </cell>
          <cell r="T17">
            <v>0</v>
          </cell>
          <cell r="U17">
            <v>0</v>
          </cell>
          <cell r="V17">
            <v>0</v>
          </cell>
          <cell r="W17">
            <v>0</v>
          </cell>
          <cell r="X17">
            <v>0</v>
          </cell>
        </row>
        <row r="18">
          <cell r="A18" t="str">
            <v>684.130</v>
          </cell>
          <cell r="B18" t="str">
            <v>Laït gaûch hoa XM væîa XM M50</v>
          </cell>
          <cell r="C18" t="str">
            <v>m2</v>
          </cell>
          <cell r="D18">
            <v>228.52</v>
          </cell>
          <cell r="E18">
            <v>4.8</v>
          </cell>
          <cell r="F18">
            <v>872.64</v>
          </cell>
          <cell r="H18">
            <v>5.69</v>
          </cell>
          <cell r="K18">
            <v>0</v>
          </cell>
          <cell r="L18">
            <v>0</v>
          </cell>
          <cell r="M18">
            <v>0</v>
          </cell>
          <cell r="N18">
            <v>5713</v>
          </cell>
          <cell r="O18">
            <v>0</v>
          </cell>
          <cell r="P18">
            <v>0</v>
          </cell>
          <cell r="Q18">
            <v>0</v>
          </cell>
          <cell r="R18">
            <v>0</v>
          </cell>
          <cell r="S18">
            <v>0</v>
          </cell>
          <cell r="T18">
            <v>0</v>
          </cell>
          <cell r="U18">
            <v>0</v>
          </cell>
          <cell r="V18">
            <v>0</v>
          </cell>
          <cell r="W18">
            <v>0</v>
          </cell>
          <cell r="X18">
            <v>0</v>
          </cell>
        </row>
        <row r="20">
          <cell r="A20">
            <v>0</v>
          </cell>
          <cell r="B20" t="str">
            <v>II. THÁN NHAÌ :</v>
          </cell>
          <cell r="C20">
            <v>0</v>
          </cell>
          <cell r="D20">
            <v>0</v>
          </cell>
          <cell r="F20">
            <v>10941.180000000002</v>
          </cell>
          <cell r="G20">
            <v>4.0500000000000007</v>
          </cell>
          <cell r="H20">
            <v>48.71</v>
          </cell>
          <cell r="I20">
            <v>8.26</v>
          </cell>
          <cell r="J20">
            <v>0</v>
          </cell>
          <cell r="K20">
            <v>0</v>
          </cell>
          <cell r="L20">
            <v>43421.97</v>
          </cell>
          <cell r="M20">
            <v>680.34</v>
          </cell>
          <cell r="N20">
            <v>0</v>
          </cell>
          <cell r="O20">
            <v>0</v>
          </cell>
          <cell r="P20">
            <v>0</v>
          </cell>
          <cell r="Q20">
            <v>0</v>
          </cell>
          <cell r="R20">
            <v>27.17</v>
          </cell>
          <cell r="S20">
            <v>426.23</v>
          </cell>
          <cell r="T20">
            <v>34.340000000000003</v>
          </cell>
          <cell r="U20">
            <v>0</v>
          </cell>
          <cell r="V20">
            <v>0</v>
          </cell>
          <cell r="W20">
            <v>0</v>
          </cell>
          <cell r="X20">
            <v>1.21</v>
          </cell>
        </row>
        <row r="21">
          <cell r="A21" t="str">
            <v>205.130</v>
          </cell>
          <cell r="B21" t="str">
            <v>Xáy tæåìng 220 gaûch äúng væîa XM M50 cao &lt;= 4m</v>
          </cell>
          <cell r="C21" t="str">
            <v>m3</v>
          </cell>
          <cell r="D21">
            <v>48.07</v>
          </cell>
          <cell r="E21">
            <v>7.93</v>
          </cell>
          <cell r="F21">
            <v>1441.67</v>
          </cell>
          <cell r="H21">
            <v>9.4</v>
          </cell>
          <cell r="K21">
            <v>0</v>
          </cell>
          <cell r="L21">
            <v>21631.5</v>
          </cell>
          <cell r="M21">
            <v>0</v>
          </cell>
          <cell r="N21">
            <v>0</v>
          </cell>
          <cell r="O21">
            <v>0</v>
          </cell>
          <cell r="P21">
            <v>0</v>
          </cell>
          <cell r="Q21">
            <v>0</v>
          </cell>
          <cell r="R21">
            <v>0</v>
          </cell>
          <cell r="S21">
            <v>0</v>
          </cell>
          <cell r="T21">
            <v>0</v>
          </cell>
          <cell r="U21">
            <v>0</v>
          </cell>
          <cell r="V21">
            <v>0</v>
          </cell>
          <cell r="W21">
            <v>0</v>
          </cell>
          <cell r="X21">
            <v>0.14000000000000001</v>
          </cell>
        </row>
        <row r="22">
          <cell r="A22" t="str">
            <v>205.140</v>
          </cell>
          <cell r="B22" t="str">
            <v xml:space="preserve">Xáy tæåìng 220 gaûch äúng væîa XM M50 cao &gt; 4m : </v>
          </cell>
          <cell r="C22" t="str">
            <v>m3</v>
          </cell>
          <cell r="D22">
            <v>1.22</v>
          </cell>
          <cell r="E22">
            <v>0.2</v>
          </cell>
          <cell r="F22">
            <v>36.36</v>
          </cell>
          <cell r="H22">
            <v>0.24</v>
          </cell>
          <cell r="K22">
            <v>0</v>
          </cell>
          <cell r="L22">
            <v>549</v>
          </cell>
          <cell r="M22">
            <v>0</v>
          </cell>
          <cell r="N22">
            <v>0</v>
          </cell>
          <cell r="O22">
            <v>0</v>
          </cell>
          <cell r="P22">
            <v>0</v>
          </cell>
          <cell r="Q22">
            <v>0</v>
          </cell>
          <cell r="R22">
            <v>0</v>
          </cell>
          <cell r="S22">
            <v>0</v>
          </cell>
          <cell r="T22">
            <v>0</v>
          </cell>
          <cell r="U22">
            <v>0</v>
          </cell>
          <cell r="V22">
            <v>0</v>
          </cell>
          <cell r="W22">
            <v>0</v>
          </cell>
          <cell r="X22">
            <v>0.01</v>
          </cell>
        </row>
        <row r="23">
          <cell r="A23" t="str">
            <v>205.110</v>
          </cell>
          <cell r="B23" t="str">
            <v>Xáy tæåìng 110 gaûch äúng væîa XM M50 cao &lt;= 4m</v>
          </cell>
          <cell r="C23" t="str">
            <v>m3</v>
          </cell>
          <cell r="D23">
            <v>41.357100000000003</v>
          </cell>
          <cell r="E23">
            <v>6.2</v>
          </cell>
          <cell r="F23">
            <v>1127.1600000000001</v>
          </cell>
          <cell r="H23">
            <v>7.35</v>
          </cell>
          <cell r="K23">
            <v>0</v>
          </cell>
          <cell r="L23">
            <v>19024.27</v>
          </cell>
          <cell r="M23">
            <v>0</v>
          </cell>
          <cell r="N23">
            <v>0</v>
          </cell>
          <cell r="O23">
            <v>0</v>
          </cell>
          <cell r="P23">
            <v>0</v>
          </cell>
          <cell r="Q23">
            <v>0</v>
          </cell>
          <cell r="R23">
            <v>0</v>
          </cell>
          <cell r="S23">
            <v>0</v>
          </cell>
          <cell r="T23">
            <v>0</v>
          </cell>
          <cell r="U23">
            <v>0</v>
          </cell>
          <cell r="V23">
            <v>0</v>
          </cell>
          <cell r="W23">
            <v>0</v>
          </cell>
          <cell r="X23">
            <v>0.12</v>
          </cell>
        </row>
        <row r="24">
          <cell r="A24" t="str">
            <v>205.120</v>
          </cell>
          <cell r="B24" t="str">
            <v>Xáy tæåìng 110 gaûch äúng væîa XM M50 cao &gt; 4m</v>
          </cell>
          <cell r="C24" t="str">
            <v>m3</v>
          </cell>
          <cell r="D24">
            <v>4.82</v>
          </cell>
          <cell r="E24">
            <v>0.72</v>
          </cell>
          <cell r="F24">
            <v>130.9</v>
          </cell>
          <cell r="H24">
            <v>0.85</v>
          </cell>
          <cell r="K24">
            <v>0</v>
          </cell>
          <cell r="L24">
            <v>2217.1999999999998</v>
          </cell>
          <cell r="M24">
            <v>0</v>
          </cell>
          <cell r="N24">
            <v>0</v>
          </cell>
          <cell r="O24">
            <v>0</v>
          </cell>
          <cell r="P24">
            <v>0</v>
          </cell>
          <cell r="Q24">
            <v>0</v>
          </cell>
          <cell r="R24">
            <v>0</v>
          </cell>
          <cell r="S24">
            <v>0</v>
          </cell>
          <cell r="T24">
            <v>0</v>
          </cell>
          <cell r="U24">
            <v>0</v>
          </cell>
          <cell r="V24">
            <v>0</v>
          </cell>
          <cell r="W24">
            <v>0</v>
          </cell>
          <cell r="X24">
            <v>0.05</v>
          </cell>
        </row>
        <row r="25">
          <cell r="A25" t="str">
            <v>651.130</v>
          </cell>
          <cell r="B25" t="str">
            <v>Traït tæåìng gaûch äúng cao &lt;= 4m væîa XM M50 daìy 15</v>
          </cell>
          <cell r="C25" t="str">
            <v>m2</v>
          </cell>
          <cell r="D25">
            <v>1226.18</v>
          </cell>
          <cell r="E25">
            <v>20.85</v>
          </cell>
          <cell r="F25">
            <v>3790.53</v>
          </cell>
          <cell r="H25">
            <v>24.71</v>
          </cell>
          <cell r="K25">
            <v>0</v>
          </cell>
          <cell r="L25">
            <v>0</v>
          </cell>
          <cell r="M25">
            <v>0</v>
          </cell>
          <cell r="N25">
            <v>0</v>
          </cell>
          <cell r="O25">
            <v>0</v>
          </cell>
          <cell r="P25">
            <v>0</v>
          </cell>
          <cell r="Q25">
            <v>0</v>
          </cell>
          <cell r="R25">
            <v>0</v>
          </cell>
          <cell r="S25">
            <v>0</v>
          </cell>
          <cell r="T25">
            <v>0</v>
          </cell>
          <cell r="U25">
            <v>0</v>
          </cell>
          <cell r="V25">
            <v>0</v>
          </cell>
          <cell r="W25">
            <v>0</v>
          </cell>
          <cell r="X25">
            <v>0</v>
          </cell>
        </row>
        <row r="26">
          <cell r="A26" t="str">
            <v>651.140</v>
          </cell>
          <cell r="B26" t="str">
            <v>Traït tæåìng gaûch äúng cao &gt; 4m væîa XM M50 daìy 15</v>
          </cell>
          <cell r="C26" t="str">
            <v>m2</v>
          </cell>
          <cell r="D26">
            <v>98.64</v>
          </cell>
          <cell r="E26">
            <v>1.68</v>
          </cell>
          <cell r="F26">
            <v>305.42</v>
          </cell>
          <cell r="H26">
            <v>1.99</v>
          </cell>
          <cell r="K26">
            <v>0</v>
          </cell>
          <cell r="L26">
            <v>0</v>
          </cell>
          <cell r="M26">
            <v>0</v>
          </cell>
          <cell r="N26">
            <v>0</v>
          </cell>
          <cell r="O26">
            <v>0</v>
          </cell>
          <cell r="P26">
            <v>0</v>
          </cell>
          <cell r="Q26">
            <v>0</v>
          </cell>
          <cell r="R26">
            <v>0</v>
          </cell>
          <cell r="S26">
            <v>0</v>
          </cell>
          <cell r="T26">
            <v>0</v>
          </cell>
          <cell r="U26">
            <v>0</v>
          </cell>
          <cell r="V26">
            <v>0</v>
          </cell>
          <cell r="W26">
            <v>0</v>
          </cell>
          <cell r="X26">
            <v>0</v>
          </cell>
        </row>
        <row r="27">
          <cell r="A27" t="str">
            <v>204.310</v>
          </cell>
          <cell r="B27" t="str">
            <v xml:space="preserve">Xáy äÚp truû væîa XM M75 gaûch âàûc </v>
          </cell>
          <cell r="C27" t="str">
            <v>m3</v>
          </cell>
          <cell r="D27">
            <v>0.87</v>
          </cell>
          <cell r="E27">
            <v>0.27</v>
          </cell>
          <cell r="F27">
            <v>69.540000000000006</v>
          </cell>
          <cell r="H27">
            <v>0.3</v>
          </cell>
          <cell r="K27">
            <v>0</v>
          </cell>
          <cell r="L27">
            <v>0</v>
          </cell>
          <cell r="M27">
            <v>680.34</v>
          </cell>
          <cell r="N27">
            <v>0</v>
          </cell>
          <cell r="O27">
            <v>0</v>
          </cell>
          <cell r="P27">
            <v>0</v>
          </cell>
          <cell r="Q27">
            <v>0</v>
          </cell>
          <cell r="R27">
            <v>0</v>
          </cell>
          <cell r="S27">
            <v>0</v>
          </cell>
          <cell r="T27">
            <v>0</v>
          </cell>
          <cell r="U27">
            <v>0</v>
          </cell>
          <cell r="V27">
            <v>0</v>
          </cell>
          <cell r="W27">
            <v>0</v>
          </cell>
          <cell r="X27">
            <v>0</v>
          </cell>
        </row>
        <row r="28">
          <cell r="A28" t="str">
            <v>651.220</v>
          </cell>
          <cell r="B28" t="str">
            <v>Traït truû væîa XM M75 daìy 15</v>
          </cell>
          <cell r="C28" t="str">
            <v>m2</v>
          </cell>
          <cell r="D28">
            <v>7.92</v>
          </cell>
          <cell r="E28">
            <v>0.14000000000000001</v>
          </cell>
          <cell r="F28">
            <v>36.06</v>
          </cell>
          <cell r="H28">
            <v>0.16</v>
          </cell>
          <cell r="K28">
            <v>0</v>
          </cell>
          <cell r="L28">
            <v>0</v>
          </cell>
          <cell r="M28">
            <v>0</v>
          </cell>
          <cell r="N28">
            <v>0</v>
          </cell>
          <cell r="O28">
            <v>0</v>
          </cell>
          <cell r="P28">
            <v>0</v>
          </cell>
          <cell r="Q28">
            <v>0</v>
          </cell>
          <cell r="R28">
            <v>0</v>
          </cell>
          <cell r="S28">
            <v>0</v>
          </cell>
          <cell r="T28">
            <v>0</v>
          </cell>
          <cell r="U28">
            <v>0</v>
          </cell>
          <cell r="V28">
            <v>0</v>
          </cell>
          <cell r="W28">
            <v>0</v>
          </cell>
          <cell r="X28">
            <v>0</v>
          </cell>
        </row>
        <row r="29">
          <cell r="A29" t="str">
            <v>651.220</v>
          </cell>
          <cell r="B29" t="str">
            <v>Traït chaình cæía væîa XM M75 daìy 20</v>
          </cell>
          <cell r="C29" t="str">
            <v>m2</v>
          </cell>
          <cell r="D29">
            <v>54.48</v>
          </cell>
          <cell r="E29">
            <v>0.98</v>
          </cell>
          <cell r="F29">
            <v>252.4</v>
          </cell>
          <cell r="H29">
            <v>1.1000000000000001</v>
          </cell>
          <cell r="K29">
            <v>0</v>
          </cell>
          <cell r="L29">
            <v>0</v>
          </cell>
          <cell r="M29">
            <v>0</v>
          </cell>
          <cell r="N29">
            <v>0</v>
          </cell>
          <cell r="O29">
            <v>0</v>
          </cell>
          <cell r="P29">
            <v>0</v>
          </cell>
          <cell r="Q29">
            <v>0</v>
          </cell>
          <cell r="R29">
            <v>0</v>
          </cell>
          <cell r="S29">
            <v>0</v>
          </cell>
          <cell r="T29">
            <v>0</v>
          </cell>
          <cell r="U29">
            <v>0</v>
          </cell>
          <cell r="V29">
            <v>0</v>
          </cell>
          <cell r="W29">
            <v>0</v>
          </cell>
          <cell r="X29">
            <v>0</v>
          </cell>
        </row>
        <row r="30">
          <cell r="A30" t="str">
            <v>222.410</v>
          </cell>
          <cell r="B30" t="str">
            <v xml:space="preserve">Bã täng truû M200 âaï 1x2 </v>
          </cell>
          <cell r="C30" t="str">
            <v>m3</v>
          </cell>
          <cell r="D30">
            <v>1.1200000000000001</v>
          </cell>
          <cell r="E30">
            <v>1.1499999999999999</v>
          </cell>
          <cell r="F30">
            <v>373.98</v>
          </cell>
          <cell r="G30">
            <v>0.47</v>
          </cell>
          <cell r="I30">
            <v>0.97</v>
          </cell>
          <cell r="K30">
            <v>0</v>
          </cell>
          <cell r="L30">
            <v>0</v>
          </cell>
          <cell r="M30">
            <v>0</v>
          </cell>
          <cell r="N30">
            <v>0</v>
          </cell>
          <cell r="O30">
            <v>0</v>
          </cell>
          <cell r="P30">
            <v>0</v>
          </cell>
          <cell r="Q30">
            <v>0</v>
          </cell>
          <cell r="R30">
            <v>0</v>
          </cell>
          <cell r="S30">
            <v>0</v>
          </cell>
          <cell r="T30">
            <v>0</v>
          </cell>
          <cell r="U30">
            <v>0</v>
          </cell>
          <cell r="V30">
            <v>0</v>
          </cell>
          <cell r="W30">
            <v>0</v>
          </cell>
          <cell r="X30">
            <v>0.15</v>
          </cell>
        </row>
        <row r="31">
          <cell r="A31" t="str">
            <v>300.510</v>
          </cell>
          <cell r="B31" t="str">
            <v xml:space="preserve">Bã täng lanh tä M200 âaï 1x2 </v>
          </cell>
          <cell r="C31" t="str">
            <v>m3</v>
          </cell>
          <cell r="D31">
            <v>2.0500000000000003</v>
          </cell>
          <cell r="E31">
            <v>2.08</v>
          </cell>
          <cell r="F31">
            <v>676.42</v>
          </cell>
          <cell r="G31">
            <v>0.86</v>
          </cell>
          <cell r="I31">
            <v>1.75</v>
          </cell>
          <cell r="K31">
            <v>0</v>
          </cell>
          <cell r="L31">
            <v>0</v>
          </cell>
          <cell r="M31">
            <v>0</v>
          </cell>
          <cell r="N31">
            <v>0</v>
          </cell>
          <cell r="O31">
            <v>0</v>
          </cell>
          <cell r="P31">
            <v>0</v>
          </cell>
          <cell r="Q31">
            <v>0</v>
          </cell>
          <cell r="R31">
            <v>0</v>
          </cell>
          <cell r="S31">
            <v>0</v>
          </cell>
          <cell r="T31">
            <v>0</v>
          </cell>
          <cell r="U31">
            <v>0</v>
          </cell>
          <cell r="V31">
            <v>0</v>
          </cell>
          <cell r="W31">
            <v>0</v>
          </cell>
          <cell r="X31">
            <v>0.03</v>
          </cell>
        </row>
        <row r="32">
          <cell r="A32" t="str">
            <v>300.510</v>
          </cell>
          <cell r="B32" t="str">
            <v xml:space="preserve">Bã täng ä vàng M200 âaï 1x2 </v>
          </cell>
          <cell r="C32" t="str">
            <v>m3</v>
          </cell>
          <cell r="D32">
            <v>0.28000000000000003</v>
          </cell>
          <cell r="E32">
            <v>0.28000000000000003</v>
          </cell>
          <cell r="F32">
            <v>91.06</v>
          </cell>
          <cell r="G32">
            <v>0.12</v>
          </cell>
          <cell r="I32">
            <v>0.24</v>
          </cell>
          <cell r="K32">
            <v>0</v>
          </cell>
          <cell r="L32">
            <v>0</v>
          </cell>
          <cell r="M32">
            <v>0</v>
          </cell>
          <cell r="N32">
            <v>0</v>
          </cell>
          <cell r="O32">
            <v>0</v>
          </cell>
          <cell r="P32">
            <v>0</v>
          </cell>
          <cell r="Q32">
            <v>0</v>
          </cell>
          <cell r="R32">
            <v>0</v>
          </cell>
          <cell r="S32">
            <v>0</v>
          </cell>
          <cell r="T32">
            <v>0</v>
          </cell>
          <cell r="U32">
            <v>0</v>
          </cell>
          <cell r="V32">
            <v>0</v>
          </cell>
          <cell r="W32">
            <v>0</v>
          </cell>
          <cell r="X32">
            <v>0</v>
          </cell>
        </row>
        <row r="33">
          <cell r="A33" t="str">
            <v>651.320</v>
          </cell>
          <cell r="B33" t="str">
            <v>Traït ä vàng væîa XM M50 daìy 15</v>
          </cell>
          <cell r="C33" t="str">
            <v>m2</v>
          </cell>
          <cell r="D33">
            <v>4.62</v>
          </cell>
          <cell r="E33">
            <v>0.08</v>
          </cell>
          <cell r="F33">
            <v>14.54</v>
          </cell>
          <cell r="H33">
            <v>0.09</v>
          </cell>
          <cell r="K33">
            <v>0</v>
          </cell>
          <cell r="L33">
            <v>0</v>
          </cell>
          <cell r="M33">
            <v>0</v>
          </cell>
          <cell r="N33">
            <v>0</v>
          </cell>
          <cell r="O33">
            <v>0</v>
          </cell>
          <cell r="P33">
            <v>0</v>
          </cell>
          <cell r="Q33">
            <v>0</v>
          </cell>
          <cell r="R33">
            <v>0</v>
          </cell>
          <cell r="S33">
            <v>0</v>
          </cell>
          <cell r="T33">
            <v>0</v>
          </cell>
          <cell r="U33">
            <v>0</v>
          </cell>
          <cell r="V33">
            <v>0</v>
          </cell>
          <cell r="W33">
            <v>0</v>
          </cell>
          <cell r="X33">
            <v>0</v>
          </cell>
        </row>
        <row r="34">
          <cell r="A34" t="str">
            <v>672.110</v>
          </cell>
          <cell r="B34" t="str">
            <v>Laïng ä vàng væîa XM M75 daìy 20</v>
          </cell>
          <cell r="C34" t="str">
            <v>m2</v>
          </cell>
          <cell r="D34">
            <v>4.62</v>
          </cell>
          <cell r="E34">
            <v>0.06</v>
          </cell>
          <cell r="F34">
            <v>15.45</v>
          </cell>
          <cell r="H34">
            <v>7.0000000000000007E-2</v>
          </cell>
          <cell r="K34">
            <v>0</v>
          </cell>
          <cell r="L34">
            <v>0</v>
          </cell>
          <cell r="M34">
            <v>0</v>
          </cell>
          <cell r="N34">
            <v>0</v>
          </cell>
          <cell r="O34">
            <v>0</v>
          </cell>
          <cell r="P34">
            <v>0</v>
          </cell>
          <cell r="Q34">
            <v>0</v>
          </cell>
          <cell r="R34">
            <v>0</v>
          </cell>
          <cell r="S34">
            <v>0</v>
          </cell>
          <cell r="T34">
            <v>0</v>
          </cell>
          <cell r="U34">
            <v>0</v>
          </cell>
          <cell r="V34">
            <v>0</v>
          </cell>
          <cell r="W34">
            <v>0</v>
          </cell>
          <cell r="X34">
            <v>0</v>
          </cell>
        </row>
        <row r="35">
          <cell r="A35" t="str">
            <v>651.420</v>
          </cell>
          <cell r="B35" t="str">
            <v>Traït chè næåïc ä vàng væîa XM M75</v>
          </cell>
          <cell r="C35" t="str">
            <v>md</v>
          </cell>
          <cell r="D35">
            <v>16.100000000000001</v>
          </cell>
          <cell r="E35">
            <v>7.0000000000000007E-2</v>
          </cell>
          <cell r="F35">
            <v>18.03</v>
          </cell>
          <cell r="H35">
            <v>0.08</v>
          </cell>
          <cell r="K35">
            <v>0</v>
          </cell>
          <cell r="L35">
            <v>0</v>
          </cell>
          <cell r="M35">
            <v>0</v>
          </cell>
          <cell r="N35">
            <v>0</v>
          </cell>
          <cell r="O35">
            <v>0</v>
          </cell>
          <cell r="P35">
            <v>0</v>
          </cell>
          <cell r="Q35">
            <v>0</v>
          </cell>
          <cell r="R35">
            <v>0</v>
          </cell>
          <cell r="S35">
            <v>0</v>
          </cell>
          <cell r="T35">
            <v>0</v>
          </cell>
          <cell r="U35">
            <v>0</v>
          </cell>
          <cell r="V35">
            <v>0</v>
          </cell>
          <cell r="W35">
            <v>0</v>
          </cell>
          <cell r="X35">
            <v>0</v>
          </cell>
        </row>
        <row r="36">
          <cell r="A36" t="str">
            <v>651.330</v>
          </cell>
          <cell r="B36" t="str">
            <v xml:space="preserve">Traït häö dáöu vaìo ä vàng </v>
          </cell>
          <cell r="C36" t="str">
            <v>m2</v>
          </cell>
          <cell r="D36">
            <v>9.24</v>
          </cell>
          <cell r="F36">
            <v>10</v>
          </cell>
          <cell r="K36">
            <v>0</v>
          </cell>
          <cell r="L36">
            <v>0</v>
          </cell>
          <cell r="M36">
            <v>0</v>
          </cell>
          <cell r="N36">
            <v>0</v>
          </cell>
          <cell r="O36">
            <v>0</v>
          </cell>
          <cell r="P36">
            <v>0</v>
          </cell>
          <cell r="Q36">
            <v>0</v>
          </cell>
          <cell r="R36">
            <v>0</v>
          </cell>
          <cell r="S36">
            <v>0</v>
          </cell>
          <cell r="T36">
            <v>0</v>
          </cell>
          <cell r="U36">
            <v>0</v>
          </cell>
          <cell r="V36">
            <v>0</v>
          </cell>
          <cell r="W36">
            <v>0</v>
          </cell>
          <cell r="X36">
            <v>0</v>
          </cell>
        </row>
        <row r="37">
          <cell r="A37" t="str">
            <v>651.220</v>
          </cell>
          <cell r="B37" t="str">
            <v>Traït truû truûc A væîa XM M75 daìy 15</v>
          </cell>
          <cell r="C37" t="str">
            <v>m2</v>
          </cell>
          <cell r="D37">
            <v>25.76</v>
          </cell>
          <cell r="E37">
            <v>0.46</v>
          </cell>
          <cell r="F37">
            <v>118.47</v>
          </cell>
          <cell r="H37">
            <v>0.51</v>
          </cell>
          <cell r="K37">
            <v>0</v>
          </cell>
          <cell r="L37">
            <v>0</v>
          </cell>
          <cell r="M37">
            <v>0</v>
          </cell>
          <cell r="N37">
            <v>0</v>
          </cell>
          <cell r="O37">
            <v>0</v>
          </cell>
          <cell r="P37">
            <v>0</v>
          </cell>
          <cell r="Q37">
            <v>0</v>
          </cell>
          <cell r="R37">
            <v>0</v>
          </cell>
          <cell r="S37">
            <v>0</v>
          </cell>
          <cell r="T37">
            <v>0</v>
          </cell>
          <cell r="U37">
            <v>0</v>
          </cell>
          <cell r="V37">
            <v>0</v>
          </cell>
          <cell r="W37">
            <v>0</v>
          </cell>
          <cell r="X37">
            <v>0</v>
          </cell>
        </row>
        <row r="38">
          <cell r="A38" t="str">
            <v>224.110</v>
          </cell>
          <cell r="B38" t="str">
            <v xml:space="preserve">Bã täng dáöm M200 âaï 1x2 </v>
          </cell>
          <cell r="C38" t="str">
            <v>m3</v>
          </cell>
          <cell r="D38">
            <v>6.1499999999999995</v>
          </cell>
          <cell r="E38">
            <v>6.3</v>
          </cell>
          <cell r="F38">
            <v>2048.7600000000002</v>
          </cell>
          <cell r="G38">
            <v>2.6</v>
          </cell>
          <cell r="I38">
            <v>5.3</v>
          </cell>
          <cell r="K38">
            <v>0</v>
          </cell>
          <cell r="L38">
            <v>0</v>
          </cell>
          <cell r="M38">
            <v>0</v>
          </cell>
          <cell r="N38">
            <v>0</v>
          </cell>
          <cell r="O38">
            <v>0</v>
          </cell>
          <cell r="P38">
            <v>0</v>
          </cell>
          <cell r="Q38">
            <v>0</v>
          </cell>
          <cell r="R38">
            <v>0</v>
          </cell>
          <cell r="S38">
            <v>0</v>
          </cell>
          <cell r="T38">
            <v>0</v>
          </cell>
          <cell r="U38">
            <v>0</v>
          </cell>
          <cell r="V38">
            <v>0</v>
          </cell>
          <cell r="W38">
            <v>0</v>
          </cell>
          <cell r="X38">
            <v>0.71</v>
          </cell>
        </row>
        <row r="39">
          <cell r="A39" t="str">
            <v>651.330</v>
          </cell>
          <cell r="B39" t="str">
            <v>Traït dáöm væîa XM M50 daìy 15</v>
          </cell>
          <cell r="C39" t="str">
            <v>m2</v>
          </cell>
          <cell r="D39">
            <v>87.44</v>
          </cell>
          <cell r="E39">
            <v>1.57</v>
          </cell>
          <cell r="F39">
            <v>285.43</v>
          </cell>
          <cell r="H39">
            <v>1.86</v>
          </cell>
          <cell r="K39">
            <v>0</v>
          </cell>
          <cell r="L39">
            <v>0</v>
          </cell>
          <cell r="M39">
            <v>0</v>
          </cell>
          <cell r="N39">
            <v>0</v>
          </cell>
          <cell r="O39">
            <v>0</v>
          </cell>
          <cell r="P39">
            <v>0</v>
          </cell>
          <cell r="Q39">
            <v>0</v>
          </cell>
          <cell r="R39">
            <v>0</v>
          </cell>
          <cell r="S39">
            <v>0</v>
          </cell>
          <cell r="T39">
            <v>0</v>
          </cell>
          <cell r="U39">
            <v>0</v>
          </cell>
          <cell r="V39">
            <v>0</v>
          </cell>
          <cell r="W39">
            <v>0</v>
          </cell>
          <cell r="X39">
            <v>0</v>
          </cell>
        </row>
        <row r="40">
          <cell r="A40" t="str">
            <v>651.330</v>
          </cell>
          <cell r="B40" t="str">
            <v xml:space="preserve">Traït häö dáöu vaìo âáöm bã täng </v>
          </cell>
          <cell r="C40" t="str">
            <v>m2</v>
          </cell>
          <cell r="D40">
            <v>87.44</v>
          </cell>
          <cell r="F40">
            <v>99</v>
          </cell>
          <cell r="K40">
            <v>0</v>
          </cell>
          <cell r="L40">
            <v>0</v>
          </cell>
          <cell r="M40">
            <v>0</v>
          </cell>
          <cell r="N40">
            <v>0</v>
          </cell>
          <cell r="O40">
            <v>0</v>
          </cell>
          <cell r="P40">
            <v>0</v>
          </cell>
          <cell r="Q40">
            <v>0</v>
          </cell>
          <cell r="R40">
            <v>0</v>
          </cell>
          <cell r="S40">
            <v>0</v>
          </cell>
          <cell r="T40">
            <v>0</v>
          </cell>
          <cell r="U40">
            <v>0</v>
          </cell>
          <cell r="V40">
            <v>0</v>
          </cell>
          <cell r="W40">
            <v>0</v>
          </cell>
          <cell r="X40">
            <v>0</v>
          </cell>
        </row>
        <row r="41">
          <cell r="A41" t="str">
            <v>701.110</v>
          </cell>
          <cell r="B41" t="str">
            <v xml:space="preserve">Queït väi tæåìng truû 1 tràõng 2 maìu </v>
          </cell>
          <cell r="C41" t="str">
            <v>m2</v>
          </cell>
          <cell r="D41">
            <v>1358.5000000000002</v>
          </cell>
          <cell r="E41">
            <v>0</v>
          </cell>
          <cell r="K41">
            <v>0</v>
          </cell>
          <cell r="L41">
            <v>0</v>
          </cell>
          <cell r="M41">
            <v>0</v>
          </cell>
          <cell r="N41">
            <v>0</v>
          </cell>
          <cell r="O41">
            <v>0</v>
          </cell>
          <cell r="P41">
            <v>0</v>
          </cell>
          <cell r="Q41">
            <v>0</v>
          </cell>
          <cell r="R41">
            <v>27.17</v>
          </cell>
          <cell r="S41">
            <v>407.55</v>
          </cell>
          <cell r="T41">
            <v>0</v>
          </cell>
          <cell r="U41">
            <v>0</v>
          </cell>
          <cell r="V41">
            <v>0</v>
          </cell>
          <cell r="W41">
            <v>0</v>
          </cell>
          <cell r="X41">
            <v>0</v>
          </cell>
        </row>
        <row r="42">
          <cell r="A42" t="str">
            <v>701.130</v>
          </cell>
          <cell r="B42" t="str">
            <v>Queït väi chaình cæía , ä vàng , lanh tä 3 næåïc tràõng</v>
          </cell>
          <cell r="C42" t="str">
            <v>m2</v>
          </cell>
          <cell r="D42">
            <v>59.099999999999994</v>
          </cell>
          <cell r="E42">
            <v>0</v>
          </cell>
          <cell r="K42">
            <v>0</v>
          </cell>
          <cell r="L42">
            <v>0</v>
          </cell>
          <cell r="M42">
            <v>0</v>
          </cell>
          <cell r="N42">
            <v>0</v>
          </cell>
          <cell r="O42">
            <v>0</v>
          </cell>
          <cell r="P42">
            <v>0</v>
          </cell>
          <cell r="Q42">
            <v>0</v>
          </cell>
          <cell r="R42">
            <v>0</v>
          </cell>
          <cell r="S42">
            <v>18.68</v>
          </cell>
          <cell r="T42">
            <v>0</v>
          </cell>
          <cell r="U42">
            <v>0</v>
          </cell>
          <cell r="V42">
            <v>0</v>
          </cell>
          <cell r="W42">
            <v>0</v>
          </cell>
          <cell r="X42">
            <v>0</v>
          </cell>
        </row>
        <row r="43">
          <cell r="A43" t="str">
            <v>703.440</v>
          </cell>
          <cell r="B43" t="str">
            <v xml:space="preserve">Sån cæía âi, säø panä, panä kênh 3 næåïc  maìu xaïm </v>
          </cell>
          <cell r="C43" t="str">
            <v>m2</v>
          </cell>
          <cell r="D43">
            <v>113.4</v>
          </cell>
          <cell r="E43">
            <v>0</v>
          </cell>
          <cell r="K43">
            <v>0</v>
          </cell>
          <cell r="L43">
            <v>0</v>
          </cell>
          <cell r="M43">
            <v>0</v>
          </cell>
          <cell r="N43">
            <v>0</v>
          </cell>
          <cell r="O43">
            <v>0</v>
          </cell>
          <cell r="P43">
            <v>0</v>
          </cell>
          <cell r="Q43">
            <v>0</v>
          </cell>
          <cell r="R43">
            <v>0</v>
          </cell>
          <cell r="S43">
            <v>0</v>
          </cell>
          <cell r="T43">
            <v>25.52</v>
          </cell>
          <cell r="U43">
            <v>0</v>
          </cell>
          <cell r="V43">
            <v>0</v>
          </cell>
          <cell r="W43">
            <v>0</v>
          </cell>
          <cell r="X43">
            <v>0</v>
          </cell>
        </row>
        <row r="44">
          <cell r="A44" t="str">
            <v>703.440</v>
          </cell>
          <cell r="B44" t="str">
            <v xml:space="preserve">Sån cæía säø sàõt chåïp kênh 3 næåïc maìu xaïm </v>
          </cell>
          <cell r="C44" t="str">
            <v>m2</v>
          </cell>
          <cell r="D44">
            <v>39.200000000000003</v>
          </cell>
          <cell r="E44">
            <v>0</v>
          </cell>
          <cell r="K44">
            <v>0</v>
          </cell>
          <cell r="L44">
            <v>0</v>
          </cell>
          <cell r="M44">
            <v>0</v>
          </cell>
          <cell r="N44">
            <v>0</v>
          </cell>
          <cell r="O44">
            <v>0</v>
          </cell>
          <cell r="P44">
            <v>0</v>
          </cell>
          <cell r="Q44">
            <v>0</v>
          </cell>
          <cell r="R44">
            <v>0</v>
          </cell>
          <cell r="S44">
            <v>0</v>
          </cell>
          <cell r="T44">
            <v>8.82</v>
          </cell>
          <cell r="U44">
            <v>0</v>
          </cell>
          <cell r="V44">
            <v>0</v>
          </cell>
          <cell r="W44">
            <v>0</v>
          </cell>
          <cell r="X44">
            <v>0</v>
          </cell>
        </row>
        <row r="45">
          <cell r="A45">
            <v>0</v>
          </cell>
          <cell r="B45" t="str">
            <v>III. TRÁÖN + MAÏI NHAÌ :</v>
          </cell>
          <cell r="C45">
            <v>0</v>
          </cell>
          <cell r="D45">
            <v>0</v>
          </cell>
          <cell r="F45">
            <v>2651.1300000000006</v>
          </cell>
          <cell r="G45">
            <v>2.1</v>
          </cell>
          <cell r="H45">
            <v>4.4899999999999993</v>
          </cell>
          <cell r="I45">
            <v>4.2600000000000007</v>
          </cell>
          <cell r="J45">
            <v>0</v>
          </cell>
          <cell r="K45">
            <v>0</v>
          </cell>
          <cell r="L45">
            <v>0</v>
          </cell>
          <cell r="M45">
            <v>713.4</v>
          </cell>
          <cell r="N45">
            <v>0</v>
          </cell>
          <cell r="O45">
            <v>0</v>
          </cell>
          <cell r="P45">
            <v>0</v>
          </cell>
          <cell r="Q45">
            <v>0</v>
          </cell>
          <cell r="R45">
            <v>0.53</v>
          </cell>
          <cell r="S45">
            <v>33.880000000000003</v>
          </cell>
          <cell r="T45">
            <v>51.07</v>
          </cell>
          <cell r="U45">
            <v>6.6899999999999995</v>
          </cell>
          <cell r="V45">
            <v>355.45</v>
          </cell>
          <cell r="W45">
            <v>175.56</v>
          </cell>
          <cell r="X45">
            <v>0.5</v>
          </cell>
        </row>
        <row r="46">
          <cell r="A46" t="str">
            <v>225.110</v>
          </cell>
          <cell r="B46" t="str">
            <v xml:space="preserve">Bã täng saìn maïi M200 âaï 1x2 </v>
          </cell>
          <cell r="C46" t="str">
            <v>m3</v>
          </cell>
          <cell r="D46">
            <v>3.71</v>
          </cell>
          <cell r="E46">
            <v>3.8</v>
          </cell>
          <cell r="F46">
            <v>1235.76</v>
          </cell>
          <cell r="G46">
            <v>1.57</v>
          </cell>
          <cell r="I46">
            <v>3.2</v>
          </cell>
          <cell r="K46">
            <v>0</v>
          </cell>
          <cell r="L46">
            <v>0</v>
          </cell>
          <cell r="M46">
            <v>0</v>
          </cell>
          <cell r="N46">
            <v>0</v>
          </cell>
          <cell r="O46">
            <v>0</v>
          </cell>
          <cell r="P46">
            <v>0</v>
          </cell>
          <cell r="Q46">
            <v>0</v>
          </cell>
          <cell r="R46">
            <v>0</v>
          </cell>
          <cell r="S46">
            <v>0</v>
          </cell>
          <cell r="T46">
            <v>0</v>
          </cell>
          <cell r="U46">
            <v>0</v>
          </cell>
          <cell r="V46">
            <v>0</v>
          </cell>
          <cell r="W46">
            <v>0</v>
          </cell>
          <cell r="X46">
            <v>0.37</v>
          </cell>
        </row>
        <row r="47">
          <cell r="A47" t="str">
            <v>225.210</v>
          </cell>
          <cell r="B47" t="str">
            <v xml:space="preserve">Bã täng sã nä M200 âaï 1x2 </v>
          </cell>
          <cell r="C47" t="str">
            <v>m3</v>
          </cell>
          <cell r="D47">
            <v>0.77</v>
          </cell>
          <cell r="E47">
            <v>0.79</v>
          </cell>
          <cell r="F47">
            <v>256.91000000000003</v>
          </cell>
          <cell r="G47">
            <v>0.33</v>
          </cell>
          <cell r="I47">
            <v>0.66</v>
          </cell>
          <cell r="K47">
            <v>0</v>
          </cell>
          <cell r="L47">
            <v>0</v>
          </cell>
          <cell r="M47">
            <v>0</v>
          </cell>
          <cell r="N47">
            <v>0</v>
          </cell>
          <cell r="O47">
            <v>0</v>
          </cell>
          <cell r="P47">
            <v>0</v>
          </cell>
          <cell r="Q47">
            <v>0</v>
          </cell>
          <cell r="R47">
            <v>0</v>
          </cell>
          <cell r="S47">
            <v>0</v>
          </cell>
          <cell r="T47">
            <v>0</v>
          </cell>
          <cell r="U47">
            <v>0</v>
          </cell>
          <cell r="V47">
            <v>0</v>
          </cell>
          <cell r="W47">
            <v>0</v>
          </cell>
          <cell r="X47">
            <v>0.08</v>
          </cell>
        </row>
        <row r="48">
          <cell r="A48" t="str">
            <v>651.320</v>
          </cell>
          <cell r="B48" t="str">
            <v>Traït saìn maïi sã nä væîa XM M50 daìy 15</v>
          </cell>
          <cell r="C48" t="str">
            <v>m2</v>
          </cell>
          <cell r="D48">
            <v>52.94</v>
          </cell>
          <cell r="E48">
            <v>0.95</v>
          </cell>
          <cell r="F48">
            <v>172.71</v>
          </cell>
          <cell r="H48">
            <v>1.1299999999999999</v>
          </cell>
          <cell r="K48">
            <v>0</v>
          </cell>
          <cell r="L48">
            <v>0</v>
          </cell>
          <cell r="M48">
            <v>0</v>
          </cell>
          <cell r="N48">
            <v>0</v>
          </cell>
          <cell r="O48">
            <v>0</v>
          </cell>
          <cell r="P48">
            <v>0</v>
          </cell>
          <cell r="Q48">
            <v>0</v>
          </cell>
          <cell r="R48">
            <v>0</v>
          </cell>
          <cell r="S48">
            <v>0</v>
          </cell>
          <cell r="T48">
            <v>0</v>
          </cell>
          <cell r="U48">
            <v>0</v>
          </cell>
          <cell r="V48">
            <v>0</v>
          </cell>
          <cell r="W48">
            <v>0</v>
          </cell>
          <cell r="X48">
            <v>0</v>
          </cell>
        </row>
        <row r="49">
          <cell r="A49" t="str">
            <v>671.140</v>
          </cell>
          <cell r="B49" t="str">
            <v>Laïng saìn maïi væîa XM M75 daìy 30</v>
          </cell>
          <cell r="C49" t="str">
            <v>m2</v>
          </cell>
          <cell r="D49">
            <v>49.96</v>
          </cell>
          <cell r="E49">
            <v>1.75</v>
          </cell>
          <cell r="F49">
            <v>450.71</v>
          </cell>
          <cell r="H49">
            <v>1.96</v>
          </cell>
          <cell r="K49">
            <v>0</v>
          </cell>
          <cell r="L49">
            <v>0</v>
          </cell>
          <cell r="M49">
            <v>0</v>
          </cell>
          <cell r="N49">
            <v>0</v>
          </cell>
          <cell r="O49">
            <v>0</v>
          </cell>
          <cell r="P49">
            <v>0</v>
          </cell>
          <cell r="Q49">
            <v>0</v>
          </cell>
          <cell r="R49">
            <v>0</v>
          </cell>
          <cell r="S49">
            <v>0</v>
          </cell>
          <cell r="T49">
            <v>0</v>
          </cell>
          <cell r="U49">
            <v>0</v>
          </cell>
          <cell r="V49">
            <v>0</v>
          </cell>
          <cell r="W49">
            <v>0</v>
          </cell>
          <cell r="X49">
            <v>0</v>
          </cell>
        </row>
        <row r="50">
          <cell r="A50" t="str">
            <v>651.330</v>
          </cell>
          <cell r="B50" t="str">
            <v xml:space="preserve">Ngám næåïc XM chäúng tháúm saìn </v>
          </cell>
          <cell r="C50" t="str">
            <v>m2</v>
          </cell>
          <cell r="D50">
            <v>49.96</v>
          </cell>
          <cell r="F50">
            <v>57</v>
          </cell>
          <cell r="K50">
            <v>0</v>
          </cell>
          <cell r="L50">
            <v>0</v>
          </cell>
          <cell r="M50">
            <v>0</v>
          </cell>
          <cell r="N50">
            <v>0</v>
          </cell>
          <cell r="O50">
            <v>0</v>
          </cell>
          <cell r="P50">
            <v>0</v>
          </cell>
          <cell r="Q50">
            <v>0</v>
          </cell>
          <cell r="R50">
            <v>0</v>
          </cell>
          <cell r="S50">
            <v>0</v>
          </cell>
          <cell r="T50">
            <v>0</v>
          </cell>
          <cell r="U50">
            <v>0</v>
          </cell>
          <cell r="V50">
            <v>0</v>
          </cell>
          <cell r="W50">
            <v>0</v>
          </cell>
          <cell r="X50">
            <v>0</v>
          </cell>
        </row>
        <row r="51">
          <cell r="A51" t="str">
            <v>651.510</v>
          </cell>
          <cell r="B51" t="str">
            <v>Traït thaình sã nä væîa XM M75 trong vaì ngoaìi  daìy 15</v>
          </cell>
          <cell r="C51" t="str">
            <v>m2</v>
          </cell>
          <cell r="D51">
            <v>26.72</v>
          </cell>
          <cell r="E51">
            <v>0.32</v>
          </cell>
          <cell r="F51">
            <v>82.42</v>
          </cell>
          <cell r="H51">
            <v>0.36</v>
          </cell>
          <cell r="K51">
            <v>0</v>
          </cell>
          <cell r="L51">
            <v>0</v>
          </cell>
          <cell r="M51">
            <v>0</v>
          </cell>
          <cell r="N51">
            <v>0</v>
          </cell>
          <cell r="O51">
            <v>0</v>
          </cell>
          <cell r="P51">
            <v>0</v>
          </cell>
          <cell r="Q51">
            <v>0</v>
          </cell>
          <cell r="R51">
            <v>0</v>
          </cell>
          <cell r="S51">
            <v>0</v>
          </cell>
          <cell r="T51">
            <v>0</v>
          </cell>
          <cell r="U51">
            <v>0</v>
          </cell>
          <cell r="V51">
            <v>0</v>
          </cell>
          <cell r="W51">
            <v>0</v>
          </cell>
          <cell r="X51">
            <v>0</v>
          </cell>
        </row>
        <row r="52">
          <cell r="A52" t="str">
            <v>225.210</v>
          </cell>
          <cell r="B52" t="str">
            <v xml:space="preserve">Bã täng lam ngang M200 âaï 1x2 </v>
          </cell>
          <cell r="C52" t="str">
            <v>m3</v>
          </cell>
          <cell r="D52">
            <v>0.47</v>
          </cell>
          <cell r="E52">
            <v>0.48</v>
          </cell>
          <cell r="F52">
            <v>156.1</v>
          </cell>
          <cell r="G52">
            <v>0.2</v>
          </cell>
          <cell r="I52">
            <v>0.4</v>
          </cell>
          <cell r="K52">
            <v>0</v>
          </cell>
          <cell r="L52">
            <v>0</v>
          </cell>
          <cell r="M52">
            <v>0</v>
          </cell>
          <cell r="N52">
            <v>0</v>
          </cell>
          <cell r="O52">
            <v>0</v>
          </cell>
          <cell r="P52">
            <v>0</v>
          </cell>
          <cell r="Q52">
            <v>0</v>
          </cell>
          <cell r="R52">
            <v>0</v>
          </cell>
          <cell r="S52">
            <v>0</v>
          </cell>
          <cell r="T52">
            <v>0</v>
          </cell>
          <cell r="U52">
            <v>0</v>
          </cell>
          <cell r="V52">
            <v>0</v>
          </cell>
          <cell r="W52">
            <v>0</v>
          </cell>
          <cell r="X52">
            <v>0.05</v>
          </cell>
        </row>
        <row r="53">
          <cell r="A53" t="str">
            <v>651.310</v>
          </cell>
          <cell r="B53" t="str">
            <v>Traït lam ngang væîa XM M75 daìy 15</v>
          </cell>
          <cell r="C53" t="str">
            <v>m2</v>
          </cell>
          <cell r="D53">
            <v>17.64</v>
          </cell>
          <cell r="E53">
            <v>0.32</v>
          </cell>
          <cell r="F53">
            <v>82.42</v>
          </cell>
          <cell r="H53">
            <v>0.36</v>
          </cell>
          <cell r="K53">
            <v>0</v>
          </cell>
          <cell r="L53">
            <v>0</v>
          </cell>
          <cell r="M53">
            <v>0</v>
          </cell>
          <cell r="N53">
            <v>0</v>
          </cell>
          <cell r="O53">
            <v>0</v>
          </cell>
          <cell r="P53">
            <v>0</v>
          </cell>
          <cell r="Q53">
            <v>0</v>
          </cell>
          <cell r="R53">
            <v>0</v>
          </cell>
          <cell r="S53">
            <v>0</v>
          </cell>
          <cell r="T53">
            <v>0</v>
          </cell>
          <cell r="U53">
            <v>0</v>
          </cell>
          <cell r="V53">
            <v>0</v>
          </cell>
          <cell r="W53">
            <v>0</v>
          </cell>
          <cell r="X53">
            <v>0</v>
          </cell>
        </row>
        <row r="54">
          <cell r="A54" t="str">
            <v>701.130</v>
          </cell>
          <cell r="B54" t="str">
            <v xml:space="preserve">Queït väi lam ngang , tráön 3 næåïc tràõng </v>
          </cell>
          <cell r="C54" t="str">
            <v>m2</v>
          </cell>
          <cell r="D54">
            <v>70.58</v>
          </cell>
          <cell r="E54">
            <v>0</v>
          </cell>
          <cell r="K54">
            <v>0</v>
          </cell>
          <cell r="L54">
            <v>0</v>
          </cell>
          <cell r="M54">
            <v>0</v>
          </cell>
          <cell r="N54">
            <v>0</v>
          </cell>
          <cell r="O54">
            <v>0</v>
          </cell>
          <cell r="P54">
            <v>0</v>
          </cell>
          <cell r="Q54">
            <v>0</v>
          </cell>
          <cell r="R54">
            <v>0</v>
          </cell>
          <cell r="S54">
            <v>22.3</v>
          </cell>
          <cell r="T54">
            <v>0</v>
          </cell>
          <cell r="U54">
            <v>0</v>
          </cell>
          <cell r="V54">
            <v>0</v>
          </cell>
          <cell r="W54">
            <v>0</v>
          </cell>
          <cell r="X54">
            <v>0</v>
          </cell>
        </row>
        <row r="55">
          <cell r="A55" t="str">
            <v>701.120</v>
          </cell>
          <cell r="B55" t="str">
            <v xml:space="preserve">Queït väi sã nä 1 tràõng , 2 maìu </v>
          </cell>
          <cell r="C55" t="str">
            <v>m2</v>
          </cell>
          <cell r="D55">
            <v>26.72</v>
          </cell>
          <cell r="E55">
            <v>0</v>
          </cell>
          <cell r="K55">
            <v>0</v>
          </cell>
          <cell r="L55">
            <v>0</v>
          </cell>
          <cell r="M55">
            <v>0</v>
          </cell>
          <cell r="N55">
            <v>0</v>
          </cell>
          <cell r="O55">
            <v>0</v>
          </cell>
          <cell r="P55">
            <v>0</v>
          </cell>
          <cell r="Q55">
            <v>0</v>
          </cell>
          <cell r="R55">
            <v>0.53</v>
          </cell>
          <cell r="S55">
            <v>8.02</v>
          </cell>
          <cell r="T55">
            <v>0</v>
          </cell>
          <cell r="U55">
            <v>0</v>
          </cell>
          <cell r="V55">
            <v>0</v>
          </cell>
          <cell r="W55">
            <v>0</v>
          </cell>
          <cell r="X55">
            <v>0</v>
          </cell>
        </row>
        <row r="56">
          <cell r="A56" t="str">
            <v>694.110</v>
          </cell>
          <cell r="B56" t="str">
            <v xml:space="preserve">Gia cäng âoïng tráön vaïn eïp </v>
          </cell>
          <cell r="C56" t="str">
            <v>m2</v>
          </cell>
          <cell r="D56">
            <v>159.6</v>
          </cell>
          <cell r="E56">
            <v>0</v>
          </cell>
          <cell r="K56">
            <v>0</v>
          </cell>
          <cell r="L56">
            <v>0</v>
          </cell>
          <cell r="M56">
            <v>0</v>
          </cell>
          <cell r="N56">
            <v>0</v>
          </cell>
          <cell r="O56">
            <v>0</v>
          </cell>
          <cell r="P56">
            <v>0</v>
          </cell>
          <cell r="Q56">
            <v>0</v>
          </cell>
          <cell r="R56">
            <v>0</v>
          </cell>
          <cell r="S56">
            <v>0</v>
          </cell>
          <cell r="T56">
            <v>0</v>
          </cell>
          <cell r="U56">
            <v>3.19</v>
          </cell>
          <cell r="V56">
            <v>0</v>
          </cell>
          <cell r="W56">
            <v>175.56</v>
          </cell>
          <cell r="X56">
            <v>0</v>
          </cell>
        </row>
        <row r="57">
          <cell r="A57" t="str">
            <v>703.220</v>
          </cell>
          <cell r="B57" t="str">
            <v xml:space="preserve">Sån tráön vaïn eïp 3 næåïc tràõng </v>
          </cell>
          <cell r="C57" t="str">
            <v>m2</v>
          </cell>
          <cell r="D57">
            <v>159.6</v>
          </cell>
          <cell r="E57">
            <v>0</v>
          </cell>
          <cell r="K57">
            <v>0</v>
          </cell>
          <cell r="L57">
            <v>0</v>
          </cell>
          <cell r="M57">
            <v>0</v>
          </cell>
          <cell r="N57">
            <v>0</v>
          </cell>
          <cell r="O57">
            <v>0</v>
          </cell>
          <cell r="P57">
            <v>0</v>
          </cell>
          <cell r="Q57">
            <v>0</v>
          </cell>
          <cell r="R57">
            <v>0</v>
          </cell>
          <cell r="S57">
            <v>0</v>
          </cell>
          <cell r="T57">
            <v>51.07</v>
          </cell>
          <cell r="U57">
            <v>0</v>
          </cell>
          <cell r="V57">
            <v>0</v>
          </cell>
          <cell r="W57">
            <v>0</v>
          </cell>
          <cell r="X57">
            <v>0</v>
          </cell>
        </row>
        <row r="58">
          <cell r="A58" t="str">
            <v>401.420</v>
          </cell>
          <cell r="B58" t="str">
            <v>Gia cäng xaì gäö gäù maïi nhaì ( gäù nhoïm 3 )</v>
          </cell>
          <cell r="C58" t="str">
            <v>m3</v>
          </cell>
          <cell r="D58">
            <v>3.18</v>
          </cell>
          <cell r="E58">
            <v>0</v>
          </cell>
          <cell r="K58">
            <v>0</v>
          </cell>
          <cell r="L58">
            <v>0</v>
          </cell>
          <cell r="M58">
            <v>0</v>
          </cell>
          <cell r="N58">
            <v>0</v>
          </cell>
          <cell r="O58">
            <v>0</v>
          </cell>
          <cell r="P58">
            <v>0</v>
          </cell>
          <cell r="Q58">
            <v>0</v>
          </cell>
          <cell r="R58">
            <v>0</v>
          </cell>
          <cell r="S58">
            <v>0</v>
          </cell>
          <cell r="T58">
            <v>0</v>
          </cell>
          <cell r="U58">
            <v>3.5</v>
          </cell>
          <cell r="V58">
            <v>0</v>
          </cell>
          <cell r="W58">
            <v>0</v>
          </cell>
          <cell r="X58">
            <v>0</v>
          </cell>
        </row>
        <row r="59">
          <cell r="A59" t="str">
            <v>605.210</v>
          </cell>
          <cell r="B59" t="str">
            <v xml:space="preserve">Låüp tän traïng keîm maïi nhaì </v>
          </cell>
          <cell r="C59" t="str">
            <v>m2</v>
          </cell>
          <cell r="D59">
            <v>269.27999999999997</v>
          </cell>
          <cell r="E59">
            <v>0</v>
          </cell>
          <cell r="K59">
            <v>0</v>
          </cell>
          <cell r="L59">
            <v>0</v>
          </cell>
          <cell r="M59">
            <v>0</v>
          </cell>
          <cell r="N59">
            <v>0</v>
          </cell>
          <cell r="O59">
            <v>0</v>
          </cell>
          <cell r="P59">
            <v>0</v>
          </cell>
          <cell r="Q59">
            <v>0</v>
          </cell>
          <cell r="R59">
            <v>0</v>
          </cell>
          <cell r="S59">
            <v>0</v>
          </cell>
          <cell r="T59">
            <v>0</v>
          </cell>
          <cell r="U59">
            <v>0</v>
          </cell>
          <cell r="V59">
            <v>355.45</v>
          </cell>
          <cell r="W59">
            <v>0</v>
          </cell>
          <cell r="X59">
            <v>0</v>
          </cell>
        </row>
        <row r="60">
          <cell r="A60" t="str">
            <v>204.420</v>
          </cell>
          <cell r="B60" t="str">
            <v>Xáy båì chaíy gaûch âàûc væîa XM M75</v>
          </cell>
          <cell r="C60" t="str">
            <v>m3</v>
          </cell>
          <cell r="D60">
            <v>0.87</v>
          </cell>
          <cell r="E60">
            <v>0.26</v>
          </cell>
          <cell r="F60">
            <v>66.959999999999994</v>
          </cell>
          <cell r="H60">
            <v>0.28999999999999998</v>
          </cell>
          <cell r="M60">
            <v>713.4</v>
          </cell>
        </row>
        <row r="61">
          <cell r="A61" t="str">
            <v>651.140</v>
          </cell>
          <cell r="B61" t="str">
            <v>Traït båì chaíy væîa XM M75 daìy 15</v>
          </cell>
          <cell r="C61" t="str">
            <v>m2</v>
          </cell>
          <cell r="D61">
            <v>11.88</v>
          </cell>
          <cell r="E61">
            <v>0.2</v>
          </cell>
          <cell r="F61">
            <v>51.51</v>
          </cell>
          <cell r="H61">
            <v>0.22</v>
          </cell>
        </row>
        <row r="62">
          <cell r="A62" t="str">
            <v>701.120</v>
          </cell>
          <cell r="B62" t="str">
            <v>Queït väi båì chaíy 3 næåïc tràõng</v>
          </cell>
          <cell r="C62" t="str">
            <v>m2</v>
          </cell>
          <cell r="D62">
            <v>11.88</v>
          </cell>
          <cell r="E62">
            <v>0</v>
          </cell>
          <cell r="F62">
            <v>0</v>
          </cell>
          <cell r="H62">
            <v>0</v>
          </cell>
          <cell r="S62">
            <v>3.56</v>
          </cell>
        </row>
        <row r="63">
          <cell r="A63" t="str">
            <v>651.420</v>
          </cell>
          <cell r="B63" t="str">
            <v>Traït chè næåïc sã nä</v>
          </cell>
          <cell r="C63" t="str">
            <v>m</v>
          </cell>
          <cell r="D63">
            <v>33.200000000000003</v>
          </cell>
          <cell r="E63">
            <v>0.15</v>
          </cell>
          <cell r="F63">
            <v>38.630000000000003</v>
          </cell>
          <cell r="H63">
            <v>0.17</v>
          </cell>
        </row>
        <row r="64">
          <cell r="A64">
            <v>0</v>
          </cell>
          <cell r="B64" t="str">
            <v>IV. KHU VÃÛ SINH - BÃØ TÆÛ HOAÛI - BÃÚP - HÄÚ GA :</v>
          </cell>
          <cell r="C64">
            <v>0</v>
          </cell>
          <cell r="D64">
            <v>0</v>
          </cell>
          <cell r="F64">
            <v>3304.2599999999998</v>
          </cell>
          <cell r="G64">
            <v>2.27</v>
          </cell>
          <cell r="H64">
            <v>9.629999999999999</v>
          </cell>
          <cell r="I64">
            <v>1.67</v>
          </cell>
          <cell r="J64">
            <v>2.68</v>
          </cell>
          <cell r="K64">
            <v>0</v>
          </cell>
          <cell r="L64">
            <v>0</v>
          </cell>
          <cell r="M64">
            <v>10479.6</v>
          </cell>
          <cell r="N64">
            <v>0</v>
          </cell>
          <cell r="O64">
            <v>13.51</v>
          </cell>
          <cell r="P64">
            <v>5664.75</v>
          </cell>
          <cell r="Q64">
            <v>50.769999999999996</v>
          </cell>
          <cell r="R64">
            <v>0.27</v>
          </cell>
          <cell r="S64">
            <v>4.12</v>
          </cell>
          <cell r="T64">
            <v>0</v>
          </cell>
          <cell r="U64">
            <v>0</v>
          </cell>
          <cell r="V64">
            <v>0</v>
          </cell>
          <cell r="W64">
            <v>0</v>
          </cell>
          <cell r="X64">
            <v>6.0000000000000005E-2</v>
          </cell>
        </row>
        <row r="65">
          <cell r="A65">
            <v>0</v>
          </cell>
          <cell r="B65" t="str">
            <v>a, Khu vãû sinh :</v>
          </cell>
          <cell r="C65">
            <v>0</v>
          </cell>
          <cell r="D65">
            <v>0</v>
          </cell>
        </row>
        <row r="66">
          <cell r="A66" t="str">
            <v>204.410</v>
          </cell>
          <cell r="B66" t="str">
            <v xml:space="preserve">Xáy thaình bãø næåïc khu vãû sinh daìy 110 væîa XM M75 </v>
          </cell>
          <cell r="C66" t="str">
            <v>m3</v>
          </cell>
          <cell r="D66">
            <v>0.65</v>
          </cell>
          <cell r="E66">
            <v>0.2</v>
          </cell>
          <cell r="F66">
            <v>51.51</v>
          </cell>
          <cell r="H66">
            <v>0.22</v>
          </cell>
          <cell r="K66">
            <v>0</v>
          </cell>
          <cell r="L66">
            <v>0</v>
          </cell>
          <cell r="M66">
            <v>533</v>
          </cell>
          <cell r="N66">
            <v>0</v>
          </cell>
          <cell r="O66">
            <v>0</v>
          </cell>
          <cell r="P66">
            <v>0</v>
          </cell>
          <cell r="Q66">
            <v>0</v>
          </cell>
          <cell r="R66">
            <v>0</v>
          </cell>
          <cell r="S66">
            <v>0</v>
          </cell>
          <cell r="T66">
            <v>0</v>
          </cell>
          <cell r="U66">
            <v>0</v>
          </cell>
          <cell r="V66">
            <v>0</v>
          </cell>
          <cell r="W66">
            <v>0</v>
          </cell>
          <cell r="X66">
            <v>0</v>
          </cell>
        </row>
        <row r="67">
          <cell r="A67" t="str">
            <v>651.510</v>
          </cell>
          <cell r="B67" t="str">
            <v>Traït thaình bãø næåïc væîa XM M75 daìy 20</v>
          </cell>
          <cell r="C67" t="str">
            <v>m2</v>
          </cell>
          <cell r="D67">
            <v>7.35</v>
          </cell>
          <cell r="E67">
            <v>0.09</v>
          </cell>
          <cell r="F67">
            <v>23.18</v>
          </cell>
          <cell r="H67">
            <v>0.1</v>
          </cell>
          <cell r="K67">
            <v>0</v>
          </cell>
          <cell r="L67">
            <v>0</v>
          </cell>
          <cell r="M67">
            <v>0</v>
          </cell>
          <cell r="N67">
            <v>0</v>
          </cell>
          <cell r="O67">
            <v>0</v>
          </cell>
          <cell r="P67">
            <v>0</v>
          </cell>
          <cell r="Q67">
            <v>0</v>
          </cell>
          <cell r="R67">
            <v>0</v>
          </cell>
          <cell r="S67">
            <v>0</v>
          </cell>
          <cell r="T67">
            <v>0</v>
          </cell>
          <cell r="U67">
            <v>0</v>
          </cell>
          <cell r="V67">
            <v>0</v>
          </cell>
          <cell r="W67">
            <v>0</v>
          </cell>
          <cell r="X67">
            <v>0</v>
          </cell>
        </row>
        <row r="68">
          <cell r="A68" t="str">
            <v>672.120</v>
          </cell>
          <cell r="B68" t="str">
            <v xml:space="preserve">Laïng bãø næåïc , xê xäøm væîa XM M75 daìy 30 âaïnh maìu </v>
          </cell>
          <cell r="C68" t="str">
            <v>m2</v>
          </cell>
          <cell r="D68">
            <v>8.19</v>
          </cell>
          <cell r="E68">
            <v>0.18</v>
          </cell>
          <cell r="F68">
            <v>46.36</v>
          </cell>
          <cell r="H68">
            <v>0.2</v>
          </cell>
          <cell r="K68">
            <v>0</v>
          </cell>
          <cell r="L68">
            <v>0</v>
          </cell>
          <cell r="M68">
            <v>0</v>
          </cell>
          <cell r="N68">
            <v>0</v>
          </cell>
          <cell r="O68">
            <v>0</v>
          </cell>
          <cell r="P68">
            <v>0</v>
          </cell>
          <cell r="Q68">
            <v>0</v>
          </cell>
          <cell r="R68">
            <v>0</v>
          </cell>
          <cell r="S68">
            <v>0</v>
          </cell>
          <cell r="T68">
            <v>0</v>
          </cell>
          <cell r="U68">
            <v>0</v>
          </cell>
          <cell r="V68">
            <v>0</v>
          </cell>
          <cell r="W68">
            <v>0</v>
          </cell>
          <cell r="X68">
            <v>0</v>
          </cell>
        </row>
        <row r="69">
          <cell r="A69" t="str">
            <v>651.330</v>
          </cell>
          <cell r="B69" t="str">
            <v xml:space="preserve">Âaïnh maìu thaình bãø næåïc bàòng xi màng nguyãn cháút </v>
          </cell>
          <cell r="C69" t="str">
            <v>m2</v>
          </cell>
          <cell r="D69">
            <v>7.35</v>
          </cell>
          <cell r="F69">
            <v>8</v>
          </cell>
          <cell r="K69">
            <v>0</v>
          </cell>
          <cell r="L69">
            <v>0</v>
          </cell>
          <cell r="M69">
            <v>0</v>
          </cell>
          <cell r="N69">
            <v>0</v>
          </cell>
          <cell r="O69">
            <v>0</v>
          </cell>
          <cell r="P69">
            <v>0</v>
          </cell>
          <cell r="Q69">
            <v>0</v>
          </cell>
          <cell r="R69">
            <v>0</v>
          </cell>
          <cell r="S69">
            <v>0</v>
          </cell>
          <cell r="T69">
            <v>0</v>
          </cell>
          <cell r="U69">
            <v>0</v>
          </cell>
          <cell r="V69">
            <v>0</v>
          </cell>
          <cell r="W69">
            <v>0</v>
          </cell>
          <cell r="X69">
            <v>0</v>
          </cell>
        </row>
        <row r="70">
          <cell r="A70" t="str">
            <v>685.130</v>
          </cell>
          <cell r="B70" t="str">
            <v>ÄÚp gaûch men Trung Quäúc loaûi 11x11 khu vãû sinh</v>
          </cell>
          <cell r="C70" t="str">
            <v>m2</v>
          </cell>
          <cell r="D70">
            <v>68.25</v>
          </cell>
          <cell r="E70">
            <v>1.43</v>
          </cell>
          <cell r="F70">
            <v>259.97000000000003</v>
          </cell>
          <cell r="H70">
            <v>1.69</v>
          </cell>
          <cell r="K70">
            <v>0</v>
          </cell>
          <cell r="L70">
            <v>0</v>
          </cell>
          <cell r="M70">
            <v>0</v>
          </cell>
          <cell r="N70">
            <v>0</v>
          </cell>
          <cell r="O70">
            <v>0</v>
          </cell>
          <cell r="P70">
            <v>5664.75</v>
          </cell>
          <cell r="Q70">
            <v>23.89</v>
          </cell>
          <cell r="R70">
            <v>0</v>
          </cell>
          <cell r="S70">
            <v>0</v>
          </cell>
          <cell r="T70">
            <v>0</v>
          </cell>
          <cell r="U70">
            <v>0</v>
          </cell>
          <cell r="V70">
            <v>0</v>
          </cell>
          <cell r="W70">
            <v>0</v>
          </cell>
          <cell r="X70">
            <v>0</v>
          </cell>
        </row>
        <row r="71">
          <cell r="A71" t="str">
            <v>686.110</v>
          </cell>
          <cell r="B71" t="str">
            <v>Laït gaûch vé khu vãû sinh 300x300</v>
          </cell>
          <cell r="C71" t="str">
            <v>m2</v>
          </cell>
          <cell r="D71">
            <v>13.44</v>
          </cell>
          <cell r="E71">
            <v>0.21</v>
          </cell>
          <cell r="F71">
            <v>38.18</v>
          </cell>
          <cell r="H71">
            <v>0.25</v>
          </cell>
          <cell r="K71">
            <v>0</v>
          </cell>
          <cell r="L71">
            <v>0</v>
          </cell>
          <cell r="M71">
            <v>0</v>
          </cell>
          <cell r="N71">
            <v>0</v>
          </cell>
          <cell r="O71">
            <v>13.51</v>
          </cell>
          <cell r="P71">
            <v>0</v>
          </cell>
          <cell r="Q71">
            <v>26.88</v>
          </cell>
          <cell r="R71">
            <v>0</v>
          </cell>
          <cell r="S71">
            <v>0</v>
          </cell>
          <cell r="T71">
            <v>0</v>
          </cell>
          <cell r="U71">
            <v>0</v>
          </cell>
          <cell r="V71">
            <v>0</v>
          </cell>
          <cell r="W71">
            <v>0</v>
          </cell>
          <cell r="X71">
            <v>0</v>
          </cell>
        </row>
        <row r="72">
          <cell r="A72">
            <v>0</v>
          </cell>
          <cell r="B72" t="str">
            <v xml:space="preserve">b, Bãø tæû hoaûi : </v>
          </cell>
          <cell r="C72">
            <v>0</v>
          </cell>
          <cell r="D72">
            <v>0</v>
          </cell>
        </row>
        <row r="73">
          <cell r="A73" t="str">
            <v>221.110</v>
          </cell>
          <cell r="B73" t="str">
            <v xml:space="preserve">Bã täng loït âaï 4x6 M100 bãø tæû hoaûi </v>
          </cell>
          <cell r="C73" t="str">
            <v>m3</v>
          </cell>
          <cell r="D73">
            <v>2.38</v>
          </cell>
          <cell r="E73">
            <v>2.44</v>
          </cell>
          <cell r="F73">
            <v>490</v>
          </cell>
          <cell r="G73">
            <v>1.2</v>
          </cell>
          <cell r="J73">
            <v>2.25</v>
          </cell>
          <cell r="K73">
            <v>0</v>
          </cell>
          <cell r="L73">
            <v>0</v>
          </cell>
          <cell r="M73">
            <v>0</v>
          </cell>
          <cell r="N73">
            <v>0</v>
          </cell>
          <cell r="O73">
            <v>0</v>
          </cell>
          <cell r="P73">
            <v>0</v>
          </cell>
          <cell r="Q73">
            <v>0</v>
          </cell>
          <cell r="R73">
            <v>0</v>
          </cell>
          <cell r="S73">
            <v>0</v>
          </cell>
          <cell r="T73">
            <v>0</v>
          </cell>
          <cell r="U73">
            <v>0</v>
          </cell>
          <cell r="V73">
            <v>0</v>
          </cell>
          <cell r="W73">
            <v>0</v>
          </cell>
          <cell r="X73">
            <v>0</v>
          </cell>
        </row>
        <row r="74">
          <cell r="A74" t="str">
            <v>204.410</v>
          </cell>
          <cell r="B74" t="str">
            <v xml:space="preserve">Xáy tæåìng häú ga væîa XM M75 gaûch âàûc </v>
          </cell>
          <cell r="C74" t="str">
            <v>m3</v>
          </cell>
          <cell r="D74">
            <v>10.3</v>
          </cell>
          <cell r="E74">
            <v>3.09</v>
          </cell>
          <cell r="F74">
            <v>795.83</v>
          </cell>
          <cell r="H74">
            <v>3.45</v>
          </cell>
          <cell r="K74">
            <v>0</v>
          </cell>
          <cell r="L74">
            <v>0</v>
          </cell>
          <cell r="M74">
            <v>8446</v>
          </cell>
          <cell r="N74">
            <v>0</v>
          </cell>
          <cell r="O74">
            <v>0</v>
          </cell>
          <cell r="P74">
            <v>0</v>
          </cell>
          <cell r="Q74">
            <v>0</v>
          </cell>
          <cell r="R74">
            <v>0</v>
          </cell>
          <cell r="S74">
            <v>0</v>
          </cell>
          <cell r="T74">
            <v>0</v>
          </cell>
          <cell r="U74">
            <v>0</v>
          </cell>
          <cell r="V74">
            <v>0</v>
          </cell>
          <cell r="W74">
            <v>0</v>
          </cell>
          <cell r="X74">
            <v>0.03</v>
          </cell>
        </row>
        <row r="75">
          <cell r="A75" t="str">
            <v>651.150</v>
          </cell>
          <cell r="B75" t="str">
            <v>Traït thaình trong bãø tæû hoaûi væîa XM M75 daìy 20</v>
          </cell>
          <cell r="C75" t="str">
            <v>m2</v>
          </cell>
          <cell r="D75">
            <v>65.099999999999994</v>
          </cell>
          <cell r="E75">
            <v>1.5</v>
          </cell>
          <cell r="F75">
            <v>386.33</v>
          </cell>
          <cell r="H75">
            <v>1.68</v>
          </cell>
          <cell r="K75">
            <v>0</v>
          </cell>
          <cell r="L75">
            <v>0</v>
          </cell>
          <cell r="M75">
            <v>0</v>
          </cell>
          <cell r="N75">
            <v>0</v>
          </cell>
          <cell r="O75">
            <v>0</v>
          </cell>
          <cell r="P75">
            <v>0</v>
          </cell>
          <cell r="Q75">
            <v>0</v>
          </cell>
          <cell r="R75">
            <v>0</v>
          </cell>
          <cell r="S75">
            <v>0</v>
          </cell>
          <cell r="T75">
            <v>0</v>
          </cell>
          <cell r="U75">
            <v>0</v>
          </cell>
          <cell r="V75">
            <v>0</v>
          </cell>
          <cell r="W75">
            <v>0</v>
          </cell>
          <cell r="X75">
            <v>0</v>
          </cell>
        </row>
        <row r="76">
          <cell r="A76" t="str">
            <v>651.330</v>
          </cell>
          <cell r="B76" t="str">
            <v xml:space="preserve">Âaïnh maìu bàòng XM nguyãn cháút bãø tæû hoaûi </v>
          </cell>
          <cell r="C76" t="str">
            <v>m2</v>
          </cell>
          <cell r="D76">
            <v>65.099999999999994</v>
          </cell>
          <cell r="F76">
            <v>74</v>
          </cell>
          <cell r="K76">
            <v>0</v>
          </cell>
          <cell r="L76">
            <v>0</v>
          </cell>
          <cell r="M76">
            <v>0</v>
          </cell>
          <cell r="N76">
            <v>0</v>
          </cell>
          <cell r="O76">
            <v>0</v>
          </cell>
          <cell r="P76">
            <v>0</v>
          </cell>
          <cell r="Q76">
            <v>0</v>
          </cell>
          <cell r="R76">
            <v>0</v>
          </cell>
          <cell r="S76">
            <v>0</v>
          </cell>
          <cell r="T76">
            <v>0</v>
          </cell>
          <cell r="U76">
            <v>0</v>
          </cell>
          <cell r="V76">
            <v>0</v>
          </cell>
          <cell r="W76">
            <v>0</v>
          </cell>
          <cell r="X76">
            <v>0</v>
          </cell>
        </row>
        <row r="77">
          <cell r="A77" t="str">
            <v>671.110</v>
          </cell>
          <cell r="B77" t="str">
            <v xml:space="preserve">Laïng âaïy bãø væîa XM M75 daìy 20 âaïnh maìu </v>
          </cell>
          <cell r="C77" t="str">
            <v>m2</v>
          </cell>
          <cell r="D77">
            <v>8.64</v>
          </cell>
          <cell r="E77">
            <v>0.22</v>
          </cell>
          <cell r="F77">
            <v>56.66</v>
          </cell>
          <cell r="H77">
            <v>0.25</v>
          </cell>
          <cell r="K77">
            <v>0</v>
          </cell>
          <cell r="L77">
            <v>0</v>
          </cell>
          <cell r="M77">
            <v>0</v>
          </cell>
          <cell r="N77">
            <v>0</v>
          </cell>
          <cell r="O77">
            <v>0</v>
          </cell>
          <cell r="P77">
            <v>0</v>
          </cell>
          <cell r="Q77">
            <v>0</v>
          </cell>
          <cell r="R77">
            <v>0</v>
          </cell>
          <cell r="S77">
            <v>0</v>
          </cell>
          <cell r="T77">
            <v>0</v>
          </cell>
          <cell r="U77">
            <v>0</v>
          </cell>
          <cell r="V77">
            <v>0</v>
          </cell>
          <cell r="W77">
            <v>0</v>
          </cell>
          <cell r="X77">
            <v>0</v>
          </cell>
        </row>
        <row r="78">
          <cell r="A78" t="str">
            <v>651.130</v>
          </cell>
          <cell r="B78" t="str">
            <v>Traït thaình ngoaìi bãø tæû hoaûi væîa XM M50 daìy 15</v>
          </cell>
          <cell r="C78" t="str">
            <v>m2</v>
          </cell>
          <cell r="D78">
            <v>15.08</v>
          </cell>
          <cell r="E78">
            <v>0.26</v>
          </cell>
          <cell r="F78">
            <v>47.27</v>
          </cell>
          <cell r="H78">
            <v>0.31</v>
          </cell>
          <cell r="K78">
            <v>0</v>
          </cell>
          <cell r="L78">
            <v>0</v>
          </cell>
          <cell r="M78">
            <v>0</v>
          </cell>
          <cell r="N78">
            <v>0</v>
          </cell>
          <cell r="O78">
            <v>0</v>
          </cell>
          <cell r="P78">
            <v>0</v>
          </cell>
          <cell r="Q78">
            <v>0</v>
          </cell>
          <cell r="R78">
            <v>0</v>
          </cell>
          <cell r="S78">
            <v>0</v>
          </cell>
          <cell r="T78">
            <v>0</v>
          </cell>
          <cell r="U78">
            <v>0</v>
          </cell>
          <cell r="V78">
            <v>0</v>
          </cell>
          <cell r="W78">
            <v>0</v>
          </cell>
          <cell r="X78">
            <v>0</v>
          </cell>
        </row>
        <row r="79">
          <cell r="A79" t="str">
            <v>300.510</v>
          </cell>
          <cell r="B79" t="str">
            <v xml:space="preserve">Bã täng táúm âan M200 âaï 1x2 âuïc sàôn </v>
          </cell>
          <cell r="C79" t="str">
            <v>m3</v>
          </cell>
          <cell r="D79">
            <v>1.38</v>
          </cell>
          <cell r="E79">
            <v>1.4</v>
          </cell>
          <cell r="F79">
            <v>455.28</v>
          </cell>
          <cell r="G79">
            <v>0.57999999999999996</v>
          </cell>
          <cell r="I79">
            <v>1.18</v>
          </cell>
          <cell r="K79">
            <v>0</v>
          </cell>
          <cell r="L79">
            <v>0</v>
          </cell>
          <cell r="M79">
            <v>0</v>
          </cell>
          <cell r="N79">
            <v>0</v>
          </cell>
          <cell r="O79">
            <v>0</v>
          </cell>
          <cell r="P79">
            <v>0</v>
          </cell>
          <cell r="Q79">
            <v>0</v>
          </cell>
          <cell r="R79">
            <v>0</v>
          </cell>
          <cell r="S79">
            <v>0</v>
          </cell>
          <cell r="T79">
            <v>0</v>
          </cell>
          <cell r="U79">
            <v>0</v>
          </cell>
          <cell r="V79">
            <v>0</v>
          </cell>
          <cell r="W79">
            <v>0</v>
          </cell>
          <cell r="X79">
            <v>0.02</v>
          </cell>
        </row>
        <row r="80">
          <cell r="A80">
            <v>0</v>
          </cell>
          <cell r="B80" t="str">
            <v xml:space="preserve">c, Bãúp : </v>
          </cell>
          <cell r="C80">
            <v>0</v>
          </cell>
          <cell r="D80">
            <v>0</v>
          </cell>
        </row>
        <row r="81">
          <cell r="A81" t="str">
            <v>204.410</v>
          </cell>
          <cell r="B81" t="str">
            <v xml:space="preserve">Xáy tæåìng 110 væîa XM M50 gaûch âàûc </v>
          </cell>
          <cell r="C81" t="str">
            <v>m3</v>
          </cell>
          <cell r="D81">
            <v>0.75</v>
          </cell>
          <cell r="E81">
            <v>0.23</v>
          </cell>
          <cell r="F81">
            <v>41.81</v>
          </cell>
          <cell r="H81">
            <v>0.27</v>
          </cell>
          <cell r="K81">
            <v>0</v>
          </cell>
          <cell r="L81">
            <v>0</v>
          </cell>
          <cell r="M81">
            <v>615</v>
          </cell>
          <cell r="N81">
            <v>0</v>
          </cell>
          <cell r="O81">
            <v>0</v>
          </cell>
          <cell r="P81">
            <v>0</v>
          </cell>
          <cell r="Q81">
            <v>0</v>
          </cell>
          <cell r="R81">
            <v>0</v>
          </cell>
          <cell r="S81">
            <v>0</v>
          </cell>
          <cell r="T81">
            <v>0</v>
          </cell>
          <cell r="U81">
            <v>0</v>
          </cell>
          <cell r="V81">
            <v>0</v>
          </cell>
          <cell r="W81">
            <v>0</v>
          </cell>
          <cell r="X81">
            <v>0</v>
          </cell>
        </row>
        <row r="82">
          <cell r="A82" t="str">
            <v>651.130</v>
          </cell>
          <cell r="B82" t="str">
            <v xml:space="preserve">Traït tæåìng væîa XM M75 bãû bãúp </v>
          </cell>
          <cell r="C82" t="str">
            <v>m2</v>
          </cell>
          <cell r="D82">
            <v>13.72</v>
          </cell>
          <cell r="E82">
            <v>0.23</v>
          </cell>
          <cell r="F82">
            <v>59.24</v>
          </cell>
          <cell r="H82">
            <v>0.26</v>
          </cell>
          <cell r="K82">
            <v>0</v>
          </cell>
          <cell r="L82">
            <v>0</v>
          </cell>
          <cell r="M82">
            <v>0</v>
          </cell>
          <cell r="N82">
            <v>0</v>
          </cell>
          <cell r="O82">
            <v>0</v>
          </cell>
          <cell r="P82">
            <v>0</v>
          </cell>
          <cell r="Q82">
            <v>0</v>
          </cell>
          <cell r="R82">
            <v>0</v>
          </cell>
          <cell r="S82">
            <v>0</v>
          </cell>
          <cell r="T82">
            <v>0</v>
          </cell>
          <cell r="U82">
            <v>0</v>
          </cell>
          <cell r="V82">
            <v>0</v>
          </cell>
          <cell r="W82">
            <v>0</v>
          </cell>
          <cell r="X82">
            <v>0</v>
          </cell>
        </row>
        <row r="83">
          <cell r="A83" t="str">
            <v>701.110</v>
          </cell>
          <cell r="B83" t="str">
            <v xml:space="preserve">Queït väi thaình bãû bãúp 1 tràõng 2 maìu </v>
          </cell>
          <cell r="C83" t="str">
            <v>m2</v>
          </cell>
          <cell r="D83">
            <v>13.72</v>
          </cell>
          <cell r="E83">
            <v>0</v>
          </cell>
          <cell r="K83">
            <v>0</v>
          </cell>
          <cell r="L83">
            <v>0</v>
          </cell>
          <cell r="M83">
            <v>0</v>
          </cell>
          <cell r="N83">
            <v>0</v>
          </cell>
          <cell r="O83">
            <v>0</v>
          </cell>
          <cell r="P83">
            <v>0</v>
          </cell>
          <cell r="Q83">
            <v>0</v>
          </cell>
          <cell r="R83">
            <v>0.27</v>
          </cell>
          <cell r="S83">
            <v>4.12</v>
          </cell>
          <cell r="T83">
            <v>0</v>
          </cell>
          <cell r="U83">
            <v>0</v>
          </cell>
          <cell r="V83">
            <v>0</v>
          </cell>
          <cell r="W83">
            <v>0</v>
          </cell>
          <cell r="X83">
            <v>0</v>
          </cell>
        </row>
        <row r="84">
          <cell r="A84" t="str">
            <v>300.510</v>
          </cell>
          <cell r="B84" t="str">
            <v xml:space="preserve">Bã täng táúm âan bãû bãúp </v>
          </cell>
          <cell r="C84" t="str">
            <v>m3</v>
          </cell>
          <cell r="D84">
            <v>0.34</v>
          </cell>
          <cell r="E84">
            <v>0.35</v>
          </cell>
          <cell r="F84">
            <v>113.82</v>
          </cell>
          <cell r="G84">
            <v>0.14000000000000001</v>
          </cell>
          <cell r="I84">
            <v>0.28999999999999998</v>
          </cell>
          <cell r="K84">
            <v>0</v>
          </cell>
          <cell r="L84">
            <v>0</v>
          </cell>
          <cell r="M84">
            <v>0</v>
          </cell>
          <cell r="N84">
            <v>0</v>
          </cell>
          <cell r="O84">
            <v>0</v>
          </cell>
          <cell r="P84">
            <v>0</v>
          </cell>
          <cell r="Q84">
            <v>0</v>
          </cell>
          <cell r="R84">
            <v>0</v>
          </cell>
          <cell r="S84">
            <v>0</v>
          </cell>
          <cell r="T84">
            <v>0</v>
          </cell>
          <cell r="U84">
            <v>0</v>
          </cell>
          <cell r="V84">
            <v>0</v>
          </cell>
          <cell r="W84">
            <v>0</v>
          </cell>
          <cell r="X84">
            <v>0.01</v>
          </cell>
        </row>
        <row r="85">
          <cell r="A85" t="str">
            <v>651.320</v>
          </cell>
          <cell r="B85" t="str">
            <v>Traït thaình dæåïi vaì trãn bãû bãúp væîa XM M75 daìy 15</v>
          </cell>
          <cell r="C85" t="str">
            <v>m2</v>
          </cell>
          <cell r="D85">
            <v>9.8000000000000007</v>
          </cell>
          <cell r="E85">
            <v>0.18</v>
          </cell>
          <cell r="F85">
            <v>46.36</v>
          </cell>
          <cell r="H85">
            <v>0.2</v>
          </cell>
          <cell r="K85">
            <v>0</v>
          </cell>
          <cell r="L85">
            <v>0</v>
          </cell>
          <cell r="M85">
            <v>0</v>
          </cell>
          <cell r="N85">
            <v>0</v>
          </cell>
          <cell r="O85">
            <v>0</v>
          </cell>
          <cell r="P85">
            <v>0</v>
          </cell>
          <cell r="Q85">
            <v>0</v>
          </cell>
          <cell r="R85">
            <v>0</v>
          </cell>
          <cell r="S85">
            <v>0</v>
          </cell>
          <cell r="T85">
            <v>0</v>
          </cell>
          <cell r="U85">
            <v>0</v>
          </cell>
          <cell r="V85">
            <v>0</v>
          </cell>
          <cell r="W85">
            <v>0</v>
          </cell>
          <cell r="X85">
            <v>0</v>
          </cell>
        </row>
        <row r="86">
          <cell r="A86" t="str">
            <v>651.330</v>
          </cell>
          <cell r="B86" t="str">
            <v xml:space="preserve">Âaïnh maìu màût trãn bãû bãúp </v>
          </cell>
          <cell r="C86" t="str">
            <v>m2</v>
          </cell>
          <cell r="D86">
            <v>4.9000000000000004</v>
          </cell>
          <cell r="K86">
            <v>0</v>
          </cell>
          <cell r="L86">
            <v>0</v>
          </cell>
          <cell r="M86">
            <v>0</v>
          </cell>
          <cell r="N86">
            <v>0</v>
          </cell>
          <cell r="O86">
            <v>0</v>
          </cell>
          <cell r="P86">
            <v>0</v>
          </cell>
          <cell r="Q86">
            <v>0</v>
          </cell>
          <cell r="R86">
            <v>0</v>
          </cell>
          <cell r="S86">
            <v>0</v>
          </cell>
          <cell r="T86">
            <v>0</v>
          </cell>
          <cell r="U86">
            <v>0</v>
          </cell>
          <cell r="V86">
            <v>0</v>
          </cell>
          <cell r="W86">
            <v>0</v>
          </cell>
          <cell r="X86">
            <v>0</v>
          </cell>
        </row>
        <row r="87">
          <cell r="A87">
            <v>0</v>
          </cell>
          <cell r="B87" t="str">
            <v>d, Häú ga :</v>
          </cell>
          <cell r="C87">
            <v>0</v>
          </cell>
          <cell r="D87">
            <v>0</v>
          </cell>
        </row>
        <row r="88">
          <cell r="A88" t="str">
            <v>221.110</v>
          </cell>
          <cell r="B88" t="str">
            <v>Bã täng loït âaï 4x6 M50</v>
          </cell>
          <cell r="C88" t="str">
            <v>m3</v>
          </cell>
          <cell r="D88">
            <v>0.56999999999999995</v>
          </cell>
          <cell r="E88">
            <v>0.57999999999999996</v>
          </cell>
          <cell r="F88">
            <v>90</v>
          </cell>
          <cell r="G88">
            <v>0.25</v>
          </cell>
          <cell r="J88">
            <v>0.43</v>
          </cell>
          <cell r="K88">
            <v>0</v>
          </cell>
          <cell r="L88">
            <v>0</v>
          </cell>
          <cell r="M88">
            <v>0</v>
          </cell>
          <cell r="N88">
            <v>0</v>
          </cell>
          <cell r="O88">
            <v>0</v>
          </cell>
          <cell r="P88">
            <v>0</v>
          </cell>
          <cell r="Q88">
            <v>0</v>
          </cell>
          <cell r="R88">
            <v>0</v>
          </cell>
          <cell r="S88">
            <v>0</v>
          </cell>
          <cell r="T88">
            <v>0</v>
          </cell>
          <cell r="U88">
            <v>0</v>
          </cell>
          <cell r="V88">
            <v>0</v>
          </cell>
          <cell r="W88">
            <v>0</v>
          </cell>
          <cell r="X88">
            <v>0</v>
          </cell>
        </row>
        <row r="89">
          <cell r="A89" t="str">
            <v>204.410</v>
          </cell>
          <cell r="B89" t="str">
            <v>Xáy tæåìng 110 häú ga væîa XM M75</v>
          </cell>
          <cell r="C89" t="str">
            <v>m3</v>
          </cell>
          <cell r="D89">
            <v>1.08</v>
          </cell>
          <cell r="E89">
            <v>0.32</v>
          </cell>
          <cell r="F89">
            <v>82.42</v>
          </cell>
          <cell r="H89">
            <v>0.36</v>
          </cell>
          <cell r="K89">
            <v>0</v>
          </cell>
          <cell r="L89">
            <v>0</v>
          </cell>
          <cell r="M89">
            <v>885.6</v>
          </cell>
          <cell r="N89">
            <v>0</v>
          </cell>
          <cell r="O89">
            <v>0</v>
          </cell>
          <cell r="P89">
            <v>0</v>
          </cell>
          <cell r="Q89">
            <v>0</v>
          </cell>
          <cell r="R89">
            <v>0</v>
          </cell>
          <cell r="S89">
            <v>0</v>
          </cell>
          <cell r="T89">
            <v>0</v>
          </cell>
          <cell r="U89">
            <v>0</v>
          </cell>
          <cell r="V89">
            <v>0</v>
          </cell>
          <cell r="W89">
            <v>0</v>
          </cell>
          <cell r="X89">
            <v>0</v>
          </cell>
        </row>
        <row r="90">
          <cell r="A90" t="str">
            <v>651.130</v>
          </cell>
          <cell r="B90" t="str">
            <v>Traït thaình trong vaì ngoaìi häú ga væîa XM M50 daìy 15</v>
          </cell>
          <cell r="C90" t="str">
            <v>m2</v>
          </cell>
          <cell r="D90">
            <v>19.600000000000001</v>
          </cell>
          <cell r="E90">
            <v>0.33</v>
          </cell>
          <cell r="F90">
            <v>59.99</v>
          </cell>
          <cell r="H90">
            <v>0.39</v>
          </cell>
          <cell r="K90">
            <v>0</v>
          </cell>
          <cell r="L90">
            <v>0</v>
          </cell>
          <cell r="M90">
            <v>0</v>
          </cell>
          <cell r="N90">
            <v>0</v>
          </cell>
          <cell r="O90">
            <v>0</v>
          </cell>
          <cell r="P90">
            <v>0</v>
          </cell>
          <cell r="Q90">
            <v>0</v>
          </cell>
          <cell r="R90">
            <v>0</v>
          </cell>
          <cell r="S90">
            <v>0</v>
          </cell>
          <cell r="T90">
            <v>0</v>
          </cell>
          <cell r="U90">
            <v>0</v>
          </cell>
          <cell r="V90">
            <v>0</v>
          </cell>
          <cell r="W90">
            <v>0</v>
          </cell>
          <cell r="X90">
            <v>0</v>
          </cell>
        </row>
        <row r="91">
          <cell r="A91" t="str">
            <v>300.510</v>
          </cell>
          <cell r="B91" t="str">
            <v xml:space="preserve">Bã täng táúm âan M200 âaï 1x2 </v>
          </cell>
          <cell r="C91" t="str">
            <v>m3</v>
          </cell>
          <cell r="D91">
            <v>0.24</v>
          </cell>
          <cell r="E91">
            <v>0.24</v>
          </cell>
          <cell r="F91">
            <v>78.05</v>
          </cell>
          <cell r="G91">
            <v>0.1</v>
          </cell>
          <cell r="I91">
            <v>0.2</v>
          </cell>
          <cell r="K91">
            <v>0</v>
          </cell>
          <cell r="L91">
            <v>0</v>
          </cell>
          <cell r="M91">
            <v>0</v>
          </cell>
          <cell r="N91">
            <v>0</v>
          </cell>
          <cell r="O91">
            <v>0</v>
          </cell>
          <cell r="P91">
            <v>0</v>
          </cell>
          <cell r="Q91">
            <v>0</v>
          </cell>
          <cell r="R91">
            <v>0</v>
          </cell>
          <cell r="S91">
            <v>0</v>
          </cell>
          <cell r="T91">
            <v>0</v>
          </cell>
          <cell r="U91">
            <v>0</v>
          </cell>
          <cell r="V91">
            <v>0</v>
          </cell>
          <cell r="W91">
            <v>0</v>
          </cell>
          <cell r="X91">
            <v>0</v>
          </cell>
        </row>
        <row r="92">
          <cell r="A92">
            <v>0</v>
          </cell>
          <cell r="B92" t="str">
            <v xml:space="preserve">V. THAÏP NÆÅÏC </v>
          </cell>
          <cell r="C92">
            <v>0</v>
          </cell>
          <cell r="D92">
            <v>0</v>
          </cell>
          <cell r="F92">
            <v>3249.1</v>
          </cell>
          <cell r="G92">
            <v>3.69</v>
          </cell>
          <cell r="H92">
            <v>2.11</v>
          </cell>
          <cell r="I92">
            <v>6.3500000000000005</v>
          </cell>
          <cell r="J92">
            <v>1.1000000000000001</v>
          </cell>
          <cell r="K92">
            <v>0</v>
          </cell>
          <cell r="L92">
            <v>0</v>
          </cell>
          <cell r="M92">
            <v>1385.8</v>
          </cell>
          <cell r="N92">
            <v>0</v>
          </cell>
          <cell r="O92">
            <v>0</v>
          </cell>
          <cell r="P92">
            <v>0</v>
          </cell>
          <cell r="Q92">
            <v>0</v>
          </cell>
          <cell r="R92">
            <v>0.83</v>
          </cell>
          <cell r="S92">
            <v>12.49</v>
          </cell>
          <cell r="T92">
            <v>0</v>
          </cell>
          <cell r="U92">
            <v>0</v>
          </cell>
          <cell r="V92">
            <v>0</v>
          </cell>
          <cell r="W92">
            <v>0</v>
          </cell>
          <cell r="X92">
            <v>0.8600000000000001</v>
          </cell>
        </row>
        <row r="93">
          <cell r="A93" t="str">
            <v>221.110</v>
          </cell>
          <cell r="B93" t="str">
            <v>Bã täng loït moïng âaï 4x6 M100</v>
          </cell>
          <cell r="C93" t="str">
            <v>m3</v>
          </cell>
          <cell r="D93">
            <v>1.1599999999999999</v>
          </cell>
          <cell r="E93">
            <v>1.19</v>
          </cell>
          <cell r="F93">
            <v>239</v>
          </cell>
          <cell r="G93">
            <v>0.57999999999999996</v>
          </cell>
          <cell r="J93">
            <v>1.1000000000000001</v>
          </cell>
          <cell r="K93">
            <v>0</v>
          </cell>
          <cell r="L93">
            <v>0</v>
          </cell>
          <cell r="M93">
            <v>0</v>
          </cell>
          <cell r="N93">
            <v>0</v>
          </cell>
          <cell r="O93">
            <v>0</v>
          </cell>
          <cell r="P93">
            <v>0</v>
          </cell>
          <cell r="Q93">
            <v>0</v>
          </cell>
          <cell r="R93">
            <v>0</v>
          </cell>
          <cell r="S93">
            <v>0</v>
          </cell>
          <cell r="T93">
            <v>0</v>
          </cell>
          <cell r="U93">
            <v>0</v>
          </cell>
          <cell r="V93">
            <v>0</v>
          </cell>
          <cell r="W93">
            <v>0</v>
          </cell>
          <cell r="X93">
            <v>0</v>
          </cell>
        </row>
        <row r="94">
          <cell r="A94" t="str">
            <v>221.340</v>
          </cell>
          <cell r="B94" t="str">
            <v>Bã täng moïng cäüt M200 âaï 1x2</v>
          </cell>
          <cell r="C94" t="str">
            <v>m3</v>
          </cell>
          <cell r="D94">
            <v>4.29</v>
          </cell>
          <cell r="E94">
            <v>4.4000000000000004</v>
          </cell>
          <cell r="F94">
            <v>1430.88</v>
          </cell>
          <cell r="G94">
            <v>1.81</v>
          </cell>
          <cell r="I94">
            <v>3.7</v>
          </cell>
          <cell r="K94">
            <v>0</v>
          </cell>
          <cell r="L94">
            <v>0</v>
          </cell>
          <cell r="M94">
            <v>0</v>
          </cell>
          <cell r="N94">
            <v>0</v>
          </cell>
          <cell r="O94">
            <v>0</v>
          </cell>
          <cell r="P94">
            <v>0</v>
          </cell>
          <cell r="Q94">
            <v>0</v>
          </cell>
          <cell r="R94">
            <v>0</v>
          </cell>
          <cell r="S94">
            <v>0</v>
          </cell>
          <cell r="T94">
            <v>0</v>
          </cell>
          <cell r="U94">
            <v>0</v>
          </cell>
          <cell r="V94">
            <v>0</v>
          </cell>
          <cell r="W94">
            <v>0</v>
          </cell>
          <cell r="X94">
            <v>7.0000000000000007E-2</v>
          </cell>
        </row>
        <row r="95">
          <cell r="A95" t="str">
            <v>226.210</v>
          </cell>
          <cell r="B95" t="str">
            <v xml:space="preserve">Bã täng thaïp næåïc M200 âaï 1x2 </v>
          </cell>
          <cell r="C95" t="str">
            <v>m3</v>
          </cell>
          <cell r="D95">
            <v>2.73</v>
          </cell>
          <cell r="E95">
            <v>2.8</v>
          </cell>
          <cell r="F95">
            <v>910.56</v>
          </cell>
          <cell r="G95">
            <v>1.1499999999999999</v>
          </cell>
          <cell r="I95">
            <v>2.35</v>
          </cell>
          <cell r="K95">
            <v>0</v>
          </cell>
          <cell r="L95">
            <v>0</v>
          </cell>
          <cell r="M95">
            <v>0</v>
          </cell>
          <cell r="N95">
            <v>0</v>
          </cell>
          <cell r="O95">
            <v>0</v>
          </cell>
          <cell r="P95">
            <v>0</v>
          </cell>
          <cell r="Q95">
            <v>0</v>
          </cell>
          <cell r="R95">
            <v>0</v>
          </cell>
          <cell r="S95">
            <v>0</v>
          </cell>
          <cell r="T95">
            <v>0</v>
          </cell>
          <cell r="U95">
            <v>0</v>
          </cell>
          <cell r="V95">
            <v>0</v>
          </cell>
          <cell r="W95">
            <v>0</v>
          </cell>
          <cell r="X95">
            <v>0.76</v>
          </cell>
        </row>
        <row r="96">
          <cell r="A96" t="str">
            <v>204.420</v>
          </cell>
          <cell r="B96" t="str">
            <v>Xáy thaình thaïp næåïc gaûch âàûc væîa XM M75 daìy 20</v>
          </cell>
          <cell r="C96" t="str">
            <v>m3</v>
          </cell>
          <cell r="D96">
            <v>1.69</v>
          </cell>
          <cell r="E96">
            <v>0.51</v>
          </cell>
          <cell r="F96">
            <v>131.35</v>
          </cell>
          <cell r="H96">
            <v>0.56999999999999995</v>
          </cell>
          <cell r="K96">
            <v>0</v>
          </cell>
          <cell r="L96">
            <v>0</v>
          </cell>
          <cell r="M96">
            <v>1385.8</v>
          </cell>
          <cell r="N96">
            <v>0</v>
          </cell>
          <cell r="O96">
            <v>0</v>
          </cell>
          <cell r="P96">
            <v>0</v>
          </cell>
          <cell r="Q96">
            <v>0</v>
          </cell>
          <cell r="R96">
            <v>0</v>
          </cell>
          <cell r="S96">
            <v>0</v>
          </cell>
          <cell r="T96">
            <v>0</v>
          </cell>
          <cell r="U96">
            <v>0</v>
          </cell>
          <cell r="V96">
            <v>0</v>
          </cell>
          <cell r="W96">
            <v>0</v>
          </cell>
          <cell r="X96">
            <v>0.02</v>
          </cell>
        </row>
        <row r="97">
          <cell r="A97" t="str">
            <v>300.510</v>
          </cell>
          <cell r="B97" t="str">
            <v xml:space="preserve">Bã täng táúm âan âáûy bãø M200 âaï 1x2 </v>
          </cell>
          <cell r="C97" t="str">
            <v>m3</v>
          </cell>
          <cell r="D97">
            <v>0.35</v>
          </cell>
          <cell r="E97">
            <v>0.36</v>
          </cell>
          <cell r="F97">
            <v>117.07</v>
          </cell>
          <cell r="G97">
            <v>0.15</v>
          </cell>
          <cell r="I97">
            <v>0.3</v>
          </cell>
          <cell r="K97">
            <v>0</v>
          </cell>
          <cell r="L97">
            <v>0</v>
          </cell>
          <cell r="M97">
            <v>0</v>
          </cell>
          <cell r="N97">
            <v>0</v>
          </cell>
          <cell r="O97">
            <v>0</v>
          </cell>
          <cell r="P97">
            <v>0</v>
          </cell>
          <cell r="Q97">
            <v>0</v>
          </cell>
          <cell r="R97">
            <v>0</v>
          </cell>
          <cell r="S97">
            <v>0</v>
          </cell>
          <cell r="T97">
            <v>0</v>
          </cell>
          <cell r="U97">
            <v>0</v>
          </cell>
          <cell r="V97">
            <v>0</v>
          </cell>
          <cell r="W97">
            <v>0</v>
          </cell>
          <cell r="X97">
            <v>0.01</v>
          </cell>
        </row>
        <row r="98">
          <cell r="A98" t="str">
            <v>651.140</v>
          </cell>
          <cell r="B98" t="str">
            <v>Traït thaình trong bãø næåïc 2 låïp væîa XM M75</v>
          </cell>
          <cell r="C98" t="str">
            <v>m2</v>
          </cell>
          <cell r="D98">
            <v>21.83</v>
          </cell>
          <cell r="E98">
            <v>0.37</v>
          </cell>
          <cell r="F98">
            <v>95.29</v>
          </cell>
          <cell r="H98">
            <v>0.41</v>
          </cell>
          <cell r="K98">
            <v>0</v>
          </cell>
          <cell r="L98">
            <v>0</v>
          </cell>
          <cell r="M98">
            <v>0</v>
          </cell>
          <cell r="N98">
            <v>0</v>
          </cell>
          <cell r="O98">
            <v>0</v>
          </cell>
          <cell r="P98">
            <v>0</v>
          </cell>
          <cell r="Q98">
            <v>0</v>
          </cell>
          <cell r="R98">
            <v>0</v>
          </cell>
          <cell r="S98">
            <v>0</v>
          </cell>
          <cell r="T98">
            <v>0</v>
          </cell>
          <cell r="U98">
            <v>0</v>
          </cell>
          <cell r="V98">
            <v>0</v>
          </cell>
          <cell r="W98">
            <v>0</v>
          </cell>
          <cell r="X98">
            <v>0</v>
          </cell>
        </row>
        <row r="99">
          <cell r="A99" t="str">
            <v>651.330</v>
          </cell>
          <cell r="B99" t="str">
            <v xml:space="preserve">Âaïnh maìu bàòng XM nguyãn cháút thaình bãø </v>
          </cell>
          <cell r="C99" t="str">
            <v>m2</v>
          </cell>
          <cell r="D99">
            <v>21.83</v>
          </cell>
          <cell r="F99">
            <v>25</v>
          </cell>
          <cell r="K99">
            <v>0</v>
          </cell>
          <cell r="L99">
            <v>0</v>
          </cell>
          <cell r="M99">
            <v>0</v>
          </cell>
          <cell r="N99">
            <v>0</v>
          </cell>
          <cell r="O99">
            <v>0</v>
          </cell>
          <cell r="P99">
            <v>0</v>
          </cell>
          <cell r="Q99">
            <v>0</v>
          </cell>
          <cell r="R99">
            <v>0</v>
          </cell>
          <cell r="S99">
            <v>0</v>
          </cell>
          <cell r="T99">
            <v>0</v>
          </cell>
          <cell r="U99">
            <v>0</v>
          </cell>
          <cell r="V99">
            <v>0</v>
          </cell>
          <cell r="W99">
            <v>0</v>
          </cell>
          <cell r="X99">
            <v>0</v>
          </cell>
        </row>
        <row r="100">
          <cell r="A100" t="str">
            <v>672.120</v>
          </cell>
          <cell r="B100" t="str">
            <v xml:space="preserve">Laïng âaïy bãø væîa XM M75 daìy 20 âaïnh maìu </v>
          </cell>
          <cell r="C100" t="str">
            <v>m2</v>
          </cell>
          <cell r="D100">
            <v>5.76</v>
          </cell>
          <cell r="E100">
            <v>0.13</v>
          </cell>
          <cell r="F100">
            <v>33.479999999999997</v>
          </cell>
          <cell r="H100">
            <v>0.15</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row>
        <row r="101">
          <cell r="A101" t="str">
            <v>651.220</v>
          </cell>
          <cell r="B101" t="str">
            <v>Traït cäüt thaïp næåïc væîa XM M75 daìy 15</v>
          </cell>
          <cell r="C101" t="str">
            <v>m2</v>
          </cell>
          <cell r="D101">
            <v>12.8</v>
          </cell>
          <cell r="E101">
            <v>0.23</v>
          </cell>
          <cell r="F101">
            <v>59.24</v>
          </cell>
          <cell r="H101">
            <v>0.26</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row>
        <row r="102">
          <cell r="A102" t="str">
            <v>651.310</v>
          </cell>
          <cell r="B102" t="str">
            <v>Traït dáöm væîa XM M75 daìy 15 : Dáöm DB1</v>
          </cell>
          <cell r="C102" t="str">
            <v>m2</v>
          </cell>
          <cell r="D102">
            <v>9.6</v>
          </cell>
          <cell r="E102">
            <v>0.17</v>
          </cell>
          <cell r="F102">
            <v>43.78</v>
          </cell>
          <cell r="H102">
            <v>0.19</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row>
        <row r="103">
          <cell r="A103" t="str">
            <v>651.320</v>
          </cell>
          <cell r="B103" t="str">
            <v>Traït âaïy bãø væîa XM M75 daìy 15</v>
          </cell>
          <cell r="C103" t="str">
            <v>m2</v>
          </cell>
          <cell r="D103">
            <v>6.76</v>
          </cell>
          <cell r="E103">
            <v>0.12</v>
          </cell>
          <cell r="F103">
            <v>30.91</v>
          </cell>
          <cell r="H103">
            <v>0.13</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row>
        <row r="104">
          <cell r="A104" t="str">
            <v>651.140</v>
          </cell>
          <cell r="B104" t="str">
            <v>Traït thaình ngoaìi bãø væîa XM M75 daìy 15</v>
          </cell>
          <cell r="C104" t="str">
            <v>m2</v>
          </cell>
          <cell r="D104">
            <v>12.48</v>
          </cell>
          <cell r="E104">
            <v>0.21</v>
          </cell>
          <cell r="F104">
            <v>54.09</v>
          </cell>
          <cell r="H104">
            <v>0.23</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row>
        <row r="105">
          <cell r="A105" t="str">
            <v>651.510</v>
          </cell>
          <cell r="B105" t="str">
            <v>Traït âan væîa XM M50 daìy 15</v>
          </cell>
          <cell r="C105" t="str">
            <v>m2</v>
          </cell>
          <cell r="D105">
            <v>11.52</v>
          </cell>
          <cell r="E105">
            <v>0.14000000000000001</v>
          </cell>
          <cell r="F105">
            <v>25.45</v>
          </cell>
          <cell r="H105">
            <v>0.17</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row>
        <row r="106">
          <cell r="A106" t="str">
            <v>651.330</v>
          </cell>
          <cell r="B106" t="str">
            <v xml:space="preserve">Traït XM nguyãn cháút vaìo cáúu kiãûn bã täng </v>
          </cell>
          <cell r="C106" t="str">
            <v>m2</v>
          </cell>
          <cell r="D106">
            <v>46.44</v>
          </cell>
          <cell r="F106">
            <v>53</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row>
        <row r="107">
          <cell r="A107" t="str">
            <v>701.110</v>
          </cell>
          <cell r="B107" t="str">
            <v xml:space="preserve">Queït väi bãø næåïc 1 tràõng 2 maìu </v>
          </cell>
          <cell r="C107" t="str">
            <v>m2</v>
          </cell>
          <cell r="D107">
            <v>41.64</v>
          </cell>
          <cell r="E107">
            <v>0</v>
          </cell>
          <cell r="K107">
            <v>0</v>
          </cell>
          <cell r="L107">
            <v>0</v>
          </cell>
          <cell r="M107">
            <v>0</v>
          </cell>
          <cell r="N107">
            <v>0</v>
          </cell>
          <cell r="O107">
            <v>0</v>
          </cell>
          <cell r="P107">
            <v>0</v>
          </cell>
          <cell r="Q107">
            <v>0</v>
          </cell>
          <cell r="R107">
            <v>0.83</v>
          </cell>
          <cell r="S107">
            <v>12.49</v>
          </cell>
          <cell r="T107">
            <v>0</v>
          </cell>
          <cell r="U107">
            <v>0</v>
          </cell>
          <cell r="V107">
            <v>0</v>
          </cell>
          <cell r="W107">
            <v>0</v>
          </cell>
          <cell r="X107">
            <v>0</v>
          </cell>
        </row>
        <row r="108">
          <cell r="A108">
            <v>0</v>
          </cell>
          <cell r="B108" t="str">
            <v xml:space="preserve">VIII. HAÌNG RAÌO - CÄØNG NGOÎ </v>
          </cell>
          <cell r="C108">
            <v>0</v>
          </cell>
          <cell r="D108">
            <v>0</v>
          </cell>
          <cell r="F108">
            <v>1569.02</v>
          </cell>
          <cell r="G108">
            <v>1.3599999999999999</v>
          </cell>
          <cell r="H108">
            <v>4.63</v>
          </cell>
          <cell r="I108">
            <v>1.51</v>
          </cell>
          <cell r="J108">
            <v>1.06</v>
          </cell>
          <cell r="K108">
            <v>5.28</v>
          </cell>
          <cell r="L108">
            <v>0</v>
          </cell>
          <cell r="M108">
            <v>2314.7200000000003</v>
          </cell>
          <cell r="N108">
            <v>0</v>
          </cell>
          <cell r="O108">
            <v>0</v>
          </cell>
          <cell r="P108">
            <v>0</v>
          </cell>
          <cell r="Q108">
            <v>0</v>
          </cell>
          <cell r="R108">
            <v>1.3399999999999999</v>
          </cell>
          <cell r="S108">
            <v>20.18</v>
          </cell>
          <cell r="T108">
            <v>9.77</v>
          </cell>
          <cell r="U108">
            <v>0</v>
          </cell>
          <cell r="V108">
            <v>0</v>
          </cell>
          <cell r="W108">
            <v>0</v>
          </cell>
          <cell r="X108">
            <v>0.02</v>
          </cell>
        </row>
        <row r="109">
          <cell r="A109">
            <v>0</v>
          </cell>
          <cell r="B109" t="str">
            <v>1, Cäøng ngoî :</v>
          </cell>
          <cell r="C109">
            <v>0</v>
          </cell>
          <cell r="D109">
            <v>0</v>
          </cell>
        </row>
        <row r="110">
          <cell r="A110" t="str">
            <v>221.110</v>
          </cell>
          <cell r="B110" t="str">
            <v>Bã täng loït âaï 4x6 M50</v>
          </cell>
          <cell r="C110" t="str">
            <v>m3</v>
          </cell>
          <cell r="D110">
            <v>7.0000000000000007E-2</v>
          </cell>
          <cell r="E110">
            <v>7.0000000000000007E-2</v>
          </cell>
          <cell r="F110">
            <v>11</v>
          </cell>
          <cell r="G110">
            <v>0.03</v>
          </cell>
          <cell r="J110">
            <v>0.05</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row>
        <row r="111">
          <cell r="A111" t="str">
            <v>204.310</v>
          </cell>
          <cell r="B111" t="str">
            <v xml:space="preserve">Xáy gaûch âàûc væîa XM M75 truû cäøng </v>
          </cell>
          <cell r="C111" t="str">
            <v>m3</v>
          </cell>
          <cell r="D111">
            <v>0.93</v>
          </cell>
          <cell r="E111">
            <v>0.28999999999999998</v>
          </cell>
          <cell r="F111">
            <v>74.69</v>
          </cell>
          <cell r="H111">
            <v>0.32</v>
          </cell>
          <cell r="K111">
            <v>0</v>
          </cell>
          <cell r="L111">
            <v>0</v>
          </cell>
          <cell r="M111">
            <v>727.26</v>
          </cell>
          <cell r="N111">
            <v>0</v>
          </cell>
          <cell r="O111">
            <v>0</v>
          </cell>
          <cell r="P111">
            <v>0</v>
          </cell>
          <cell r="Q111">
            <v>0</v>
          </cell>
          <cell r="R111">
            <v>0</v>
          </cell>
          <cell r="S111">
            <v>0</v>
          </cell>
          <cell r="T111">
            <v>0</v>
          </cell>
          <cell r="U111">
            <v>0</v>
          </cell>
          <cell r="V111">
            <v>0</v>
          </cell>
          <cell r="W111">
            <v>0</v>
          </cell>
          <cell r="X111">
            <v>0</v>
          </cell>
        </row>
        <row r="112">
          <cell r="A112" t="str">
            <v>651.220</v>
          </cell>
          <cell r="B112" t="str">
            <v>Traït truû cäøng væîa XM M75 daìy 15</v>
          </cell>
          <cell r="C112" t="str">
            <v>m2</v>
          </cell>
          <cell r="D112">
            <v>6.4</v>
          </cell>
          <cell r="E112">
            <v>0.12</v>
          </cell>
          <cell r="F112">
            <v>30.91</v>
          </cell>
          <cell r="H112">
            <v>0.13</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row>
        <row r="113">
          <cell r="A113" t="str">
            <v>703.440</v>
          </cell>
          <cell r="B113" t="str">
            <v>Sån cæía haìng raìo song sàõt 3 næåïc maìu ghi</v>
          </cell>
          <cell r="C113" t="str">
            <v>m2</v>
          </cell>
          <cell r="D113">
            <v>6</v>
          </cell>
          <cell r="E113">
            <v>0</v>
          </cell>
          <cell r="K113">
            <v>0</v>
          </cell>
          <cell r="L113">
            <v>0</v>
          </cell>
          <cell r="M113">
            <v>0</v>
          </cell>
          <cell r="N113">
            <v>0</v>
          </cell>
          <cell r="O113">
            <v>0</v>
          </cell>
          <cell r="P113">
            <v>0</v>
          </cell>
          <cell r="Q113">
            <v>0</v>
          </cell>
          <cell r="R113">
            <v>0</v>
          </cell>
          <cell r="S113">
            <v>0</v>
          </cell>
          <cell r="T113">
            <v>1.35</v>
          </cell>
          <cell r="U113">
            <v>0</v>
          </cell>
          <cell r="V113">
            <v>0</v>
          </cell>
          <cell r="W113">
            <v>0</v>
          </cell>
          <cell r="X113">
            <v>0</v>
          </cell>
        </row>
        <row r="114">
          <cell r="A114" t="str">
            <v>701.110</v>
          </cell>
          <cell r="B114" t="str">
            <v xml:space="preserve">Queït väi truû cäøng 3 næåïc </v>
          </cell>
          <cell r="C114" t="str">
            <v>m2</v>
          </cell>
          <cell r="D114">
            <v>6.4</v>
          </cell>
          <cell r="E114">
            <v>0</v>
          </cell>
          <cell r="K114">
            <v>0</v>
          </cell>
          <cell r="L114">
            <v>0</v>
          </cell>
          <cell r="M114">
            <v>0</v>
          </cell>
          <cell r="N114">
            <v>0</v>
          </cell>
          <cell r="O114">
            <v>0</v>
          </cell>
          <cell r="P114">
            <v>0</v>
          </cell>
          <cell r="Q114">
            <v>0</v>
          </cell>
          <cell r="R114">
            <v>0.13</v>
          </cell>
          <cell r="S114">
            <v>1.92</v>
          </cell>
          <cell r="T114">
            <v>0</v>
          </cell>
          <cell r="U114">
            <v>0</v>
          </cell>
          <cell r="V114">
            <v>0</v>
          </cell>
          <cell r="W114">
            <v>0</v>
          </cell>
          <cell r="X114">
            <v>0</v>
          </cell>
        </row>
        <row r="115">
          <cell r="A115">
            <v>0</v>
          </cell>
          <cell r="B115" t="str">
            <v>2, tæåìng raìo :</v>
          </cell>
          <cell r="C115">
            <v>0</v>
          </cell>
          <cell r="D115">
            <v>0</v>
          </cell>
        </row>
        <row r="116">
          <cell r="A116" t="str">
            <v>221.110</v>
          </cell>
          <cell r="B116" t="str">
            <v>Bã täng loït moïng âaï 4x6 M50</v>
          </cell>
          <cell r="C116" t="str">
            <v>m3</v>
          </cell>
          <cell r="D116">
            <v>1.32</v>
          </cell>
          <cell r="E116">
            <v>1.35</v>
          </cell>
          <cell r="F116">
            <v>209</v>
          </cell>
          <cell r="G116">
            <v>0.59</v>
          </cell>
          <cell r="J116">
            <v>1.01</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row>
        <row r="117">
          <cell r="A117" t="str">
            <v>200.110</v>
          </cell>
          <cell r="B117" t="str">
            <v>Xáy moïng âaï häüc væîa XM M50</v>
          </cell>
          <cell r="C117" t="str">
            <v>m3</v>
          </cell>
          <cell r="D117">
            <v>4.4000000000000004</v>
          </cell>
          <cell r="E117">
            <v>1.85</v>
          </cell>
          <cell r="F117">
            <v>336.33</v>
          </cell>
          <cell r="H117">
            <v>2.19</v>
          </cell>
          <cell r="K117">
            <v>5.28</v>
          </cell>
          <cell r="L117">
            <v>0</v>
          </cell>
          <cell r="M117">
            <v>0</v>
          </cell>
          <cell r="N117">
            <v>0</v>
          </cell>
          <cell r="O117">
            <v>0</v>
          </cell>
          <cell r="P117">
            <v>0</v>
          </cell>
          <cell r="Q117">
            <v>0</v>
          </cell>
          <cell r="R117">
            <v>0</v>
          </cell>
          <cell r="S117">
            <v>0</v>
          </cell>
          <cell r="T117">
            <v>0</v>
          </cell>
          <cell r="U117">
            <v>0</v>
          </cell>
          <cell r="V117">
            <v>0</v>
          </cell>
          <cell r="W117">
            <v>0</v>
          </cell>
          <cell r="X117">
            <v>0</v>
          </cell>
        </row>
        <row r="118">
          <cell r="A118" t="str">
            <v>204.310</v>
          </cell>
          <cell r="B118" t="str">
            <v>Xáy truû tæåìng raìo væîa XM M75 cao &lt; 4m</v>
          </cell>
          <cell r="C118" t="str">
            <v>m3</v>
          </cell>
          <cell r="D118">
            <v>0.68</v>
          </cell>
          <cell r="E118">
            <v>0.21</v>
          </cell>
          <cell r="F118">
            <v>54.09</v>
          </cell>
          <cell r="H118">
            <v>0.23</v>
          </cell>
          <cell r="K118">
            <v>0</v>
          </cell>
          <cell r="L118">
            <v>0</v>
          </cell>
          <cell r="M118">
            <v>531.76</v>
          </cell>
          <cell r="N118">
            <v>0</v>
          </cell>
          <cell r="O118">
            <v>0</v>
          </cell>
          <cell r="P118">
            <v>0</v>
          </cell>
          <cell r="Q118">
            <v>0</v>
          </cell>
          <cell r="R118">
            <v>0</v>
          </cell>
          <cell r="S118">
            <v>0</v>
          </cell>
          <cell r="T118">
            <v>0</v>
          </cell>
          <cell r="U118">
            <v>0</v>
          </cell>
          <cell r="V118">
            <v>0</v>
          </cell>
          <cell r="W118">
            <v>0</v>
          </cell>
          <cell r="X118">
            <v>0</v>
          </cell>
        </row>
        <row r="119">
          <cell r="A119" t="str">
            <v>651.220</v>
          </cell>
          <cell r="B119" t="str">
            <v>Traït truû tæåìng raìo væîa XM M50 daìy 15</v>
          </cell>
          <cell r="C119" t="str">
            <v>m2</v>
          </cell>
          <cell r="D119">
            <v>12.32</v>
          </cell>
          <cell r="E119">
            <v>0.22</v>
          </cell>
          <cell r="F119">
            <v>40</v>
          </cell>
          <cell r="H119">
            <v>0.26</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row>
        <row r="120">
          <cell r="A120" t="str">
            <v>204.250</v>
          </cell>
          <cell r="B120" t="str">
            <v>Xáy tæåìng raìo daìy 220 væîaM M50</v>
          </cell>
          <cell r="C120" t="str">
            <v>m3</v>
          </cell>
          <cell r="D120">
            <v>1.35</v>
          </cell>
          <cell r="E120">
            <v>0.42</v>
          </cell>
          <cell r="F120">
            <v>76.36</v>
          </cell>
          <cell r="H120">
            <v>0.5</v>
          </cell>
          <cell r="K120">
            <v>0</v>
          </cell>
          <cell r="L120">
            <v>0</v>
          </cell>
          <cell r="M120">
            <v>1055.7</v>
          </cell>
          <cell r="N120">
            <v>0</v>
          </cell>
          <cell r="O120">
            <v>0</v>
          </cell>
          <cell r="P120">
            <v>0</v>
          </cell>
          <cell r="Q120">
            <v>0</v>
          </cell>
          <cell r="R120">
            <v>0</v>
          </cell>
          <cell r="S120">
            <v>0</v>
          </cell>
          <cell r="T120">
            <v>0</v>
          </cell>
          <cell r="U120">
            <v>0</v>
          </cell>
          <cell r="V120">
            <v>0</v>
          </cell>
          <cell r="W120">
            <v>0</v>
          </cell>
          <cell r="X120">
            <v>0</v>
          </cell>
        </row>
        <row r="121">
          <cell r="A121" t="str">
            <v>651.130</v>
          </cell>
          <cell r="B121" t="str">
            <v>Traït tæåìng raìo væîa XM M50 daìy 15</v>
          </cell>
          <cell r="C121" t="str">
            <v>m2</v>
          </cell>
          <cell r="D121">
            <v>17.34</v>
          </cell>
          <cell r="E121">
            <v>0.28999999999999998</v>
          </cell>
          <cell r="F121">
            <v>52.72</v>
          </cell>
          <cell r="H121">
            <v>0.34</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row>
        <row r="122">
          <cell r="A122" t="str">
            <v>701.110</v>
          </cell>
          <cell r="B122" t="str">
            <v xml:space="preserve">Queït tæåìng raìo, truû 3 næåïc : 1 tràõng 2 maìu </v>
          </cell>
          <cell r="C122" t="str">
            <v>m2</v>
          </cell>
          <cell r="D122">
            <v>29.66</v>
          </cell>
          <cell r="E122">
            <v>0</v>
          </cell>
          <cell r="K122">
            <v>0</v>
          </cell>
          <cell r="L122">
            <v>0</v>
          </cell>
          <cell r="M122">
            <v>0</v>
          </cell>
          <cell r="N122">
            <v>0</v>
          </cell>
          <cell r="O122">
            <v>0</v>
          </cell>
          <cell r="P122">
            <v>0</v>
          </cell>
          <cell r="Q122">
            <v>0</v>
          </cell>
          <cell r="R122">
            <v>0.59</v>
          </cell>
          <cell r="S122">
            <v>8.9</v>
          </cell>
          <cell r="T122">
            <v>0</v>
          </cell>
          <cell r="U122">
            <v>0</v>
          </cell>
          <cell r="V122">
            <v>0</v>
          </cell>
          <cell r="W122">
            <v>0</v>
          </cell>
          <cell r="X122">
            <v>0</v>
          </cell>
        </row>
        <row r="123">
          <cell r="A123" t="str">
            <v>703.440</v>
          </cell>
          <cell r="B123" t="str">
            <v xml:space="preserve">Sån haìng raìo song sàõt 3 næåïc </v>
          </cell>
          <cell r="C123" t="str">
            <v>m2</v>
          </cell>
          <cell r="D123">
            <v>37.4</v>
          </cell>
          <cell r="E123">
            <v>0</v>
          </cell>
          <cell r="K123">
            <v>0</v>
          </cell>
          <cell r="L123">
            <v>0</v>
          </cell>
          <cell r="M123">
            <v>0</v>
          </cell>
          <cell r="N123">
            <v>0</v>
          </cell>
          <cell r="O123">
            <v>0</v>
          </cell>
          <cell r="P123">
            <v>0</v>
          </cell>
          <cell r="Q123">
            <v>0</v>
          </cell>
          <cell r="R123">
            <v>0</v>
          </cell>
          <cell r="S123">
            <v>0</v>
          </cell>
          <cell r="T123">
            <v>8.42</v>
          </cell>
          <cell r="U123">
            <v>0</v>
          </cell>
          <cell r="V123">
            <v>0</v>
          </cell>
          <cell r="W123">
            <v>0</v>
          </cell>
          <cell r="X123">
            <v>0</v>
          </cell>
        </row>
        <row r="124">
          <cell r="A124" t="str">
            <v>221.110</v>
          </cell>
          <cell r="B124" t="str">
            <v>Bã täng loït moïng cäüt âaï 4x6 M50</v>
          </cell>
          <cell r="C124" t="str">
            <v>m3</v>
          </cell>
          <cell r="D124">
            <v>0.23</v>
          </cell>
          <cell r="E124">
            <v>0.24</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row>
        <row r="125">
          <cell r="A125" t="str">
            <v>300.210</v>
          </cell>
          <cell r="B125" t="str">
            <v xml:space="preserve">Bã täng âuïc sàôn cäüt haìng raìo </v>
          </cell>
          <cell r="C125" t="str">
            <v>m3</v>
          </cell>
          <cell r="D125">
            <v>1.76</v>
          </cell>
          <cell r="E125">
            <v>1.79</v>
          </cell>
          <cell r="F125">
            <v>582.11</v>
          </cell>
          <cell r="G125">
            <v>0.74</v>
          </cell>
          <cell r="I125">
            <v>1.51</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0.02</v>
          </cell>
        </row>
        <row r="126">
          <cell r="A126" t="str">
            <v>651.220</v>
          </cell>
          <cell r="B126" t="str">
            <v>Traït cäüt haìng raìo væîa XM M50 daìy 15</v>
          </cell>
          <cell r="C126" t="str">
            <v>m2</v>
          </cell>
          <cell r="D126">
            <v>31.2</v>
          </cell>
          <cell r="E126">
            <v>0.56000000000000005</v>
          </cell>
          <cell r="F126">
            <v>101.81</v>
          </cell>
          <cell r="H126">
            <v>0.66</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row>
        <row r="127">
          <cell r="A127" t="str">
            <v>701.110</v>
          </cell>
          <cell r="B127" t="str">
            <v xml:space="preserve">Queït väi cäüt haìng raìo </v>
          </cell>
          <cell r="C127" t="str">
            <v>m2</v>
          </cell>
          <cell r="D127">
            <v>31.2</v>
          </cell>
          <cell r="E127">
            <v>0</v>
          </cell>
          <cell r="K127">
            <v>0</v>
          </cell>
          <cell r="L127">
            <v>0</v>
          </cell>
          <cell r="M127">
            <v>0</v>
          </cell>
          <cell r="N127">
            <v>0</v>
          </cell>
          <cell r="O127">
            <v>0</v>
          </cell>
          <cell r="P127">
            <v>0</v>
          </cell>
          <cell r="Q127">
            <v>0</v>
          </cell>
          <cell r="R127">
            <v>0.62</v>
          </cell>
          <cell r="S127">
            <v>9.36</v>
          </cell>
          <cell r="T127">
            <v>0</v>
          </cell>
          <cell r="U127">
            <v>0</v>
          </cell>
          <cell r="V127">
            <v>0</v>
          </cell>
          <cell r="W127">
            <v>0</v>
          </cell>
          <cell r="X127">
            <v>0</v>
          </cell>
        </row>
      </sheetData>
      <sheetData sheetId="3"/>
      <sheetData sheetId="4"/>
      <sheetData sheetId="5"/>
      <sheetData sheetId="6"/>
      <sheetData sheetId="7"/>
      <sheetData sheetId="8"/>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muc"/>
      <sheetName val="Sodauky"/>
      <sheetName val="Dieu chinh"/>
      <sheetName val="Thanh lý cty đô thị"/>
      <sheetName val="Socuoiky"/>
      <sheetName val="lien ket"/>
      <sheetName val="HN Capitaland CT8"/>
      <sheetName val="HN hoa sen"/>
      <sheetName val="TH cty lien ket"/>
      <sheetName val="Bao cao in"/>
      <sheetName val="CFS working paper "/>
      <sheetName val="DT-CP"/>
      <sheetName val="TM2"/>
      <sheetName val="TM4"/>
      <sheetName val="ĐTTC"/>
      <sheetName val="Khac"/>
      <sheetName val="vay"/>
      <sheetName val="Sheet1"/>
      <sheetName val="TH lợi ích CĐKKS"/>
      <sheetName val="Lai co ban"/>
      <sheetName val="TSCĐ"/>
    </sheetNames>
    <sheetDataSet>
      <sheetData sheetId="0">
        <row r="26">
          <cell r="A26">
            <v>111</v>
          </cell>
          <cell r="I26" t="str">
            <v>Ok</v>
          </cell>
        </row>
        <row r="27">
          <cell r="A27">
            <v>112</v>
          </cell>
          <cell r="I27" t="str">
            <v>Refuse</v>
          </cell>
        </row>
        <row r="28">
          <cell r="A28">
            <v>113</v>
          </cell>
          <cell r="I28" t="str">
            <v>Waiting</v>
          </cell>
        </row>
        <row r="29">
          <cell r="A29">
            <v>121</v>
          </cell>
          <cell r="I29" t="str">
            <v xml:space="preserve"> - </v>
          </cell>
        </row>
        <row r="30">
          <cell r="A30">
            <v>1211</v>
          </cell>
        </row>
        <row r="31">
          <cell r="A31">
            <v>1212</v>
          </cell>
        </row>
        <row r="32">
          <cell r="A32">
            <v>1218</v>
          </cell>
        </row>
        <row r="33">
          <cell r="A33">
            <v>128</v>
          </cell>
        </row>
        <row r="34">
          <cell r="A34">
            <v>1281</v>
          </cell>
        </row>
        <row r="35">
          <cell r="A35">
            <v>12811</v>
          </cell>
        </row>
        <row r="36">
          <cell r="A36" t="str">
            <v>12812a</v>
          </cell>
        </row>
        <row r="37">
          <cell r="A37" t="str">
            <v>12812b</v>
          </cell>
        </row>
        <row r="38">
          <cell r="A38" t="str">
            <v>1282a</v>
          </cell>
        </row>
        <row r="39">
          <cell r="A39" t="str">
            <v>1282b</v>
          </cell>
        </row>
        <row r="40">
          <cell r="A40" t="str">
            <v>1283a</v>
          </cell>
        </row>
        <row r="41">
          <cell r="A41" t="str">
            <v>1283b</v>
          </cell>
        </row>
        <row r="42">
          <cell r="A42" t="str">
            <v>1288a</v>
          </cell>
        </row>
        <row r="43">
          <cell r="A43" t="str">
            <v>1288b</v>
          </cell>
        </row>
        <row r="44">
          <cell r="A44" t="str">
            <v>131a</v>
          </cell>
        </row>
        <row r="45">
          <cell r="A45" t="str">
            <v>131b</v>
          </cell>
        </row>
        <row r="46">
          <cell r="A46" t="str">
            <v>1312a</v>
          </cell>
        </row>
        <row r="47">
          <cell r="A47" t="str">
            <v>1312b</v>
          </cell>
        </row>
        <row r="48">
          <cell r="A48">
            <v>133</v>
          </cell>
        </row>
        <row r="49">
          <cell r="A49" t="str">
            <v>136a</v>
          </cell>
        </row>
        <row r="50">
          <cell r="A50" t="str">
            <v>136a1</v>
          </cell>
        </row>
        <row r="51">
          <cell r="A51" t="str">
            <v>136a2</v>
          </cell>
        </row>
        <row r="52">
          <cell r="A52" t="str">
            <v>136a3</v>
          </cell>
        </row>
        <row r="53">
          <cell r="A53" t="str">
            <v>136a8</v>
          </cell>
        </row>
        <row r="54">
          <cell r="A54" t="str">
            <v>136b</v>
          </cell>
        </row>
        <row r="55">
          <cell r="A55" t="str">
            <v>136b1</v>
          </cell>
        </row>
        <row r="56">
          <cell r="A56" t="str">
            <v>136b2</v>
          </cell>
        </row>
        <row r="57">
          <cell r="A57" t="str">
            <v>136b3</v>
          </cell>
        </row>
        <row r="58">
          <cell r="A58" t="str">
            <v>136b8</v>
          </cell>
        </row>
        <row r="59">
          <cell r="A59">
            <v>138</v>
          </cell>
        </row>
        <row r="60">
          <cell r="A60">
            <v>1381</v>
          </cell>
        </row>
        <row r="61">
          <cell r="A61" t="str">
            <v>1385a</v>
          </cell>
        </row>
        <row r="62">
          <cell r="A62" t="str">
            <v>1385b</v>
          </cell>
        </row>
        <row r="63">
          <cell r="A63" t="str">
            <v>1388a</v>
          </cell>
        </row>
        <row r="64">
          <cell r="A64" t="str">
            <v>1388b</v>
          </cell>
        </row>
        <row r="65">
          <cell r="A65" t="str">
            <v>13881a</v>
          </cell>
        </row>
        <row r="66">
          <cell r="A66" t="str">
            <v>13881b</v>
          </cell>
        </row>
        <row r="67">
          <cell r="A67" t="str">
            <v>1411a</v>
          </cell>
        </row>
        <row r="68">
          <cell r="A68" t="str">
            <v>1411b</v>
          </cell>
        </row>
        <row r="69">
          <cell r="A69">
            <v>1412</v>
          </cell>
        </row>
        <row r="70">
          <cell r="A70">
            <v>151</v>
          </cell>
        </row>
        <row r="71">
          <cell r="A71" t="str">
            <v>152a</v>
          </cell>
        </row>
        <row r="72">
          <cell r="A72" t="str">
            <v>152b</v>
          </cell>
        </row>
        <row r="73">
          <cell r="A73" t="str">
            <v>153a</v>
          </cell>
        </row>
        <row r="74">
          <cell r="A74" t="str">
            <v>153b</v>
          </cell>
        </row>
        <row r="75">
          <cell r="A75" t="str">
            <v>154a</v>
          </cell>
        </row>
        <row r="76">
          <cell r="A76" t="str">
            <v>154b</v>
          </cell>
        </row>
        <row r="77">
          <cell r="A77">
            <v>155</v>
          </cell>
        </row>
        <row r="78">
          <cell r="A78">
            <v>156</v>
          </cell>
        </row>
        <row r="79">
          <cell r="A79">
            <v>1567</v>
          </cell>
        </row>
        <row r="80">
          <cell r="A80">
            <v>157</v>
          </cell>
        </row>
        <row r="81">
          <cell r="A81">
            <v>158</v>
          </cell>
        </row>
        <row r="82">
          <cell r="A82">
            <v>161</v>
          </cell>
        </row>
        <row r="83">
          <cell r="A83">
            <v>1711</v>
          </cell>
        </row>
        <row r="84">
          <cell r="A84">
            <v>1711</v>
          </cell>
        </row>
        <row r="85">
          <cell r="A85">
            <v>1712</v>
          </cell>
        </row>
        <row r="86">
          <cell r="A86">
            <v>211</v>
          </cell>
        </row>
        <row r="87">
          <cell r="A87">
            <v>212</v>
          </cell>
        </row>
        <row r="88">
          <cell r="A88">
            <v>213</v>
          </cell>
        </row>
        <row r="89">
          <cell r="A89">
            <v>2171</v>
          </cell>
        </row>
        <row r="90">
          <cell r="A90">
            <v>2172</v>
          </cell>
        </row>
        <row r="91">
          <cell r="A91">
            <v>2141</v>
          </cell>
        </row>
        <row r="92">
          <cell r="A92">
            <v>2142</v>
          </cell>
        </row>
        <row r="93">
          <cell r="A93">
            <v>2143</v>
          </cell>
        </row>
        <row r="94">
          <cell r="A94">
            <v>21471</v>
          </cell>
        </row>
        <row r="95">
          <cell r="A95">
            <v>21472</v>
          </cell>
        </row>
        <row r="96">
          <cell r="A96">
            <v>221</v>
          </cell>
        </row>
        <row r="97">
          <cell r="A97">
            <v>222</v>
          </cell>
        </row>
        <row r="98">
          <cell r="A98">
            <v>2221</v>
          </cell>
        </row>
        <row r="99">
          <cell r="A99">
            <v>2222</v>
          </cell>
        </row>
        <row r="100">
          <cell r="A100">
            <v>2281</v>
          </cell>
        </row>
        <row r="101">
          <cell r="A101">
            <v>2288</v>
          </cell>
        </row>
        <row r="102">
          <cell r="A102">
            <v>229</v>
          </cell>
        </row>
        <row r="103">
          <cell r="A103">
            <v>2291</v>
          </cell>
        </row>
        <row r="104">
          <cell r="A104">
            <v>2292</v>
          </cell>
        </row>
        <row r="105">
          <cell r="A105" t="str">
            <v>2293a1</v>
          </cell>
        </row>
        <row r="106">
          <cell r="A106" t="str">
            <v>2293a2</v>
          </cell>
        </row>
        <row r="107">
          <cell r="A107" t="str">
            <v>2293a8</v>
          </cell>
        </row>
        <row r="108">
          <cell r="A108" t="str">
            <v>2293b1</v>
          </cell>
        </row>
        <row r="109">
          <cell r="A109" t="str">
            <v>2293b2</v>
          </cell>
        </row>
        <row r="110">
          <cell r="A110" t="str">
            <v>2293b8</v>
          </cell>
        </row>
        <row r="111">
          <cell r="A111" t="str">
            <v>2294a</v>
          </cell>
        </row>
        <row r="112">
          <cell r="A112" t="str">
            <v>2294b</v>
          </cell>
        </row>
        <row r="113">
          <cell r="A113" t="str">
            <v>2294c</v>
          </cell>
        </row>
        <row r="114">
          <cell r="A114">
            <v>241</v>
          </cell>
        </row>
        <row r="115">
          <cell r="A115" t="str">
            <v>242a</v>
          </cell>
        </row>
        <row r="116">
          <cell r="A116" t="str">
            <v>242b</v>
          </cell>
        </row>
        <row r="117">
          <cell r="A117" t="str">
            <v>244a</v>
          </cell>
        </row>
        <row r="118">
          <cell r="A118" t="str">
            <v>244b</v>
          </cell>
        </row>
        <row r="119">
          <cell r="A119">
            <v>243</v>
          </cell>
        </row>
        <row r="120">
          <cell r="A120">
            <v>269</v>
          </cell>
        </row>
        <row r="121">
          <cell r="A121" t="str">
            <v>331a</v>
          </cell>
        </row>
        <row r="122">
          <cell r="A122" t="str">
            <v>331b</v>
          </cell>
        </row>
        <row r="123">
          <cell r="A123" t="str">
            <v>3312a</v>
          </cell>
        </row>
        <row r="124">
          <cell r="A124" t="str">
            <v>3312b</v>
          </cell>
        </row>
        <row r="125">
          <cell r="A125">
            <v>333</v>
          </cell>
        </row>
        <row r="126">
          <cell r="A126">
            <v>3331</v>
          </cell>
        </row>
        <row r="127">
          <cell r="A127">
            <v>3332</v>
          </cell>
        </row>
        <row r="128">
          <cell r="A128">
            <v>3333</v>
          </cell>
        </row>
        <row r="129">
          <cell r="A129">
            <v>3334</v>
          </cell>
        </row>
        <row r="130">
          <cell r="A130">
            <v>3335</v>
          </cell>
        </row>
        <row r="131">
          <cell r="A131">
            <v>3336</v>
          </cell>
        </row>
        <row r="132">
          <cell r="A132">
            <v>3337</v>
          </cell>
        </row>
        <row r="133">
          <cell r="A133">
            <v>3338</v>
          </cell>
        </row>
        <row r="134">
          <cell r="A134">
            <v>3339</v>
          </cell>
        </row>
        <row r="135">
          <cell r="A135">
            <v>33312</v>
          </cell>
        </row>
        <row r="136">
          <cell r="A136">
            <v>33322</v>
          </cell>
        </row>
        <row r="137">
          <cell r="A137">
            <v>33332</v>
          </cell>
        </row>
        <row r="138">
          <cell r="A138">
            <v>33342</v>
          </cell>
        </row>
        <row r="139">
          <cell r="A139">
            <v>33352</v>
          </cell>
        </row>
        <row r="140">
          <cell r="A140">
            <v>33362</v>
          </cell>
        </row>
        <row r="141">
          <cell r="A141">
            <v>33372</v>
          </cell>
        </row>
        <row r="142">
          <cell r="A142">
            <v>33382</v>
          </cell>
        </row>
        <row r="143">
          <cell r="A143">
            <v>33392</v>
          </cell>
        </row>
        <row r="144">
          <cell r="A144">
            <v>334</v>
          </cell>
        </row>
        <row r="145">
          <cell r="A145" t="str">
            <v>3341a</v>
          </cell>
        </row>
        <row r="146">
          <cell r="A146" t="str">
            <v>3341b</v>
          </cell>
        </row>
        <row r="147">
          <cell r="A147" t="str">
            <v>335a</v>
          </cell>
        </row>
        <row r="148">
          <cell r="A148" t="str">
            <v>335b</v>
          </cell>
        </row>
        <row r="149">
          <cell r="A149">
            <v>347</v>
          </cell>
        </row>
        <row r="150">
          <cell r="A150" t="str">
            <v>336a</v>
          </cell>
        </row>
        <row r="151">
          <cell r="A151" t="str">
            <v>336a1</v>
          </cell>
        </row>
        <row r="152">
          <cell r="A152" t="str">
            <v>336a2</v>
          </cell>
        </row>
        <row r="153">
          <cell r="A153" t="str">
            <v>336a3</v>
          </cell>
        </row>
        <row r="154">
          <cell r="A154" t="str">
            <v>336a8</v>
          </cell>
        </row>
        <row r="155">
          <cell r="A155" t="str">
            <v>336b</v>
          </cell>
        </row>
        <row r="156">
          <cell r="A156" t="str">
            <v>336b1</v>
          </cell>
        </row>
        <row r="157">
          <cell r="A157" t="str">
            <v>336b2</v>
          </cell>
        </row>
        <row r="158">
          <cell r="A158" t="str">
            <v>336b3</v>
          </cell>
        </row>
        <row r="159">
          <cell r="A159" t="str">
            <v>336b8</v>
          </cell>
        </row>
        <row r="160">
          <cell r="A160">
            <v>3371</v>
          </cell>
        </row>
        <row r="161">
          <cell r="A161">
            <v>3372</v>
          </cell>
        </row>
        <row r="162">
          <cell r="A162">
            <v>338</v>
          </cell>
        </row>
        <row r="163">
          <cell r="A163">
            <v>3381</v>
          </cell>
        </row>
        <row r="164">
          <cell r="A164">
            <v>3382</v>
          </cell>
        </row>
        <row r="165">
          <cell r="A165">
            <v>3383</v>
          </cell>
        </row>
        <row r="166">
          <cell r="A166">
            <v>3384</v>
          </cell>
        </row>
        <row r="167">
          <cell r="A167">
            <v>3385</v>
          </cell>
        </row>
        <row r="168">
          <cell r="A168">
            <v>3386</v>
          </cell>
        </row>
        <row r="169">
          <cell r="A169" t="str">
            <v>3387a</v>
          </cell>
        </row>
        <row r="170">
          <cell r="A170" t="str">
            <v>3387b</v>
          </cell>
        </row>
        <row r="171">
          <cell r="A171" t="str">
            <v>3388a</v>
          </cell>
        </row>
        <row r="172">
          <cell r="A172" t="str">
            <v>3388b</v>
          </cell>
        </row>
        <row r="173">
          <cell r="A173" t="str">
            <v>33881a</v>
          </cell>
        </row>
        <row r="174">
          <cell r="A174" t="str">
            <v>33881b</v>
          </cell>
        </row>
        <row r="175">
          <cell r="A175">
            <v>341</v>
          </cell>
        </row>
        <row r="176">
          <cell r="A176" t="str">
            <v>341a1</v>
          </cell>
        </row>
        <row r="177">
          <cell r="A177" t="str">
            <v>341a2</v>
          </cell>
        </row>
        <row r="178">
          <cell r="A178" t="str">
            <v>341b1</v>
          </cell>
        </row>
        <row r="179">
          <cell r="A179" t="str">
            <v>341b2</v>
          </cell>
        </row>
        <row r="180">
          <cell r="A180">
            <v>343</v>
          </cell>
        </row>
        <row r="181">
          <cell r="A181">
            <v>3431</v>
          </cell>
        </row>
        <row r="182">
          <cell r="A182" t="str">
            <v>3432a</v>
          </cell>
        </row>
        <row r="183">
          <cell r="A183" t="str">
            <v>344a</v>
          </cell>
        </row>
        <row r="184">
          <cell r="A184" t="str">
            <v>344b</v>
          </cell>
        </row>
        <row r="185">
          <cell r="A185" t="str">
            <v>352a</v>
          </cell>
        </row>
        <row r="186">
          <cell r="A186" t="str">
            <v>352b</v>
          </cell>
        </row>
        <row r="187">
          <cell r="A187">
            <v>353</v>
          </cell>
        </row>
        <row r="188">
          <cell r="A188">
            <v>356</v>
          </cell>
        </row>
        <row r="189">
          <cell r="A189">
            <v>357</v>
          </cell>
        </row>
        <row r="190">
          <cell r="A190">
            <v>4111</v>
          </cell>
        </row>
        <row r="191">
          <cell r="A191">
            <v>41111</v>
          </cell>
        </row>
        <row r="192">
          <cell r="A192" t="str">
            <v>41112a</v>
          </cell>
        </row>
        <row r="193">
          <cell r="A193" t="str">
            <v>41112b</v>
          </cell>
        </row>
        <row r="194">
          <cell r="A194">
            <v>41113</v>
          </cell>
        </row>
        <row r="195">
          <cell r="A195">
            <v>4112</v>
          </cell>
        </row>
        <row r="196">
          <cell r="A196">
            <v>4113</v>
          </cell>
        </row>
        <row r="197">
          <cell r="A197">
            <v>4118</v>
          </cell>
        </row>
        <row r="198">
          <cell r="A198">
            <v>412</v>
          </cell>
        </row>
        <row r="199">
          <cell r="A199">
            <v>413</v>
          </cell>
        </row>
        <row r="200">
          <cell r="A200">
            <v>414</v>
          </cell>
        </row>
        <row r="201">
          <cell r="A201">
            <v>418</v>
          </cell>
        </row>
        <row r="202">
          <cell r="A202">
            <v>419</v>
          </cell>
        </row>
        <row r="203">
          <cell r="A203">
            <v>421</v>
          </cell>
        </row>
        <row r="204">
          <cell r="A204" t="str">
            <v>421a</v>
          </cell>
        </row>
        <row r="205">
          <cell r="A205" t="str">
            <v>421b</v>
          </cell>
        </row>
        <row r="206">
          <cell r="A206">
            <v>417</v>
          </cell>
        </row>
        <row r="207">
          <cell r="A207">
            <v>441</v>
          </cell>
        </row>
        <row r="208">
          <cell r="A208">
            <v>461</v>
          </cell>
        </row>
        <row r="209">
          <cell r="A209">
            <v>466</v>
          </cell>
        </row>
        <row r="210">
          <cell r="A210">
            <v>467</v>
          </cell>
        </row>
        <row r="211">
          <cell r="A211" t="str">
            <v xml:space="preserve"> -</v>
          </cell>
        </row>
        <row r="212">
          <cell r="A212">
            <v>5111</v>
          </cell>
        </row>
        <row r="213">
          <cell r="A213">
            <v>5112</v>
          </cell>
        </row>
        <row r="214">
          <cell r="A214">
            <v>515</v>
          </cell>
        </row>
        <row r="215">
          <cell r="A215">
            <v>5211</v>
          </cell>
        </row>
        <row r="216">
          <cell r="A216">
            <v>5212</v>
          </cell>
        </row>
        <row r="217">
          <cell r="A217">
            <v>5213</v>
          </cell>
        </row>
        <row r="218">
          <cell r="A218">
            <v>621</v>
          </cell>
        </row>
        <row r="219">
          <cell r="A219">
            <v>622</v>
          </cell>
        </row>
        <row r="220">
          <cell r="A220">
            <v>627</v>
          </cell>
        </row>
        <row r="221">
          <cell r="A221">
            <v>632</v>
          </cell>
        </row>
        <row r="222">
          <cell r="A222">
            <v>635</v>
          </cell>
        </row>
        <row r="223">
          <cell r="A223">
            <v>641</v>
          </cell>
        </row>
        <row r="224">
          <cell r="A224">
            <v>642</v>
          </cell>
        </row>
        <row r="225">
          <cell r="A225">
            <v>711</v>
          </cell>
        </row>
        <row r="226">
          <cell r="A226">
            <v>721</v>
          </cell>
        </row>
        <row r="227">
          <cell r="A227">
            <v>811</v>
          </cell>
        </row>
        <row r="228">
          <cell r="A228">
            <v>8211</v>
          </cell>
        </row>
        <row r="229">
          <cell r="A229">
            <v>8212</v>
          </cell>
        </row>
        <row r="230">
          <cell r="A230" t="str">
            <v xml:space="preserve"> -</v>
          </cell>
        </row>
        <row r="231">
          <cell r="A231" t="str">
            <v>001</v>
          </cell>
        </row>
        <row r="232">
          <cell r="A232" t="str">
            <v>0011</v>
          </cell>
        </row>
        <row r="233">
          <cell r="A233" t="str">
            <v>0012</v>
          </cell>
        </row>
        <row r="234">
          <cell r="A234" t="str">
            <v>002</v>
          </cell>
        </row>
        <row r="235">
          <cell r="A235" t="str">
            <v>003</v>
          </cell>
        </row>
        <row r="236">
          <cell r="A236" t="str">
            <v>004</v>
          </cell>
        </row>
        <row r="237">
          <cell r="A237" t="str">
            <v>005</v>
          </cell>
        </row>
        <row r="238">
          <cell r="A238" t="str">
            <v>006</v>
          </cell>
        </row>
        <row r="239">
          <cell r="A239" t="str">
            <v>007</v>
          </cell>
        </row>
        <row r="240">
          <cell r="A240" t="str">
            <v>0071</v>
          </cell>
        </row>
        <row r="241">
          <cell r="A241" t="str">
            <v>0072</v>
          </cell>
        </row>
        <row r="242">
          <cell r="A242" t="str">
            <v>0073</v>
          </cell>
        </row>
        <row r="243">
          <cell r="A243" t="str">
            <v>0074</v>
          </cell>
        </row>
        <row r="244">
          <cell r="A244" t="str">
            <v>0075</v>
          </cell>
        </row>
        <row r="245">
          <cell r="A245" t="str">
            <v>0076</v>
          </cell>
        </row>
        <row r="246">
          <cell r="A246" t="str">
            <v>0077</v>
          </cell>
        </row>
        <row r="247">
          <cell r="A247" t="str">
            <v>008</v>
          </cell>
        </row>
        <row r="248">
          <cell r="A248" t="str">
            <v>0081</v>
          </cell>
        </row>
        <row r="249">
          <cell r="A249" t="str">
            <v>0082</v>
          </cell>
        </row>
        <row r="250">
          <cell r="A250" t="str">
            <v>009</v>
          </cell>
        </row>
        <row r="251">
          <cell r="A251" t="str">
            <v xml:space="preserve"> -</v>
          </cell>
        </row>
      </sheetData>
      <sheetData sheetId="1"/>
      <sheetData sheetId="2"/>
      <sheetData sheetId="3"/>
      <sheetData sheetId="4">
        <row r="7">
          <cell r="C7" t="str">
            <v>Tài khoản</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CRStand"/>
      <sheetName val="Policy"/>
      <sheetName val="Policy2"/>
      <sheetName val="Policy3"/>
      <sheetName val="GDFARM"/>
      <sheetName val="REPORT"/>
      <sheetName val="KEY"/>
      <sheetName val="Thu nhap"/>
      <sheetName val="Phieu chi"/>
      <sheetName val="P.V"/>
      <sheetName val="PV-CKX"/>
      <sheetName val="UNC (moi)"/>
      <sheetName val="EFF"/>
      <sheetName val="RECEIPTNOTE"/>
      <sheetName val="RPV"/>
      <sheetName val="FCR12.2006"/>
      <sheetName val="Rec.Note"/>
      <sheetName val="00000000"/>
      <sheetName val="10000000"/>
    </sheetNames>
    <sheetDataSet>
      <sheetData sheetId="0" refreshError="1"/>
      <sheetData sheetId="1" refreshError="1"/>
      <sheetData sheetId="2" refreshError="1"/>
      <sheetData sheetId="3" refreshError="1"/>
      <sheetData sheetId="4" refreshError="1">
        <row r="6">
          <cell r="A6" t="str">
            <v>1A00</v>
          </cell>
          <cell r="B6" t="str">
            <v>11A002</v>
          </cell>
        </row>
        <row r="7">
          <cell r="A7" t="str">
            <v>1A01</v>
          </cell>
          <cell r="B7" t="str">
            <v>11A012</v>
          </cell>
        </row>
        <row r="8">
          <cell r="A8" t="str">
            <v>1A02</v>
          </cell>
          <cell r="B8" t="str">
            <v>11A022</v>
          </cell>
          <cell r="D8" t="str">
            <v xml:space="preserve">ÑAØO THÒ LAØ </v>
          </cell>
        </row>
        <row r="9">
          <cell r="A9" t="str">
            <v>1A03</v>
          </cell>
          <cell r="B9" t="str">
            <v>11A032</v>
          </cell>
          <cell r="D9" t="str">
            <v>PHAN VAÊN ÑAÏT 2</v>
          </cell>
        </row>
        <row r="10">
          <cell r="A10" t="str">
            <v>1A04</v>
          </cell>
          <cell r="B10" t="str">
            <v>11A042</v>
          </cell>
          <cell r="D10" t="str">
            <v>PHAM VĂN HẢI 2</v>
          </cell>
        </row>
        <row r="11">
          <cell r="A11" t="str">
            <v>1A05</v>
          </cell>
          <cell r="B11" t="str">
            <v>11A052</v>
          </cell>
          <cell r="D11" t="str">
            <v>VOØNG HOÁI SEÀNH</v>
          </cell>
        </row>
        <row r="12">
          <cell r="A12" t="str">
            <v>1A06</v>
          </cell>
          <cell r="B12" t="str">
            <v>11A062</v>
          </cell>
          <cell r="D12" t="str">
            <v>LAÂM QUOÁC TOAØN 1</v>
          </cell>
        </row>
        <row r="13">
          <cell r="A13" t="str">
            <v>1A07</v>
          </cell>
          <cell r="B13" t="str">
            <v>11A072</v>
          </cell>
          <cell r="D13" t="str">
            <v>NGUYỄN VĂN TƯỜNG</v>
          </cell>
        </row>
        <row r="14">
          <cell r="A14" t="str">
            <v>1A08</v>
          </cell>
          <cell r="B14" t="str">
            <v>11A082</v>
          </cell>
          <cell r="D14" t="str">
            <v>LEÂ QUANG HUØNG</v>
          </cell>
        </row>
        <row r="15">
          <cell r="A15" t="str">
            <v>1A09</v>
          </cell>
          <cell r="B15" t="str">
            <v>11A092</v>
          </cell>
          <cell r="D15" t="str">
            <v>NGUYỄN VĂN MẢNH</v>
          </cell>
        </row>
        <row r="16">
          <cell r="A16" t="str">
            <v>1A10</v>
          </cell>
          <cell r="B16" t="str">
            <v>11A102</v>
          </cell>
          <cell r="D16" t="str">
            <v>NGUYỄN VĂN CHUNG</v>
          </cell>
        </row>
        <row r="17">
          <cell r="A17" t="str">
            <v>1A11</v>
          </cell>
          <cell r="B17" t="str">
            <v>11A112</v>
          </cell>
          <cell r="D17" t="str">
            <v>NGUYEÃN THÒ LIEÂN</v>
          </cell>
        </row>
        <row r="18">
          <cell r="A18" t="str">
            <v>1A12</v>
          </cell>
          <cell r="B18" t="str">
            <v>11A122</v>
          </cell>
          <cell r="D18" t="str">
            <v>TRAÀN VAÊN VÓNH 2</v>
          </cell>
        </row>
        <row r="19">
          <cell r="A19" t="str">
            <v>1A13</v>
          </cell>
          <cell r="B19" t="str">
            <v>11A132</v>
          </cell>
          <cell r="D19" t="str">
            <v>NGUYEÃN NGOÏC LOAN</v>
          </cell>
        </row>
        <row r="20">
          <cell r="A20" t="str">
            <v>1A14</v>
          </cell>
          <cell r="B20" t="str">
            <v>11A142</v>
          </cell>
          <cell r="D20" t="str">
            <v>NGUYEÃN COÂNG HAÏNH 3</v>
          </cell>
        </row>
        <row r="21">
          <cell r="A21" t="str">
            <v>1A15</v>
          </cell>
          <cell r="B21" t="str">
            <v>11A152</v>
          </cell>
          <cell r="D21" t="str">
            <v>HOAØNG THI KIM NHUNG</v>
          </cell>
        </row>
        <row r="22">
          <cell r="A22" t="str">
            <v>1A16</v>
          </cell>
          <cell r="B22" t="str">
            <v>11A162</v>
          </cell>
          <cell r="D22" t="str">
            <v>PHAN HOAØNG LONG</v>
          </cell>
        </row>
        <row r="23">
          <cell r="A23" t="str">
            <v>1A17</v>
          </cell>
          <cell r="B23" t="str">
            <v>11A172</v>
          </cell>
          <cell r="D23" t="str">
            <v>NGUYEÃN HOAØI LINH</v>
          </cell>
        </row>
        <row r="24">
          <cell r="A24" t="str">
            <v>1A18</v>
          </cell>
          <cell r="B24" t="str">
            <v>11A182</v>
          </cell>
          <cell r="D24" t="str">
            <v>NGUYEÃN VIEÁT LUAÂN</v>
          </cell>
        </row>
        <row r="25">
          <cell r="A25" t="str">
            <v>1A19</v>
          </cell>
          <cell r="B25" t="str">
            <v>11A192</v>
          </cell>
          <cell r="D25" t="str">
            <v>NGUYEÃN ÑAÉC PHUOÂNG</v>
          </cell>
        </row>
        <row r="26">
          <cell r="A26" t="str">
            <v>1A20</v>
          </cell>
          <cell r="B26" t="str">
            <v>11A202</v>
          </cell>
          <cell r="D26" t="str">
            <v>NGUYEÃN THEÁ ANH</v>
          </cell>
        </row>
        <row r="27">
          <cell r="A27" t="str">
            <v>1A21</v>
          </cell>
          <cell r="B27" t="str">
            <v>11A212</v>
          </cell>
          <cell r="D27" t="str">
            <v>HUYØNH XUAÂN QUANG</v>
          </cell>
        </row>
        <row r="28">
          <cell r="A28" t="str">
            <v>1A22</v>
          </cell>
          <cell r="B28" t="str">
            <v>11A222</v>
          </cell>
          <cell r="D28" t="str">
            <v>ÑOAØN THÒ HOÀNG</v>
          </cell>
        </row>
        <row r="29">
          <cell r="A29" t="str">
            <v>1A23</v>
          </cell>
          <cell r="B29" t="str">
            <v>11A232</v>
          </cell>
          <cell r="D29" t="str">
            <v>NGUYEÃN ÑAÉC KHAÙNG</v>
          </cell>
        </row>
        <row r="30">
          <cell r="A30" t="str">
            <v>1A24</v>
          </cell>
          <cell r="B30" t="str">
            <v>11A242</v>
          </cell>
          <cell r="D30" t="str">
            <v>PHAÏM ÑÌNH THAÙI</v>
          </cell>
        </row>
        <row r="31">
          <cell r="A31" t="str">
            <v>1A25</v>
          </cell>
          <cell r="B31" t="str">
            <v>11A252</v>
          </cell>
          <cell r="D31" t="str">
            <v>NGUYEÃN VAÊN LÔÏI 1</v>
          </cell>
        </row>
        <row r="32">
          <cell r="A32" t="str">
            <v>1A26</v>
          </cell>
          <cell r="B32" t="str">
            <v>11A262</v>
          </cell>
          <cell r="D32" t="str">
            <v>HOAØNG VAÊN PHÖÔNG</v>
          </cell>
          <cell r="H32" t="str">
            <v>EVAP</v>
          </cell>
        </row>
        <row r="33">
          <cell r="A33" t="str">
            <v>1A27</v>
          </cell>
          <cell r="B33" t="str">
            <v>11A272</v>
          </cell>
          <cell r="D33" t="str">
            <v>TRAÀN THÒ THU HÖÔØNG</v>
          </cell>
        </row>
        <row r="34">
          <cell r="A34" t="str">
            <v>1A28</v>
          </cell>
          <cell r="B34" t="str">
            <v>11A282</v>
          </cell>
          <cell r="D34" t="str">
            <v>ÑOAØN QUYÙ THÌN</v>
          </cell>
        </row>
        <row r="35">
          <cell r="A35" t="str">
            <v>1A29</v>
          </cell>
          <cell r="B35" t="str">
            <v>11A292</v>
          </cell>
          <cell r="D35" t="str">
            <v>NGUYEÃN VAÊN KHIEÂM</v>
          </cell>
          <cell r="H35" t="str">
            <v>EVAP</v>
          </cell>
        </row>
        <row r="36">
          <cell r="A36" t="str">
            <v>1A30</v>
          </cell>
          <cell r="B36" t="str">
            <v>11A302</v>
          </cell>
          <cell r="D36" t="str">
            <v>ÑAËNG BAÛO HOAØI</v>
          </cell>
        </row>
        <row r="37">
          <cell r="A37" t="str">
            <v>1A31</v>
          </cell>
          <cell r="B37" t="str">
            <v>11A312</v>
          </cell>
          <cell r="D37" t="str">
            <v>LÖU NGUYEÃN HOAØNG LAM</v>
          </cell>
        </row>
        <row r="38">
          <cell r="A38" t="str">
            <v>1A32</v>
          </cell>
          <cell r="B38" t="str">
            <v>11A322</v>
          </cell>
          <cell r="D38" t="str">
            <v>PHAM VĂN HẢI 1</v>
          </cell>
        </row>
        <row r="39">
          <cell r="A39" t="str">
            <v>1A33</v>
          </cell>
          <cell r="B39" t="str">
            <v>11A332</v>
          </cell>
          <cell r="D39" t="str">
            <v>SIN THEÀNH</v>
          </cell>
        </row>
        <row r="40">
          <cell r="A40" t="str">
            <v>1A34</v>
          </cell>
          <cell r="B40" t="str">
            <v>11A342</v>
          </cell>
          <cell r="D40" t="str">
            <v>VUÕ VIEÁT THÒNH</v>
          </cell>
        </row>
        <row r="41">
          <cell r="A41" t="str">
            <v>1A35</v>
          </cell>
          <cell r="B41" t="str">
            <v>11A352</v>
          </cell>
          <cell r="D41" t="str">
            <v>NGUYEÃN THÒ LAN 1</v>
          </cell>
        </row>
        <row r="42">
          <cell r="A42" t="str">
            <v>1A36</v>
          </cell>
          <cell r="B42" t="str">
            <v>11A362</v>
          </cell>
          <cell r="D42" t="str">
            <v>NGUYEÃN VIEÁT ANH</v>
          </cell>
        </row>
        <row r="43">
          <cell r="A43" t="str">
            <v>1A37</v>
          </cell>
          <cell r="B43" t="str">
            <v>11A372</v>
          </cell>
          <cell r="D43" t="str">
            <v>TRAÀN THÒ LINH</v>
          </cell>
        </row>
        <row r="44">
          <cell r="A44" t="str">
            <v>1A38</v>
          </cell>
          <cell r="B44" t="str">
            <v>11A382</v>
          </cell>
          <cell r="D44" t="str">
            <v>LAÂM HUY TOAØN</v>
          </cell>
        </row>
        <row r="45">
          <cell r="A45" t="str">
            <v>1A39</v>
          </cell>
          <cell r="B45" t="str">
            <v>11A392</v>
          </cell>
          <cell r="D45" t="str">
            <v>NGUYEÃN VAÊN LÔÏI 3</v>
          </cell>
        </row>
        <row r="46">
          <cell r="A46" t="str">
            <v>1A40</v>
          </cell>
          <cell r="B46" t="str">
            <v>11A402</v>
          </cell>
          <cell r="D46" t="str">
            <v>TRAÀN COÂNG ÑÆNH</v>
          </cell>
        </row>
        <row r="47">
          <cell r="A47" t="str">
            <v>1A41</v>
          </cell>
          <cell r="B47" t="str">
            <v>11A412</v>
          </cell>
          <cell r="D47" t="str">
            <v>NGUYEÃN VAÊN NHAÂN</v>
          </cell>
        </row>
        <row r="48">
          <cell r="A48" t="str">
            <v>1A42</v>
          </cell>
          <cell r="B48" t="str">
            <v>11A422</v>
          </cell>
          <cell r="D48" t="str">
            <v>PHAÏM THANH HAÛI</v>
          </cell>
        </row>
        <row r="49">
          <cell r="A49" t="str">
            <v>1A43</v>
          </cell>
          <cell r="B49" t="str">
            <v>11A432</v>
          </cell>
          <cell r="D49" t="str">
            <v>LEÂ NGOÏC PHUÏ</v>
          </cell>
        </row>
        <row r="50">
          <cell r="A50" t="str">
            <v>1A44</v>
          </cell>
          <cell r="B50" t="str">
            <v>11A442</v>
          </cell>
          <cell r="D50" t="str">
            <v>BUØI THÒ KIM HOÀNG 1</v>
          </cell>
        </row>
        <row r="51">
          <cell r="A51" t="str">
            <v>1A45</v>
          </cell>
          <cell r="B51" t="str">
            <v>11A452</v>
          </cell>
          <cell r="D51" t="str">
            <v>BUØI THÒ KIM HOÀNG 2</v>
          </cell>
        </row>
        <row r="52">
          <cell r="A52" t="str">
            <v>1A46</v>
          </cell>
          <cell r="B52" t="str">
            <v>11A462</v>
          </cell>
          <cell r="D52" t="str">
            <v>NGUYỄN VĂN THẠNH</v>
          </cell>
        </row>
        <row r="53">
          <cell r="A53" t="str">
            <v>1A47</v>
          </cell>
          <cell r="B53" t="str">
            <v>11A472</v>
          </cell>
          <cell r="D53" t="str">
            <v>LAÂM QUOÁC TOAØN  2</v>
          </cell>
        </row>
        <row r="54">
          <cell r="A54" t="str">
            <v>1A48</v>
          </cell>
          <cell r="B54" t="str">
            <v>11A482</v>
          </cell>
          <cell r="D54" t="str">
            <v>ÑOÃ KHAÙNH LIEÂN 1</v>
          </cell>
        </row>
        <row r="55">
          <cell r="A55" t="str">
            <v>1A49</v>
          </cell>
          <cell r="B55" t="str">
            <v>11A492</v>
          </cell>
          <cell r="D55" t="str">
            <v>HAØ VAÊN THIEÄU</v>
          </cell>
        </row>
        <row r="56">
          <cell r="A56" t="str">
            <v>1A50</v>
          </cell>
          <cell r="B56" t="str">
            <v>11A502</v>
          </cell>
          <cell r="D56" t="str">
            <v>TRẦN MINH PHƯỚC</v>
          </cell>
        </row>
        <row r="57">
          <cell r="A57" t="str">
            <v>1A51</v>
          </cell>
          <cell r="B57" t="str">
            <v>11A512</v>
          </cell>
          <cell r="D57" t="str">
            <v>TRÖÔNG VAÊN VIEÂN</v>
          </cell>
        </row>
        <row r="58">
          <cell r="A58" t="str">
            <v>1A52</v>
          </cell>
          <cell r="B58" t="str">
            <v>11A522</v>
          </cell>
          <cell r="D58" t="str">
            <v>TRÖÔNG VAÊN MAÏNH 1</v>
          </cell>
        </row>
        <row r="59">
          <cell r="A59" t="str">
            <v>1A53</v>
          </cell>
          <cell r="B59" t="str">
            <v>11A532</v>
          </cell>
        </row>
        <row r="60">
          <cell r="A60" t="str">
            <v>1A54</v>
          </cell>
          <cell r="B60" t="str">
            <v>11A542</v>
          </cell>
          <cell r="D60" t="str">
            <v>TRAÀN VAÊN THEÏO</v>
          </cell>
        </row>
        <row r="61">
          <cell r="A61" t="str">
            <v>1A55</v>
          </cell>
          <cell r="B61" t="str">
            <v>11A552</v>
          </cell>
          <cell r="D61" t="str">
            <v>NGUYEÃN VAÊN PHÖÔÙC</v>
          </cell>
        </row>
        <row r="62">
          <cell r="A62" t="str">
            <v>1A56</v>
          </cell>
          <cell r="B62" t="str">
            <v>11A562</v>
          </cell>
          <cell r="D62" t="str">
            <v>HAØ HÖÕU NIEÂN</v>
          </cell>
        </row>
        <row r="63">
          <cell r="A63" t="str">
            <v>1A57</v>
          </cell>
          <cell r="B63" t="str">
            <v>11A572</v>
          </cell>
        </row>
        <row r="64">
          <cell r="A64" t="str">
            <v>1A58</v>
          </cell>
          <cell r="B64" t="str">
            <v>11A582</v>
          </cell>
          <cell r="D64" t="str">
            <v>NGUYEÃN COÂNG HAÏNH 1</v>
          </cell>
        </row>
        <row r="65">
          <cell r="A65" t="str">
            <v>1A59</v>
          </cell>
          <cell r="B65" t="str">
            <v>11A592</v>
          </cell>
        </row>
        <row r="66">
          <cell r="A66" t="str">
            <v>1A60</v>
          </cell>
          <cell r="B66" t="str">
            <v>11A602</v>
          </cell>
          <cell r="D66" t="str">
            <v>TRAÀN THÒ TÖÔI</v>
          </cell>
        </row>
        <row r="67">
          <cell r="A67" t="str">
            <v>1A61</v>
          </cell>
          <cell r="B67" t="str">
            <v>11A612</v>
          </cell>
          <cell r="D67" t="str">
            <v xml:space="preserve">TRAÀN TAÁN DUÕNG </v>
          </cell>
        </row>
        <row r="68">
          <cell r="A68" t="str">
            <v>1A62</v>
          </cell>
          <cell r="B68" t="str">
            <v>11A622</v>
          </cell>
        </row>
        <row r="69">
          <cell r="A69" t="str">
            <v>1A63</v>
          </cell>
          <cell r="B69" t="str">
            <v>11A632</v>
          </cell>
          <cell r="D69" t="str">
            <v>VOÕ THÒ LAÏC 1</v>
          </cell>
        </row>
        <row r="70">
          <cell r="A70" t="str">
            <v>1A64</v>
          </cell>
          <cell r="B70" t="str">
            <v>11A642</v>
          </cell>
          <cell r="D70" t="str">
            <v>LEÂ HOÀNG HAÛI</v>
          </cell>
        </row>
        <row r="71">
          <cell r="A71" t="str">
            <v>1A65</v>
          </cell>
          <cell r="B71" t="str">
            <v>11A652</v>
          </cell>
        </row>
        <row r="72">
          <cell r="A72" t="str">
            <v>1A66</v>
          </cell>
          <cell r="B72" t="str">
            <v>11A662</v>
          </cell>
          <cell r="D72" t="str">
            <v>NGUYEÃN VAÊN HUYEÄN</v>
          </cell>
        </row>
        <row r="73">
          <cell r="A73" t="str">
            <v>1A67</v>
          </cell>
          <cell r="B73" t="str">
            <v>11A672</v>
          </cell>
          <cell r="D73" t="str">
            <v>NGUYEÃN VAÊN TÔÙI</v>
          </cell>
        </row>
        <row r="74">
          <cell r="A74" t="str">
            <v>1A68</v>
          </cell>
          <cell r="B74" t="str">
            <v>11A682</v>
          </cell>
          <cell r="D74" t="str">
            <v>NGOÂ VAÊN TÍN</v>
          </cell>
        </row>
        <row r="75">
          <cell r="A75" t="str">
            <v>1A69</v>
          </cell>
          <cell r="B75" t="str">
            <v>11A692</v>
          </cell>
        </row>
        <row r="76">
          <cell r="A76" t="str">
            <v>1A70</v>
          </cell>
          <cell r="B76" t="str">
            <v>11A702</v>
          </cell>
        </row>
        <row r="77">
          <cell r="A77" t="str">
            <v>1A71</v>
          </cell>
          <cell r="B77" t="str">
            <v>11A712</v>
          </cell>
          <cell r="D77" t="str">
            <v>TOÂ MINH TÒNH 1</v>
          </cell>
        </row>
        <row r="78">
          <cell r="A78" t="str">
            <v>1A72</v>
          </cell>
          <cell r="B78" t="str">
            <v>11A722</v>
          </cell>
        </row>
        <row r="79">
          <cell r="A79" t="str">
            <v>1A73</v>
          </cell>
          <cell r="B79" t="str">
            <v>11A732</v>
          </cell>
          <cell r="D79" t="str">
            <v>NGUYEÃN VAÊN CAÀM</v>
          </cell>
        </row>
        <row r="80">
          <cell r="A80" t="str">
            <v>1A74</v>
          </cell>
          <cell r="B80" t="str">
            <v>11A742</v>
          </cell>
        </row>
        <row r="81">
          <cell r="A81" t="str">
            <v>1A75</v>
          </cell>
          <cell r="B81" t="str">
            <v>11A752</v>
          </cell>
          <cell r="D81" t="str">
            <v>ÑINH MINH HAÛI</v>
          </cell>
        </row>
        <row r="82">
          <cell r="A82" t="str">
            <v>1A76</v>
          </cell>
          <cell r="B82" t="str">
            <v>11A762</v>
          </cell>
        </row>
        <row r="83">
          <cell r="A83" t="str">
            <v>1A77</v>
          </cell>
          <cell r="B83" t="str">
            <v>11A772</v>
          </cell>
          <cell r="D83" t="str">
            <v>THAÂN THANH HAØ</v>
          </cell>
        </row>
        <row r="84">
          <cell r="A84" t="str">
            <v>1A78</v>
          </cell>
          <cell r="B84" t="str">
            <v>11A782</v>
          </cell>
          <cell r="D84" t="str">
            <v>ÑOÃ KHAÙNH LIEÂN 2</v>
          </cell>
        </row>
        <row r="85">
          <cell r="A85" t="str">
            <v>1A79</v>
          </cell>
          <cell r="B85" t="str">
            <v>11A792</v>
          </cell>
          <cell r="D85" t="str">
            <v>NGUYEÃN DUÕNG</v>
          </cell>
        </row>
        <row r="86">
          <cell r="A86" t="str">
            <v>1A80</v>
          </cell>
          <cell r="B86" t="str">
            <v>11A802</v>
          </cell>
          <cell r="D86" t="str">
            <v>NGUYEÃN MAÏNH HUØNG 2</v>
          </cell>
        </row>
        <row r="87">
          <cell r="A87" t="str">
            <v>1A81</v>
          </cell>
          <cell r="B87" t="str">
            <v>11A812</v>
          </cell>
          <cell r="D87" t="str">
            <v>NGUYEÃN HÖÕU QUANG</v>
          </cell>
        </row>
        <row r="88">
          <cell r="A88" t="str">
            <v>1A82</v>
          </cell>
          <cell r="B88" t="str">
            <v>11A822</v>
          </cell>
        </row>
        <row r="89">
          <cell r="A89" t="str">
            <v>1A83</v>
          </cell>
          <cell r="B89" t="str">
            <v>11A832</v>
          </cell>
        </row>
        <row r="90">
          <cell r="A90" t="str">
            <v>1A84</v>
          </cell>
          <cell r="B90" t="str">
            <v>11A842</v>
          </cell>
        </row>
        <row r="91">
          <cell r="A91" t="str">
            <v>1A85</v>
          </cell>
          <cell r="B91" t="str">
            <v>11A852</v>
          </cell>
          <cell r="D91" t="str">
            <v>BUØI THEÁ LAÂN</v>
          </cell>
        </row>
        <row r="92">
          <cell r="A92" t="str">
            <v>1A86</v>
          </cell>
          <cell r="B92" t="str">
            <v>11A862</v>
          </cell>
          <cell r="D92" t="str">
            <v xml:space="preserve">VOÕ THÒ LAÏC 2  </v>
          </cell>
        </row>
        <row r="93">
          <cell r="A93" t="str">
            <v>1A87</v>
          </cell>
          <cell r="B93" t="str">
            <v>11A872</v>
          </cell>
          <cell r="D93" t="str">
            <v>NGUYEÃN VAÊN LÔÏI 2</v>
          </cell>
        </row>
        <row r="94">
          <cell r="A94" t="str">
            <v>1A88</v>
          </cell>
          <cell r="B94" t="str">
            <v>11A882</v>
          </cell>
          <cell r="D94" t="str">
            <v>NGUYEÃN VAÊN THAØNH</v>
          </cell>
        </row>
        <row r="95">
          <cell r="A95" t="str">
            <v>1A89</v>
          </cell>
          <cell r="B95" t="str">
            <v>11A892</v>
          </cell>
        </row>
        <row r="96">
          <cell r="A96" t="str">
            <v>1A90</v>
          </cell>
          <cell r="B96" t="str">
            <v>11A902</v>
          </cell>
          <cell r="D96" t="str">
            <v>TRAÀN VAÊN MAÄM</v>
          </cell>
        </row>
        <row r="97">
          <cell r="A97" t="str">
            <v>1A91</v>
          </cell>
          <cell r="B97" t="str">
            <v>11A912</v>
          </cell>
          <cell r="D97" t="str">
            <v>THAÙI XUAÂN KYØ</v>
          </cell>
        </row>
        <row r="98">
          <cell r="A98" t="str">
            <v>1A92</v>
          </cell>
          <cell r="B98" t="str">
            <v>11A922</v>
          </cell>
          <cell r="D98" t="str">
            <v>SYÕ THANH KIEÀU</v>
          </cell>
        </row>
        <row r="99">
          <cell r="A99" t="str">
            <v>1A93</v>
          </cell>
          <cell r="B99" t="str">
            <v>11A932</v>
          </cell>
        </row>
        <row r="100">
          <cell r="A100" t="str">
            <v>1A94</v>
          </cell>
          <cell r="B100" t="str">
            <v>11A942</v>
          </cell>
        </row>
        <row r="101">
          <cell r="A101" t="str">
            <v>1A95</v>
          </cell>
          <cell r="B101" t="str">
            <v>11A952</v>
          </cell>
          <cell r="D101" t="str">
            <v>HUYØNH VAÊN MAÏNH 1</v>
          </cell>
        </row>
        <row r="102">
          <cell r="A102" t="str">
            <v>1A96</v>
          </cell>
          <cell r="B102" t="str">
            <v>11A962</v>
          </cell>
          <cell r="D102" t="str">
            <v>TRAÀN NGOÏC CÖÔNG 1</v>
          </cell>
        </row>
        <row r="103">
          <cell r="A103" t="str">
            <v>1A98</v>
          </cell>
          <cell r="B103" t="str">
            <v>11A982</v>
          </cell>
          <cell r="D103" t="str">
            <v>TRAÀN VAÊN TOAØN 1</v>
          </cell>
        </row>
        <row r="104">
          <cell r="A104" t="str">
            <v>1A99</v>
          </cell>
          <cell r="B104" t="str">
            <v>11A992</v>
          </cell>
          <cell r="D104" t="str">
            <v>CAO HÖÕU HUYNH 1</v>
          </cell>
        </row>
        <row r="105">
          <cell r="A105" t="str">
            <v>1B01</v>
          </cell>
          <cell r="B105" t="str">
            <v>11B012</v>
          </cell>
          <cell r="D105" t="str">
            <v>VOÕ ÑÌNH BAÛY</v>
          </cell>
        </row>
        <row r="106">
          <cell r="A106" t="str">
            <v>1B02</v>
          </cell>
          <cell r="B106" t="str">
            <v>11B022</v>
          </cell>
          <cell r="D106" t="str">
            <v>NGUYEÃN THÒ TÖÔI</v>
          </cell>
        </row>
        <row r="107">
          <cell r="A107" t="str">
            <v>1B03</v>
          </cell>
          <cell r="B107" t="str">
            <v>11B032</v>
          </cell>
          <cell r="D107" t="str">
            <v>LEÂ VAÊN GIAÙC</v>
          </cell>
        </row>
        <row r="108">
          <cell r="A108" t="str">
            <v>1B04</v>
          </cell>
          <cell r="B108" t="str">
            <v>11B042</v>
          </cell>
          <cell r="D108" t="str">
            <v>TRAÀN VAÊN VÓNH 1</v>
          </cell>
        </row>
        <row r="109">
          <cell r="A109" t="str">
            <v>1B05</v>
          </cell>
          <cell r="B109" t="str">
            <v>11B052</v>
          </cell>
          <cell r="D109" t="str">
            <v>NGUYEÃN VAÊN PHUÙC</v>
          </cell>
        </row>
        <row r="110">
          <cell r="A110" t="str">
            <v>1B06</v>
          </cell>
          <cell r="B110" t="str">
            <v>11B062</v>
          </cell>
          <cell r="D110" t="str">
            <v>NGUYEÃN VAÊN THAÙI</v>
          </cell>
        </row>
        <row r="111">
          <cell r="A111" t="str">
            <v>1B07</v>
          </cell>
          <cell r="B111" t="str">
            <v>11B072</v>
          </cell>
          <cell r="D111" t="str">
            <v>CHAÂU A TAÉC</v>
          </cell>
        </row>
        <row r="112">
          <cell r="A112" t="str">
            <v>1B08</v>
          </cell>
          <cell r="B112" t="str">
            <v>11B082</v>
          </cell>
          <cell r="D112" t="str">
            <v>ÑAØO VAÊN QUAÛNG</v>
          </cell>
        </row>
        <row r="113">
          <cell r="A113" t="str">
            <v>1B09</v>
          </cell>
          <cell r="B113" t="str">
            <v>11B092</v>
          </cell>
          <cell r="D113" t="str">
            <v>LEÂ LONG VÓNH</v>
          </cell>
        </row>
        <row r="114">
          <cell r="A114" t="str">
            <v>1B10</v>
          </cell>
          <cell r="B114" t="str">
            <v>11B102</v>
          </cell>
          <cell r="D114" t="str">
            <v>PHAÏM VAÊN TÖ 1</v>
          </cell>
        </row>
        <row r="115">
          <cell r="A115" t="str">
            <v>1B11</v>
          </cell>
          <cell r="B115" t="str">
            <v>11B112</v>
          </cell>
          <cell r="D115" t="str">
            <v>TRÖÔNG THANH TUAÁN 1</v>
          </cell>
        </row>
        <row r="116">
          <cell r="A116" t="str">
            <v>1B12</v>
          </cell>
          <cell r="B116" t="str">
            <v>11B122</v>
          </cell>
          <cell r="D116" t="str">
            <v>NGUYEÃN VAÊN HAÛI</v>
          </cell>
        </row>
        <row r="117">
          <cell r="A117" t="str">
            <v>1B13</v>
          </cell>
          <cell r="B117" t="str">
            <v>11B132</v>
          </cell>
          <cell r="D117" t="str">
            <v>TRAÀN TUAÁN HUØNG</v>
          </cell>
          <cell r="H117" t="str">
            <v>EVAP</v>
          </cell>
        </row>
        <row r="118">
          <cell r="A118" t="str">
            <v>1B14</v>
          </cell>
          <cell r="B118" t="str">
            <v>11B142</v>
          </cell>
          <cell r="D118" t="str">
            <v>NGUYEÃN VAÊN PHÖÔÏNG 2</v>
          </cell>
        </row>
        <row r="119">
          <cell r="A119" t="str">
            <v>1B15</v>
          </cell>
          <cell r="B119" t="str">
            <v>11B152</v>
          </cell>
          <cell r="D119" t="str">
            <v>LEÂ VAÊN THAÙI 1</v>
          </cell>
        </row>
        <row r="120">
          <cell r="A120" t="str">
            <v>1B16</v>
          </cell>
          <cell r="B120" t="str">
            <v>11B162</v>
          </cell>
          <cell r="D120" t="str">
            <v>PHAN VAÊN ÑAÏT 1</v>
          </cell>
        </row>
        <row r="121">
          <cell r="A121" t="str">
            <v>1B17</v>
          </cell>
          <cell r="B121" t="str">
            <v>11B172</v>
          </cell>
          <cell r="D121" t="str">
            <v>HOAØNG ÑÌNH THIEÀU</v>
          </cell>
        </row>
        <row r="122">
          <cell r="A122" t="str">
            <v>1B18</v>
          </cell>
          <cell r="B122" t="str">
            <v>11B182</v>
          </cell>
          <cell r="D122" t="str">
            <v>NGUYEN VAN NAM</v>
          </cell>
        </row>
        <row r="123">
          <cell r="A123" t="str">
            <v>1B19</v>
          </cell>
          <cell r="B123" t="str">
            <v>11B192</v>
          </cell>
          <cell r="D123" t="str">
            <v>TRÖÔNG VAÊN MAÏNH 2</v>
          </cell>
        </row>
        <row r="124">
          <cell r="A124" t="str">
            <v>1B20</v>
          </cell>
          <cell r="B124" t="str">
            <v>11B202</v>
          </cell>
          <cell r="D124" t="str">
            <v>VOÕ NGOÏC QUYØNH</v>
          </cell>
        </row>
        <row r="125">
          <cell r="A125" t="str">
            <v>1B21</v>
          </cell>
          <cell r="B125" t="str">
            <v>11B212</v>
          </cell>
          <cell r="D125" t="str">
            <v>LEÂ HÖÕU PHÖÔÙC</v>
          </cell>
          <cell r="E125">
            <v>1</v>
          </cell>
        </row>
        <row r="126">
          <cell r="A126" t="str">
            <v>1B22</v>
          </cell>
          <cell r="B126" t="str">
            <v>11B222</v>
          </cell>
          <cell r="D126" t="str">
            <v>PHAÏM VAÊN GIANG</v>
          </cell>
        </row>
        <row r="127">
          <cell r="A127" t="str">
            <v>1B23</v>
          </cell>
          <cell r="B127" t="str">
            <v>11B232</v>
          </cell>
          <cell r="D127" t="str">
            <v>BUØI VAÊN TÌNH</v>
          </cell>
        </row>
        <row r="128">
          <cell r="A128" t="str">
            <v>1B24</v>
          </cell>
          <cell r="B128" t="str">
            <v>11B242</v>
          </cell>
          <cell r="D128" t="str">
            <v>ÑOAØN THÒ BAÂN</v>
          </cell>
        </row>
        <row r="129">
          <cell r="A129" t="str">
            <v>1B25</v>
          </cell>
          <cell r="B129" t="str">
            <v>11B252</v>
          </cell>
          <cell r="D129" t="str">
            <v>ÑAËNG VAÊN ÑÖÔØNG</v>
          </cell>
        </row>
        <row r="130">
          <cell r="A130" t="str">
            <v>1B26</v>
          </cell>
          <cell r="B130" t="str">
            <v>11B262</v>
          </cell>
          <cell r="D130" t="str">
            <v>CAO HÖÕU HUYNH 2</v>
          </cell>
        </row>
        <row r="131">
          <cell r="A131" t="str">
            <v>1B27</v>
          </cell>
          <cell r="B131" t="str">
            <v>11B272</v>
          </cell>
          <cell r="D131" t="str">
            <v>TRÖÔNG VAÊN MINH</v>
          </cell>
        </row>
        <row r="132">
          <cell r="A132" t="str">
            <v>1B28</v>
          </cell>
          <cell r="B132" t="str">
            <v>11B282</v>
          </cell>
          <cell r="D132" t="str">
            <v>TRAÀN NGOÏC CÖÔNG 2</v>
          </cell>
        </row>
        <row r="133">
          <cell r="A133" t="str">
            <v>1B29</v>
          </cell>
          <cell r="B133" t="str">
            <v>11B292</v>
          </cell>
          <cell r="D133" t="str">
            <v>LEÂ VAÊN HUØNG</v>
          </cell>
        </row>
        <row r="134">
          <cell r="A134" t="str">
            <v>1B30</v>
          </cell>
          <cell r="B134" t="str">
            <v>11B302</v>
          </cell>
          <cell r="D134" t="str">
            <v>VOÕ ÑÌNH BOÄ</v>
          </cell>
        </row>
        <row r="135">
          <cell r="A135" t="str">
            <v>1B31</v>
          </cell>
          <cell r="B135" t="str">
            <v>11B312</v>
          </cell>
          <cell r="D135" t="str">
            <v>VOÕ VAÊN VINH</v>
          </cell>
        </row>
        <row r="136">
          <cell r="A136" t="str">
            <v>1B32</v>
          </cell>
          <cell r="B136" t="str">
            <v>11B322</v>
          </cell>
          <cell r="D136" t="str">
            <v>NGUYEÃN VAÊN THANH</v>
          </cell>
        </row>
        <row r="137">
          <cell r="A137" t="str">
            <v>1B33</v>
          </cell>
          <cell r="B137" t="str">
            <v>11B332</v>
          </cell>
          <cell r="D137" t="str">
            <v>NGUYEÃN MAÏNH HUØNG</v>
          </cell>
        </row>
        <row r="138">
          <cell r="A138" t="str">
            <v>1B34</v>
          </cell>
          <cell r="B138" t="str">
            <v>11B342</v>
          </cell>
          <cell r="D138" t="str">
            <v>NGUYEÃN HUY TRÖÔÛNG</v>
          </cell>
        </row>
        <row r="139">
          <cell r="A139" t="str">
            <v>1B35</v>
          </cell>
          <cell r="B139" t="str">
            <v>11B352</v>
          </cell>
          <cell r="D139" t="str">
            <v>LEÂ VAÊN HIEÀN</v>
          </cell>
        </row>
        <row r="140">
          <cell r="A140" t="str">
            <v>1B36</v>
          </cell>
          <cell r="B140" t="str">
            <v>11B362</v>
          </cell>
          <cell r="D140" t="str">
            <v>PHAÏM THÒ NGOÏC THUYÙ</v>
          </cell>
        </row>
        <row r="141">
          <cell r="A141" t="str">
            <v>1B37</v>
          </cell>
          <cell r="B141" t="str">
            <v>11B372</v>
          </cell>
          <cell r="D141" t="str">
            <v>PHAÏM ÑAÉC THAÉNG</v>
          </cell>
        </row>
        <row r="142">
          <cell r="A142" t="str">
            <v>1B38</v>
          </cell>
          <cell r="B142" t="str">
            <v>11B382</v>
          </cell>
          <cell r="D142" t="str">
            <v>HOAØNG ÑÖÙC UYEÂN</v>
          </cell>
        </row>
        <row r="143">
          <cell r="A143" t="str">
            <v>1B39</v>
          </cell>
          <cell r="B143" t="str">
            <v>11B392</v>
          </cell>
          <cell r="D143" t="str">
            <v>PHAN VAÊN HIEÄP</v>
          </cell>
        </row>
        <row r="144">
          <cell r="A144" t="str">
            <v>1B40</v>
          </cell>
          <cell r="B144" t="str">
            <v>11B402</v>
          </cell>
          <cell r="D144" t="str">
            <v>PHAÏM VAÊN TÖ</v>
          </cell>
        </row>
        <row r="145">
          <cell r="A145" t="str">
            <v>1B41</v>
          </cell>
          <cell r="B145" t="str">
            <v>11B412</v>
          </cell>
          <cell r="D145" t="str">
            <v>KHUÙC THÒ HAØ</v>
          </cell>
        </row>
        <row r="146">
          <cell r="A146" t="str">
            <v>1B42</v>
          </cell>
          <cell r="B146" t="str">
            <v>11B422</v>
          </cell>
          <cell r="D146" t="str">
            <v>NGUYEÃN MINH DÖÔNG</v>
          </cell>
        </row>
        <row r="147">
          <cell r="A147" t="str">
            <v>1B43</v>
          </cell>
          <cell r="B147" t="str">
            <v>11B432</v>
          </cell>
          <cell r="D147" t="str">
            <v>SYØ THANH KIEÀU 2</v>
          </cell>
        </row>
        <row r="148">
          <cell r="A148" t="str">
            <v>1B44</v>
          </cell>
          <cell r="B148" t="str">
            <v>11B442</v>
          </cell>
          <cell r="D148" t="str">
            <v>TRAÀN THÒ SONG</v>
          </cell>
        </row>
        <row r="149">
          <cell r="A149" t="str">
            <v>1B45</v>
          </cell>
          <cell r="B149" t="str">
            <v>11B452</v>
          </cell>
          <cell r="D149" t="str">
            <v>NGUYEÃN TAÁN DUÕNG</v>
          </cell>
        </row>
        <row r="150">
          <cell r="A150" t="str">
            <v>1B46</v>
          </cell>
          <cell r="B150" t="str">
            <v>11B462</v>
          </cell>
          <cell r="D150" t="str">
            <v>TOÂ MINH TÒNH 2</v>
          </cell>
        </row>
        <row r="151">
          <cell r="A151" t="str">
            <v>1B47</v>
          </cell>
          <cell r="B151" t="str">
            <v>11B472</v>
          </cell>
          <cell r="D151" t="str">
            <v>NGUYEÃN THÒ HÖÔØNG</v>
          </cell>
        </row>
        <row r="152">
          <cell r="A152" t="str">
            <v>1B48</v>
          </cell>
          <cell r="B152" t="str">
            <v>11B482</v>
          </cell>
          <cell r="D152" t="str">
            <v>LEÂ VAÊN THAÙI 2</v>
          </cell>
        </row>
        <row r="153">
          <cell r="A153" t="str">
            <v>1B49</v>
          </cell>
          <cell r="B153" t="str">
            <v>11B492</v>
          </cell>
          <cell r="D153" t="str">
            <v>VO TAÊNG THOÏ</v>
          </cell>
        </row>
        <row r="154">
          <cell r="A154" t="str">
            <v>1B50</v>
          </cell>
          <cell r="B154" t="str">
            <v>11B502</v>
          </cell>
          <cell r="D154" t="str">
            <v>NGUYEÃN THÒ HOÀNG TÖÔI</v>
          </cell>
        </row>
        <row r="155">
          <cell r="A155" t="str">
            <v>1B51</v>
          </cell>
          <cell r="B155" t="str">
            <v>11B512</v>
          </cell>
          <cell r="D155" t="str">
            <v>NGUYEÃN VAÊN HOØA</v>
          </cell>
        </row>
        <row r="156">
          <cell r="A156" t="str">
            <v>1B52</v>
          </cell>
          <cell r="B156" t="str">
            <v>11B522</v>
          </cell>
          <cell r="D156" t="str">
            <v>BUØI VAÊN PHUÙ</v>
          </cell>
        </row>
        <row r="157">
          <cell r="A157" t="str">
            <v>1B53</v>
          </cell>
          <cell r="B157" t="str">
            <v>11B532</v>
          </cell>
          <cell r="D157" t="str">
            <v xml:space="preserve">MAI VAÊN REM </v>
          </cell>
        </row>
        <row r="158">
          <cell r="A158" t="str">
            <v>1B54</v>
          </cell>
          <cell r="B158" t="str">
            <v>11B542</v>
          </cell>
          <cell r="D158" t="str">
            <v>NGUYEÃN COÂNG HAÏNH 2</v>
          </cell>
        </row>
        <row r="159">
          <cell r="A159" t="str">
            <v>1B55</v>
          </cell>
          <cell r="B159" t="str">
            <v>11B552</v>
          </cell>
          <cell r="D159" t="str">
            <v>NGUYEÃN SÔN</v>
          </cell>
        </row>
        <row r="160">
          <cell r="A160" t="str">
            <v>1B56</v>
          </cell>
          <cell r="B160" t="str">
            <v>11B562</v>
          </cell>
          <cell r="D160" t="str">
            <v>PHUØNG VAÊN SÔN</v>
          </cell>
        </row>
        <row r="161">
          <cell r="A161" t="str">
            <v>1B57</v>
          </cell>
          <cell r="B161" t="str">
            <v>11B572</v>
          </cell>
          <cell r="D161" t="str">
            <v>LEÂ BÌNH</v>
          </cell>
        </row>
        <row r="162">
          <cell r="A162" t="str">
            <v>1B58</v>
          </cell>
          <cell r="B162" t="str">
            <v>11B582</v>
          </cell>
          <cell r="D162" t="str">
            <v>BUØI VÓNH TRÖÔØNG</v>
          </cell>
        </row>
        <row r="163">
          <cell r="A163" t="str">
            <v>1B59</v>
          </cell>
          <cell r="B163" t="str">
            <v>11B592</v>
          </cell>
          <cell r="D163" t="str">
            <v>HOÀ ÑÖÙC CHÍCH</v>
          </cell>
        </row>
        <row r="164">
          <cell r="A164" t="str">
            <v>1B60</v>
          </cell>
          <cell r="B164" t="str">
            <v>11B602</v>
          </cell>
          <cell r="D164" t="str">
            <v>NGUYEÃN THÒ LAN 2</v>
          </cell>
        </row>
        <row r="165">
          <cell r="A165" t="str">
            <v>1B61</v>
          </cell>
          <cell r="B165" t="str">
            <v>11B612</v>
          </cell>
          <cell r="D165" t="str">
            <v>HOÀ NGOÏC TÍN</v>
          </cell>
        </row>
        <row r="166">
          <cell r="A166" t="str">
            <v>1B62</v>
          </cell>
          <cell r="B166" t="str">
            <v>11B622</v>
          </cell>
          <cell r="D166" t="str">
            <v>TRÖÔNG THANH TUAÁN 2</v>
          </cell>
        </row>
        <row r="167">
          <cell r="A167" t="str">
            <v>1B63</v>
          </cell>
          <cell r="B167" t="str">
            <v>11B632</v>
          </cell>
          <cell r="D167" t="str">
            <v>TRÖÔNG VAÊN LAÉC 1</v>
          </cell>
        </row>
        <row r="168">
          <cell r="A168" t="str">
            <v>1B64</v>
          </cell>
          <cell r="B168" t="str">
            <v>11B642</v>
          </cell>
          <cell r="D168" t="str">
            <v>NGUYEÃN THÒ LAN 3</v>
          </cell>
        </row>
        <row r="169">
          <cell r="A169" t="str">
            <v>1B65</v>
          </cell>
          <cell r="B169" t="str">
            <v>11B652</v>
          </cell>
          <cell r="D169" t="str">
            <v>NGUYEÃN NGOÏC LIEÂN</v>
          </cell>
        </row>
        <row r="170">
          <cell r="A170" t="str">
            <v>1B66</v>
          </cell>
          <cell r="B170" t="str">
            <v>11B662</v>
          </cell>
          <cell r="D170" t="str">
            <v>PHAÏM VAÊN TÖ 2</v>
          </cell>
        </row>
        <row r="171">
          <cell r="A171" t="str">
            <v>1B67</v>
          </cell>
          <cell r="B171" t="str">
            <v>11B672</v>
          </cell>
          <cell r="D171" t="str">
            <v>NGUYEÃN VAÊN DÖÏ</v>
          </cell>
        </row>
        <row r="172">
          <cell r="A172" t="str">
            <v>1B68</v>
          </cell>
          <cell r="B172" t="str">
            <v>11B682</v>
          </cell>
          <cell r="D172" t="str">
            <v>LEÂ VAÊN TUÙ</v>
          </cell>
        </row>
        <row r="173">
          <cell r="A173" t="str">
            <v>1B69</v>
          </cell>
          <cell r="B173" t="str">
            <v>11B692</v>
          </cell>
          <cell r="D173" t="str">
            <v>NGUYEÃN THÒ HIEÀN</v>
          </cell>
        </row>
        <row r="174">
          <cell r="A174" t="str">
            <v>1B70</v>
          </cell>
          <cell r="B174" t="str">
            <v>11B702</v>
          </cell>
          <cell r="D174" t="str">
            <v>TRAÀN LEÂ THÖÙ</v>
          </cell>
        </row>
        <row r="175">
          <cell r="A175" t="str">
            <v>1B71</v>
          </cell>
          <cell r="B175" t="str">
            <v>11B712</v>
          </cell>
          <cell r="D175" t="str">
            <v>HUYØNH VAÊN MAÏNH 3</v>
          </cell>
        </row>
        <row r="176">
          <cell r="A176" t="str">
            <v>1B72</v>
          </cell>
          <cell r="B176" t="str">
            <v>11B722</v>
          </cell>
          <cell r="D176" t="str">
            <v>NGUYEÃN THÒ THAÛO</v>
          </cell>
        </row>
        <row r="177">
          <cell r="A177" t="str">
            <v>1B73</v>
          </cell>
          <cell r="B177">
            <v>11732</v>
          </cell>
          <cell r="D177" t="str">
            <v>VOÕ TAÁN DUÕNG</v>
          </cell>
        </row>
        <row r="178">
          <cell r="A178" t="str">
            <v>1B74</v>
          </cell>
          <cell r="B178" t="str">
            <v>11B742</v>
          </cell>
          <cell r="D178" t="str">
            <v>NGUYEÃN VÓNH PHUÙC</v>
          </cell>
        </row>
        <row r="179">
          <cell r="A179" t="str">
            <v>1B75</v>
          </cell>
        </row>
        <row r="180">
          <cell r="A180" t="str">
            <v>1B76</v>
          </cell>
          <cell r="B180" t="str">
            <v>11B762</v>
          </cell>
          <cell r="D180" t="str">
            <v>LEÂ VAÊN CÖÔØNG</v>
          </cell>
        </row>
        <row r="181">
          <cell r="A181" t="str">
            <v>1B77</v>
          </cell>
          <cell r="B181" t="str">
            <v>11B772</v>
          </cell>
          <cell r="D181" t="str">
            <v>PHAM VĂN HẢI 3</v>
          </cell>
        </row>
        <row r="183">
          <cell r="A183" t="str">
            <v>1B78</v>
          </cell>
          <cell r="D183" t="str">
            <v>TRAÀN THIEÄN</v>
          </cell>
        </row>
        <row r="184">
          <cell r="A184" t="str">
            <v>1B79</v>
          </cell>
          <cell r="B184" t="str">
            <v>11B792</v>
          </cell>
          <cell r="D184" t="str">
            <v>TRÖÔNG VAÉN LAÉC 2</v>
          </cell>
        </row>
        <row r="185">
          <cell r="A185" t="str">
            <v>1B80</v>
          </cell>
          <cell r="B185" t="str">
            <v>11B802</v>
          </cell>
          <cell r="D185" t="str">
            <v>THAÙI VAÊN HAØO</v>
          </cell>
        </row>
        <row r="186">
          <cell r="A186" t="str">
            <v>1B81</v>
          </cell>
          <cell r="B186" t="str">
            <v>11B812</v>
          </cell>
          <cell r="D186" t="str">
            <v>NGUYEÃN THÒ UÙT</v>
          </cell>
        </row>
        <row r="187">
          <cell r="A187" t="str">
            <v>1B82</v>
          </cell>
          <cell r="B187" t="str">
            <v>11B822</v>
          </cell>
          <cell r="D187" t="str">
            <v>TRAÀN VAÊN HUØNG</v>
          </cell>
        </row>
        <row r="188">
          <cell r="A188" t="str">
            <v>1B83</v>
          </cell>
          <cell r="B188" t="str">
            <v>11B832</v>
          </cell>
          <cell r="D188" t="str">
            <v>TRAÀN VAÊN CAÛM</v>
          </cell>
        </row>
        <row r="189">
          <cell r="A189" t="str">
            <v>1B84</v>
          </cell>
          <cell r="B189" t="str">
            <v>11B842</v>
          </cell>
          <cell r="D189" t="str">
            <v>LEÂ HÖÕU PHÖÔÙC 2</v>
          </cell>
        </row>
        <row r="190">
          <cell r="A190" t="str">
            <v>1B85</v>
          </cell>
          <cell r="B190" t="str">
            <v>11B852</v>
          </cell>
          <cell r="D190" t="str">
            <v>NGUYEÃN THÒ THUYÙ</v>
          </cell>
        </row>
        <row r="191">
          <cell r="A191" t="str">
            <v>1B86</v>
          </cell>
          <cell r="B191" t="str">
            <v>11B862</v>
          </cell>
          <cell r="D191" t="str">
            <v>TRAÀN TUAÁN HUØNG 2</v>
          </cell>
        </row>
        <row r="192">
          <cell r="A192" t="str">
            <v>1B87</v>
          </cell>
          <cell r="B192" t="str">
            <v>11B872</v>
          </cell>
          <cell r="D192" t="str">
            <v>NGUYEÃN THÒ THAÛO 2</v>
          </cell>
        </row>
        <row r="193">
          <cell r="A193" t="str">
            <v>1B88</v>
          </cell>
          <cell r="B193" t="str">
            <v>11B882</v>
          </cell>
          <cell r="D193" t="str">
            <v>LEÂ TRUNG KHANH</v>
          </cell>
        </row>
        <row r="194">
          <cell r="A194" t="str">
            <v>1B89</v>
          </cell>
          <cell r="B194" t="str">
            <v>11B892</v>
          </cell>
          <cell r="D194" t="str">
            <v>LEÂ QUANG HUØNG2</v>
          </cell>
        </row>
        <row r="195">
          <cell r="A195" t="str">
            <v>1B90</v>
          </cell>
          <cell r="B195" t="str">
            <v>11B902</v>
          </cell>
          <cell r="D195" t="str">
            <v>NGUYEÃN THÒ THUAÄN</v>
          </cell>
        </row>
        <row r="196">
          <cell r="A196" t="str">
            <v>8A00</v>
          </cell>
          <cell r="B196" t="str">
            <v>18A002</v>
          </cell>
          <cell r="D196" t="str">
            <v>NGUYEÃN KIM NGOÏC</v>
          </cell>
        </row>
        <row r="197">
          <cell r="A197" t="str">
            <v>8A01</v>
          </cell>
          <cell r="B197" t="str">
            <v>18A012</v>
          </cell>
          <cell r="D197" t="str">
            <v>LEÂ THANH HUYEÄN</v>
          </cell>
        </row>
        <row r="198">
          <cell r="A198" t="str">
            <v>8A02</v>
          </cell>
          <cell r="B198" t="str">
            <v>18A022</v>
          </cell>
          <cell r="D198" t="str">
            <v>LA CHOÏN</v>
          </cell>
        </row>
        <row r="199">
          <cell r="A199" t="str">
            <v>8A03</v>
          </cell>
          <cell r="B199" t="str">
            <v>18A032</v>
          </cell>
          <cell r="D199" t="str">
            <v>VUÕ DUY THIEÁT</v>
          </cell>
        </row>
        <row r="200">
          <cell r="A200" t="str">
            <v>8A04</v>
          </cell>
          <cell r="B200" t="str">
            <v>18A042</v>
          </cell>
          <cell r="D200" t="str">
            <v>VUÕ ÑÖÙC NGHIEÄP</v>
          </cell>
        </row>
        <row r="201">
          <cell r="A201" t="str">
            <v>8A05</v>
          </cell>
          <cell r="B201" t="str">
            <v>18A052</v>
          </cell>
        </row>
        <row r="202">
          <cell r="A202" t="str">
            <v>8A06</v>
          </cell>
          <cell r="B202" t="str">
            <v>18A062</v>
          </cell>
        </row>
        <row r="203">
          <cell r="A203" t="str">
            <v>8A07</v>
          </cell>
          <cell r="B203" t="str">
            <v>18A072</v>
          </cell>
        </row>
        <row r="204">
          <cell r="A204" t="str">
            <v>8A08</v>
          </cell>
          <cell r="B204" t="str">
            <v>18A082</v>
          </cell>
          <cell r="D204" t="str">
            <v>PHAÏM NGOÏC HIEÀN</v>
          </cell>
        </row>
        <row r="205">
          <cell r="A205" t="str">
            <v>8A09</v>
          </cell>
          <cell r="B205" t="str">
            <v>18A092</v>
          </cell>
        </row>
        <row r="206">
          <cell r="A206" t="str">
            <v>8A07</v>
          </cell>
          <cell r="B206" t="str">
            <v>18A072</v>
          </cell>
        </row>
        <row r="207">
          <cell r="A207" t="str">
            <v>8A08</v>
          </cell>
          <cell r="B207" t="str">
            <v>18A082</v>
          </cell>
          <cell r="D207" t="str">
            <v>PHAÏM NGOÏC HIEÀN</v>
          </cell>
        </row>
        <row r="208">
          <cell r="A208" t="str">
            <v>8A09</v>
          </cell>
          <cell r="B208" t="str">
            <v>18A092</v>
          </cell>
        </row>
        <row r="209">
          <cell r="A209" t="str">
            <v>8A10</v>
          </cell>
          <cell r="B209" t="str">
            <v>18A102</v>
          </cell>
        </row>
        <row r="210">
          <cell r="A210" t="str">
            <v>8A11</v>
          </cell>
          <cell r="B210" t="str">
            <v>18A112</v>
          </cell>
        </row>
        <row r="211">
          <cell r="A211" t="str">
            <v>8A12</v>
          </cell>
          <cell r="B211" t="str">
            <v>18A122</v>
          </cell>
          <cell r="D211" t="str">
            <v>NGUYEÃN THÒ MINH TÖ</v>
          </cell>
        </row>
        <row r="212">
          <cell r="A212" t="str">
            <v>8A13</v>
          </cell>
          <cell r="B212" t="str">
            <v>18A132</v>
          </cell>
          <cell r="D212" t="str">
            <v>DÖÔNG QUOÁC KHAÙNH 2</v>
          </cell>
        </row>
        <row r="213">
          <cell r="A213" t="str">
            <v>8A14</v>
          </cell>
          <cell r="B213" t="str">
            <v>18A142</v>
          </cell>
          <cell r="D213" t="str">
            <v>DÖÔNG QUOÁC KHAÙNH 1</v>
          </cell>
        </row>
        <row r="214">
          <cell r="A214" t="str">
            <v>8A15</v>
          </cell>
          <cell r="B214" t="str">
            <v>18A152</v>
          </cell>
          <cell r="D214" t="str">
            <v>ÑINH VAÊN KHAÙ</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1 Lịch sử hình thành"/>
      <sheetName val="1.2 CT Sở hữu"/>
      <sheetName val="1.3 Hoạt động (SP)"/>
      <sheetName val="1.4 Pháp nhân - NM"/>
      <sheetName val="1.5 Công suất"/>
      <sheetName val="DT-GV_ theo SP"/>
      <sheetName val="DTNB_Phap nhan"/>
      <sheetName val="2.THDT nhóm SP"/>
      <sheetName val="Sinh học"/>
      <sheetName val="TH"/>
      <sheetName val="Sheet1"/>
      <sheetName val="Note"/>
      <sheetName val="BTĐC"/>
      <sheetName val="I.BC_phap nhan"/>
      <sheetName val="BC cộng gộp"/>
      <sheetName val="TLDP VietAvis"/>
      <sheetName val="2.1.BC_phap nhan (ty)"/>
      <sheetName val="Thuế"/>
      <sheetName val="Bổ sung"/>
      <sheetName val="DTNB"/>
      <sheetName val="2.2.BC_nam (sau điều chỉnh)"/>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3">
          <cell r="B3" t="str">
            <v>TS 2020</v>
          </cell>
          <cell r="C3" t="str">
            <v>NV 2020</v>
          </cell>
          <cell r="D3" t="str">
            <v>TS 2021</v>
          </cell>
          <cell r="E3" t="str">
            <v>NV 2021</v>
          </cell>
          <cell r="F3" t="str">
            <v>TS 2022</v>
          </cell>
          <cell r="G3" t="str">
            <v>NV 2022</v>
          </cell>
        </row>
        <row r="4">
          <cell r="A4" t="str">
            <v>TSDH</v>
          </cell>
          <cell r="B4">
            <v>619.29354402400008</v>
          </cell>
          <cell r="D4">
            <v>631.479197752</v>
          </cell>
          <cell r="E4">
            <v>0</v>
          </cell>
          <cell r="F4">
            <v>611.88615833699998</v>
          </cell>
          <cell r="G4">
            <v>0</v>
          </cell>
        </row>
        <row r="5">
          <cell r="A5" t="str">
            <v>TSNH</v>
          </cell>
          <cell r="B5">
            <v>335.0940621690001</v>
          </cell>
          <cell r="D5">
            <v>442.63831491800011</v>
          </cell>
          <cell r="E5">
            <v>0</v>
          </cell>
          <cell r="F5">
            <v>505.34156326799996</v>
          </cell>
          <cell r="G5">
            <v>0</v>
          </cell>
        </row>
        <row r="6">
          <cell r="A6" t="str">
            <v>VCSH</v>
          </cell>
          <cell r="B6">
            <v>0</v>
          </cell>
          <cell r="C6">
            <v>169.88030892199998</v>
          </cell>
          <cell r="E6">
            <v>167.79593017599998</v>
          </cell>
          <cell r="F6">
            <v>0</v>
          </cell>
          <cell r="G6">
            <v>185.412672345</v>
          </cell>
        </row>
        <row r="7">
          <cell r="A7" t="str">
            <v>NDH</v>
          </cell>
          <cell r="B7">
            <v>0</v>
          </cell>
          <cell r="C7">
            <v>309.41643493399999</v>
          </cell>
          <cell r="E7">
            <v>262.81682619999998</v>
          </cell>
          <cell r="F7">
            <v>0</v>
          </cell>
          <cell r="G7">
            <v>226.74408791100001</v>
          </cell>
        </row>
        <row r="8">
          <cell r="A8" t="str">
            <v>NNH</v>
          </cell>
          <cell r="B8">
            <v>0</v>
          </cell>
          <cell r="C8">
            <v>475.09086233699998</v>
          </cell>
          <cell r="E8">
            <v>643.50475629399989</v>
          </cell>
          <cell r="F8">
            <v>0</v>
          </cell>
          <cell r="G8">
            <v>705.07096134900007</v>
          </cell>
        </row>
        <row r="10">
          <cell r="A10" t="str">
            <v>TSDH</v>
          </cell>
          <cell r="B10">
            <v>0.64889101661150861</v>
          </cell>
          <cell r="C10">
            <v>0</v>
          </cell>
          <cell r="D10">
            <v>0.58790513170415903</v>
          </cell>
          <cell r="E10">
            <v>0</v>
          </cell>
          <cell r="F10">
            <v>0.5476825776019677</v>
          </cell>
          <cell r="G10">
            <v>0</v>
          </cell>
        </row>
        <row r="11">
          <cell r="A11" t="str">
            <v>TSNH</v>
          </cell>
          <cell r="B11">
            <v>0.35110898338849128</v>
          </cell>
          <cell r="C11">
            <v>0</v>
          </cell>
          <cell r="D11">
            <v>0.41209486829584113</v>
          </cell>
          <cell r="E11">
            <v>0</v>
          </cell>
          <cell r="F11">
            <v>0.45231742239803224</v>
          </cell>
          <cell r="G11">
            <v>0</v>
          </cell>
        </row>
        <row r="12">
          <cell r="A12" t="str">
            <v>VCSH</v>
          </cell>
          <cell r="B12">
            <v>0</v>
          </cell>
          <cell r="C12">
            <v>0.17799928228284864</v>
          </cell>
          <cell r="D12">
            <v>0</v>
          </cell>
          <cell r="E12">
            <v>0.15621747918335241</v>
          </cell>
          <cell r="F12">
            <v>0</v>
          </cell>
          <cell r="G12">
            <v>0.16595781572501414</v>
          </cell>
        </row>
        <row r="13">
          <cell r="A13" t="str">
            <v>NDH</v>
          </cell>
          <cell r="B13">
            <v>0</v>
          </cell>
          <cell r="C13">
            <v>0.3242041628853975</v>
          </cell>
          <cell r="D13">
            <v>0</v>
          </cell>
          <cell r="E13">
            <v>0.24468163222355441</v>
          </cell>
          <cell r="F13">
            <v>0</v>
          </cell>
          <cell r="G13">
            <v>0.20295243621887696</v>
          </cell>
        </row>
        <row r="14">
          <cell r="A14" t="str">
            <v>NNH</v>
          </cell>
          <cell r="B14">
            <v>0</v>
          </cell>
          <cell r="C14">
            <v>0.49779655483175378</v>
          </cell>
          <cell r="D14">
            <v>0</v>
          </cell>
          <cell r="E14">
            <v>0.59910088859309307</v>
          </cell>
          <cell r="F14">
            <v>0</v>
          </cell>
          <cell r="G14">
            <v>0.63108974805610885</v>
          </cell>
        </row>
      </sheetData>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T-SP"/>
      <sheetName val="DTNB"/>
      <sheetName val="Sinh học"/>
      <sheetName val="DT SP"/>
      <sheetName val="THDT nhóm SP"/>
      <sheetName val="TH (2)"/>
      <sheetName val="1.PL (VND) "/>
      <sheetName val="1.BS (VND)"/>
      <sheetName val="BTDC- Soat xet"/>
      <sheetName val="1.BC PN"/>
      <sheetName val="1.BC nam (tỷ)"/>
      <sheetName val="TLDP VietAvis"/>
      <sheetName val="1.BC_(ty)"/>
      <sheetName val="Thuế"/>
      <sheetName val="BT_DC "/>
      <sheetName val="ĐC_BC "/>
      <sheetName val="DL quá khứ"/>
      <sheetName val="LTTM"/>
      <sheetName val="MENU"/>
      <sheetName val="WACC"/>
      <sheetName val="INPUT"/>
      <sheetName val="CP khấu hao"/>
      <sheetName val="Vay"/>
      <sheetName val="Dự án - Vốn"/>
      <sheetName val="NB  "/>
      <sheetName val="CS  "/>
      <sheetName val="TY LE SP N"/>
      <sheetName val="Giá gà thịt miền Bắc"/>
      <sheetName val="KHTC"/>
      <sheetName val="SL- GIA"/>
      <sheetName val="DT CHI TIET"/>
      <sheetName val="CHI PHI"/>
      <sheetName val="DMCP"/>
      <sheetName val="BT NB"/>
      <sheetName val="NSPG_Tỷ suất LNG (2)"/>
      <sheetName val="DM CAM"/>
      <sheetName val="TX_Data (2)"/>
      <sheetName val="Giong_Data (2)"/>
      <sheetName val="GT cam"/>
      <sheetName val="Mua VietAvis"/>
      <sheetName val="PL CHI TIET"/>
      <sheetName val="PL-KH"/>
      <sheetName val="BS-KH"/>
      <sheetName val="ĐC-CF"/>
      <sheetName val="CF_KH"/>
      <sheetName val="DL-Biểu đồ"/>
      <sheetName val="Biểu đồ-PL"/>
      <sheetName val="Biểu đồ - BS"/>
      <sheetName val="Biểu đồ - HQ"/>
      <sheetName val="TH"/>
      <sheetName val="4. Mua Viet Avis (2)"/>
      <sheetName val="Định giá"/>
      <sheetName val="DATA"/>
      <sheetName val="CF-FCFE"/>
      <sheetName val="CF-FCFF"/>
      <sheetName val="DS CTy"/>
      <sheetName val="DG-Thông tin DNSS "/>
      <sheetName val="Chi tieu đánh giá tương đồng"/>
      <sheetName val="Định giá Doanh nghiệp "/>
      <sheetName val="ĐG 10 nam"/>
      <sheetName val="Xếp hạng"/>
      <sheetName val="Chỉ số"/>
      <sheetName val="TH_CP"/>
      <sheetName val="NSPG_Tập hợp CP"/>
      <sheetName val="NSPG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112">
          <cell r="Q112">
            <v>268.424708377</v>
          </cell>
        </row>
      </sheetData>
      <sheetData sheetId="10" refreshError="1"/>
      <sheetData sheetId="11" refreshError="1"/>
      <sheetData sheetId="12" refreshError="1"/>
      <sheetData sheetId="13" refreshError="1"/>
      <sheetData sheetId="14" refreshError="1"/>
      <sheetData sheetId="15">
        <row r="7">
          <cell r="N7">
            <v>91.749834344999996</v>
          </cell>
        </row>
      </sheetData>
      <sheetData sheetId="16" refreshError="1"/>
      <sheetData sheetId="17" refreshError="1"/>
      <sheetData sheetId="18" refreshError="1"/>
      <sheetData sheetId="19" refreshError="1"/>
      <sheetData sheetId="20">
        <row r="17">
          <cell r="D17">
            <v>20</v>
          </cell>
        </row>
        <row r="19">
          <cell r="D19">
            <v>0.11</v>
          </cell>
        </row>
        <row r="46">
          <cell r="D46">
            <v>0</v>
          </cell>
        </row>
      </sheetData>
      <sheetData sheetId="21" refreshError="1"/>
      <sheetData sheetId="22"/>
      <sheetData sheetId="23" refreshError="1"/>
      <sheetData sheetId="24">
        <row r="28">
          <cell r="I28">
            <v>6000000</v>
          </cell>
        </row>
      </sheetData>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ow r="8">
          <cell r="D8">
            <v>1048.9604481726017</v>
          </cell>
        </row>
      </sheetData>
      <sheetData sheetId="41">
        <row r="6">
          <cell r="E6">
            <v>1108.8456308490004</v>
          </cell>
        </row>
      </sheetData>
      <sheetData sheetId="42">
        <row r="6">
          <cell r="H6">
            <v>379.89183196145723</v>
          </cell>
        </row>
      </sheetData>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 trận Định giá"/>
      <sheetName val="Tổng kết"/>
      <sheetName val="cAPEX"/>
      <sheetName val="PL1. Input"/>
      <sheetName val="PL2. Kịch bản SX"/>
      <sheetName val="PL3. Kịch bản giá"/>
      <sheetName val="Sheet1"/>
      <sheetName val="TK2"/>
      <sheetName val="PL4. Doanh thu"/>
      <sheetName val="PL5. CP-NL"/>
      <sheetName val="PL6. CP-Tienich"/>
      <sheetName val="PL7. CP-Yeutokhac"/>
      <sheetName val="PL8. CP-TC"/>
      <sheetName val="VQ VLĐ"/>
      <sheetName val="KQ.PL"/>
      <sheetName val="KQ.DCF"/>
      <sheetName val="Dự phóng DNMT"/>
      <sheetName val="KQ.BS"/>
      <sheetName val="BS trên BCTC"/>
      <sheetName val="PL trên BCTC"/>
      <sheetName val="KQ.CF"/>
      <sheetName val="BoGia"/>
      <sheetName val="Data"/>
      <sheetName val="Pivot"/>
    </sheetNames>
    <sheetDataSet>
      <sheetData sheetId="0"/>
      <sheetData sheetId="1"/>
      <sheetData sheetId="2">
        <row r="15">
          <cell r="D15">
            <v>0</v>
          </cell>
        </row>
      </sheetData>
      <sheetData sheetId="3">
        <row r="16">
          <cell r="C16">
            <v>300</v>
          </cell>
        </row>
        <row r="23">
          <cell r="C23">
            <v>2024</v>
          </cell>
        </row>
        <row r="28">
          <cell r="C28" t="str">
            <v>1 - VNĐ</v>
          </cell>
        </row>
        <row r="29">
          <cell r="D29" t="str">
            <v>(tỷ VNĐ)</v>
          </cell>
          <cell r="E29">
            <v>1000000000</v>
          </cell>
        </row>
        <row r="54">
          <cell r="F54">
            <v>0</v>
          </cell>
          <cell r="G54">
            <v>1</v>
          </cell>
        </row>
        <row r="56">
          <cell r="D56">
            <v>0</v>
          </cell>
        </row>
        <row r="57">
          <cell r="D57">
            <v>1</v>
          </cell>
        </row>
        <row r="106">
          <cell r="C106">
            <v>30</v>
          </cell>
        </row>
        <row r="120">
          <cell r="E120" t="str">
            <v>1 - VNĐ</v>
          </cell>
        </row>
      </sheetData>
      <sheetData sheetId="4">
        <row r="4">
          <cell r="G4">
            <v>2024</v>
          </cell>
          <cell r="H4">
            <v>2025</v>
          </cell>
          <cell r="I4">
            <v>2026</v>
          </cell>
          <cell r="J4">
            <v>2027</v>
          </cell>
          <cell r="K4">
            <v>2028</v>
          </cell>
          <cell r="L4">
            <v>2029</v>
          </cell>
          <cell r="M4">
            <v>2030</v>
          </cell>
          <cell r="N4">
            <v>2031</v>
          </cell>
          <cell r="O4">
            <v>2032</v>
          </cell>
          <cell r="P4">
            <v>2033</v>
          </cell>
        </row>
        <row r="19">
          <cell r="C19" t="str">
            <v/>
          </cell>
        </row>
      </sheetData>
      <sheetData sheetId="5">
        <row r="7">
          <cell r="F7">
            <v>24206</v>
          </cell>
        </row>
      </sheetData>
      <sheetData sheetId="6"/>
      <sheetData sheetId="7"/>
      <sheetData sheetId="8">
        <row r="9">
          <cell r="B9" t="str">
            <v>NPK 18-8-18</v>
          </cell>
        </row>
        <row r="19">
          <cell r="D19">
            <v>84789.104399999982</v>
          </cell>
          <cell r="E19">
            <v>160797.98170799998</v>
          </cell>
          <cell r="F19">
            <v>275305.66440976737</v>
          </cell>
          <cell r="G19">
            <v>289535.979258398</v>
          </cell>
          <cell r="H19">
            <v>292179.06364561984</v>
          </cell>
          <cell r="I19">
            <v>294582.97765030136</v>
          </cell>
          <cell r="J19">
            <v>293648.3433250456</v>
          </cell>
          <cell r="K19">
            <v>296276.82944035402</v>
          </cell>
          <cell r="L19">
            <v>298159.64644632785</v>
          </cell>
          <cell r="M19">
            <v>301846.75976932666</v>
          </cell>
        </row>
        <row r="33">
          <cell r="D33">
            <v>70073.64</v>
          </cell>
          <cell r="E33">
            <v>145052.43479999999</v>
          </cell>
          <cell r="F33">
            <v>252699.73199815489</v>
          </cell>
          <cell r="G33">
            <v>283142.91155207483</v>
          </cell>
          <cell r="H33">
            <v>290610.80584426079</v>
          </cell>
          <cell r="I33">
            <v>293893.5924608233</v>
          </cell>
          <cell r="J33">
            <v>293690.90722464339</v>
          </cell>
          <cell r="K33">
            <v>295828.03302275133</v>
          </cell>
          <cell r="L33">
            <v>297754.98626537656</v>
          </cell>
          <cell r="M33">
            <v>301136.61726037669</v>
          </cell>
        </row>
        <row r="46">
          <cell r="D46">
            <v>14715.464399999999</v>
          </cell>
          <cell r="E46">
            <v>30461.011307999994</v>
          </cell>
          <cell r="F46">
            <v>53066.943719612522</v>
          </cell>
          <cell r="G46">
            <v>59460.011425935707</v>
          </cell>
          <cell r="H46">
            <v>61028.269227294761</v>
          </cell>
          <cell r="I46">
            <v>61717.654416772886</v>
          </cell>
          <cell r="J46">
            <v>61675.090517175107</v>
          </cell>
          <cell r="K46">
            <v>62123.886934777773</v>
          </cell>
          <cell r="L46">
            <v>62528.547115729074</v>
          </cell>
          <cell r="M46">
            <v>63238.6896246791</v>
          </cell>
        </row>
      </sheetData>
      <sheetData sheetId="9"/>
      <sheetData sheetId="10"/>
      <sheetData sheetId="11"/>
      <sheetData sheetId="12"/>
      <sheetData sheetId="13">
        <row r="9">
          <cell r="E9">
            <v>2.8161107644317886</v>
          </cell>
        </row>
      </sheetData>
      <sheetData sheetId="14"/>
      <sheetData sheetId="15"/>
      <sheetData sheetId="16">
        <row r="70">
          <cell r="G70">
            <v>35.93045446</v>
          </cell>
        </row>
      </sheetData>
      <sheetData sheetId="17"/>
      <sheetData sheetId="18">
        <row r="2">
          <cell r="B2">
            <v>115581487945</v>
          </cell>
        </row>
      </sheetData>
      <sheetData sheetId="19">
        <row r="3">
          <cell r="G3">
            <v>1492.9815978019999</v>
          </cell>
        </row>
      </sheetData>
      <sheetData sheetId="20">
        <row r="33">
          <cell r="I33">
            <v>35.787722110999951</v>
          </cell>
        </row>
      </sheetData>
      <sheetData sheetId="21">
        <row r="117">
          <cell r="A117" t="str">
            <v>Năm</v>
          </cell>
        </row>
        <row r="150">
          <cell r="A150" t="str">
            <v>Năm</v>
          </cell>
          <cell r="F150">
            <v>2023</v>
          </cell>
          <cell r="G150">
            <v>2024</v>
          </cell>
          <cell r="H150">
            <v>2025</v>
          </cell>
          <cell r="I150">
            <v>2026</v>
          </cell>
          <cell r="J150">
            <v>2027</v>
          </cell>
          <cell r="K150">
            <v>2028</v>
          </cell>
          <cell r="L150">
            <v>2029</v>
          </cell>
          <cell r="M150">
            <v>2030</v>
          </cell>
          <cell r="N150">
            <v>2031</v>
          </cell>
          <cell r="O150">
            <v>2032</v>
          </cell>
          <cell r="P150">
            <v>2033</v>
          </cell>
          <cell r="Q150">
            <v>2034</v>
          </cell>
          <cell r="R150">
            <v>2035</v>
          </cell>
          <cell r="S150">
            <v>2036</v>
          </cell>
          <cell r="T150">
            <v>2037</v>
          </cell>
          <cell r="U150">
            <v>2038</v>
          </cell>
          <cell r="V150">
            <v>2039</v>
          </cell>
          <cell r="W150">
            <v>2040</v>
          </cell>
          <cell r="X150">
            <v>2041</v>
          </cell>
          <cell r="Y150">
            <v>2042</v>
          </cell>
          <cell r="Z150">
            <v>2043</v>
          </cell>
          <cell r="AA150">
            <v>2044</v>
          </cell>
          <cell r="AB150">
            <v>2045</v>
          </cell>
          <cell r="AC150">
            <v>2046</v>
          </cell>
          <cell r="AD150">
            <v>2047</v>
          </cell>
          <cell r="AE150">
            <v>2048</v>
          </cell>
          <cell r="AF150">
            <v>2049</v>
          </cell>
          <cell r="AG150">
            <v>2050</v>
          </cell>
          <cell r="AH150">
            <v>2051</v>
          </cell>
          <cell r="AI150">
            <v>2052</v>
          </cell>
          <cell r="AJ150">
            <v>2053</v>
          </cell>
          <cell r="AK150">
            <v>2054</v>
          </cell>
          <cell r="AL150">
            <v>2055</v>
          </cell>
          <cell r="AM150">
            <v>2056</v>
          </cell>
          <cell r="AN150">
            <v>2057</v>
          </cell>
          <cell r="AO150">
            <v>2058</v>
          </cell>
        </row>
        <row r="151">
          <cell r="A151" t="str">
            <v>Mã sản phẩm</v>
          </cell>
          <cell r="B151" t="str">
            <v>Quy chiếu</v>
          </cell>
        </row>
        <row r="152">
          <cell r="A152" t="str">
            <v>Giá bán trung bình</v>
          </cell>
          <cell r="B152" t="str">
            <v>Giá bán trung bình</v>
          </cell>
          <cell r="F152">
            <v>0</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row>
        <row r="153">
          <cell r="A153" t="str">
            <v>Urea</v>
          </cell>
          <cell r="B153" t="str">
            <v>Urea</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row>
        <row r="154">
          <cell r="A154" t="str">
            <v>SA</v>
          </cell>
          <cell r="B154" t="str">
            <v>SA</v>
          </cell>
          <cell r="F154">
            <v>0.1</v>
          </cell>
          <cell r="G154">
            <v>0.1</v>
          </cell>
          <cell r="H154">
            <v>0.1</v>
          </cell>
          <cell r="I154">
            <v>0.1</v>
          </cell>
          <cell r="J154">
            <v>0.1</v>
          </cell>
          <cell r="K154">
            <v>0.1</v>
          </cell>
          <cell r="L154">
            <v>0.1</v>
          </cell>
          <cell r="M154">
            <v>0.1</v>
          </cell>
          <cell r="N154">
            <v>0.1</v>
          </cell>
          <cell r="O154">
            <v>0.1</v>
          </cell>
          <cell r="P154">
            <v>0.1</v>
          </cell>
          <cell r="Q154">
            <v>0.1</v>
          </cell>
          <cell r="R154">
            <v>0.1</v>
          </cell>
          <cell r="S154">
            <v>0.1</v>
          </cell>
          <cell r="T154">
            <v>0.1</v>
          </cell>
          <cell r="U154">
            <v>0.1</v>
          </cell>
          <cell r="V154">
            <v>0.1</v>
          </cell>
          <cell r="W154">
            <v>0.1</v>
          </cell>
          <cell r="X154">
            <v>0.1</v>
          </cell>
          <cell r="Y154">
            <v>0.1</v>
          </cell>
          <cell r="Z154">
            <v>0.1</v>
          </cell>
          <cell r="AA154">
            <v>0.1</v>
          </cell>
          <cell r="AB154">
            <v>0.1</v>
          </cell>
          <cell r="AC154">
            <v>0.1</v>
          </cell>
          <cell r="AD154">
            <v>0.1</v>
          </cell>
          <cell r="AE154">
            <v>0.1</v>
          </cell>
          <cell r="AF154">
            <v>0.1</v>
          </cell>
          <cell r="AG154">
            <v>0.1</v>
          </cell>
          <cell r="AH154">
            <v>0.1</v>
          </cell>
          <cell r="AI154">
            <v>0.1</v>
          </cell>
          <cell r="AJ154">
            <v>0.1</v>
          </cell>
          <cell r="AK154">
            <v>0.1</v>
          </cell>
          <cell r="AL154">
            <v>0.1</v>
          </cell>
          <cell r="AM154">
            <v>0.1</v>
          </cell>
          <cell r="AN154">
            <v>0.1</v>
          </cell>
          <cell r="AO154">
            <v>0.1</v>
          </cell>
        </row>
        <row r="155">
          <cell r="A155" t="str">
            <v>MAP</v>
          </cell>
          <cell r="B155" t="str">
            <v>MAP</v>
          </cell>
          <cell r="F155">
            <v>0.1</v>
          </cell>
          <cell r="G155">
            <v>0.1</v>
          </cell>
          <cell r="H155">
            <v>0.1</v>
          </cell>
          <cell r="I155">
            <v>0.1</v>
          </cell>
          <cell r="J155">
            <v>0.1</v>
          </cell>
          <cell r="K155">
            <v>0.1</v>
          </cell>
          <cell r="L155">
            <v>0.1</v>
          </cell>
          <cell r="M155">
            <v>0.1</v>
          </cell>
          <cell r="N155">
            <v>0.1</v>
          </cell>
          <cell r="O155">
            <v>0.1</v>
          </cell>
          <cell r="P155">
            <v>0.1</v>
          </cell>
          <cell r="Q155">
            <v>0.1</v>
          </cell>
          <cell r="R155">
            <v>0.1</v>
          </cell>
          <cell r="S155">
            <v>0.1</v>
          </cell>
          <cell r="T155">
            <v>0.1</v>
          </cell>
          <cell r="U155">
            <v>0.1</v>
          </cell>
          <cell r="V155">
            <v>0.1</v>
          </cell>
          <cell r="W155">
            <v>0.1</v>
          </cell>
          <cell r="X155">
            <v>0.1</v>
          </cell>
          <cell r="Y155">
            <v>0.1</v>
          </cell>
          <cell r="Z155">
            <v>0.1</v>
          </cell>
          <cell r="AA155">
            <v>0.1</v>
          </cell>
          <cell r="AB155">
            <v>0.1</v>
          </cell>
          <cell r="AC155">
            <v>0.1</v>
          </cell>
          <cell r="AD155">
            <v>0.1</v>
          </cell>
          <cell r="AE155">
            <v>0.1</v>
          </cell>
          <cell r="AF155">
            <v>0.1</v>
          </cell>
          <cell r="AG155">
            <v>0.1</v>
          </cell>
          <cell r="AH155">
            <v>0.1</v>
          </cell>
          <cell r="AI155">
            <v>0.1</v>
          </cell>
          <cell r="AJ155">
            <v>0.1</v>
          </cell>
          <cell r="AK155">
            <v>0.1</v>
          </cell>
          <cell r="AL155">
            <v>0.1</v>
          </cell>
          <cell r="AM155">
            <v>0.1</v>
          </cell>
          <cell r="AN155">
            <v>0.1</v>
          </cell>
          <cell r="AO155">
            <v>0.1</v>
          </cell>
        </row>
        <row r="156">
          <cell r="A156" t="str">
            <v>MOP</v>
          </cell>
          <cell r="B156" t="str">
            <v>MOP</v>
          </cell>
          <cell r="F156">
            <v>0.1</v>
          </cell>
          <cell r="G156">
            <v>0.1</v>
          </cell>
          <cell r="H156">
            <v>0.1</v>
          </cell>
          <cell r="I156">
            <v>0.1</v>
          </cell>
          <cell r="J156">
            <v>0.1</v>
          </cell>
          <cell r="K156">
            <v>0.1</v>
          </cell>
          <cell r="L156">
            <v>0.1</v>
          </cell>
          <cell r="M156">
            <v>0.1</v>
          </cell>
          <cell r="N156">
            <v>0.1</v>
          </cell>
          <cell r="O156">
            <v>0.1</v>
          </cell>
          <cell r="P156">
            <v>0.1</v>
          </cell>
          <cell r="Q156">
            <v>0.1</v>
          </cell>
          <cell r="R156">
            <v>0.1</v>
          </cell>
          <cell r="S156">
            <v>0.1</v>
          </cell>
          <cell r="T156">
            <v>0.1</v>
          </cell>
          <cell r="U156">
            <v>0.1</v>
          </cell>
          <cell r="V156">
            <v>0.1</v>
          </cell>
          <cell r="W156">
            <v>0.1</v>
          </cell>
          <cell r="X156">
            <v>0.1</v>
          </cell>
          <cell r="Y156">
            <v>0.1</v>
          </cell>
          <cell r="Z156">
            <v>0.1</v>
          </cell>
          <cell r="AA156">
            <v>0.1</v>
          </cell>
          <cell r="AB156">
            <v>0.1</v>
          </cell>
          <cell r="AC156">
            <v>0.1</v>
          </cell>
          <cell r="AD156">
            <v>0.1</v>
          </cell>
          <cell r="AE156">
            <v>0.1</v>
          </cell>
          <cell r="AF156">
            <v>0.1</v>
          </cell>
          <cell r="AG156">
            <v>0.1</v>
          </cell>
          <cell r="AH156">
            <v>0.1</v>
          </cell>
          <cell r="AI156">
            <v>0.1</v>
          </cell>
          <cell r="AJ156">
            <v>0.1</v>
          </cell>
          <cell r="AK156">
            <v>0.1</v>
          </cell>
          <cell r="AL156">
            <v>0.1</v>
          </cell>
          <cell r="AM156">
            <v>0.1</v>
          </cell>
          <cell r="AN156">
            <v>0.1</v>
          </cell>
          <cell r="AO156">
            <v>0.1</v>
          </cell>
        </row>
        <row r="157">
          <cell r="A157" t="str">
            <v>Chống kết khối lỏng</v>
          </cell>
          <cell r="B157" t="str">
            <v>Chống kết khối lỏng</v>
          </cell>
          <cell r="F157">
            <v>0.1</v>
          </cell>
          <cell r="G157">
            <v>0.1</v>
          </cell>
          <cell r="H157">
            <v>0.1</v>
          </cell>
          <cell r="I157">
            <v>0.1</v>
          </cell>
          <cell r="J157">
            <v>0.1</v>
          </cell>
          <cell r="K157">
            <v>0.1</v>
          </cell>
          <cell r="L157">
            <v>0.1</v>
          </cell>
          <cell r="M157">
            <v>0.1</v>
          </cell>
          <cell r="N157">
            <v>0.1</v>
          </cell>
          <cell r="O157">
            <v>0.1</v>
          </cell>
          <cell r="P157">
            <v>0.1</v>
          </cell>
          <cell r="Q157">
            <v>0.1</v>
          </cell>
          <cell r="R157">
            <v>0.1</v>
          </cell>
          <cell r="S157">
            <v>0.1</v>
          </cell>
          <cell r="T157">
            <v>0.1</v>
          </cell>
          <cell r="U157">
            <v>0.1</v>
          </cell>
          <cell r="V157">
            <v>0.1</v>
          </cell>
          <cell r="W157">
            <v>0.1</v>
          </cell>
          <cell r="X157">
            <v>0.1</v>
          </cell>
          <cell r="Y157">
            <v>0.1</v>
          </cell>
          <cell r="Z157">
            <v>0.1</v>
          </cell>
          <cell r="AA157">
            <v>0.1</v>
          </cell>
          <cell r="AB157">
            <v>0.1</v>
          </cell>
          <cell r="AC157">
            <v>0.1</v>
          </cell>
          <cell r="AD157">
            <v>0.1</v>
          </cell>
          <cell r="AE157">
            <v>0.1</v>
          </cell>
          <cell r="AF157">
            <v>0.1</v>
          </cell>
          <cell r="AG157">
            <v>0.1</v>
          </cell>
          <cell r="AH157">
            <v>0.1</v>
          </cell>
          <cell r="AI157">
            <v>0.1</v>
          </cell>
          <cell r="AJ157">
            <v>0.1</v>
          </cell>
          <cell r="AK157">
            <v>0.1</v>
          </cell>
          <cell r="AL157">
            <v>0.1</v>
          </cell>
          <cell r="AM157">
            <v>0.1</v>
          </cell>
          <cell r="AN157">
            <v>0.1</v>
          </cell>
          <cell r="AO157">
            <v>0.1</v>
          </cell>
        </row>
        <row r="158">
          <cell r="A158" t="str">
            <v>Talc</v>
          </cell>
          <cell r="B158" t="str">
            <v>Talc</v>
          </cell>
          <cell r="F158">
            <v>0.1</v>
          </cell>
          <cell r="G158">
            <v>0.1</v>
          </cell>
          <cell r="H158">
            <v>0.1</v>
          </cell>
          <cell r="I158">
            <v>0.1</v>
          </cell>
          <cell r="J158">
            <v>0.1</v>
          </cell>
          <cell r="K158">
            <v>0.1</v>
          </cell>
          <cell r="L158">
            <v>0.1</v>
          </cell>
          <cell r="M158">
            <v>0.1</v>
          </cell>
          <cell r="N158">
            <v>0.1</v>
          </cell>
          <cell r="O158">
            <v>0.1</v>
          </cell>
          <cell r="P158">
            <v>0.1</v>
          </cell>
          <cell r="Q158">
            <v>0.1</v>
          </cell>
          <cell r="R158">
            <v>0.1</v>
          </cell>
          <cell r="S158">
            <v>0.1</v>
          </cell>
          <cell r="T158">
            <v>0.1</v>
          </cell>
          <cell r="U158">
            <v>0.1</v>
          </cell>
          <cell r="V158">
            <v>0.1</v>
          </cell>
          <cell r="W158">
            <v>0.1</v>
          </cell>
          <cell r="X158">
            <v>0.1</v>
          </cell>
          <cell r="Y158">
            <v>0.1</v>
          </cell>
          <cell r="Z158">
            <v>0.1</v>
          </cell>
          <cell r="AA158">
            <v>0.1</v>
          </cell>
          <cell r="AB158">
            <v>0.1</v>
          </cell>
          <cell r="AC158">
            <v>0.1</v>
          </cell>
          <cell r="AD158">
            <v>0.1</v>
          </cell>
          <cell r="AE158">
            <v>0.1</v>
          </cell>
          <cell r="AF158">
            <v>0.1</v>
          </cell>
          <cell r="AG158">
            <v>0.1</v>
          </cell>
          <cell r="AH158">
            <v>0.1</v>
          </cell>
          <cell r="AI158">
            <v>0.1</v>
          </cell>
          <cell r="AJ158">
            <v>0.1</v>
          </cell>
          <cell r="AK158">
            <v>0.1</v>
          </cell>
          <cell r="AL158">
            <v>0.1</v>
          </cell>
          <cell r="AM158">
            <v>0.1</v>
          </cell>
          <cell r="AN158">
            <v>0.1</v>
          </cell>
          <cell r="AO158">
            <v>0.1</v>
          </cell>
        </row>
        <row r="159">
          <cell r="A159" t="str">
            <v>Zn</v>
          </cell>
          <cell r="B159" t="str">
            <v>Zn</v>
          </cell>
          <cell r="F159">
            <v>0.1</v>
          </cell>
          <cell r="G159">
            <v>0.1</v>
          </cell>
          <cell r="H159">
            <v>0.1</v>
          </cell>
          <cell r="I159">
            <v>0.1</v>
          </cell>
          <cell r="J159">
            <v>0.1</v>
          </cell>
          <cell r="K159">
            <v>0.1</v>
          </cell>
          <cell r="L159">
            <v>0.1</v>
          </cell>
          <cell r="M159">
            <v>0.1</v>
          </cell>
          <cell r="N159">
            <v>0.1</v>
          </cell>
          <cell r="O159">
            <v>0.1</v>
          </cell>
          <cell r="P159">
            <v>0.1</v>
          </cell>
          <cell r="Q159">
            <v>0.1</v>
          </cell>
          <cell r="R159">
            <v>0.1</v>
          </cell>
          <cell r="S159">
            <v>0.1</v>
          </cell>
          <cell r="T159">
            <v>0.1</v>
          </cell>
          <cell r="U159">
            <v>0.1</v>
          </cell>
          <cell r="V159">
            <v>0.1</v>
          </cell>
          <cell r="W159">
            <v>0.1</v>
          </cell>
          <cell r="X159">
            <v>0.1</v>
          </cell>
          <cell r="Y159">
            <v>0.1</v>
          </cell>
          <cell r="Z159">
            <v>0.1</v>
          </cell>
          <cell r="AA159">
            <v>0.1</v>
          </cell>
          <cell r="AB159">
            <v>0.1</v>
          </cell>
          <cell r="AC159">
            <v>0.1</v>
          </cell>
          <cell r="AD159">
            <v>0.1</v>
          </cell>
          <cell r="AE159">
            <v>0.1</v>
          </cell>
          <cell r="AF159">
            <v>0.1</v>
          </cell>
          <cell r="AG159">
            <v>0.1</v>
          </cell>
          <cell r="AH159">
            <v>0.1</v>
          </cell>
          <cell r="AI159">
            <v>0.1</v>
          </cell>
          <cell r="AJ159">
            <v>0.1</v>
          </cell>
          <cell r="AK159">
            <v>0.1</v>
          </cell>
          <cell r="AL159">
            <v>0.1</v>
          </cell>
          <cell r="AM159">
            <v>0.1</v>
          </cell>
          <cell r="AN159">
            <v>0.1</v>
          </cell>
          <cell r="AO159">
            <v>0.1</v>
          </cell>
        </row>
        <row r="160">
          <cell r="A160" t="str">
            <v>B</v>
          </cell>
          <cell r="B160" t="str">
            <v>B</v>
          </cell>
          <cell r="F160">
            <v>0.1</v>
          </cell>
          <cell r="G160">
            <v>0.1</v>
          </cell>
          <cell r="H160">
            <v>0.1</v>
          </cell>
          <cell r="I160">
            <v>0.1</v>
          </cell>
          <cell r="J160">
            <v>0.1</v>
          </cell>
          <cell r="K160">
            <v>0.1</v>
          </cell>
          <cell r="L160">
            <v>0.1</v>
          </cell>
          <cell r="M160">
            <v>0.1</v>
          </cell>
          <cell r="N160">
            <v>0.1</v>
          </cell>
          <cell r="O160">
            <v>0.1</v>
          </cell>
          <cell r="P160">
            <v>0.1</v>
          </cell>
          <cell r="Q160">
            <v>0.1</v>
          </cell>
          <cell r="R160">
            <v>0.1</v>
          </cell>
          <cell r="S160">
            <v>0.1</v>
          </cell>
          <cell r="T160">
            <v>0.1</v>
          </cell>
          <cell r="U160">
            <v>0.1</v>
          </cell>
          <cell r="V160">
            <v>0.1</v>
          </cell>
          <cell r="W160">
            <v>0.1</v>
          </cell>
          <cell r="X160">
            <v>0.1</v>
          </cell>
          <cell r="Y160">
            <v>0.1</v>
          </cell>
          <cell r="Z160">
            <v>0.1</v>
          </cell>
          <cell r="AA160">
            <v>0.1</v>
          </cell>
          <cell r="AB160">
            <v>0.1</v>
          </cell>
          <cell r="AC160">
            <v>0.1</v>
          </cell>
          <cell r="AD160">
            <v>0.1</v>
          </cell>
          <cell r="AE160">
            <v>0.1</v>
          </cell>
          <cell r="AF160">
            <v>0.1</v>
          </cell>
          <cell r="AG160">
            <v>0.1</v>
          </cell>
          <cell r="AH160">
            <v>0.1</v>
          </cell>
          <cell r="AI160">
            <v>0.1</v>
          </cell>
          <cell r="AJ160">
            <v>0.1</v>
          </cell>
          <cell r="AK160">
            <v>0.1</v>
          </cell>
          <cell r="AL160">
            <v>0.1</v>
          </cell>
          <cell r="AM160">
            <v>0.1</v>
          </cell>
          <cell r="AN160">
            <v>0.1</v>
          </cell>
          <cell r="AO160">
            <v>0.1</v>
          </cell>
        </row>
        <row r="161">
          <cell r="A161" t="str">
            <v>Caolanh</v>
          </cell>
          <cell r="B161" t="str">
            <v>Caolanh</v>
          </cell>
          <cell r="F161">
            <v>0.1</v>
          </cell>
          <cell r="G161">
            <v>0.1</v>
          </cell>
          <cell r="H161">
            <v>0.1</v>
          </cell>
          <cell r="I161">
            <v>0.1</v>
          </cell>
          <cell r="J161">
            <v>0.1</v>
          </cell>
          <cell r="K161">
            <v>0.1</v>
          </cell>
          <cell r="L161">
            <v>0.1</v>
          </cell>
          <cell r="M161">
            <v>0.1</v>
          </cell>
          <cell r="N161">
            <v>0.1</v>
          </cell>
          <cell r="O161">
            <v>0.1</v>
          </cell>
          <cell r="P161">
            <v>0.1</v>
          </cell>
          <cell r="Q161">
            <v>0.1</v>
          </cell>
          <cell r="R161">
            <v>0.1</v>
          </cell>
          <cell r="S161">
            <v>0.1</v>
          </cell>
          <cell r="T161">
            <v>0.1</v>
          </cell>
          <cell r="U161">
            <v>0.1</v>
          </cell>
          <cell r="V161">
            <v>0.1</v>
          </cell>
          <cell r="W161">
            <v>0.1</v>
          </cell>
          <cell r="X161">
            <v>0.1</v>
          </cell>
          <cell r="Y161">
            <v>0.1</v>
          </cell>
          <cell r="Z161">
            <v>0.1</v>
          </cell>
          <cell r="AA161">
            <v>0.1</v>
          </cell>
          <cell r="AB161">
            <v>0.1</v>
          </cell>
          <cell r="AC161">
            <v>0.1</v>
          </cell>
          <cell r="AD161">
            <v>0.1</v>
          </cell>
          <cell r="AE161">
            <v>0.1</v>
          </cell>
          <cell r="AF161">
            <v>0.1</v>
          </cell>
          <cell r="AG161">
            <v>0.1</v>
          </cell>
          <cell r="AH161">
            <v>0.1</v>
          </cell>
          <cell r="AI161">
            <v>0.1</v>
          </cell>
          <cell r="AJ161">
            <v>0.1</v>
          </cell>
          <cell r="AK161">
            <v>0.1</v>
          </cell>
          <cell r="AL161">
            <v>0.1</v>
          </cell>
          <cell r="AM161">
            <v>0.1</v>
          </cell>
          <cell r="AN161">
            <v>0.1</v>
          </cell>
          <cell r="AO161">
            <v>0.1</v>
          </cell>
        </row>
        <row r="162">
          <cell r="A162" t="str">
            <v>Bao bì 50kg</v>
          </cell>
          <cell r="B162" t="str">
            <v>Bao bì 50kg</v>
          </cell>
          <cell r="F162">
            <v>0.1</v>
          </cell>
          <cell r="G162">
            <v>0.1</v>
          </cell>
          <cell r="H162">
            <v>0.1</v>
          </cell>
          <cell r="I162">
            <v>0.1</v>
          </cell>
          <cell r="J162">
            <v>0.1</v>
          </cell>
          <cell r="K162">
            <v>0.1</v>
          </cell>
          <cell r="L162">
            <v>0.1</v>
          </cell>
          <cell r="M162">
            <v>0.1</v>
          </cell>
          <cell r="N162">
            <v>0.1</v>
          </cell>
          <cell r="O162">
            <v>0.1</v>
          </cell>
          <cell r="P162">
            <v>0.1</v>
          </cell>
          <cell r="Q162">
            <v>0.1</v>
          </cell>
          <cell r="R162">
            <v>0.1</v>
          </cell>
          <cell r="S162">
            <v>0.1</v>
          </cell>
          <cell r="T162">
            <v>0.1</v>
          </cell>
          <cell r="U162">
            <v>0.1</v>
          </cell>
          <cell r="V162">
            <v>0.1</v>
          </cell>
          <cell r="W162">
            <v>0.1</v>
          </cell>
          <cell r="X162">
            <v>0.1</v>
          </cell>
          <cell r="Y162">
            <v>0.1</v>
          </cell>
          <cell r="Z162">
            <v>0.1</v>
          </cell>
          <cell r="AA162">
            <v>0.1</v>
          </cell>
          <cell r="AB162">
            <v>0.1</v>
          </cell>
          <cell r="AC162">
            <v>0.1</v>
          </cell>
          <cell r="AD162">
            <v>0.1</v>
          </cell>
          <cell r="AE162">
            <v>0.1</v>
          </cell>
          <cell r="AF162">
            <v>0.1</v>
          </cell>
          <cell r="AG162">
            <v>0.1</v>
          </cell>
          <cell r="AH162">
            <v>0.1</v>
          </cell>
          <cell r="AI162">
            <v>0.1</v>
          </cell>
          <cell r="AJ162">
            <v>0.1</v>
          </cell>
          <cell r="AK162">
            <v>0.1</v>
          </cell>
          <cell r="AL162">
            <v>0.1</v>
          </cell>
          <cell r="AM162">
            <v>0.1</v>
          </cell>
          <cell r="AN162">
            <v>0.1</v>
          </cell>
          <cell r="AO162">
            <v>0.1</v>
          </cell>
        </row>
        <row r="163">
          <cell r="A163" t="str">
            <v>Nước thô</v>
          </cell>
          <cell r="B163" t="str">
            <v>Nước thô</v>
          </cell>
          <cell r="F163">
            <v>0.1</v>
          </cell>
          <cell r="G163">
            <v>0.1</v>
          </cell>
          <cell r="H163">
            <v>0.1</v>
          </cell>
          <cell r="I163">
            <v>0.1</v>
          </cell>
          <cell r="J163">
            <v>0.1</v>
          </cell>
          <cell r="K163">
            <v>0.1</v>
          </cell>
          <cell r="L163">
            <v>0.1</v>
          </cell>
          <cell r="M163">
            <v>0.1</v>
          </cell>
          <cell r="N163">
            <v>0.1</v>
          </cell>
          <cell r="O163">
            <v>0.1</v>
          </cell>
          <cell r="P163">
            <v>0.1</v>
          </cell>
          <cell r="Q163">
            <v>0.1</v>
          </cell>
          <cell r="R163">
            <v>0.1</v>
          </cell>
          <cell r="S163">
            <v>0.1</v>
          </cell>
          <cell r="T163">
            <v>0.1</v>
          </cell>
          <cell r="U163">
            <v>0.1</v>
          </cell>
          <cell r="V163">
            <v>0.1</v>
          </cell>
          <cell r="W163">
            <v>0.1</v>
          </cell>
          <cell r="X163">
            <v>0.1</v>
          </cell>
          <cell r="Y163">
            <v>0.1</v>
          </cell>
          <cell r="Z163">
            <v>0.1</v>
          </cell>
          <cell r="AA163">
            <v>0.1</v>
          </cell>
          <cell r="AB163">
            <v>0.1</v>
          </cell>
          <cell r="AC163">
            <v>0.1</v>
          </cell>
          <cell r="AD163">
            <v>0.1</v>
          </cell>
          <cell r="AE163">
            <v>0.1</v>
          </cell>
          <cell r="AF163">
            <v>0.1</v>
          </cell>
          <cell r="AG163">
            <v>0.1</v>
          </cell>
          <cell r="AH163">
            <v>0.1</v>
          </cell>
          <cell r="AI163">
            <v>0.1</v>
          </cell>
          <cell r="AJ163">
            <v>0.1</v>
          </cell>
          <cell r="AK163">
            <v>0.1</v>
          </cell>
          <cell r="AL163">
            <v>0.1</v>
          </cell>
          <cell r="AM163">
            <v>0.1</v>
          </cell>
          <cell r="AN163">
            <v>0.1</v>
          </cell>
          <cell r="AO163">
            <v>0.1</v>
          </cell>
        </row>
        <row r="164">
          <cell r="A164" t="str">
            <v>Khí LPG</v>
          </cell>
          <cell r="B164" t="str">
            <v>Khí LPG</v>
          </cell>
          <cell r="F164">
            <v>0.1</v>
          </cell>
          <cell r="G164">
            <v>0.1</v>
          </cell>
          <cell r="H164">
            <v>0.1</v>
          </cell>
          <cell r="I164">
            <v>0.1</v>
          </cell>
          <cell r="J164">
            <v>0.1</v>
          </cell>
          <cell r="K164">
            <v>0.1</v>
          </cell>
          <cell r="L164">
            <v>0.1</v>
          </cell>
          <cell r="M164">
            <v>0.1</v>
          </cell>
          <cell r="N164">
            <v>0.1</v>
          </cell>
          <cell r="O164">
            <v>0.1</v>
          </cell>
          <cell r="P164">
            <v>0.1</v>
          </cell>
          <cell r="Q164">
            <v>0.1</v>
          </cell>
          <cell r="R164">
            <v>0.1</v>
          </cell>
          <cell r="S164">
            <v>0.1</v>
          </cell>
          <cell r="T164">
            <v>0.1</v>
          </cell>
          <cell r="U164">
            <v>0.1</v>
          </cell>
          <cell r="V164">
            <v>0.1</v>
          </cell>
          <cell r="W164">
            <v>0.1</v>
          </cell>
          <cell r="X164">
            <v>0.1</v>
          </cell>
          <cell r="Y164">
            <v>0.1</v>
          </cell>
          <cell r="Z164">
            <v>0.1</v>
          </cell>
          <cell r="AA164">
            <v>0.1</v>
          </cell>
          <cell r="AB164">
            <v>0.1</v>
          </cell>
          <cell r="AC164">
            <v>0.1</v>
          </cell>
          <cell r="AD164">
            <v>0.1</v>
          </cell>
          <cell r="AE164">
            <v>0.1</v>
          </cell>
          <cell r="AF164">
            <v>0.1</v>
          </cell>
          <cell r="AG164">
            <v>0.1</v>
          </cell>
          <cell r="AH164">
            <v>0.1</v>
          </cell>
          <cell r="AI164">
            <v>0.1</v>
          </cell>
          <cell r="AJ164">
            <v>0.1</v>
          </cell>
          <cell r="AK164">
            <v>0.1</v>
          </cell>
          <cell r="AL164">
            <v>0.1</v>
          </cell>
          <cell r="AM164">
            <v>0.1</v>
          </cell>
          <cell r="AN164">
            <v>0.1</v>
          </cell>
          <cell r="AO164">
            <v>0.1</v>
          </cell>
        </row>
        <row r="165">
          <cell r="A165" t="str">
            <v>Điện</v>
          </cell>
          <cell r="B165" t="str">
            <v>Điện</v>
          </cell>
          <cell r="F165">
            <v>0.1</v>
          </cell>
          <cell r="G165">
            <v>0.1</v>
          </cell>
          <cell r="H165">
            <v>0.1</v>
          </cell>
          <cell r="I165">
            <v>0.1</v>
          </cell>
          <cell r="J165">
            <v>0.1</v>
          </cell>
          <cell r="K165">
            <v>0.1</v>
          </cell>
          <cell r="L165">
            <v>0.1</v>
          </cell>
          <cell r="M165">
            <v>0.1</v>
          </cell>
          <cell r="N165">
            <v>0.1</v>
          </cell>
          <cell r="O165">
            <v>0.1</v>
          </cell>
          <cell r="P165">
            <v>0.1</v>
          </cell>
          <cell r="Q165">
            <v>0.1</v>
          </cell>
          <cell r="R165">
            <v>0.1</v>
          </cell>
          <cell r="S165">
            <v>0.1</v>
          </cell>
          <cell r="T165">
            <v>0.1</v>
          </cell>
          <cell r="U165">
            <v>0.1</v>
          </cell>
          <cell r="V165">
            <v>0.1</v>
          </cell>
          <cell r="W165">
            <v>0.1</v>
          </cell>
          <cell r="X165">
            <v>0.1</v>
          </cell>
          <cell r="Y165">
            <v>0.1</v>
          </cell>
          <cell r="Z165">
            <v>0.1</v>
          </cell>
          <cell r="AA165">
            <v>0.1</v>
          </cell>
          <cell r="AB165">
            <v>0.1</v>
          </cell>
          <cell r="AC165">
            <v>0.1</v>
          </cell>
          <cell r="AD165">
            <v>0.1</v>
          </cell>
          <cell r="AE165">
            <v>0.1</v>
          </cell>
          <cell r="AF165">
            <v>0.1</v>
          </cell>
          <cell r="AG165">
            <v>0.1</v>
          </cell>
          <cell r="AH165">
            <v>0.1</v>
          </cell>
          <cell r="AI165">
            <v>0.1</v>
          </cell>
          <cell r="AJ165">
            <v>0.1</v>
          </cell>
          <cell r="AK165">
            <v>0.1</v>
          </cell>
          <cell r="AL165">
            <v>0.1</v>
          </cell>
          <cell r="AM165">
            <v>0.1</v>
          </cell>
          <cell r="AN165">
            <v>0.1</v>
          </cell>
          <cell r="AO165">
            <v>0.1</v>
          </cell>
        </row>
        <row r="166">
          <cell r="A166" t="str">
            <v>Hơi LMS</v>
          </cell>
          <cell r="B166" t="str">
            <v>Hơi LMS</v>
          </cell>
          <cell r="F166">
            <v>0.1</v>
          </cell>
          <cell r="G166">
            <v>0.1</v>
          </cell>
          <cell r="H166">
            <v>0.1</v>
          </cell>
          <cell r="I166">
            <v>0.1</v>
          </cell>
          <cell r="J166">
            <v>0.1</v>
          </cell>
          <cell r="K166">
            <v>0.1</v>
          </cell>
          <cell r="L166">
            <v>0.1</v>
          </cell>
          <cell r="M166">
            <v>0.1</v>
          </cell>
          <cell r="N166">
            <v>0.1</v>
          </cell>
          <cell r="O166">
            <v>0.1</v>
          </cell>
          <cell r="P166">
            <v>0.1</v>
          </cell>
          <cell r="Q166">
            <v>0.1</v>
          </cell>
          <cell r="R166">
            <v>0.1</v>
          </cell>
          <cell r="S166">
            <v>0.1</v>
          </cell>
          <cell r="T166">
            <v>0.1</v>
          </cell>
          <cell r="U166">
            <v>0.1</v>
          </cell>
          <cell r="V166">
            <v>0.1</v>
          </cell>
          <cell r="W166">
            <v>0.1</v>
          </cell>
          <cell r="X166">
            <v>0.1</v>
          </cell>
          <cell r="Y166">
            <v>0.1</v>
          </cell>
          <cell r="Z166">
            <v>0.1</v>
          </cell>
          <cell r="AA166">
            <v>0.1</v>
          </cell>
          <cell r="AB166">
            <v>0.1</v>
          </cell>
          <cell r="AC166">
            <v>0.1</v>
          </cell>
          <cell r="AD166">
            <v>0.1</v>
          </cell>
          <cell r="AE166">
            <v>0.1</v>
          </cell>
          <cell r="AF166">
            <v>0.1</v>
          </cell>
          <cell r="AG166">
            <v>0.1</v>
          </cell>
          <cell r="AH166">
            <v>0.1</v>
          </cell>
          <cell r="AI166">
            <v>0.1</v>
          </cell>
          <cell r="AJ166">
            <v>0.1</v>
          </cell>
          <cell r="AK166">
            <v>0.1</v>
          </cell>
          <cell r="AL166">
            <v>0.1</v>
          </cell>
          <cell r="AM166">
            <v>0.1</v>
          </cell>
          <cell r="AN166">
            <v>0.1</v>
          </cell>
          <cell r="AO166">
            <v>0.1</v>
          </cell>
        </row>
        <row r="167">
          <cell r="A167" t="str">
            <v>Thuê cảng</v>
          </cell>
          <cell r="B167" t="str">
            <v>Thuê cảng</v>
          </cell>
          <cell r="F167">
            <v>0.1</v>
          </cell>
          <cell r="G167">
            <v>0.1</v>
          </cell>
          <cell r="H167">
            <v>0.1</v>
          </cell>
          <cell r="I167">
            <v>0.1</v>
          </cell>
          <cell r="J167">
            <v>0.1</v>
          </cell>
          <cell r="K167">
            <v>0.1</v>
          </cell>
          <cell r="L167">
            <v>0.1</v>
          </cell>
          <cell r="M167">
            <v>0.1</v>
          </cell>
          <cell r="N167">
            <v>0.1</v>
          </cell>
          <cell r="O167">
            <v>0.1</v>
          </cell>
          <cell r="P167">
            <v>0.1</v>
          </cell>
          <cell r="Q167">
            <v>0.1</v>
          </cell>
          <cell r="R167">
            <v>0.1</v>
          </cell>
          <cell r="S167">
            <v>0.1</v>
          </cell>
          <cell r="T167">
            <v>0.1</v>
          </cell>
          <cell r="U167">
            <v>0.1</v>
          </cell>
          <cell r="V167">
            <v>0.1</v>
          </cell>
          <cell r="W167">
            <v>0.1</v>
          </cell>
          <cell r="X167">
            <v>0.1</v>
          </cell>
          <cell r="Y167">
            <v>0.1</v>
          </cell>
          <cell r="Z167">
            <v>0.1</v>
          </cell>
          <cell r="AA167">
            <v>0.1</v>
          </cell>
          <cell r="AB167">
            <v>0.1</v>
          </cell>
          <cell r="AC167">
            <v>0.1</v>
          </cell>
          <cell r="AD167">
            <v>0.1</v>
          </cell>
          <cell r="AE167">
            <v>0.1</v>
          </cell>
          <cell r="AF167">
            <v>0.1</v>
          </cell>
          <cell r="AG167">
            <v>0.1</v>
          </cell>
          <cell r="AH167">
            <v>0.1</v>
          </cell>
          <cell r="AI167">
            <v>0.1</v>
          </cell>
          <cell r="AJ167">
            <v>0.1</v>
          </cell>
          <cell r="AK167">
            <v>0.1</v>
          </cell>
          <cell r="AL167">
            <v>0.1</v>
          </cell>
          <cell r="AM167">
            <v>0.1</v>
          </cell>
          <cell r="AN167">
            <v>0.1</v>
          </cell>
          <cell r="AO167">
            <v>0.1</v>
          </cell>
        </row>
      </sheetData>
      <sheetData sheetId="22"/>
      <sheetData sheetId="23"/>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hấu hao t10"/>
      <sheetName val="KH t11"/>
      <sheetName val="NGuyệt"/>
      <sheetName val="Dung"/>
      <sheetName val="NGọc"/>
      <sheetName val="Đến hết T2.2021"/>
      <sheetName val="T3.2021"/>
      <sheetName val="T4.2021"/>
      <sheetName val="T1.2021"/>
      <sheetName val="T2.2021"/>
      <sheetName val="T3.2021."/>
      <sheetName val="T4.2021."/>
      <sheetName val="T5.2021"/>
      <sheetName val="T6.21"/>
      <sheetName val="T7.21"/>
      <sheetName val="T8.21"/>
      <sheetName val="T9.21"/>
      <sheetName val="T10.21"/>
      <sheetName val="T11.21"/>
      <sheetName val="T12.21"/>
      <sheetName val="T1.22"/>
      <sheetName val="T2.22"/>
      <sheetName val="T3.22"/>
      <sheetName val="T4.22"/>
      <sheetName val="T5.22"/>
      <sheetName val="T6.22"/>
      <sheetName val="T7.22"/>
      <sheetName val="T8.22"/>
      <sheetName val="T9.22"/>
      <sheetName val="T10.22"/>
      <sheetName val="T11.22"/>
      <sheetName val="T12.22"/>
      <sheetName val="T1.23"/>
      <sheetName val="T2.23"/>
      <sheetName val="T3.23"/>
      <sheetName val="T4.23"/>
      <sheetName val="T5.23"/>
      <sheetName val="T6.23"/>
      <sheetName val="T7.23"/>
      <sheetName val="T8.23"/>
      <sheetName val="T9.23"/>
      <sheetName val="T10.23"/>
      <sheetName val="T11.23"/>
      <sheetName val="T12.23"/>
      <sheetName val="Sheet3"/>
      <sheetName val="T8.23sếp thương"/>
      <sheetName val="Sheet5"/>
      <sheetName val="Từ tháng 1-6"/>
      <sheetName val="Sheet4"/>
      <sheetName val="TSCĐ năm 2023"/>
      <sheetName val="30,9"/>
      <sheetName val="T12,21 (2)"/>
    </sheetNames>
    <sheetDataSet>
      <sheetData sheetId="0"/>
      <sheetData sheetId="1"/>
      <sheetData sheetId="2"/>
      <sheetData sheetId="3">
        <row r="2">
          <cell r="C2" t="str">
            <v>36R-00101</v>
          </cell>
          <cell r="D2" t="str">
            <v>Sơ mi rơ mooc</v>
          </cell>
          <cell r="E2" t="str">
            <v>Xưởng 1</v>
          </cell>
          <cell r="F2">
            <v>41101</v>
          </cell>
          <cell r="G2">
            <v>41101</v>
          </cell>
        </row>
        <row r="3">
          <cell r="C3" t="str">
            <v>36R-00103</v>
          </cell>
          <cell r="D3" t="str">
            <v>Sơ mi rơ mooc</v>
          </cell>
          <cell r="E3" t="str">
            <v>Xưởng 1</v>
          </cell>
          <cell r="F3">
            <v>41101</v>
          </cell>
          <cell r="G3">
            <v>41101</v>
          </cell>
        </row>
        <row r="4">
          <cell r="C4" t="str">
            <v>36R-00106</v>
          </cell>
          <cell r="D4" t="str">
            <v>Sơ mi rơ mooc</v>
          </cell>
          <cell r="E4" t="str">
            <v>Xưởng 1</v>
          </cell>
          <cell r="F4">
            <v>42583</v>
          </cell>
          <cell r="G4">
            <v>42583</v>
          </cell>
        </row>
        <row r="5">
          <cell r="C5" t="str">
            <v>36R-00115</v>
          </cell>
          <cell r="D5" t="str">
            <v>Sơ mi rơ mooc</v>
          </cell>
          <cell r="E5" t="str">
            <v>Xưởng 1</v>
          </cell>
          <cell r="F5">
            <v>42583</v>
          </cell>
          <cell r="G5">
            <v>42583</v>
          </cell>
        </row>
        <row r="6">
          <cell r="C6" t="str">
            <v>36R-00117</v>
          </cell>
          <cell r="D6" t="str">
            <v>Sơ mi rơ mooc</v>
          </cell>
          <cell r="E6" t="str">
            <v>Xưởng 1</v>
          </cell>
          <cell r="F6">
            <v>41101</v>
          </cell>
          <cell r="G6">
            <v>41101</v>
          </cell>
        </row>
        <row r="7">
          <cell r="C7" t="str">
            <v>6HC-00128</v>
          </cell>
          <cell r="D7" t="str">
            <v>Xe Bơm</v>
          </cell>
          <cell r="E7" t="str">
            <v>Trạm trộn X5</v>
          </cell>
          <cell r="F7">
            <v>43313</v>
          </cell>
          <cell r="G7">
            <v>43313</v>
          </cell>
        </row>
        <row r="8">
          <cell r="C8" t="str">
            <v>36R-00151</v>
          </cell>
          <cell r="D8" t="str">
            <v>Sơ mi rơ mooc</v>
          </cell>
          <cell r="E8" t="str">
            <v>Xưởng 1</v>
          </cell>
          <cell r="F8">
            <v>41101</v>
          </cell>
          <cell r="G8">
            <v>41101</v>
          </cell>
        </row>
        <row r="9">
          <cell r="C9" t="str">
            <v>36R-00478</v>
          </cell>
          <cell r="D9" t="str">
            <v>Sơ mi rơ mooc</v>
          </cell>
          <cell r="E9" t="str">
            <v>Xưởng 1</v>
          </cell>
          <cell r="F9">
            <v>42095</v>
          </cell>
          <cell r="G9">
            <v>42095</v>
          </cell>
        </row>
        <row r="10">
          <cell r="C10" t="str">
            <v>36R-00606</v>
          </cell>
          <cell r="D10" t="str">
            <v>Sơ mi rơ mooc</v>
          </cell>
          <cell r="E10" t="str">
            <v>Xưởng 2</v>
          </cell>
          <cell r="F10">
            <v>42095</v>
          </cell>
          <cell r="G10">
            <v>42095</v>
          </cell>
        </row>
        <row r="11">
          <cell r="C11" t="str">
            <v>36R-00646</v>
          </cell>
          <cell r="D11" t="str">
            <v>Sơ mi rơ mooc</v>
          </cell>
          <cell r="E11" t="str">
            <v>Xưởng 2</v>
          </cell>
          <cell r="F11">
            <v>42095</v>
          </cell>
          <cell r="G11">
            <v>42095</v>
          </cell>
        </row>
        <row r="12">
          <cell r="C12" t="str">
            <v>36R-00672</v>
          </cell>
          <cell r="D12" t="str">
            <v>Sơ mi rơ mooc</v>
          </cell>
          <cell r="E12" t="str">
            <v>Xưởng 3</v>
          </cell>
          <cell r="F12">
            <v>42095</v>
          </cell>
          <cell r="G12">
            <v>42095</v>
          </cell>
        </row>
        <row r="13">
          <cell r="C13" t="str">
            <v>36R-00700</v>
          </cell>
          <cell r="D13" t="str">
            <v>Sơ mi rơ mooc</v>
          </cell>
          <cell r="E13" t="str">
            <v>Xưởng 3</v>
          </cell>
          <cell r="F13">
            <v>42220</v>
          </cell>
          <cell r="G13">
            <v>42220</v>
          </cell>
        </row>
        <row r="14">
          <cell r="C14" t="str">
            <v>36R-00704</v>
          </cell>
          <cell r="D14" t="str">
            <v>Sơ mi rơ mooc</v>
          </cell>
          <cell r="E14" t="str">
            <v>Xưởng 3</v>
          </cell>
          <cell r="F14">
            <v>42278</v>
          </cell>
          <cell r="G14">
            <v>42278</v>
          </cell>
        </row>
        <row r="15">
          <cell r="C15" t="str">
            <v>36R-00707</v>
          </cell>
          <cell r="D15" t="str">
            <v>Sơ mi rơ mooc</v>
          </cell>
          <cell r="E15" t="str">
            <v>Xưởng 3</v>
          </cell>
          <cell r="F15">
            <v>42583</v>
          </cell>
          <cell r="G15">
            <v>42583</v>
          </cell>
        </row>
        <row r="16">
          <cell r="C16" t="str">
            <v>36R-00702</v>
          </cell>
          <cell r="D16" t="str">
            <v>Sơ mi rơ mooc</v>
          </cell>
          <cell r="E16" t="str">
            <v>Xưởng 3</v>
          </cell>
          <cell r="F16">
            <v>42583</v>
          </cell>
          <cell r="G16">
            <v>42583</v>
          </cell>
        </row>
        <row r="17">
          <cell r="C17" t="str">
            <v>36R-00748</v>
          </cell>
          <cell r="D17" t="str">
            <v>Sơ mi rơ mooc</v>
          </cell>
          <cell r="E17" t="str">
            <v>Xưởng 3</v>
          </cell>
          <cell r="F17">
            <v>42220</v>
          </cell>
          <cell r="G17">
            <v>42220</v>
          </cell>
        </row>
        <row r="18">
          <cell r="C18" t="str">
            <v>36R-00752</v>
          </cell>
          <cell r="D18" t="str">
            <v>Sơ mi rơ mooc</v>
          </cell>
          <cell r="E18" t="str">
            <v>Xưởng 3</v>
          </cell>
          <cell r="F18">
            <v>42220</v>
          </cell>
          <cell r="G18">
            <v>42220</v>
          </cell>
        </row>
        <row r="19">
          <cell r="C19" t="str">
            <v>36R-00753</v>
          </cell>
          <cell r="D19" t="str">
            <v>Sơ mi rơ mooc</v>
          </cell>
          <cell r="E19" t="str">
            <v>xưởng 4</v>
          </cell>
          <cell r="F19">
            <v>42583</v>
          </cell>
          <cell r="G19">
            <v>42583</v>
          </cell>
        </row>
        <row r="20">
          <cell r="C20" t="str">
            <v>36R-00756</v>
          </cell>
          <cell r="D20" t="str">
            <v>Sơ mi rơ mooc</v>
          </cell>
          <cell r="E20" t="str">
            <v>xưởng 4</v>
          </cell>
          <cell r="F20">
            <v>42220</v>
          </cell>
          <cell r="G20">
            <v>42220</v>
          </cell>
        </row>
        <row r="21">
          <cell r="C21" t="str">
            <v>36R-00763</v>
          </cell>
          <cell r="D21" t="str">
            <v>Sơ mi rơ mooc</v>
          </cell>
          <cell r="E21" t="str">
            <v>xưởng 4</v>
          </cell>
          <cell r="F21">
            <v>42583</v>
          </cell>
          <cell r="G21">
            <v>42583</v>
          </cell>
        </row>
        <row r="22">
          <cell r="C22" t="str">
            <v>36R-00770</v>
          </cell>
          <cell r="D22" t="str">
            <v>Sơ mi rơ mooc</v>
          </cell>
          <cell r="E22" t="str">
            <v>xưởng 4</v>
          </cell>
          <cell r="F22">
            <v>42278</v>
          </cell>
          <cell r="G22">
            <v>42278</v>
          </cell>
        </row>
        <row r="23">
          <cell r="C23" t="str">
            <v>36R-00886</v>
          </cell>
          <cell r="D23" t="str">
            <v>Sơ mi rơ mooc</v>
          </cell>
          <cell r="E23" t="str">
            <v>xưởng 4</v>
          </cell>
          <cell r="F23">
            <v>42583</v>
          </cell>
          <cell r="G23">
            <v>42583</v>
          </cell>
        </row>
        <row r="24">
          <cell r="C24" t="str">
            <v>36R-00974</v>
          </cell>
          <cell r="D24" t="str">
            <v>Sơ mi rơ mooc</v>
          </cell>
          <cell r="E24" t="str">
            <v>xưởng 4</v>
          </cell>
          <cell r="F24">
            <v>42401</v>
          </cell>
          <cell r="G24">
            <v>42401</v>
          </cell>
        </row>
        <row r="25">
          <cell r="C25" t="str">
            <v>36R-00989</v>
          </cell>
          <cell r="D25" t="str">
            <v>Sơ mi rơ mooc</v>
          </cell>
          <cell r="E25" t="str">
            <v>xưởng 4</v>
          </cell>
          <cell r="F25">
            <v>42401</v>
          </cell>
          <cell r="G25">
            <v>42401</v>
          </cell>
        </row>
        <row r="26">
          <cell r="C26" t="str">
            <v>36R-01002</v>
          </cell>
          <cell r="D26" t="str">
            <v>Sơ mi rơ mooc</v>
          </cell>
          <cell r="E26" t="str">
            <v>Xe Công</v>
          </cell>
          <cell r="F26">
            <v>42552</v>
          </cell>
          <cell r="G26">
            <v>42552</v>
          </cell>
        </row>
        <row r="27">
          <cell r="C27" t="str">
            <v>36R-01014</v>
          </cell>
          <cell r="D27" t="str">
            <v>Sơ mi rơ mooc</v>
          </cell>
          <cell r="E27" t="str">
            <v>Xe Công</v>
          </cell>
          <cell r="F27">
            <v>42583</v>
          </cell>
          <cell r="G27">
            <v>42583</v>
          </cell>
        </row>
        <row r="28">
          <cell r="C28" t="str">
            <v>36R-01035</v>
          </cell>
          <cell r="D28" t="str">
            <v>Sơ mi rơ mooc</v>
          </cell>
          <cell r="E28" t="str">
            <v>Xe Công</v>
          </cell>
          <cell r="F28">
            <v>42552</v>
          </cell>
          <cell r="G28">
            <v>42552</v>
          </cell>
        </row>
        <row r="29">
          <cell r="C29" t="str">
            <v>36C-10497</v>
          </cell>
          <cell r="D29" t="str">
            <v>Xe tải</v>
          </cell>
          <cell r="E29" t="str">
            <v>Xưởng 1</v>
          </cell>
          <cell r="F29">
            <v>42094</v>
          </cell>
          <cell r="G29">
            <v>42094</v>
          </cell>
        </row>
        <row r="30">
          <cell r="C30" t="str">
            <v>36R-01051</v>
          </cell>
          <cell r="D30" t="str">
            <v>Sơ mi rơ mooc</v>
          </cell>
          <cell r="E30" t="str">
            <v>Xe Công</v>
          </cell>
          <cell r="F30">
            <v>42583</v>
          </cell>
          <cell r="G30">
            <v>42583</v>
          </cell>
        </row>
        <row r="31">
          <cell r="C31" t="str">
            <v>36R-01130</v>
          </cell>
          <cell r="D31" t="str">
            <v>Sơ mi rơ mooc</v>
          </cell>
          <cell r="E31" t="str">
            <v>Xe Công</v>
          </cell>
          <cell r="F31">
            <v>42583</v>
          </cell>
          <cell r="G31">
            <v>42583</v>
          </cell>
        </row>
        <row r="32">
          <cell r="C32" t="str">
            <v>36R-01163</v>
          </cell>
          <cell r="D32" t="str">
            <v>Sơ mi rơ mooc</v>
          </cell>
          <cell r="E32" t="str">
            <v>Xe Công</v>
          </cell>
          <cell r="F32">
            <v>42583</v>
          </cell>
          <cell r="G32">
            <v>42583</v>
          </cell>
        </row>
        <row r="33">
          <cell r="C33" t="str">
            <v>36C-12549</v>
          </cell>
          <cell r="D33" t="str">
            <v>Xe tải</v>
          </cell>
          <cell r="E33" t="str">
            <v>Xưởng 1</v>
          </cell>
          <cell r="F33">
            <v>42583</v>
          </cell>
          <cell r="G33">
            <v>42583</v>
          </cell>
        </row>
        <row r="34">
          <cell r="C34" t="str">
            <v>36C-12583</v>
          </cell>
          <cell r="D34" t="str">
            <v>Xe tải</v>
          </cell>
          <cell r="E34" t="str">
            <v>xưởng 4</v>
          </cell>
          <cell r="F34">
            <v>42224</v>
          </cell>
          <cell r="G34">
            <v>42224</v>
          </cell>
        </row>
        <row r="35">
          <cell r="C35" t="str">
            <v>36C-12623</v>
          </cell>
          <cell r="D35" t="str">
            <v>Xe đầu kéo</v>
          </cell>
          <cell r="E35" t="str">
            <v>Xe Công</v>
          </cell>
          <cell r="F35">
            <v>42223</v>
          </cell>
          <cell r="G35">
            <v>42223</v>
          </cell>
        </row>
        <row r="36">
          <cell r="C36" t="str">
            <v>36C-12647</v>
          </cell>
          <cell r="D36" t="str">
            <v>Xe tải</v>
          </cell>
          <cell r="E36" t="str">
            <v>Xưởng 2</v>
          </cell>
          <cell r="F36">
            <v>42224</v>
          </cell>
          <cell r="G36">
            <v>42224</v>
          </cell>
        </row>
        <row r="37">
          <cell r="C37" t="str">
            <v>36C-12653</v>
          </cell>
          <cell r="D37" t="str">
            <v>Xe tải</v>
          </cell>
          <cell r="E37" t="str">
            <v>xưởng 4</v>
          </cell>
          <cell r="F37">
            <v>42583</v>
          </cell>
          <cell r="G37">
            <v>42583</v>
          </cell>
        </row>
        <row r="38">
          <cell r="C38" t="str">
            <v>36C-13580</v>
          </cell>
          <cell r="D38" t="str">
            <v>Xe tải</v>
          </cell>
          <cell r="E38" t="str">
            <v>Xưởng 3</v>
          </cell>
          <cell r="F38">
            <v>42583</v>
          </cell>
          <cell r="G38">
            <v>42583</v>
          </cell>
        </row>
        <row r="39">
          <cell r="C39" t="str">
            <v>36C-13641</v>
          </cell>
          <cell r="D39" t="str">
            <v>Xe tải</v>
          </cell>
          <cell r="E39" t="str">
            <v>Xưởng 3</v>
          </cell>
          <cell r="F39">
            <v>42297</v>
          </cell>
          <cell r="G39">
            <v>42297</v>
          </cell>
        </row>
        <row r="40">
          <cell r="C40" t="str">
            <v>36C-13984</v>
          </cell>
          <cell r="D40" t="str">
            <v>Xe tải</v>
          </cell>
          <cell r="E40" t="str">
            <v>xưởng 4</v>
          </cell>
          <cell r="F40">
            <v>42297</v>
          </cell>
          <cell r="G40">
            <v>42297</v>
          </cell>
        </row>
        <row r="41">
          <cell r="C41" t="str">
            <v>36C-14428</v>
          </cell>
          <cell r="D41" t="str">
            <v>Xe tải</v>
          </cell>
          <cell r="E41" t="str">
            <v>Xưởng 3</v>
          </cell>
          <cell r="F41">
            <v>42583</v>
          </cell>
          <cell r="G41">
            <v>42583</v>
          </cell>
        </row>
        <row r="42">
          <cell r="C42" t="str">
            <v>36R-01483</v>
          </cell>
          <cell r="D42" t="str">
            <v>Sơ mi rơ mooc</v>
          </cell>
          <cell r="E42" t="str">
            <v>Xe Công</v>
          </cell>
          <cell r="F42">
            <v>43282</v>
          </cell>
          <cell r="G42">
            <v>43282</v>
          </cell>
        </row>
        <row r="43">
          <cell r="C43" t="str">
            <v>36C-15736</v>
          </cell>
          <cell r="D43" t="str">
            <v>Xe tải</v>
          </cell>
          <cell r="E43" t="str">
            <v>Nhà máy gạch</v>
          </cell>
          <cell r="F43">
            <v>42447</v>
          </cell>
          <cell r="G43">
            <v>42447</v>
          </cell>
        </row>
        <row r="44">
          <cell r="C44" t="str">
            <v>36R-01575</v>
          </cell>
          <cell r="D44" t="str">
            <v>Mooc tec</v>
          </cell>
          <cell r="E44" t="str">
            <v>Xe Công</v>
          </cell>
          <cell r="F44">
            <v>43344</v>
          </cell>
          <cell r="G44">
            <v>43344</v>
          </cell>
        </row>
        <row r="45">
          <cell r="C45" t="str">
            <v>36R-01621</v>
          </cell>
          <cell r="D45" t="str">
            <v>Sơ mi rơ mooc</v>
          </cell>
          <cell r="E45" t="str">
            <v>Xe Công</v>
          </cell>
          <cell r="F45">
            <v>43282</v>
          </cell>
          <cell r="G45">
            <v>43282</v>
          </cell>
        </row>
        <row r="46">
          <cell r="C46" t="str">
            <v>36C-18708</v>
          </cell>
          <cell r="D46" t="str">
            <v>Xe đầu kéo</v>
          </cell>
          <cell r="E46" t="str">
            <v>Xe Công</v>
          </cell>
          <cell r="F46">
            <v>42660</v>
          </cell>
          <cell r="G46">
            <v>42660</v>
          </cell>
        </row>
        <row r="47">
          <cell r="C47" t="str">
            <v>36C-18881</v>
          </cell>
          <cell r="D47" t="str">
            <v>Xe đầu kéo</v>
          </cell>
          <cell r="E47" t="str">
            <v>Xe Công</v>
          </cell>
          <cell r="F47">
            <v>42660</v>
          </cell>
          <cell r="G47">
            <v>42660</v>
          </cell>
        </row>
        <row r="48">
          <cell r="C48" t="str">
            <v>36C-21956</v>
          </cell>
          <cell r="D48" t="str">
            <v>Xe con</v>
          </cell>
          <cell r="E48" t="str">
            <v>Quản lý</v>
          </cell>
          <cell r="F48">
            <v>42887</v>
          </cell>
          <cell r="G48">
            <v>42887</v>
          </cell>
        </row>
        <row r="49">
          <cell r="C49" t="str">
            <v xml:space="preserve"> 36N-2301</v>
          </cell>
          <cell r="D49" t="str">
            <v>Xe tải</v>
          </cell>
          <cell r="E49" t="str">
            <v>Nhà máy gạch</v>
          </cell>
          <cell r="F49">
            <v>42583</v>
          </cell>
          <cell r="G49">
            <v>42583</v>
          </cell>
        </row>
        <row r="50">
          <cell r="C50" t="str">
            <v>36C-23236</v>
          </cell>
          <cell r="D50" t="str">
            <v>Xe tải</v>
          </cell>
          <cell r="E50" t="str">
            <v>Xe Công</v>
          </cell>
          <cell r="F50">
            <v>43040</v>
          </cell>
          <cell r="G50">
            <v>43040</v>
          </cell>
        </row>
        <row r="51">
          <cell r="C51" t="str">
            <v>36C-24307</v>
          </cell>
          <cell r="D51" t="str">
            <v>Xe Bơm</v>
          </cell>
          <cell r="E51" t="str">
            <v>Trạm trộn X5</v>
          </cell>
          <cell r="F51">
            <v>43232</v>
          </cell>
          <cell r="G51">
            <v>43232</v>
          </cell>
        </row>
        <row r="52">
          <cell r="C52" t="str">
            <v>36C-24529</v>
          </cell>
          <cell r="D52" t="str">
            <v>Xe bồn</v>
          </cell>
          <cell r="E52" t="str">
            <v>Trạm trộn X5</v>
          </cell>
          <cell r="F52">
            <v>43232</v>
          </cell>
          <cell r="G52">
            <v>43232</v>
          </cell>
        </row>
        <row r="53">
          <cell r="C53" t="str">
            <v>36C-24542</v>
          </cell>
          <cell r="D53" t="str">
            <v>Xe bồn</v>
          </cell>
          <cell r="E53" t="str">
            <v>Trạm trộn X5</v>
          </cell>
          <cell r="F53">
            <v>43232</v>
          </cell>
          <cell r="G53">
            <v>43232</v>
          </cell>
        </row>
        <row r="54">
          <cell r="C54" t="str">
            <v>36C-24582</v>
          </cell>
          <cell r="D54" t="str">
            <v>Xe bồn</v>
          </cell>
          <cell r="E54" t="str">
            <v>Trạm trộn X5</v>
          </cell>
          <cell r="F54">
            <v>43232</v>
          </cell>
          <cell r="G54">
            <v>43232</v>
          </cell>
        </row>
        <row r="55">
          <cell r="C55" t="str">
            <v>36C-24591</v>
          </cell>
          <cell r="D55" t="str">
            <v>Xe bồn</v>
          </cell>
          <cell r="E55" t="str">
            <v>Trạm trộn X5</v>
          </cell>
          <cell r="F55">
            <v>43232</v>
          </cell>
          <cell r="G55">
            <v>43232</v>
          </cell>
        </row>
        <row r="56">
          <cell r="C56" t="str">
            <v>36C-24609</v>
          </cell>
          <cell r="D56" t="str">
            <v>Xe bồn</v>
          </cell>
          <cell r="E56" t="str">
            <v>Trạm trộn X5</v>
          </cell>
          <cell r="F56">
            <v>43232</v>
          </cell>
          <cell r="G56">
            <v>43232</v>
          </cell>
        </row>
        <row r="57">
          <cell r="C57" t="str">
            <v>36C-24686</v>
          </cell>
          <cell r="D57" t="str">
            <v>Xe bồn</v>
          </cell>
          <cell r="E57" t="str">
            <v>Trạm trộn X5</v>
          </cell>
          <cell r="F57">
            <v>43232</v>
          </cell>
          <cell r="G57">
            <v>43232</v>
          </cell>
        </row>
        <row r="58">
          <cell r="C58" t="str">
            <v>36C-24714</v>
          </cell>
          <cell r="D58" t="str">
            <v>Xe bồn</v>
          </cell>
          <cell r="E58" t="str">
            <v>Trạm trộn X5</v>
          </cell>
          <cell r="F58">
            <v>43232</v>
          </cell>
          <cell r="G58">
            <v>43232</v>
          </cell>
        </row>
        <row r="59">
          <cell r="C59" t="str">
            <v>36C-24831</v>
          </cell>
          <cell r="D59" t="str">
            <v>Xe bồn</v>
          </cell>
          <cell r="E59" t="str">
            <v>Trạm trộn X5</v>
          </cell>
          <cell r="F59">
            <v>43232</v>
          </cell>
          <cell r="G59">
            <v>43232</v>
          </cell>
        </row>
        <row r="60">
          <cell r="C60" t="str">
            <v>36C-24848</v>
          </cell>
          <cell r="D60" t="str">
            <v>Xe bồn</v>
          </cell>
          <cell r="E60" t="str">
            <v>Trạm trộn X5</v>
          </cell>
          <cell r="F60">
            <v>43232</v>
          </cell>
          <cell r="G60">
            <v>43232</v>
          </cell>
        </row>
        <row r="61">
          <cell r="C61" t="str">
            <v>36C-24941</v>
          </cell>
          <cell r="D61" t="str">
            <v>Xe bồn</v>
          </cell>
          <cell r="E61" t="str">
            <v>Trạm trộn X5</v>
          </cell>
          <cell r="F61">
            <v>43232</v>
          </cell>
          <cell r="G61">
            <v>43232</v>
          </cell>
        </row>
        <row r="62">
          <cell r="C62" t="str">
            <v>36C-02515</v>
          </cell>
          <cell r="D62" t="str">
            <v>Xe tải</v>
          </cell>
          <cell r="E62" t="str">
            <v>Xưởng 3</v>
          </cell>
          <cell r="F62">
            <v>41055</v>
          </cell>
          <cell r="G62">
            <v>41055</v>
          </cell>
        </row>
        <row r="63">
          <cell r="C63" t="str">
            <v>36C-25184</v>
          </cell>
          <cell r="D63" t="str">
            <v>Xe tải</v>
          </cell>
          <cell r="E63" t="str">
            <v>Nhà máy gạch</v>
          </cell>
          <cell r="F63">
            <v>41101</v>
          </cell>
          <cell r="G63">
            <v>41101</v>
          </cell>
        </row>
        <row r="64">
          <cell r="C64" t="str">
            <v>36C-25342</v>
          </cell>
          <cell r="D64" t="str">
            <v>Xe tải</v>
          </cell>
          <cell r="E64" t="str">
            <v>Nhà máy gạch</v>
          </cell>
          <cell r="F64">
            <v>41101</v>
          </cell>
          <cell r="G64">
            <v>41101</v>
          </cell>
        </row>
        <row r="65">
          <cell r="C65" t="str">
            <v>36C-27074</v>
          </cell>
          <cell r="D65" t="str">
            <v>Xe tải</v>
          </cell>
          <cell r="E65" t="str">
            <v>Xưởng 1</v>
          </cell>
          <cell r="F65">
            <v>43530</v>
          </cell>
          <cell r="G65">
            <v>43530</v>
          </cell>
        </row>
        <row r="66">
          <cell r="C66" t="str">
            <v>36C-02750</v>
          </cell>
          <cell r="D66" t="str">
            <v>Xe tải</v>
          </cell>
          <cell r="E66" t="str">
            <v>Xưởng 1</v>
          </cell>
          <cell r="F66">
            <v>42583</v>
          </cell>
          <cell r="G66">
            <v>42583</v>
          </cell>
        </row>
        <row r="67">
          <cell r="C67" t="str">
            <v>36C-27941</v>
          </cell>
          <cell r="D67" t="str">
            <v>Xe tải</v>
          </cell>
          <cell r="E67" t="str">
            <v>Xưởng 1</v>
          </cell>
          <cell r="F67">
            <v>43530</v>
          </cell>
          <cell r="G67">
            <v>43530</v>
          </cell>
        </row>
        <row r="68">
          <cell r="C68" t="str">
            <v>36C-27953</v>
          </cell>
          <cell r="D68" t="str">
            <v>Xe tải</v>
          </cell>
          <cell r="E68" t="str">
            <v>Xưởng 1</v>
          </cell>
          <cell r="F68">
            <v>43530</v>
          </cell>
          <cell r="G68">
            <v>43530</v>
          </cell>
        </row>
        <row r="69">
          <cell r="C69" t="str">
            <v>36C-28130</v>
          </cell>
          <cell r="D69" t="str">
            <v>Xe đầu kéo</v>
          </cell>
          <cell r="E69" t="str">
            <v>Xe Công</v>
          </cell>
          <cell r="F69">
            <v>43571</v>
          </cell>
          <cell r="G69">
            <v>43571</v>
          </cell>
        </row>
        <row r="70">
          <cell r="C70" t="str">
            <v>36C-02814</v>
          </cell>
          <cell r="D70" t="str">
            <v>Xe tải</v>
          </cell>
          <cell r="E70" t="str">
            <v>xưởng 4</v>
          </cell>
          <cell r="F70">
            <v>42583</v>
          </cell>
          <cell r="G70">
            <v>42583</v>
          </cell>
        </row>
        <row r="71">
          <cell r="C71" t="str">
            <v>36C-02834</v>
          </cell>
          <cell r="D71" t="str">
            <v>Xe tải</v>
          </cell>
          <cell r="E71" t="str">
            <v>Xưởng 3</v>
          </cell>
          <cell r="F71">
            <v>41106</v>
          </cell>
          <cell r="G71">
            <v>41106</v>
          </cell>
        </row>
        <row r="72">
          <cell r="C72" t="str">
            <v>36C-03106</v>
          </cell>
          <cell r="D72" t="str">
            <v>Xe tải</v>
          </cell>
          <cell r="E72" t="str">
            <v>Xưởng 1</v>
          </cell>
          <cell r="F72">
            <v>41168</v>
          </cell>
          <cell r="G72">
            <v>41168</v>
          </cell>
        </row>
        <row r="73">
          <cell r="C73" t="str">
            <v>36C-03139</v>
          </cell>
          <cell r="D73" t="str">
            <v>Xe tải</v>
          </cell>
          <cell r="E73" t="str">
            <v>Xưởng 1</v>
          </cell>
          <cell r="F73">
            <v>41168</v>
          </cell>
          <cell r="G73">
            <v>41168</v>
          </cell>
        </row>
        <row r="74">
          <cell r="C74" t="str">
            <v>36C-03394</v>
          </cell>
          <cell r="D74" t="str">
            <v>Xe tải</v>
          </cell>
          <cell r="E74" t="str">
            <v>Xưởng 1</v>
          </cell>
          <cell r="F74">
            <v>42350</v>
          </cell>
          <cell r="G74">
            <v>42350</v>
          </cell>
        </row>
        <row r="75">
          <cell r="C75" t="str">
            <v>36A-34273</v>
          </cell>
          <cell r="D75" t="str">
            <v>Xe con</v>
          </cell>
          <cell r="E75" t="str">
            <v>Quản lý</v>
          </cell>
          <cell r="F75">
            <v>43313</v>
          </cell>
          <cell r="G75">
            <v>43313</v>
          </cell>
        </row>
        <row r="76">
          <cell r="C76" t="str">
            <v>36C-08996</v>
          </cell>
          <cell r="D76" t="str">
            <v>Xe đầu kéo</v>
          </cell>
          <cell r="E76" t="str">
            <v>Xe Công</v>
          </cell>
          <cell r="F76">
            <v>42660</v>
          </cell>
          <cell r="G76">
            <v>42660</v>
          </cell>
        </row>
        <row r="77">
          <cell r="C77" t="str">
            <v>36C-03705</v>
          </cell>
          <cell r="D77" t="str">
            <v>Xe tải</v>
          </cell>
          <cell r="E77" t="str">
            <v>Xưởng 1</v>
          </cell>
          <cell r="F77">
            <v>42583</v>
          </cell>
          <cell r="G77">
            <v>42583</v>
          </cell>
        </row>
        <row r="78">
          <cell r="C78" t="str">
            <v>36C-04285</v>
          </cell>
          <cell r="D78" t="str">
            <v>Xe tải</v>
          </cell>
          <cell r="E78" t="str">
            <v>Xưởng 1</v>
          </cell>
          <cell r="F78">
            <v>41358</v>
          </cell>
          <cell r="G78">
            <v>41358</v>
          </cell>
        </row>
        <row r="79">
          <cell r="C79" t="str">
            <v>36C-04291</v>
          </cell>
          <cell r="D79" t="str">
            <v>Xe tải</v>
          </cell>
          <cell r="E79" t="str">
            <v>xưởng 4</v>
          </cell>
          <cell r="F79">
            <v>41358</v>
          </cell>
          <cell r="G79">
            <v>41358</v>
          </cell>
        </row>
        <row r="80">
          <cell r="C80" t="str">
            <v>29D-06426</v>
          </cell>
          <cell r="D80" t="str">
            <v>Xe con</v>
          </cell>
          <cell r="E80" t="str">
            <v>Phòng kinh doanh</v>
          </cell>
          <cell r="F80">
            <v>42491</v>
          </cell>
          <cell r="G80">
            <v>42491</v>
          </cell>
        </row>
        <row r="81">
          <cell r="C81" t="str">
            <v>36C-08136</v>
          </cell>
          <cell r="D81" t="str">
            <v>Xe đầu kéo</v>
          </cell>
          <cell r="E81" t="str">
            <v>Xe Công</v>
          </cell>
          <cell r="F81">
            <v>42109</v>
          </cell>
          <cell r="G81">
            <v>42109</v>
          </cell>
        </row>
        <row r="82">
          <cell r="C82" t="str">
            <v>36C-08190</v>
          </cell>
          <cell r="D82" t="str">
            <v>Xe đầu kéo</v>
          </cell>
          <cell r="E82" t="str">
            <v>Xe Công</v>
          </cell>
          <cell r="F82">
            <v>41901</v>
          </cell>
          <cell r="G82">
            <v>41901</v>
          </cell>
        </row>
        <row r="83">
          <cell r="C83" t="str">
            <v>36C-09166</v>
          </cell>
          <cell r="D83" t="str">
            <v>Xe tải</v>
          </cell>
          <cell r="E83" t="str">
            <v>Nhà máy gạch</v>
          </cell>
          <cell r="F83">
            <v>41101</v>
          </cell>
          <cell r="G83">
            <v>41101</v>
          </cell>
        </row>
        <row r="84">
          <cell r="C84" t="str">
            <v>Bơm Tĩnh</v>
          </cell>
          <cell r="D84" t="str">
            <v>Xe Bơm</v>
          </cell>
          <cell r="E84" t="str">
            <v>Trạm trộn X5</v>
          </cell>
          <cell r="F84">
            <v>43312</v>
          </cell>
          <cell r="G84">
            <v>43312</v>
          </cell>
        </row>
        <row r="85">
          <cell r="C85" t="str">
            <v>ng nội bộ</v>
          </cell>
          <cell r="D85" t="str">
            <v>Tài sản cố định khác</v>
          </cell>
          <cell r="E85" t="str">
            <v>Xưởng 5</v>
          </cell>
          <cell r="F85">
            <v>43101</v>
          </cell>
          <cell r="G85">
            <v>43101</v>
          </cell>
        </row>
        <row r="86">
          <cell r="C86" t="str">
            <v>à xưởng 1</v>
          </cell>
          <cell r="D86" t="str">
            <v>Nhà xưởng</v>
          </cell>
          <cell r="E86" t="str">
            <v>Xưởng 1</v>
          </cell>
          <cell r="F86">
            <v>43101</v>
          </cell>
          <cell r="G86">
            <v>43101</v>
          </cell>
        </row>
        <row r="87">
          <cell r="C87" t="str">
            <v>à xưởng 3</v>
          </cell>
          <cell r="D87" t="str">
            <v>Nhà xưởng</v>
          </cell>
          <cell r="E87" t="str">
            <v>Xưởng 3</v>
          </cell>
          <cell r="F87">
            <v>43101</v>
          </cell>
          <cell r="G87">
            <v>43101</v>
          </cell>
        </row>
        <row r="88">
          <cell r="C88" t="str">
            <v>à xưởng 4</v>
          </cell>
          <cell r="D88" t="str">
            <v>Nhà xưởng</v>
          </cell>
          <cell r="E88" t="str">
            <v>xưởng 4</v>
          </cell>
          <cell r="F88">
            <v>43101</v>
          </cell>
          <cell r="G88">
            <v>43101</v>
          </cell>
        </row>
        <row r="89">
          <cell r="C89" t="str">
            <v>điều hành</v>
          </cell>
          <cell r="D89" t="str">
            <v>Nhà xưởng</v>
          </cell>
          <cell r="E89" t="str">
            <v>Quản lý</v>
          </cell>
          <cell r="F89">
            <v>43101</v>
          </cell>
          <cell r="G89">
            <v>43101</v>
          </cell>
        </row>
        <row r="90">
          <cell r="C90" t="str">
            <v>hương mại</v>
          </cell>
          <cell r="D90" t="str">
            <v>Nhà xưởng</v>
          </cell>
          <cell r="E90" t="str">
            <v>Quản lý</v>
          </cell>
          <cell r="F90">
            <v>43101</v>
          </cell>
          <cell r="G90">
            <v>43101</v>
          </cell>
        </row>
        <row r="91">
          <cell r="C91" t="str">
            <v>Trạm điện</v>
          </cell>
          <cell r="D91" t="str">
            <v>Máy móc thiết bị khác</v>
          </cell>
          <cell r="E91" t="str">
            <v>Trạm trộn X5</v>
          </cell>
          <cell r="F91">
            <v>43101</v>
          </cell>
          <cell r="G91">
            <v>43101</v>
          </cell>
        </row>
        <row r="92">
          <cell r="C92" t="str">
            <v xml:space="preserve"> bê tông </v>
          </cell>
          <cell r="D92" t="str">
            <v>Trạm trộn bê tông</v>
          </cell>
          <cell r="E92" t="str">
            <v>Trạm trộn X5</v>
          </cell>
          <cell r="F92">
            <v>43101</v>
          </cell>
          <cell r="G92">
            <v>43101</v>
          </cell>
        </row>
        <row r="93">
          <cell r="C93" t="str">
            <v>Xe kẹp</v>
          </cell>
          <cell r="D93" t="str">
            <v>Xe nâng</v>
          </cell>
          <cell r="E93" t="str">
            <v>Nhà máy gạch</v>
          </cell>
          <cell r="F93">
            <v>42948</v>
          </cell>
          <cell r="G93">
            <v>42948</v>
          </cell>
        </row>
        <row r="94">
          <cell r="C94" t="str">
            <v>lật 1.8m3</v>
          </cell>
          <cell r="D94" t="str">
            <v>Xúc lật</v>
          </cell>
          <cell r="E94" t="str">
            <v>Xưởng 5</v>
          </cell>
          <cell r="F94">
            <v>42948</v>
          </cell>
          <cell r="G94">
            <v>42948</v>
          </cell>
        </row>
        <row r="95">
          <cell r="C95" t="str">
            <v>Xe nâng 1</v>
          </cell>
          <cell r="D95" t="str">
            <v>Xe nâng</v>
          </cell>
          <cell r="E95" t="str">
            <v>Xưởng 3</v>
          </cell>
          <cell r="F95">
            <v>42948</v>
          </cell>
          <cell r="G95">
            <v>42948</v>
          </cell>
        </row>
        <row r="96">
          <cell r="C96" t="str">
            <v>Xe nâng 3</v>
          </cell>
          <cell r="D96" t="str">
            <v>Xe nâng</v>
          </cell>
          <cell r="E96" t="str">
            <v>Nhà máy gạch</v>
          </cell>
          <cell r="F96">
            <v>42948</v>
          </cell>
          <cell r="G96">
            <v>42948</v>
          </cell>
        </row>
        <row r="97">
          <cell r="C97" t="str">
            <v>Xe nâng 4</v>
          </cell>
          <cell r="D97" t="str">
            <v>Xe nâng</v>
          </cell>
          <cell r="E97" t="str">
            <v>Nhà máy gạch</v>
          </cell>
          <cell r="F97">
            <v>43009</v>
          </cell>
          <cell r="G97">
            <v>43009</v>
          </cell>
        </row>
        <row r="98">
          <cell r="C98" t="str">
            <v>Xe nâng 5</v>
          </cell>
          <cell r="D98" t="str">
            <v>Xe nâng</v>
          </cell>
          <cell r="E98" t="str">
            <v>Nhà máy gạch</v>
          </cell>
          <cell r="F98">
            <v>43545</v>
          </cell>
          <cell r="G98">
            <v>43545</v>
          </cell>
        </row>
      </sheetData>
      <sheetData sheetId="4">
        <row r="3">
          <cell r="B3" t="str">
            <v>36C-03139</v>
          </cell>
          <cell r="C3" t="str">
            <v>XE TẢI(HOAMAI)</v>
          </cell>
          <cell r="D3" t="str">
            <v>36C-03139</v>
          </cell>
          <cell r="E3" t="str">
            <v>XE</v>
          </cell>
          <cell r="F3">
            <v>1</v>
          </cell>
          <cell r="G3" t="str">
            <v>Việt Nam</v>
          </cell>
          <cell r="H3" t="str">
            <v>X1</v>
          </cell>
          <cell r="I3">
            <v>211818181</v>
          </cell>
          <cell r="J3"/>
        </row>
        <row r="4">
          <cell r="B4" t="str">
            <v>36C-03106</v>
          </cell>
          <cell r="C4" t="str">
            <v>XE TẢI(HOAMAI)</v>
          </cell>
          <cell r="D4" t="str">
            <v>36C-03106</v>
          </cell>
          <cell r="E4" t="str">
            <v>XE</v>
          </cell>
          <cell r="F4">
            <v>1</v>
          </cell>
          <cell r="G4" t="str">
            <v>Việt Nam</v>
          </cell>
          <cell r="H4" t="str">
            <v>X1</v>
          </cell>
          <cell r="I4">
            <v>231506785</v>
          </cell>
          <cell r="J4"/>
        </row>
        <row r="5">
          <cell r="B5" t="str">
            <v>36C-03394</v>
          </cell>
          <cell r="C5" t="str">
            <v>XE TẢI(TRƯỜNG GIANG)</v>
          </cell>
          <cell r="D5" t="str">
            <v>36C-03394</v>
          </cell>
          <cell r="E5" t="str">
            <v>XE</v>
          </cell>
          <cell r="F5">
            <v>1</v>
          </cell>
          <cell r="G5" t="str">
            <v>Việt Nam</v>
          </cell>
          <cell r="H5" t="str">
            <v>X1</v>
          </cell>
          <cell r="I5">
            <v>102000000</v>
          </cell>
          <cell r="J5"/>
        </row>
        <row r="6">
          <cell r="B6" t="str">
            <v>36C-27941</v>
          </cell>
          <cell r="C6" t="str">
            <v>XE TẢI CHIẾN THẮNG</v>
          </cell>
          <cell r="D6" t="str">
            <v>36C-27941</v>
          </cell>
          <cell r="E6" t="str">
            <v>XE</v>
          </cell>
          <cell r="F6">
            <v>1</v>
          </cell>
          <cell r="G6" t="str">
            <v>Việt Nam</v>
          </cell>
          <cell r="H6" t="str">
            <v>X4</v>
          </cell>
          <cell r="I6">
            <v>268000000</v>
          </cell>
          <cell r="J6"/>
        </row>
        <row r="7">
          <cell r="B7" t="str">
            <v>36C-27074</v>
          </cell>
          <cell r="C7" t="str">
            <v>XE TẢI CHIẾN THẮNG</v>
          </cell>
          <cell r="D7" t="str">
            <v>36C-27074</v>
          </cell>
          <cell r="E7" t="str">
            <v>XE</v>
          </cell>
          <cell r="F7">
            <v>1</v>
          </cell>
          <cell r="G7" t="str">
            <v>Việt Nam</v>
          </cell>
          <cell r="H7" t="str">
            <v>X1</v>
          </cell>
          <cell r="I7">
            <v>268000000</v>
          </cell>
          <cell r="J7"/>
        </row>
        <row r="8">
          <cell r="B8" t="str">
            <v>36C-27953</v>
          </cell>
          <cell r="C8" t="str">
            <v>XE TẢI CHIẾN THẮNG</v>
          </cell>
          <cell r="D8" t="str">
            <v>36C-27953</v>
          </cell>
          <cell r="E8" t="str">
            <v>XE</v>
          </cell>
          <cell r="F8">
            <v>1</v>
          </cell>
          <cell r="G8" t="str">
            <v>Việt Nam</v>
          </cell>
          <cell r="H8" t="str">
            <v>X1</v>
          </cell>
          <cell r="I8">
            <v>268000000</v>
          </cell>
          <cell r="J8"/>
        </row>
        <row r="9">
          <cell r="B9" t="str">
            <v>36C-02750</v>
          </cell>
          <cell r="C9" t="str">
            <v>XE TẢI CHIẾN THẮNG</v>
          </cell>
          <cell r="D9" t="str">
            <v>36C-02750</v>
          </cell>
          <cell r="E9" t="str">
            <v>XE</v>
          </cell>
          <cell r="F9">
            <v>1</v>
          </cell>
          <cell r="G9" t="str">
            <v>Việt Nam</v>
          </cell>
          <cell r="H9" t="str">
            <v>X1</v>
          </cell>
          <cell r="I9">
            <v>102000000</v>
          </cell>
          <cell r="J9"/>
        </row>
        <row r="10">
          <cell r="B10" t="str">
            <v>36C-04285</v>
          </cell>
          <cell r="C10" t="str">
            <v>XE TẢI(HOAMAI)</v>
          </cell>
          <cell r="D10" t="str">
            <v>36C-04285</v>
          </cell>
          <cell r="E10" t="str">
            <v>XE</v>
          </cell>
          <cell r="F10">
            <v>1</v>
          </cell>
          <cell r="G10" t="str">
            <v>Việt Nam</v>
          </cell>
          <cell r="H10" t="str">
            <v>X1</v>
          </cell>
          <cell r="I10">
            <v>209090909</v>
          </cell>
          <cell r="J10"/>
        </row>
        <row r="11">
          <cell r="B11" t="str">
            <v>36C-12647</v>
          </cell>
          <cell r="C11" t="str">
            <v>XE TẢI(HOAMAI)có dk gốc</v>
          </cell>
          <cell r="D11" t="str">
            <v>36C-12647</v>
          </cell>
          <cell r="E11" t="str">
            <v>XE</v>
          </cell>
          <cell r="F11">
            <v>1</v>
          </cell>
          <cell r="G11" t="str">
            <v>Việt Nam</v>
          </cell>
          <cell r="H11" t="str">
            <v>X2</v>
          </cell>
          <cell r="I11">
            <v>216363636</v>
          </cell>
          <cell r="J11"/>
        </row>
        <row r="12">
          <cell r="B12" t="str">
            <v>36C-02834</v>
          </cell>
          <cell r="C12" t="str">
            <v>XE TẢI THACO</v>
          </cell>
          <cell r="D12" t="str">
            <v>36C-02834</v>
          </cell>
          <cell r="E12" t="str">
            <v>XE</v>
          </cell>
          <cell r="F12">
            <v>1</v>
          </cell>
          <cell r="G12" t="str">
            <v>Việt Nam</v>
          </cell>
          <cell r="H12" t="str">
            <v>X3</v>
          </cell>
          <cell r="I12">
            <v>359090909</v>
          </cell>
          <cell r="J12"/>
        </row>
        <row r="13">
          <cell r="B13" t="str">
            <v>36C-13641</v>
          </cell>
          <cell r="C13" t="str">
            <v>XE TẢI CHIẾN THẮNG(có dky gốc)</v>
          </cell>
          <cell r="D13" t="str">
            <v>36C-13641</v>
          </cell>
          <cell r="E13" t="str">
            <v>XE</v>
          </cell>
          <cell r="F13">
            <v>1</v>
          </cell>
          <cell r="G13" t="str">
            <v>Việt Nam</v>
          </cell>
          <cell r="H13" t="str">
            <v>X3</v>
          </cell>
          <cell r="I13">
            <v>242727272</v>
          </cell>
          <cell r="J13"/>
        </row>
        <row r="14">
          <cell r="B14" t="str">
            <v>36C-13580</v>
          </cell>
          <cell r="C14" t="str">
            <v>XE TẢI CHIẾN THẮNG</v>
          </cell>
          <cell r="D14" t="str">
            <v>36C-13580</v>
          </cell>
          <cell r="E14" t="str">
            <v>XE</v>
          </cell>
          <cell r="F14">
            <v>1</v>
          </cell>
          <cell r="G14" t="str">
            <v>Việt Nam</v>
          </cell>
          <cell r="H14" t="str">
            <v>X4</v>
          </cell>
          <cell r="I14">
            <v>80000000</v>
          </cell>
          <cell r="J14"/>
        </row>
        <row r="15">
          <cell r="B15" t="str">
            <v>36C-14428</v>
          </cell>
          <cell r="C15" t="str">
            <v>XE TẢI CHIẾN THẮNG</v>
          </cell>
          <cell r="D15" t="str">
            <v>36C-14428</v>
          </cell>
          <cell r="E15" t="str">
            <v>XE</v>
          </cell>
          <cell r="F15">
            <v>1</v>
          </cell>
          <cell r="G15" t="str">
            <v>Việt Nam</v>
          </cell>
          <cell r="H15" t="str">
            <v>X1</v>
          </cell>
          <cell r="I15">
            <v>242727272</v>
          </cell>
          <cell r="J15"/>
        </row>
        <row r="16">
          <cell r="B16" t="str">
            <v>36C-10497</v>
          </cell>
          <cell r="C16" t="str">
            <v>Xe (có Đ ký gốc)</v>
          </cell>
          <cell r="D16" t="str">
            <v>36C-10497</v>
          </cell>
          <cell r="E16" t="str">
            <v>XE</v>
          </cell>
          <cell r="F16">
            <v>1</v>
          </cell>
          <cell r="G16" t="str">
            <v>Việt Nam</v>
          </cell>
          <cell r="H16" t="str">
            <v>X3</v>
          </cell>
          <cell r="I16">
            <v>227272727</v>
          </cell>
          <cell r="J16"/>
        </row>
        <row r="17">
          <cell r="B17" t="str">
            <v>36C-02515</v>
          </cell>
          <cell r="C17" t="str">
            <v>XE TẢI THACO</v>
          </cell>
          <cell r="D17" t="str">
            <v>36C-02515</v>
          </cell>
          <cell r="E17" t="str">
            <v>XE</v>
          </cell>
          <cell r="F17">
            <v>1</v>
          </cell>
          <cell r="G17" t="str">
            <v>Việt Nam</v>
          </cell>
          <cell r="H17" t="str">
            <v>X3</v>
          </cell>
          <cell r="I17">
            <v>342727273</v>
          </cell>
          <cell r="J17"/>
        </row>
        <row r="18">
          <cell r="B18" t="str">
            <v>36C-12653</v>
          </cell>
          <cell r="C18" t="str">
            <v>XE TẢI</v>
          </cell>
          <cell r="D18" t="str">
            <v>36C-12653</v>
          </cell>
          <cell r="E18" t="str">
            <v>XE</v>
          </cell>
          <cell r="F18">
            <v>1</v>
          </cell>
          <cell r="G18" t="str">
            <v>Việt Nam</v>
          </cell>
          <cell r="H18" t="str">
            <v>X4</v>
          </cell>
          <cell r="I18">
            <v>216363636</v>
          </cell>
          <cell r="J18" t="str">
            <v xml:space="preserve">yêu cầu thay dầu </v>
          </cell>
        </row>
        <row r="19">
          <cell r="B19" t="str">
            <v>36C-12583</v>
          </cell>
          <cell r="C19" t="str">
            <v>XE TẢI(HOAMAI)có dk gốc</v>
          </cell>
          <cell r="D19" t="str">
            <v>36C-12583</v>
          </cell>
          <cell r="E19" t="str">
            <v>XE</v>
          </cell>
          <cell r="F19">
            <v>1</v>
          </cell>
          <cell r="G19" t="str">
            <v>Việt Nam</v>
          </cell>
          <cell r="H19" t="str">
            <v>X4</v>
          </cell>
          <cell r="I19">
            <v>216363636</v>
          </cell>
          <cell r="J19"/>
        </row>
        <row r="20">
          <cell r="B20" t="str">
            <v>36C-13984</v>
          </cell>
          <cell r="C20" t="str">
            <v>xe có đky gốc</v>
          </cell>
          <cell r="D20" t="str">
            <v>36C-13984</v>
          </cell>
          <cell r="E20" t="str">
            <v>XE</v>
          </cell>
          <cell r="F20">
            <v>1</v>
          </cell>
          <cell r="G20" t="str">
            <v>Việt Nam</v>
          </cell>
          <cell r="H20" t="str">
            <v>X5</v>
          </cell>
          <cell r="I20">
            <v>242727272</v>
          </cell>
          <cell r="J20"/>
        </row>
        <row r="21">
          <cell r="B21" t="str">
            <v>36C-12549</v>
          </cell>
          <cell r="C21" t="str">
            <v>XE TẢI CHIẾN THẮNG</v>
          </cell>
          <cell r="D21" t="str">
            <v>36C-12549</v>
          </cell>
          <cell r="E21" t="str">
            <v>XE</v>
          </cell>
          <cell r="F21">
            <v>1</v>
          </cell>
          <cell r="G21" t="str">
            <v>Việt Nam</v>
          </cell>
          <cell r="H21" t="str">
            <v>X4</v>
          </cell>
          <cell r="I21">
            <v>227272727</v>
          </cell>
          <cell r="J21"/>
        </row>
        <row r="22">
          <cell r="B22" t="str">
            <v>36C-03705</v>
          </cell>
          <cell r="C22" t="str">
            <v>xe tải chiến thắng</v>
          </cell>
          <cell r="D22" t="str">
            <v>36C-03705</v>
          </cell>
          <cell r="E22" t="str">
            <v>XE</v>
          </cell>
          <cell r="F22">
            <v>1</v>
          </cell>
          <cell r="G22" t="str">
            <v>Việt Nam</v>
          </cell>
          <cell r="H22" t="str">
            <v>X5</v>
          </cell>
          <cell r="I22">
            <v>102000000</v>
          </cell>
          <cell r="J22"/>
        </row>
        <row r="23">
          <cell r="B23" t="str">
            <v>36C-02814</v>
          </cell>
          <cell r="C23" t="str">
            <v>XE TẢI CỬU LONG</v>
          </cell>
          <cell r="D23" t="str">
            <v>36C-02814</v>
          </cell>
          <cell r="E23" t="str">
            <v>XE</v>
          </cell>
          <cell r="F23">
            <v>1</v>
          </cell>
          <cell r="G23" t="str">
            <v>Việt Nam</v>
          </cell>
          <cell r="H23" t="str">
            <v>X5</v>
          </cell>
          <cell r="I23">
            <v>102000000</v>
          </cell>
          <cell r="J23"/>
        </row>
        <row r="24">
          <cell r="B24" t="str">
            <v>36C-04291</v>
          </cell>
          <cell r="C24" t="str">
            <v>xe có dky gốc</v>
          </cell>
          <cell r="D24" t="str">
            <v>36C-04291</v>
          </cell>
          <cell r="E24" t="str">
            <v>XE</v>
          </cell>
          <cell r="F24">
            <v>1</v>
          </cell>
          <cell r="G24" t="str">
            <v xml:space="preserve"> </v>
          </cell>
          <cell r="H24" t="str">
            <v>X5</v>
          </cell>
          <cell r="I24">
            <v>209090909</v>
          </cell>
          <cell r="J24"/>
        </row>
        <row r="25">
          <cell r="B25" t="str">
            <v>36C-09166</v>
          </cell>
          <cell r="C25" t="str">
            <v>XE TẢI THACO(Có Đ.Ký Gốc)</v>
          </cell>
          <cell r="D25" t="str">
            <v>36C-09166</v>
          </cell>
          <cell r="E25" t="str">
            <v>XE</v>
          </cell>
          <cell r="F25">
            <v>1</v>
          </cell>
          <cell r="G25" t="str">
            <v>Việt Nam</v>
          </cell>
          <cell r="H25" t="str">
            <v>X5</v>
          </cell>
          <cell r="I25">
            <v>75000000</v>
          </cell>
          <cell r="J25"/>
        </row>
        <row r="26">
          <cell r="B26" t="str">
            <v>36N-2301</v>
          </cell>
          <cell r="C26" t="str">
            <v>XE TẢI CỬU LONG(Có Đ.Ký Gốc)</v>
          </cell>
          <cell r="D26" t="str">
            <v>36N-2301</v>
          </cell>
          <cell r="E26" t="str">
            <v>XE</v>
          </cell>
          <cell r="F26">
            <v>1</v>
          </cell>
          <cell r="G26" t="str">
            <v>Việt Nam</v>
          </cell>
          <cell r="H26" t="str">
            <v>X5</v>
          </cell>
          <cell r="I26">
            <v>200000000</v>
          </cell>
          <cell r="J26"/>
        </row>
        <row r="27">
          <cell r="B27" t="str">
            <v>36C-25342</v>
          </cell>
          <cell r="C27" t="str">
            <v xml:space="preserve">xe có dky gốc </v>
          </cell>
          <cell r="D27" t="str">
            <v>36C-25342</v>
          </cell>
          <cell r="E27" t="str">
            <v>XE</v>
          </cell>
          <cell r="F27">
            <v>1</v>
          </cell>
          <cell r="G27" t="str">
            <v>Việt Nam</v>
          </cell>
          <cell r="H27" t="str">
            <v>X5</v>
          </cell>
          <cell r="I27">
            <v>200000000</v>
          </cell>
          <cell r="J27"/>
        </row>
        <row r="28">
          <cell r="B28" t="str">
            <v>36C-25184</v>
          </cell>
          <cell r="C28" t="str">
            <v xml:space="preserve">xe có dky gốc </v>
          </cell>
          <cell r="D28" t="str">
            <v>36C-25184</v>
          </cell>
          <cell r="E28" t="str">
            <v>XE</v>
          </cell>
          <cell r="F28">
            <v>1</v>
          </cell>
          <cell r="G28" t="str">
            <v>Việt Nam</v>
          </cell>
          <cell r="H28" t="str">
            <v>X5</v>
          </cell>
          <cell r="I28">
            <v>200000000</v>
          </cell>
          <cell r="J28"/>
        </row>
        <row r="29">
          <cell r="B29" t="str">
            <v>36C-15736</v>
          </cell>
          <cell r="C29" t="str">
            <v>XE TẢI CHIẾN THẮNG(có dky gốc)</v>
          </cell>
          <cell r="D29" t="str">
            <v>36C-15736</v>
          </cell>
          <cell r="E29" t="str">
            <v>XE</v>
          </cell>
          <cell r="F29">
            <v>1</v>
          </cell>
          <cell r="G29" t="str">
            <v>Việt Nam</v>
          </cell>
          <cell r="H29" t="str">
            <v>X5</v>
          </cell>
          <cell r="I29">
            <v>236363636</v>
          </cell>
          <cell r="J29"/>
        </row>
        <row r="30">
          <cell r="B30" t="str">
            <v>36C-23236</v>
          </cell>
          <cell r="C30" t="str">
            <v>XE TẢI THACO(XE CẨU)</v>
          </cell>
          <cell r="D30" t="str">
            <v>36C-23236</v>
          </cell>
          <cell r="E30" t="str">
            <v>XE</v>
          </cell>
          <cell r="F30">
            <v>1</v>
          </cell>
          <cell r="G30"/>
          <cell r="H30" t="str">
            <v>X5</v>
          </cell>
          <cell r="I30">
            <v>2136363636</v>
          </cell>
          <cell r="J30"/>
        </row>
        <row r="31">
          <cell r="B31" t="str">
            <v/>
          </cell>
          <cell r="C31" t="str">
            <v>XE BƠM</v>
          </cell>
          <cell r="D31"/>
          <cell r="E31"/>
          <cell r="F31"/>
          <cell r="G31"/>
          <cell r="H31"/>
          <cell r="I31"/>
          <cell r="J31"/>
        </row>
        <row r="32">
          <cell r="B32" t="str">
            <v>36C-07322</v>
          </cell>
          <cell r="C32" t="str">
            <v>XE BƠM</v>
          </cell>
          <cell r="D32" t="str">
            <v>36C-07322</v>
          </cell>
          <cell r="E32" t="str">
            <v>XE</v>
          </cell>
          <cell r="F32">
            <v>1</v>
          </cell>
          <cell r="G32"/>
          <cell r="H32" t="str">
            <v>X5</v>
          </cell>
          <cell r="I32"/>
          <cell r="J32"/>
        </row>
        <row r="33">
          <cell r="B33" t="str">
            <v>6HC-00128</v>
          </cell>
          <cell r="C33" t="str">
            <v>XE BƠM CẦN 46</v>
          </cell>
          <cell r="D33" t="str">
            <v>36HC-00128</v>
          </cell>
          <cell r="E33" t="str">
            <v>XE</v>
          </cell>
          <cell r="F33">
            <v>1</v>
          </cell>
          <cell r="G33"/>
          <cell r="H33" t="str">
            <v>X5</v>
          </cell>
          <cell r="I33">
            <v>3000000000</v>
          </cell>
          <cell r="J33"/>
        </row>
        <row r="34">
          <cell r="B34" t="str">
            <v>36C-24307</v>
          </cell>
          <cell r="C34" t="str">
            <v>XE BƠM CẦN 37</v>
          </cell>
          <cell r="D34" t="str">
            <v>36C-24307</v>
          </cell>
          <cell r="E34" t="str">
            <v>XE</v>
          </cell>
          <cell r="F34">
            <v>1</v>
          </cell>
          <cell r="G34"/>
          <cell r="H34" t="str">
            <v>X5</v>
          </cell>
          <cell r="I34">
            <v>4909090909</v>
          </cell>
          <cell r="J34"/>
        </row>
        <row r="35">
          <cell r="B35" t="str">
            <v>6HC-00613</v>
          </cell>
          <cell r="C35" t="str">
            <v>XE BƠM MỚI CẦN 36</v>
          </cell>
          <cell r="D35" t="str">
            <v>36HC-00613</v>
          </cell>
          <cell r="E35" t="str">
            <v>XE</v>
          </cell>
          <cell r="F35">
            <v>1</v>
          </cell>
          <cell r="G35"/>
          <cell r="H35" t="str">
            <v>X5</v>
          </cell>
          <cell r="I35"/>
          <cell r="J35"/>
        </row>
        <row r="36">
          <cell r="B36" t="str">
            <v>36H-00019</v>
          </cell>
          <cell r="C36" t="str">
            <v xml:space="preserve">XE BƠM MỚI </v>
          </cell>
          <cell r="D36" t="str">
            <v>36H-00019</v>
          </cell>
          <cell r="E36" t="str">
            <v>XE</v>
          </cell>
          <cell r="F36">
            <v>1</v>
          </cell>
          <cell r="G36"/>
          <cell r="H36" t="str">
            <v>X5</v>
          </cell>
          <cell r="I36"/>
          <cell r="J36"/>
        </row>
        <row r="37">
          <cell r="B37" t="str">
            <v/>
          </cell>
          <cell r="C37" t="str">
            <v>Ô TÔ TRỘN BÊ TÔNG</v>
          </cell>
          <cell r="D37"/>
          <cell r="E37"/>
          <cell r="F37"/>
          <cell r="G37"/>
          <cell r="H37"/>
          <cell r="I37"/>
          <cell r="J37"/>
        </row>
        <row r="38">
          <cell r="B38" t="str">
            <v>36C-24529</v>
          </cell>
          <cell r="C38" t="str">
            <v>Ô TÔ TRỘN BÊ TÔNG</v>
          </cell>
          <cell r="D38" t="str">
            <v>36C-24529</v>
          </cell>
          <cell r="E38" t="str">
            <v>XE</v>
          </cell>
          <cell r="F38">
            <v>1</v>
          </cell>
          <cell r="G38" t="str">
            <v>TRUNG QUỐC</v>
          </cell>
          <cell r="H38" t="str">
            <v>X5</v>
          </cell>
          <cell r="I38">
            <v>1118181818</v>
          </cell>
          <cell r="J38"/>
        </row>
        <row r="39">
          <cell r="B39" t="str">
            <v>36C-24591</v>
          </cell>
          <cell r="C39" t="str">
            <v>Ô TÔ TRỘN BÊ TÔNG</v>
          </cell>
          <cell r="D39" t="str">
            <v>36C-24591</v>
          </cell>
          <cell r="E39" t="str">
            <v>XE</v>
          </cell>
          <cell r="F39">
            <v>1</v>
          </cell>
          <cell r="G39" t="str">
            <v>TRUNG QUỐC</v>
          </cell>
          <cell r="H39" t="str">
            <v>X5</v>
          </cell>
          <cell r="I39">
            <v>1118181818</v>
          </cell>
          <cell r="J39"/>
        </row>
        <row r="40">
          <cell r="B40" t="str">
            <v>36C-24609</v>
          </cell>
          <cell r="C40" t="str">
            <v>Ô TÔ TRỘN BÊ TÔNG</v>
          </cell>
          <cell r="D40" t="str">
            <v>36C-24609</v>
          </cell>
          <cell r="E40" t="str">
            <v>XE</v>
          </cell>
          <cell r="F40">
            <v>1</v>
          </cell>
          <cell r="G40" t="str">
            <v>TRUNG QUỐC</v>
          </cell>
          <cell r="H40" t="str">
            <v>X5</v>
          </cell>
          <cell r="I40">
            <v>1165454545</v>
          </cell>
          <cell r="J40"/>
        </row>
        <row r="41">
          <cell r="B41" t="str">
            <v>36C-24686</v>
          </cell>
          <cell r="C41" t="str">
            <v>Ô TÔ TRỘN BÊ TÔNG</v>
          </cell>
          <cell r="D41" t="str">
            <v>36C-24686</v>
          </cell>
          <cell r="E41" t="str">
            <v>XE</v>
          </cell>
          <cell r="F41">
            <v>1</v>
          </cell>
          <cell r="G41" t="str">
            <v>TRUNG QUỐC</v>
          </cell>
          <cell r="H41" t="str">
            <v>X5</v>
          </cell>
          <cell r="I41">
            <v>1072727273</v>
          </cell>
          <cell r="J41"/>
        </row>
        <row r="42">
          <cell r="B42" t="str">
            <v>36C-24714</v>
          </cell>
          <cell r="C42" t="str">
            <v>Ô TÔ TRỘN BÊ TÔNG</v>
          </cell>
          <cell r="D42" t="str">
            <v>36C-24714</v>
          </cell>
          <cell r="E42" t="str">
            <v>XE</v>
          </cell>
          <cell r="F42">
            <v>1</v>
          </cell>
          <cell r="G42" t="str">
            <v>TRUNG QUỐC</v>
          </cell>
          <cell r="H42" t="str">
            <v>X5</v>
          </cell>
          <cell r="I42">
            <v>1072727273</v>
          </cell>
          <cell r="J42"/>
        </row>
        <row r="43">
          <cell r="B43" t="str">
            <v>36C-24582</v>
          </cell>
          <cell r="C43" t="str">
            <v>Ô TÔ TRỘN BÊ TÔNG</v>
          </cell>
          <cell r="D43" t="str">
            <v>36C-24582</v>
          </cell>
          <cell r="E43" t="str">
            <v>XE</v>
          </cell>
          <cell r="F43">
            <v>1</v>
          </cell>
          <cell r="G43" t="str">
            <v>TRUNG QUỐC</v>
          </cell>
          <cell r="H43" t="str">
            <v>X5</v>
          </cell>
          <cell r="I43">
            <v>1118181818</v>
          </cell>
          <cell r="J43"/>
        </row>
        <row r="44">
          <cell r="B44" t="str">
            <v>36C-24831</v>
          </cell>
          <cell r="C44" t="str">
            <v>Ô TÔ TRỘN BÊ TÔNG</v>
          </cell>
          <cell r="D44" t="str">
            <v>36C-24831</v>
          </cell>
          <cell r="E44" t="str">
            <v>XE</v>
          </cell>
          <cell r="F44">
            <v>1</v>
          </cell>
          <cell r="G44" t="str">
            <v>TRUNG QUỐC</v>
          </cell>
          <cell r="H44" t="str">
            <v>X5</v>
          </cell>
          <cell r="I44">
            <v>1072727273</v>
          </cell>
          <cell r="J44"/>
        </row>
        <row r="45">
          <cell r="B45" t="str">
            <v>36C-24848</v>
          </cell>
          <cell r="C45" t="str">
            <v>Ô TÔ TRỘN BÊ TÔNG</v>
          </cell>
          <cell r="D45" t="str">
            <v>36C-24848</v>
          </cell>
          <cell r="E45" t="str">
            <v>XE</v>
          </cell>
          <cell r="F45">
            <v>1</v>
          </cell>
          <cell r="G45" t="str">
            <v>TRUNG QUỐC</v>
          </cell>
          <cell r="H45" t="str">
            <v>X5</v>
          </cell>
          <cell r="I45">
            <v>1072727273</v>
          </cell>
          <cell r="J45"/>
        </row>
        <row r="46">
          <cell r="B46" t="str">
            <v>36C-24941</v>
          </cell>
          <cell r="C46" t="str">
            <v>Ô TÔ TRỘN BÊ TÔNG</v>
          </cell>
          <cell r="D46" t="str">
            <v>36C-24941</v>
          </cell>
          <cell r="E46" t="str">
            <v>XE</v>
          </cell>
          <cell r="F46">
            <v>1</v>
          </cell>
          <cell r="G46" t="str">
            <v>TRUNG QUỐC</v>
          </cell>
          <cell r="H46" t="str">
            <v>X5</v>
          </cell>
          <cell r="I46">
            <v>1072727273</v>
          </cell>
          <cell r="J46"/>
        </row>
        <row r="47">
          <cell r="B47" t="str">
            <v>36C-24542</v>
          </cell>
          <cell r="C47" t="str">
            <v>Ô TÔ TRỘN BÊ TÔNG</v>
          </cell>
          <cell r="D47" t="str">
            <v>36C-24542</v>
          </cell>
          <cell r="E47" t="str">
            <v>XE</v>
          </cell>
          <cell r="F47">
            <v>1</v>
          </cell>
          <cell r="G47" t="str">
            <v>TRUNG QUỐC</v>
          </cell>
          <cell r="H47" t="str">
            <v>X5</v>
          </cell>
          <cell r="I47">
            <v>1118181818</v>
          </cell>
          <cell r="J47"/>
        </row>
        <row r="48">
          <cell r="B48" t="str">
            <v>36C-30627</v>
          </cell>
          <cell r="C48" t="str">
            <v>Ô TÔ TRỘN BÊ TÔNG</v>
          </cell>
          <cell r="D48" t="str">
            <v>36C-30627</v>
          </cell>
          <cell r="E48" t="str">
            <v>XE</v>
          </cell>
          <cell r="F48">
            <v>1</v>
          </cell>
          <cell r="G48" t="str">
            <v>TRUNG QUỐC</v>
          </cell>
          <cell r="H48" t="str">
            <v>X5</v>
          </cell>
          <cell r="I48"/>
          <cell r="J48"/>
        </row>
        <row r="49">
          <cell r="B49" t="str">
            <v>36C-30663</v>
          </cell>
          <cell r="C49" t="str">
            <v>Ô TÔ TRỘN BÊ TÔNG</v>
          </cell>
          <cell r="D49" t="str">
            <v>36C-30663</v>
          </cell>
          <cell r="E49" t="str">
            <v>XE</v>
          </cell>
          <cell r="F49">
            <v>1</v>
          </cell>
          <cell r="G49" t="str">
            <v>TRUNG QUỐC</v>
          </cell>
          <cell r="H49" t="str">
            <v>X5</v>
          </cell>
          <cell r="I49"/>
          <cell r="J49"/>
        </row>
        <row r="50">
          <cell r="B50" t="str">
            <v>36C-16095</v>
          </cell>
          <cell r="C50" t="str">
            <v>Ô TÔ TRỘN BÊ TÔNG</v>
          </cell>
          <cell r="D50" t="str">
            <v>36C-16095</v>
          </cell>
          <cell r="E50" t="str">
            <v>XE</v>
          </cell>
          <cell r="F50">
            <v>1</v>
          </cell>
          <cell r="G50" t="str">
            <v>TRUNG QUỐC</v>
          </cell>
          <cell r="H50" t="str">
            <v>X6</v>
          </cell>
          <cell r="I50"/>
          <cell r="J50"/>
        </row>
        <row r="51">
          <cell r="B51" t="str">
            <v>36C-16047</v>
          </cell>
          <cell r="C51" t="str">
            <v>Ô TÔ TRỘN BÊ TÔNG</v>
          </cell>
          <cell r="D51" t="str">
            <v>36C-16047</v>
          </cell>
          <cell r="E51" t="str">
            <v>XE</v>
          </cell>
          <cell r="F51">
            <v>1</v>
          </cell>
          <cell r="G51" t="str">
            <v>TRUNG QUỐC</v>
          </cell>
          <cell r="H51" t="str">
            <v>X6</v>
          </cell>
          <cell r="I51"/>
          <cell r="J51"/>
        </row>
        <row r="52">
          <cell r="B52" t="str">
            <v>36C-13902</v>
          </cell>
          <cell r="C52" t="str">
            <v>Ô TÔ TRỘN BÊ TÔNG</v>
          </cell>
          <cell r="D52" t="str">
            <v>36C-13902</v>
          </cell>
          <cell r="E52" t="str">
            <v>XE</v>
          </cell>
          <cell r="F52">
            <v>1</v>
          </cell>
          <cell r="G52" t="str">
            <v>TRUNG QUỐC</v>
          </cell>
          <cell r="H52" t="str">
            <v>X6</v>
          </cell>
          <cell r="I52"/>
          <cell r="J52"/>
        </row>
        <row r="53">
          <cell r="B53" t="str">
            <v>36C-14663</v>
          </cell>
          <cell r="C53" t="str">
            <v>Ô TÔ TRỘN BÊ TÔNG 14663</v>
          </cell>
          <cell r="D53" t="str">
            <v>36C-14663</v>
          </cell>
          <cell r="E53" t="str">
            <v>XE</v>
          </cell>
          <cell r="F53">
            <v>1</v>
          </cell>
          <cell r="G53" t="str">
            <v>TRUNG QUỐC</v>
          </cell>
          <cell r="H53" t="str">
            <v>X6</v>
          </cell>
          <cell r="I53"/>
          <cell r="J53"/>
        </row>
        <row r="54">
          <cell r="B54" t="str">
            <v>36C-06810</v>
          </cell>
          <cell r="C54" t="str">
            <v>Ô TÔ TRỘN BÊ TÔNG</v>
          </cell>
          <cell r="D54" t="str">
            <v>36C-06810</v>
          </cell>
          <cell r="E54" t="str">
            <v>XE</v>
          </cell>
          <cell r="F54">
            <v>1</v>
          </cell>
          <cell r="G54" t="str">
            <v>TRUNG QUỐC</v>
          </cell>
          <cell r="H54" t="str">
            <v>X5</v>
          </cell>
          <cell r="I54"/>
          <cell r="J54"/>
        </row>
        <row r="55">
          <cell r="B55" t="str">
            <v>36C-06865</v>
          </cell>
          <cell r="C55" t="str">
            <v>Ô TÔ TRỘN BÊ TÔNG</v>
          </cell>
          <cell r="D55" t="str">
            <v>36C-06865</v>
          </cell>
          <cell r="E55" t="str">
            <v>XE</v>
          </cell>
          <cell r="F55">
            <v>1</v>
          </cell>
          <cell r="G55" t="str">
            <v>TRUNG QUỐC</v>
          </cell>
          <cell r="H55" t="str">
            <v>X5</v>
          </cell>
          <cell r="I55"/>
          <cell r="J55"/>
        </row>
        <row r="56">
          <cell r="B56" t="str">
            <v>36C-11480</v>
          </cell>
          <cell r="C56" t="str">
            <v>Ô TÔ TRỘN BÊ TÔNG</v>
          </cell>
          <cell r="D56" t="str">
            <v>36C-11480</v>
          </cell>
          <cell r="E56" t="str">
            <v>XE</v>
          </cell>
          <cell r="F56">
            <v>1</v>
          </cell>
          <cell r="G56" t="str">
            <v>TRUNG QUỐC</v>
          </cell>
          <cell r="H56" t="str">
            <v>X6</v>
          </cell>
          <cell r="I56"/>
          <cell r="J56"/>
        </row>
        <row r="57">
          <cell r="B57" t="str">
            <v>36C-19780</v>
          </cell>
          <cell r="C57" t="str">
            <v>Ô TÔ TRỘN BÊ TÔNG</v>
          </cell>
          <cell r="D57" t="str">
            <v>36C-19780</v>
          </cell>
          <cell r="E57" t="str">
            <v>XE</v>
          </cell>
          <cell r="F57">
            <v>1</v>
          </cell>
          <cell r="G57" t="str">
            <v>TRUNG QUỐC</v>
          </cell>
          <cell r="H57" t="str">
            <v>X6</v>
          </cell>
          <cell r="I57"/>
          <cell r="J57"/>
        </row>
        <row r="58">
          <cell r="B58" t="str">
            <v>C - 14671</v>
          </cell>
          <cell r="C58" t="str">
            <v>Ô TÔ TRỘN BÊ TÔNG</v>
          </cell>
          <cell r="D58" t="str">
            <v>36C - 14671</v>
          </cell>
          <cell r="E58" t="str">
            <v>XE</v>
          </cell>
          <cell r="F58">
            <v>1</v>
          </cell>
          <cell r="G58" t="str">
            <v>TRUNG QUỐC</v>
          </cell>
          <cell r="H58" t="str">
            <v>X6</v>
          </cell>
          <cell r="I58"/>
          <cell r="J58"/>
        </row>
        <row r="59">
          <cell r="B59" t="str">
            <v>6C- 19147</v>
          </cell>
          <cell r="C59" t="str">
            <v>Ô TÔ TRỘN BÊ TÔNG</v>
          </cell>
          <cell r="D59" t="str">
            <v>36C- 19147</v>
          </cell>
          <cell r="E59" t="str">
            <v>XE</v>
          </cell>
          <cell r="F59">
            <v>1</v>
          </cell>
          <cell r="G59" t="str">
            <v>TRUNG QUỐC</v>
          </cell>
          <cell r="H59" t="str">
            <v>X5</v>
          </cell>
          <cell r="I59"/>
          <cell r="J59"/>
        </row>
        <row r="60">
          <cell r="B60" t="str">
            <v/>
          </cell>
          <cell r="C60" t="str">
            <v>XE VĂN PHÒNG</v>
          </cell>
          <cell r="D60"/>
          <cell r="E60"/>
          <cell r="F60"/>
          <cell r="G60"/>
          <cell r="H60"/>
          <cell r="I60"/>
          <cell r="J60"/>
        </row>
        <row r="61">
          <cell r="B61" t="str">
            <v>6C -21956</v>
          </cell>
          <cell r="C61" t="str">
            <v>XE BÁN TẢI</v>
          </cell>
          <cell r="D61" t="str">
            <v>36C -21956</v>
          </cell>
          <cell r="E61" t="str">
            <v>XE</v>
          </cell>
          <cell r="F61">
            <v>1</v>
          </cell>
          <cell r="G61"/>
          <cell r="H61" t="str">
            <v>anh nam</v>
          </cell>
          <cell r="I61">
            <v>595454545</v>
          </cell>
          <cell r="J61"/>
        </row>
        <row r="62">
          <cell r="B62" t="str">
            <v>A - 34273</v>
          </cell>
          <cell r="C62" t="str">
            <v>XE CON LAND</v>
          </cell>
          <cell r="D62" t="str">
            <v>36A - 34273</v>
          </cell>
          <cell r="E62" t="str">
            <v>XE</v>
          </cell>
          <cell r="F62">
            <v>1</v>
          </cell>
          <cell r="G62"/>
          <cell r="H62" t="str">
            <v>sếp thương</v>
          </cell>
          <cell r="I62">
            <v>3660000000</v>
          </cell>
          <cell r="J62"/>
        </row>
        <row r="63">
          <cell r="B63" t="str">
            <v>29D-06426</v>
          </cell>
          <cell r="C63" t="str">
            <v>XE CON 2 CHỔ</v>
          </cell>
          <cell r="D63" t="str">
            <v>29D-06426</v>
          </cell>
          <cell r="E63" t="str">
            <v>XE</v>
          </cell>
          <cell r="F63">
            <v>1</v>
          </cell>
          <cell r="G63"/>
          <cell r="H63" t="str">
            <v>thị trường</v>
          </cell>
          <cell r="I63">
            <v>168000000</v>
          </cell>
          <cell r="J63"/>
        </row>
        <row r="64">
          <cell r="B64" t="str">
            <v/>
          </cell>
          <cell r="C64" t="str">
            <v>Ô TÔ ĐẦU KÉO</v>
          </cell>
          <cell r="D64"/>
          <cell r="E64"/>
          <cell r="F64"/>
          <cell r="G64"/>
          <cell r="H64"/>
          <cell r="I64"/>
          <cell r="J64"/>
        </row>
        <row r="65">
          <cell r="B65" t="str">
            <v>36C-08996</v>
          </cell>
          <cell r="C65" t="str">
            <v>Ô TÔ ĐẦU KÉO(có đký gốc)</v>
          </cell>
          <cell r="D65" t="str">
            <v>36C-08996</v>
          </cell>
          <cell r="E65" t="str">
            <v>XE</v>
          </cell>
          <cell r="F65">
            <v>1</v>
          </cell>
          <cell r="G65"/>
          <cell r="H65" t="str">
            <v>LC</v>
          </cell>
          <cell r="I65">
            <v>840000000</v>
          </cell>
          <cell r="J65"/>
        </row>
        <row r="66">
          <cell r="B66" t="str">
            <v>36C-18708</v>
          </cell>
          <cell r="C66" t="str">
            <v>Ô TÔ ĐẦU KÉO</v>
          </cell>
          <cell r="D66" t="str">
            <v>36C-18708</v>
          </cell>
          <cell r="E66" t="str">
            <v>XE</v>
          </cell>
          <cell r="F66">
            <v>1</v>
          </cell>
          <cell r="G66"/>
          <cell r="H66" t="str">
            <v>LC</v>
          </cell>
          <cell r="I66">
            <v>809090909</v>
          </cell>
          <cell r="J66"/>
        </row>
        <row r="67">
          <cell r="B67" t="str">
            <v>36C-12623</v>
          </cell>
          <cell r="C67" t="str">
            <v>Ô TÔ ĐẦU KÉO(có đký gốc)</v>
          </cell>
          <cell r="D67" t="str">
            <v>36C-12623</v>
          </cell>
          <cell r="E67" t="str">
            <v>XE</v>
          </cell>
          <cell r="F67">
            <v>1</v>
          </cell>
          <cell r="G67"/>
          <cell r="H67" t="str">
            <v>LC</v>
          </cell>
          <cell r="I67">
            <v>878181818</v>
          </cell>
          <cell r="J67"/>
        </row>
        <row r="68">
          <cell r="B68" t="str">
            <v>36C-08136</v>
          </cell>
          <cell r="C68" t="str">
            <v>Ô TÔ ĐẦU KÉO</v>
          </cell>
          <cell r="D68" t="str">
            <v>36C-08136</v>
          </cell>
          <cell r="E68" t="str">
            <v>XE</v>
          </cell>
          <cell r="F68">
            <v>1</v>
          </cell>
          <cell r="G68"/>
          <cell r="H68" t="str">
            <v>LC</v>
          </cell>
          <cell r="I68">
            <v>909090909</v>
          </cell>
          <cell r="J68"/>
        </row>
        <row r="69">
          <cell r="B69" t="str">
            <v>36C-08190</v>
          </cell>
          <cell r="C69" t="str">
            <v>Ô TÔ ĐẦU KÉO</v>
          </cell>
          <cell r="D69" t="str">
            <v>36C-08190</v>
          </cell>
          <cell r="E69" t="str">
            <v>XE</v>
          </cell>
          <cell r="F69">
            <v>1</v>
          </cell>
          <cell r="G69"/>
          <cell r="H69" t="str">
            <v>LC</v>
          </cell>
          <cell r="I69">
            <v>909090909</v>
          </cell>
          <cell r="J69"/>
        </row>
        <row r="70">
          <cell r="B70" t="str">
            <v>36C-18881</v>
          </cell>
          <cell r="C70" t="str">
            <v>Ô TÔ ĐẦU KÉO</v>
          </cell>
          <cell r="D70" t="str">
            <v>36C-18881</v>
          </cell>
          <cell r="E70" t="str">
            <v>XE</v>
          </cell>
          <cell r="F70">
            <v>1</v>
          </cell>
          <cell r="G70"/>
          <cell r="H70" t="str">
            <v>LC</v>
          </cell>
          <cell r="I70">
            <v>809090909</v>
          </cell>
          <cell r="J70"/>
        </row>
        <row r="71">
          <cell r="B71" t="str">
            <v>36C-28130</v>
          </cell>
          <cell r="C71" t="str">
            <v>Ô TÔ ĐẦU KÉO</v>
          </cell>
          <cell r="D71" t="str">
            <v>36C-28130</v>
          </cell>
          <cell r="E71" t="str">
            <v>XE</v>
          </cell>
          <cell r="F71">
            <v>1</v>
          </cell>
          <cell r="G71"/>
          <cell r="H71" t="str">
            <v>LC</v>
          </cell>
          <cell r="I71">
            <v>1200000000</v>
          </cell>
          <cell r="J71"/>
        </row>
        <row r="72">
          <cell r="B72" t="str">
            <v/>
          </cell>
          <cell r="C72" t="str">
            <v xml:space="preserve">SƠ MI MOOC  </v>
          </cell>
          <cell r="D72"/>
          <cell r="E72"/>
          <cell r="F72"/>
          <cell r="G72"/>
          <cell r="H72"/>
          <cell r="I72"/>
          <cell r="J72"/>
        </row>
        <row r="73">
          <cell r="B73" t="str">
            <v>36R-00117</v>
          </cell>
          <cell r="C73" t="str">
            <v>SƠ MI MOOC TẢI SỐ 36R-00117</v>
          </cell>
          <cell r="D73"/>
          <cell r="E73" t="str">
            <v>XE</v>
          </cell>
          <cell r="F73">
            <v>1</v>
          </cell>
          <cell r="G73"/>
          <cell r="H73" t="str">
            <v>X4</v>
          </cell>
          <cell r="I73">
            <v>292727273</v>
          </cell>
          <cell r="J73">
            <v>2012</v>
          </cell>
        </row>
        <row r="74">
          <cell r="B74" t="str">
            <v>36R-01621</v>
          </cell>
          <cell r="C74" t="str">
            <v>SƠ MI MOOC TẢI SỐ 36R-01621</v>
          </cell>
          <cell r="D74"/>
          <cell r="E74" t="str">
            <v>XE</v>
          </cell>
          <cell r="F74">
            <v>1</v>
          </cell>
          <cell r="G74"/>
          <cell r="H74" t="str">
            <v>X4</v>
          </cell>
          <cell r="I74">
            <v>280000000</v>
          </cell>
          <cell r="J74">
            <v>2012</v>
          </cell>
        </row>
        <row r="75">
          <cell r="B75" t="str">
            <v>36R-00886</v>
          </cell>
          <cell r="C75" t="str">
            <v>SƠ MI MOOC TẢI SỐ 36R-00886</v>
          </cell>
          <cell r="D75"/>
          <cell r="E75" t="str">
            <v>XE</v>
          </cell>
          <cell r="F75">
            <v>1</v>
          </cell>
          <cell r="G75"/>
          <cell r="H75" t="str">
            <v>X4</v>
          </cell>
          <cell r="I75">
            <v>292727273</v>
          </cell>
          <cell r="J75">
            <v>2012</v>
          </cell>
        </row>
        <row r="76">
          <cell r="B76" t="str">
            <v>36R-00707</v>
          </cell>
          <cell r="C76" t="str">
            <v>SƠ MI MOOC TẢI SỐ 36R-00707</v>
          </cell>
          <cell r="D76" t="str">
            <v>Thịnh 08996</v>
          </cell>
          <cell r="E76" t="str">
            <v>XE</v>
          </cell>
          <cell r="F76">
            <v>1</v>
          </cell>
          <cell r="G76"/>
          <cell r="H76" t="str">
            <v>X4</v>
          </cell>
          <cell r="I76">
            <v>292727273</v>
          </cell>
          <cell r="J76">
            <v>2016</v>
          </cell>
        </row>
        <row r="77">
          <cell r="B77" t="str">
            <v>36R-01035</v>
          </cell>
          <cell r="C77" t="str">
            <v>SƠ MI MOOC TẢI SỐ 36R-01035</v>
          </cell>
          <cell r="D77"/>
          <cell r="E77" t="str">
            <v>XE</v>
          </cell>
          <cell r="F77">
            <v>1</v>
          </cell>
          <cell r="G77"/>
          <cell r="H77" t="str">
            <v>X1</v>
          </cell>
          <cell r="I77">
            <v>259090909</v>
          </cell>
          <cell r="J77">
            <v>2016</v>
          </cell>
        </row>
        <row r="78">
          <cell r="B78" t="str">
            <v>36R-01130</v>
          </cell>
          <cell r="C78" t="str">
            <v>SƠ MI MOOC TẢI SỐ 36R-01130</v>
          </cell>
          <cell r="D78"/>
          <cell r="E78" t="str">
            <v>XE</v>
          </cell>
          <cell r="F78">
            <v>1</v>
          </cell>
          <cell r="G78"/>
          <cell r="H78" t="str">
            <v>X4</v>
          </cell>
          <cell r="I78">
            <v>292727273</v>
          </cell>
          <cell r="J78">
            <v>2016</v>
          </cell>
        </row>
        <row r="79">
          <cell r="B79" t="str">
            <v>36R-00989</v>
          </cell>
          <cell r="C79" t="str">
            <v>SƠ MI MOOC TẢI SỐ 36R-00989</v>
          </cell>
          <cell r="D79"/>
          <cell r="E79" t="str">
            <v>XE</v>
          </cell>
          <cell r="F79">
            <v>1</v>
          </cell>
          <cell r="G79"/>
          <cell r="H79" t="str">
            <v>X4</v>
          </cell>
          <cell r="I79">
            <v>290909090</v>
          </cell>
          <cell r="J79">
            <v>2016</v>
          </cell>
        </row>
        <row r="80">
          <cell r="B80" t="str">
            <v>36R-00763</v>
          </cell>
          <cell r="C80" t="str">
            <v>SƠ MI MOOC TẢI SỐ 36R-00763</v>
          </cell>
          <cell r="D80"/>
          <cell r="E80" t="str">
            <v>XE</v>
          </cell>
          <cell r="F80">
            <v>1</v>
          </cell>
          <cell r="G80"/>
          <cell r="H80" t="str">
            <v>X3</v>
          </cell>
          <cell r="I80">
            <v>292727273</v>
          </cell>
          <cell r="J80">
            <v>2016</v>
          </cell>
        </row>
        <row r="81">
          <cell r="B81" t="str">
            <v>36R-00115</v>
          </cell>
          <cell r="C81" t="str">
            <v>SƠ MI MOOC TẢI SỐ 36R-00115</v>
          </cell>
          <cell r="D81"/>
          <cell r="E81" t="str">
            <v>XE</v>
          </cell>
          <cell r="F81">
            <v>1</v>
          </cell>
          <cell r="G81"/>
          <cell r="H81" t="str">
            <v>X3</v>
          </cell>
          <cell r="I81">
            <v>292727273</v>
          </cell>
          <cell r="J81">
            <v>2016</v>
          </cell>
        </row>
        <row r="82">
          <cell r="B82" t="str">
            <v>36R-00704</v>
          </cell>
          <cell r="C82" t="str">
            <v>SƠ MI MOOC TẢI SỐ 36R-00704</v>
          </cell>
          <cell r="D82"/>
          <cell r="E82" t="str">
            <v>XE</v>
          </cell>
          <cell r="F82">
            <v>1</v>
          </cell>
          <cell r="G82"/>
          <cell r="H82" t="str">
            <v>X3</v>
          </cell>
          <cell r="I82">
            <v>292727273</v>
          </cell>
          <cell r="J82">
            <v>2016</v>
          </cell>
        </row>
        <row r="83">
          <cell r="B83" t="str">
            <v>36R-00752</v>
          </cell>
          <cell r="C83" t="str">
            <v>SƠ MI MOOC TẢI SỐ 36R-00752</v>
          </cell>
          <cell r="D83"/>
          <cell r="E83" t="str">
            <v>XE</v>
          </cell>
          <cell r="F83">
            <v>1</v>
          </cell>
          <cell r="G83"/>
          <cell r="H83" t="str">
            <v>X3</v>
          </cell>
          <cell r="I83">
            <v>318181818</v>
          </cell>
          <cell r="J83">
            <v>2016</v>
          </cell>
        </row>
        <row r="84">
          <cell r="B84" t="str">
            <v>36R-01051</v>
          </cell>
          <cell r="C84" t="str">
            <v>SƠ MI MOOC TẢI SỐ 36R-01051</v>
          </cell>
          <cell r="D84"/>
          <cell r="E84" t="str">
            <v>XE</v>
          </cell>
          <cell r="F84">
            <v>1</v>
          </cell>
          <cell r="G84"/>
          <cell r="H84" t="str">
            <v>X3</v>
          </cell>
          <cell r="I84">
            <v>292727273</v>
          </cell>
          <cell r="J84">
            <v>2012</v>
          </cell>
        </row>
        <row r="85">
          <cell r="B85" t="str">
            <v>R- 06526)</v>
          </cell>
          <cell r="C85" t="str">
            <v>SƠ MI MOOC TẢI(công thanh 29R- 06526)</v>
          </cell>
          <cell r="D85"/>
          <cell r="E85" t="str">
            <v>XE</v>
          </cell>
          <cell r="F85">
            <v>1</v>
          </cell>
          <cell r="G85"/>
          <cell r="H85" t="str">
            <v>X3</v>
          </cell>
          <cell r="I85"/>
          <cell r="J85"/>
        </row>
        <row r="86">
          <cell r="B86" t="str">
            <v>công thanh 6478</v>
          </cell>
          <cell r="C86" t="str">
            <v>SƠ MI MOOC TẢI(công thanh 6478)</v>
          </cell>
          <cell r="D86"/>
          <cell r="E86" t="str">
            <v>XE</v>
          </cell>
          <cell r="F86">
            <v>1</v>
          </cell>
          <cell r="G86"/>
          <cell r="H86" t="str">
            <v>X3</v>
          </cell>
          <cell r="I86"/>
          <cell r="J86"/>
        </row>
        <row r="87">
          <cell r="B87" t="str">
            <v>36R-00753</v>
          </cell>
          <cell r="C87" t="str">
            <v>SƠ MI MOOC TẢI SỐ 36R-00753</v>
          </cell>
          <cell r="D87"/>
          <cell r="E87" t="str">
            <v>XE</v>
          </cell>
          <cell r="F87">
            <v>1</v>
          </cell>
          <cell r="G87"/>
          <cell r="H87" t="str">
            <v>X6</v>
          </cell>
          <cell r="I87">
            <v>292727273</v>
          </cell>
          <cell r="J87">
            <v>2016</v>
          </cell>
        </row>
        <row r="88">
          <cell r="B88" t="str">
            <v>36R-01002</v>
          </cell>
          <cell r="C88" t="str">
            <v>SƠ MI MOOC TẢI SỐ 36R-01002</v>
          </cell>
          <cell r="D88"/>
          <cell r="E88" t="str">
            <v>XE</v>
          </cell>
          <cell r="F88">
            <v>1</v>
          </cell>
          <cell r="G88"/>
          <cell r="H88" t="str">
            <v>X1</v>
          </cell>
          <cell r="I88">
            <v>259090909</v>
          </cell>
          <cell r="J88">
            <v>2016</v>
          </cell>
        </row>
        <row r="89">
          <cell r="B89" t="str">
            <v>36R-00672</v>
          </cell>
          <cell r="C89" t="str">
            <v>SƠ MI MOOC TẢI SỐ 36R-00672</v>
          </cell>
          <cell r="D89" t="str">
            <v>Lực 12623</v>
          </cell>
          <cell r="E89" t="str">
            <v>XE</v>
          </cell>
          <cell r="F89">
            <v>1</v>
          </cell>
          <cell r="G89"/>
          <cell r="H89" t="str">
            <v>X1</v>
          </cell>
          <cell r="I89">
            <v>292727273</v>
          </cell>
          <cell r="J89">
            <v>2015</v>
          </cell>
        </row>
        <row r="90">
          <cell r="B90" t="str">
            <v>36R-00106</v>
          </cell>
          <cell r="C90" t="str">
            <v>SƠ MI MOOC TẢI SỐ 36R-00106</v>
          </cell>
          <cell r="D90"/>
          <cell r="E90" t="str">
            <v>XE</v>
          </cell>
          <cell r="F90">
            <v>1</v>
          </cell>
          <cell r="G90"/>
          <cell r="H90" t="str">
            <v>X1</v>
          </cell>
          <cell r="I90">
            <v>292727273</v>
          </cell>
          <cell r="J90">
            <v>2016</v>
          </cell>
        </row>
        <row r="91">
          <cell r="B91" t="str">
            <v>36R-00606</v>
          </cell>
          <cell r="C91" t="str">
            <v>SƠ MI MOOC TẢI SỐ 36R-00606</v>
          </cell>
          <cell r="D91"/>
          <cell r="E91" t="str">
            <v>XE</v>
          </cell>
          <cell r="F91">
            <v>1</v>
          </cell>
          <cell r="G91"/>
          <cell r="H91" t="str">
            <v>X1</v>
          </cell>
          <cell r="I91">
            <v>292727273</v>
          </cell>
          <cell r="J91">
            <v>2015</v>
          </cell>
        </row>
        <row r="92">
          <cell r="B92" t="str">
            <v>36R-00748</v>
          </cell>
          <cell r="C92" t="str">
            <v>SƠ MI MOOC TẢI SỐ 36R-00748</v>
          </cell>
          <cell r="D92"/>
          <cell r="E92" t="str">
            <v>XE</v>
          </cell>
          <cell r="F92">
            <v>1</v>
          </cell>
          <cell r="G92"/>
          <cell r="H92" t="str">
            <v>X1</v>
          </cell>
          <cell r="I92">
            <v>318181818</v>
          </cell>
          <cell r="J92">
            <v>2015</v>
          </cell>
        </row>
        <row r="93">
          <cell r="B93" t="str">
            <v>36R-00700</v>
          </cell>
          <cell r="C93" t="str">
            <v>SƠ MI MOOC TẢI SỐ 36R-00700</v>
          </cell>
          <cell r="D93"/>
          <cell r="E93" t="str">
            <v>XE</v>
          </cell>
          <cell r="F93">
            <v>1</v>
          </cell>
          <cell r="G93"/>
          <cell r="H93" t="str">
            <v>X1</v>
          </cell>
          <cell r="I93">
            <v>318181818</v>
          </cell>
          <cell r="J93">
            <v>2015</v>
          </cell>
        </row>
        <row r="94">
          <cell r="B94" t="str">
            <v>36R-01014</v>
          </cell>
          <cell r="C94" t="str">
            <v>SƠ MI MOOC TẢI SỐ 36R-01014</v>
          </cell>
          <cell r="D94"/>
          <cell r="E94" t="str">
            <v>XE</v>
          </cell>
          <cell r="F94">
            <v>1</v>
          </cell>
          <cell r="G94"/>
          <cell r="H94" t="str">
            <v>X1</v>
          </cell>
          <cell r="I94">
            <v>292727273</v>
          </cell>
          <cell r="J94">
            <v>2016</v>
          </cell>
        </row>
        <row r="95">
          <cell r="B95" t="str">
            <v>36R-00770</v>
          </cell>
          <cell r="C95" t="str">
            <v>SƠ MI MOOC TẢI SỐ 36R-00770</v>
          </cell>
          <cell r="D95"/>
          <cell r="E95" t="str">
            <v>XE</v>
          </cell>
          <cell r="F95">
            <v>1</v>
          </cell>
          <cell r="G95"/>
          <cell r="H95" t="str">
            <v>X1</v>
          </cell>
          <cell r="I95">
            <v>292727273</v>
          </cell>
          <cell r="J95">
            <v>2015</v>
          </cell>
        </row>
        <row r="96">
          <cell r="B96" t="str">
            <v>36R-00646</v>
          </cell>
          <cell r="C96" t="str">
            <v>SƠ MI MOOC TẢI SỐ 36R-00646</v>
          </cell>
          <cell r="D96"/>
          <cell r="E96" t="str">
            <v>XE</v>
          </cell>
          <cell r="F96">
            <v>1</v>
          </cell>
          <cell r="G96"/>
          <cell r="H96" t="str">
            <v>X1</v>
          </cell>
          <cell r="I96">
            <v>292727273</v>
          </cell>
          <cell r="J96">
            <v>2015</v>
          </cell>
        </row>
        <row r="97">
          <cell r="B97" t="str">
            <v>36R-00101</v>
          </cell>
          <cell r="C97" t="str">
            <v>SƠ MI MOOC TẢI SỐ 36R-00101</v>
          </cell>
          <cell r="D97"/>
          <cell r="E97" t="str">
            <v>XE</v>
          </cell>
          <cell r="F97">
            <v>1</v>
          </cell>
          <cell r="G97"/>
          <cell r="H97" t="str">
            <v>X1</v>
          </cell>
          <cell r="I97">
            <v>190909091</v>
          </cell>
          <cell r="J97">
            <v>2012</v>
          </cell>
        </row>
        <row r="98">
          <cell r="B98" t="str">
            <v>36R-00103</v>
          </cell>
          <cell r="C98" t="str">
            <v>SƠ MI MOOC TẢI SỐ 36R-00103</v>
          </cell>
          <cell r="D98"/>
          <cell r="E98" t="str">
            <v>XE</v>
          </cell>
          <cell r="F98">
            <v>1</v>
          </cell>
          <cell r="G98"/>
          <cell r="H98" t="str">
            <v>X2</v>
          </cell>
          <cell r="I98">
            <v>292727273</v>
          </cell>
          <cell r="J98">
            <v>2012</v>
          </cell>
        </row>
        <row r="99">
          <cell r="B99" t="str">
            <v>36R-00151</v>
          </cell>
          <cell r="C99" t="str">
            <v>SƠ MI MOOC TẢI SỐ 36R-00151</v>
          </cell>
          <cell r="D99"/>
          <cell r="E99" t="str">
            <v>XE</v>
          </cell>
          <cell r="F99">
            <v>1</v>
          </cell>
          <cell r="G99"/>
          <cell r="H99" t="str">
            <v>X2</v>
          </cell>
          <cell r="I99">
            <v>213636363</v>
          </cell>
          <cell r="J99">
            <v>2016</v>
          </cell>
        </row>
        <row r="100">
          <cell r="B100" t="str">
            <v>36R-00478</v>
          </cell>
          <cell r="C100" t="str">
            <v>SƠ MI MOOC TẢI SỐ 36R-00478</v>
          </cell>
          <cell r="D100"/>
          <cell r="E100" t="str">
            <v>XE</v>
          </cell>
          <cell r="F100">
            <v>1</v>
          </cell>
          <cell r="G100"/>
          <cell r="H100" t="str">
            <v>Nhà Dũng Long</v>
          </cell>
          <cell r="I100">
            <v>292727273</v>
          </cell>
          <cell r="J100">
            <v>2016</v>
          </cell>
        </row>
        <row r="101">
          <cell r="B101" t="str">
            <v>36R-00725</v>
          </cell>
          <cell r="C101" t="str">
            <v>SƠ MI MOOC TẢI SỐ 36R-00725</v>
          </cell>
          <cell r="D101"/>
          <cell r="E101" t="str">
            <v>XE</v>
          </cell>
          <cell r="F101">
            <v>1</v>
          </cell>
          <cell r="G101"/>
          <cell r="H101" t="str">
            <v>Sơn Lê</v>
          </cell>
          <cell r="I101">
            <v>292727273</v>
          </cell>
          <cell r="J101">
            <v>2015</v>
          </cell>
        </row>
        <row r="102">
          <cell r="B102" t="str">
            <v>36R-00756</v>
          </cell>
          <cell r="C102" t="str">
            <v>SƠ MI MOOC TẢI SỐ 36R-00756</v>
          </cell>
          <cell r="D102"/>
          <cell r="E102" t="str">
            <v>XE</v>
          </cell>
          <cell r="F102">
            <v>1</v>
          </cell>
          <cell r="G102"/>
          <cell r="H102" t="str">
            <v>Lâm Thủy</v>
          </cell>
          <cell r="I102">
            <v>318181818</v>
          </cell>
          <cell r="J102">
            <v>2015</v>
          </cell>
        </row>
        <row r="103">
          <cell r="B103" t="str">
            <v xml:space="preserve"> 36R-0974</v>
          </cell>
          <cell r="C103" t="str">
            <v>SƠ MI MOOC TẢI SỐ 36R-0974</v>
          </cell>
          <cell r="D103"/>
          <cell r="E103" t="str">
            <v>XE</v>
          </cell>
          <cell r="F103">
            <v>1</v>
          </cell>
          <cell r="G103"/>
          <cell r="H103" t="str">
            <v xml:space="preserve">Hưng Xiêm </v>
          </cell>
          <cell r="I103">
            <v>290909090</v>
          </cell>
          <cell r="J103">
            <v>2016</v>
          </cell>
        </row>
        <row r="104">
          <cell r="B104" t="str">
            <v>6R-001163</v>
          </cell>
          <cell r="C104" t="str">
            <v>SƠ MI MOOC TẢI SỐ 36R-001163</v>
          </cell>
          <cell r="D104"/>
          <cell r="E104" t="str">
            <v>XE</v>
          </cell>
          <cell r="F104">
            <v>1</v>
          </cell>
          <cell r="G104"/>
          <cell r="H104" t="str">
            <v>Cty thạch thành 36</v>
          </cell>
          <cell r="I104">
            <v>292727273</v>
          </cell>
          <cell r="J104">
            <v>2016</v>
          </cell>
        </row>
        <row r="105">
          <cell r="B105" t="str">
            <v>6R- 01483</v>
          </cell>
          <cell r="C105" t="str">
            <v>SƠ MI MOOC TẢI SỐ 36R- 01483</v>
          </cell>
          <cell r="D105"/>
          <cell r="E105" t="str">
            <v>XE</v>
          </cell>
          <cell r="F105">
            <v>1</v>
          </cell>
          <cell r="G105"/>
          <cell r="H105" t="str">
            <v>Vân vân</v>
          </cell>
          <cell r="I105">
            <v>280000000</v>
          </cell>
          <cell r="J105">
            <v>2018</v>
          </cell>
        </row>
        <row r="106">
          <cell r="B106" t="str">
            <v>36R-01575</v>
          </cell>
          <cell r="C106" t="str">
            <v>SƠ MI MOOC XI RỜI  36R-01575</v>
          </cell>
          <cell r="D106"/>
          <cell r="E106" t="str">
            <v>XE</v>
          </cell>
          <cell r="F106">
            <v>1</v>
          </cell>
          <cell r="G106"/>
          <cell r="H106" t="str">
            <v>X5</v>
          </cell>
          <cell r="I106">
            <v>495454545</v>
          </cell>
          <cell r="J106">
            <v>2018</v>
          </cell>
        </row>
        <row r="107">
          <cell r="B107" t="str">
            <v/>
          </cell>
          <cell r="C107" t="str">
            <v>XE NÂNG</v>
          </cell>
          <cell r="D107"/>
          <cell r="E107"/>
          <cell r="F107"/>
          <cell r="G107"/>
          <cell r="H107"/>
          <cell r="I107"/>
          <cell r="J107"/>
        </row>
        <row r="108">
          <cell r="B108" t="str">
            <v>XE NÂNG 3 TẤN</v>
          </cell>
          <cell r="C108" t="str">
            <v>XE NÂNG 3 TẤN</v>
          </cell>
          <cell r="D108"/>
          <cell r="E108" t="str">
            <v>XE</v>
          </cell>
          <cell r="F108">
            <v>1</v>
          </cell>
          <cell r="G108"/>
          <cell r="H108" t="str">
            <v>X5</v>
          </cell>
          <cell r="I108">
            <v>182159000</v>
          </cell>
          <cell r="J108"/>
        </row>
        <row r="109">
          <cell r="B109" t="str">
            <v>XE NÂNG  2.5 TẤN</v>
          </cell>
          <cell r="C109" t="str">
            <v>XE NÂNG  2.5 TẤN</v>
          </cell>
          <cell r="D109"/>
          <cell r="E109" t="str">
            <v>XE</v>
          </cell>
          <cell r="F109">
            <v>1</v>
          </cell>
          <cell r="G109"/>
          <cell r="H109" t="str">
            <v>X5</v>
          </cell>
          <cell r="I109">
            <v>220000000</v>
          </cell>
          <cell r="J109"/>
        </row>
        <row r="110">
          <cell r="B110" t="str">
            <v>XE NÂNG 5 TẤN</v>
          </cell>
          <cell r="C110" t="str">
            <v>XE NÂNG 5 TẤN</v>
          </cell>
          <cell r="D110"/>
          <cell r="E110" t="str">
            <v>XE</v>
          </cell>
          <cell r="F110">
            <v>1</v>
          </cell>
          <cell r="G110"/>
          <cell r="H110" t="str">
            <v>X5</v>
          </cell>
          <cell r="I110">
            <v>445454545</v>
          </cell>
          <cell r="J110"/>
        </row>
        <row r="111">
          <cell r="B111" t="str">
            <v>XE NÂNG 3.5 TẤN</v>
          </cell>
          <cell r="C111" t="str">
            <v>XE NÂNG 3.5 TẤN</v>
          </cell>
          <cell r="D111"/>
          <cell r="E111" t="str">
            <v>XE</v>
          </cell>
          <cell r="F111">
            <v>1</v>
          </cell>
          <cell r="G111"/>
          <cell r="H111" t="str">
            <v>X5</v>
          </cell>
          <cell r="I111">
            <v>255000000</v>
          </cell>
          <cell r="J111"/>
        </row>
        <row r="112">
          <cell r="B112" t="str">
            <v>XE NÂNG (XE KẸP) 3 TẤN</v>
          </cell>
          <cell r="C112" t="str">
            <v>XE NÂNG (XE KẸP) 3 TẤN</v>
          </cell>
          <cell r="D112"/>
          <cell r="E112" t="str">
            <v>XE</v>
          </cell>
          <cell r="F112">
            <v>1</v>
          </cell>
          <cell r="G112"/>
          <cell r="H112" t="str">
            <v>X5</v>
          </cell>
          <cell r="I112">
            <v>176000000</v>
          </cell>
          <cell r="J112"/>
        </row>
        <row r="113">
          <cell r="B113" t="str">
            <v>XÚC LẬT 1,8 M3</v>
          </cell>
          <cell r="C113" t="str">
            <v>XÚC LẬT 1.8M3</v>
          </cell>
          <cell r="D113"/>
          <cell r="E113" t="str">
            <v>XE</v>
          </cell>
          <cell r="F113">
            <v>1</v>
          </cell>
          <cell r="G113"/>
          <cell r="H113" t="str">
            <v>X6</v>
          </cell>
          <cell r="I113">
            <v>618181818</v>
          </cell>
          <cell r="J113"/>
        </row>
        <row r="114">
          <cell r="B114" t="str">
            <v>XÚC LẬT 3 M3</v>
          </cell>
          <cell r="C114" t="str">
            <v>XÚC LẬT 3 M3</v>
          </cell>
          <cell r="D114"/>
          <cell r="E114" t="str">
            <v>XE</v>
          </cell>
          <cell r="F114">
            <v>1</v>
          </cell>
          <cell r="G114"/>
          <cell r="H114" t="str">
            <v>X5</v>
          </cell>
          <cell r="I114"/>
          <cell r="J114"/>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ow r="5">
          <cell r="B5" t="str">
            <v>36C-03139</v>
          </cell>
        </row>
        <row r="164">
          <cell r="P164">
            <v>2194470098.3275294</v>
          </cell>
        </row>
      </sheetData>
      <sheetData sheetId="33">
        <row r="5">
          <cell r="B5" t="str">
            <v>36C-03139</v>
          </cell>
        </row>
        <row r="164">
          <cell r="P164">
            <v>1975590396.3888559</v>
          </cell>
        </row>
      </sheetData>
      <sheetData sheetId="34">
        <row r="5">
          <cell r="B5" t="str">
            <v>36C-03139</v>
          </cell>
        </row>
        <row r="164">
          <cell r="P164">
            <v>2187260796.0019474</v>
          </cell>
        </row>
      </sheetData>
      <sheetData sheetId="35">
        <row r="5">
          <cell r="B5" t="str">
            <v>36C-03139</v>
          </cell>
        </row>
        <row r="164">
          <cell r="P164">
            <v>2116703996.1309164</v>
          </cell>
        </row>
      </sheetData>
      <sheetData sheetId="36">
        <row r="5">
          <cell r="B5" t="str">
            <v>36C-03139</v>
          </cell>
        </row>
        <row r="164">
          <cell r="P164">
            <v>2187260796.0019474</v>
          </cell>
        </row>
      </sheetData>
      <sheetData sheetId="37">
        <row r="5">
          <cell r="B5" t="str">
            <v>36C-03139</v>
          </cell>
        </row>
        <row r="168">
          <cell r="P168">
            <v>2126543170.8058741</v>
          </cell>
        </row>
      </sheetData>
      <sheetData sheetId="38">
        <row r="5">
          <cell r="B5" t="str">
            <v>36C-03139</v>
          </cell>
        </row>
        <row r="168">
          <cell r="P168">
            <v>2197427943.16607</v>
          </cell>
        </row>
      </sheetData>
      <sheetData sheetId="39">
        <row r="5">
          <cell r="B5" t="str">
            <v>36C-03139</v>
          </cell>
        </row>
        <row r="167">
          <cell r="P167">
            <v>2208602361.7707214</v>
          </cell>
        </row>
      </sheetData>
      <sheetData sheetId="40">
        <row r="5">
          <cell r="B5" t="str">
            <v>36C-03139</v>
          </cell>
        </row>
        <row r="167">
          <cell r="P167">
            <v>2162816647.1726193</v>
          </cell>
        </row>
      </sheetData>
      <sheetData sheetId="41">
        <row r="5">
          <cell r="B5" t="str">
            <v>36C-03139</v>
          </cell>
        </row>
        <row r="167">
          <cell r="P167">
            <v>2250262507.6784101</v>
          </cell>
        </row>
      </sheetData>
      <sheetData sheetId="42">
        <row r="5">
          <cell r="B5" t="str">
            <v>36C-03139</v>
          </cell>
        </row>
        <row r="174">
          <cell r="P174">
            <v>2262212274.6276927</v>
          </cell>
        </row>
      </sheetData>
      <sheetData sheetId="43"/>
      <sheetData sheetId="44"/>
      <sheetData sheetId="45"/>
      <sheetData sheetId="46"/>
      <sheetData sheetId="47"/>
      <sheetData sheetId="48"/>
      <sheetData sheetId="49"/>
      <sheetData sheetId="50"/>
      <sheetData sheetId="5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ướng dẫn"/>
      <sheetName val="BC Phân tích_Tóm tắt"/>
      <sheetName val="Input_Cty"/>
      <sheetName val="BC-PN (tỷ)"/>
      <sheetName val="BC - năm"/>
      <sheetName val="2.THDT nhóm SP"/>
      <sheetName val="BC - năm (tỷ)"/>
      <sheetName val="Input_Ngành"/>
      <sheetName val="DNCN (Tỷ)"/>
      <sheetName val="So sánh Quy mô"/>
      <sheetName val="So sánh Kết cấu"/>
      <sheetName val="Ratio analysis"/>
      <sheetName val="Dữ liệu"/>
      <sheetName val="DTNB"/>
      <sheetName val="Biểu đồ - DT"/>
      <sheetName val="Biểu đồ - BC Bán hàng"/>
      <sheetName val="Biểu đồ - CP"/>
      <sheetName val="Biểu đồ - LN"/>
      <sheetName val="TH DT GV"/>
      <sheetName val="Biểu đồ - TS"/>
      <sheetName val="Biểu đồ - NV"/>
      <sheetName val="Biểu đồ - LCTT"/>
      <sheetName val="Biểu đồ - Hiệu quả HĐ"/>
    </sheetNames>
    <sheetDataSet>
      <sheetData sheetId="0" refreshError="1"/>
      <sheetData sheetId="1" refreshError="1"/>
      <sheetData sheetId="2" refreshError="1">
        <row r="1">
          <cell r="B1" t="str">
            <v>CTCP DVTM Quang Phát</v>
          </cell>
        </row>
        <row r="2">
          <cell r="B2" t="str">
            <v>Quang Phát</v>
          </cell>
        </row>
        <row r="4">
          <cell r="D4" t="str">
            <v>1. Quang Phát</v>
          </cell>
          <cell r="I4" t="str">
            <v>2. Bê tông QP</v>
          </cell>
          <cell r="N4" t="str">
            <v>3. KQP</v>
          </cell>
          <cell r="S4" t="str">
            <v>4. KML</v>
          </cell>
        </row>
        <row r="5">
          <cell r="E5" t="str">
            <v>2021</v>
          </cell>
          <cell r="F5" t="str">
            <v>2022</v>
          </cell>
          <cell r="G5" t="str">
            <v>2023</v>
          </cell>
        </row>
        <row r="14">
          <cell r="BO14">
            <v>0</v>
          </cell>
        </row>
        <row r="112">
          <cell r="BN112">
            <v>0</v>
          </cell>
          <cell r="BO112">
            <v>0</v>
          </cell>
        </row>
        <row r="130">
          <cell r="BN130">
            <v>0</v>
          </cell>
        </row>
        <row r="133">
          <cell r="BO133">
            <v>0</v>
          </cell>
        </row>
        <row r="140">
          <cell r="BO140">
            <v>-13566477890</v>
          </cell>
        </row>
      </sheetData>
      <sheetData sheetId="3" refreshError="1">
        <row r="31">
          <cell r="BL31">
            <v>244.46921963</v>
          </cell>
        </row>
        <row r="126">
          <cell r="BL126">
            <v>55.016570064</v>
          </cell>
        </row>
        <row r="148">
          <cell r="BL148">
            <v>345.94753730000002</v>
          </cell>
        </row>
      </sheetData>
      <sheetData sheetId="4" refreshError="1"/>
      <sheetData sheetId="5" refreshError="1"/>
      <sheetData sheetId="6" refreshError="1"/>
      <sheetData sheetId="7" refreshError="1"/>
      <sheetData sheetId="8" refreshError="1">
        <row r="9">
          <cell r="G9" t="str">
            <v>THG</v>
          </cell>
        </row>
        <row r="10">
          <cell r="G10" t="str">
            <v>HCC</v>
          </cell>
        </row>
        <row r="11">
          <cell r="G11" t="str">
            <v>PDB</v>
          </cell>
        </row>
        <row r="17">
          <cell r="BF17">
            <v>603.95246823469995</v>
          </cell>
          <cell r="BW17">
            <v>310.95629958500001</v>
          </cell>
        </row>
        <row r="18">
          <cell r="BF18">
            <v>735.5893388093333</v>
          </cell>
          <cell r="BW18">
            <v>299.6276367216667</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ểu đồ - BC Bán hàng"/>
      <sheetName val="TH-Sản lượng"/>
      <sheetName val="PL 2023"/>
      <sheetName val="PL 2022"/>
      <sheetName val="PL 2021"/>
      <sheetName val="PL 2020"/>
      <sheetName val="BH Group 2023- QT"/>
      <sheetName val="Group - QT 2022"/>
      <sheetName val="Group - QT 2021"/>
      <sheetName val="DVQP - Thuế 2021"/>
      <sheetName val="BTQP - Thuế 2021"/>
      <sheetName val="KQP - Thuế 2021"/>
      <sheetName val="KML - Thuế 2021"/>
      <sheetName val="KML - Thue 2020"/>
      <sheetName val="KQP - Thue 2020"/>
      <sheetName val="DVQP - Thue 2020"/>
      <sheetName val="Group - QT 2020"/>
      <sheetName val="KML - QT 2022"/>
      <sheetName val="DVQP - Thue 2022"/>
      <sheetName val="BTQP - Thue 2022"/>
      <sheetName val="KQP - Thue 2022"/>
      <sheetName val="KML - Thue 2022"/>
      <sheetName val="KML 2023 QT"/>
      <sheetName val="Sheet1"/>
      <sheetName val=" DVQP 2023 BH"/>
      <sheetName val="Kin QP- SBH 2023 "/>
      <sheetName val="BTQP 2023"/>
      <sheetName val="K ML 2023"/>
    </sheetNames>
    <sheetDataSet>
      <sheetData sheetId="0">
        <row r="6">
          <cell r="D6">
            <v>2020</v>
          </cell>
        </row>
      </sheetData>
      <sheetData sheetId="1" refreshError="1"/>
      <sheetData sheetId="2">
        <row r="7">
          <cell r="P7">
            <v>486333181061</v>
          </cell>
        </row>
        <row r="9">
          <cell r="C9" t="str">
            <v>Bê tông</v>
          </cell>
        </row>
        <row r="11">
          <cell r="C11" t="str">
            <v>Xi măng</v>
          </cell>
        </row>
        <row r="12">
          <cell r="C12" t="str">
            <v>Xi măng Visai</v>
          </cell>
        </row>
        <row r="13">
          <cell r="C13" t="str">
            <v>Xi măng Bỉm Sơn</v>
          </cell>
        </row>
        <row r="14">
          <cell r="C14" t="str">
            <v>Xi măng Công Thanh</v>
          </cell>
        </row>
        <row r="15">
          <cell r="C15" t="str">
            <v>Xi măng Việt Úc</v>
          </cell>
        </row>
        <row r="16">
          <cell r="C16" t="str">
            <v>Xi măng Vĩnh Thành</v>
          </cell>
        </row>
        <row r="17">
          <cell r="C17" t="str">
            <v>Xi măng Pomihoa</v>
          </cell>
        </row>
        <row r="19">
          <cell r="C19" t="str">
            <v>Thép</v>
          </cell>
        </row>
        <row r="20">
          <cell r="P20">
            <v>76803019141</v>
          </cell>
        </row>
        <row r="21">
          <cell r="P21">
            <v>7666298832</v>
          </cell>
        </row>
        <row r="22">
          <cell r="P22">
            <v>512577210</v>
          </cell>
        </row>
        <row r="23">
          <cell r="P23">
            <v>87027000</v>
          </cell>
        </row>
        <row r="24">
          <cell r="P24">
            <v>475000</v>
          </cell>
        </row>
        <row r="25">
          <cell r="P25">
            <v>0</v>
          </cell>
        </row>
        <row r="27">
          <cell r="C27" t="str">
            <v>Xăng dầu</v>
          </cell>
        </row>
        <row r="29">
          <cell r="C29" t="str">
            <v>Gạch</v>
          </cell>
        </row>
        <row r="79">
          <cell r="C79" t="str">
            <v>Thép Hòa Phát</v>
          </cell>
        </row>
        <row r="80">
          <cell r="C80" t="str">
            <v>Thép Việt Nhật</v>
          </cell>
        </row>
        <row r="81">
          <cell r="C81" t="str">
            <v>Thép Ly</v>
          </cell>
        </row>
        <row r="82">
          <cell r="C82" t="str">
            <v>Thép Việt Đức</v>
          </cell>
        </row>
        <row r="83">
          <cell r="C83" t="str">
            <v>Thép Tisco</v>
          </cell>
        </row>
        <row r="84">
          <cell r="C84" t="str">
            <v>Thép Việt Úc</v>
          </cell>
        </row>
      </sheetData>
      <sheetData sheetId="3">
        <row r="7">
          <cell r="P7">
            <v>442304938764</v>
          </cell>
        </row>
      </sheetData>
      <sheetData sheetId="4">
        <row r="9">
          <cell r="P9">
            <v>348952741331</v>
          </cell>
        </row>
      </sheetData>
      <sheetData sheetId="5">
        <row r="10">
          <cell r="P10">
            <v>208275825372</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ạn chế"/>
      <sheetName val="Báo cáo kết quả kinh doanh"/>
      <sheetName val="Bảng CĐKT"/>
      <sheetName val="Chi tieu đánh giá tương đồng"/>
      <sheetName val="Định giá Doanh nghiệp"/>
      <sheetName val="Dinh gia 10 nam"/>
      <sheetName val="FCFF"/>
      <sheetName val="Sheet2"/>
      <sheetName val="Thông tin DNSS"/>
      <sheetName val="Sản lượng sản xuất, tiêu thụ"/>
      <sheetName val="Thanh khoan"/>
      <sheetName val="DT theo sp1"/>
      <sheetName val="DT theo sp "/>
      <sheetName val="ss"/>
      <sheetName val="Co cau co dong"/>
    </sheetNames>
    <sheetDataSet>
      <sheetData sheetId="0"/>
      <sheetData sheetId="1">
        <row r="15">
          <cell r="E15">
            <v>1373455493445</v>
          </cell>
          <cell r="F15">
            <v>1332672814272</v>
          </cell>
        </row>
      </sheetData>
      <sheetData sheetId="2">
        <row r="6">
          <cell r="E6">
            <v>16884637956</v>
          </cell>
        </row>
      </sheetData>
      <sheetData sheetId="3">
        <row r="15">
          <cell r="A15" t="str">
            <v>ROE</v>
          </cell>
        </row>
        <row r="16">
          <cell r="A16" t="str">
            <v>VCSH</v>
          </cell>
        </row>
        <row r="17">
          <cell r="A17" t="str">
            <v>LNST</v>
          </cell>
        </row>
        <row r="18">
          <cell r="A18" t="str">
            <v>TS</v>
          </cell>
        </row>
        <row r="19">
          <cell r="A19" t="str">
            <v>ROA</v>
          </cell>
        </row>
        <row r="20">
          <cell r="A20" t="str">
            <v>ROS</v>
          </cell>
        </row>
        <row r="21">
          <cell r="A21" t="str">
            <v>DTT</v>
          </cell>
        </row>
        <row r="22">
          <cell r="A22" t="str">
            <v>LNG</v>
          </cell>
        </row>
      </sheetData>
      <sheetData sheetId="4">
        <row r="81">
          <cell r="B81">
            <v>12.333543941447909</v>
          </cell>
        </row>
      </sheetData>
      <sheetData sheetId="5"/>
      <sheetData sheetId="6"/>
      <sheetData sheetId="7"/>
      <sheetData sheetId="8">
        <row r="4">
          <cell r="H4">
            <v>61750000</v>
          </cell>
        </row>
      </sheetData>
      <sheetData sheetId="9"/>
      <sheetData sheetId="10"/>
      <sheetData sheetId="11"/>
      <sheetData sheetId="12">
        <row r="5">
          <cell r="M5" t="str">
            <v>Sản xuất</v>
          </cell>
        </row>
      </sheetData>
      <sheetData sheetId="13"/>
      <sheetData sheetId="1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1 Lịch sử hình thành"/>
      <sheetName val="1.2 CT Sở hữu"/>
      <sheetName val="1.3 Hoạt động (SP)"/>
      <sheetName val="1.4 Pháp nhân - NM"/>
      <sheetName val="1.5 Công suất"/>
      <sheetName val="Note"/>
      <sheetName val="TH"/>
      <sheetName val="Sheet1"/>
      <sheetName val="TLDP VietAvis"/>
      <sheetName val="BTĐC"/>
      <sheetName val="I.BC_phap nhan"/>
      <sheetName val="2.1.BC_phap nhan (ty)"/>
      <sheetName val="Thuế_ảnh hưởng"/>
      <sheetName val="Bổ sung"/>
      <sheetName val="DTNB"/>
      <sheetName val="Doanh thu sinh học 8T.2023"/>
      <sheetName val="2.2.BC_nam (sau điều chỉnh)"/>
      <sheetName val="Sheet2"/>
    </sheetNames>
    <sheetDataSet>
      <sheetData sheetId="0"/>
      <sheetData sheetId="1"/>
      <sheetData sheetId="2"/>
      <sheetData sheetId="3"/>
      <sheetData sheetId="4"/>
      <sheetData sheetId="5"/>
      <sheetData sheetId="6"/>
      <sheetData sheetId="7"/>
      <sheetData sheetId="8"/>
      <sheetData sheetId="9"/>
      <sheetData sheetId="10">
        <row r="10">
          <cell r="DW10">
            <v>1152076770811</v>
          </cell>
        </row>
        <row r="11">
          <cell r="DW11">
            <v>1059189302459.1323</v>
          </cell>
        </row>
        <row r="15">
          <cell r="DW15">
            <v>33848251963</v>
          </cell>
        </row>
        <row r="17">
          <cell r="DW17">
            <v>19885057335</v>
          </cell>
        </row>
        <row r="18">
          <cell r="DW18">
            <v>20271591879</v>
          </cell>
        </row>
        <row r="23">
          <cell r="DW23">
            <v>8183961159.8677101</v>
          </cell>
        </row>
        <row r="26">
          <cell r="DW26">
            <v>5057371352.1037102</v>
          </cell>
        </row>
        <row r="37">
          <cell r="DW37">
            <v>4173762897</v>
          </cell>
        </row>
        <row r="74">
          <cell r="DV74">
            <v>-124614012692</v>
          </cell>
          <cell r="DW74">
            <v>-155699081870.9523</v>
          </cell>
        </row>
        <row r="78">
          <cell r="DV78">
            <v>55000000</v>
          </cell>
          <cell r="DW78">
            <v>55000000</v>
          </cell>
        </row>
        <row r="98">
          <cell r="DV98">
            <v>766309933682</v>
          </cell>
          <cell r="DW98">
            <v>836621933717.8678</v>
          </cell>
        </row>
        <row r="112">
          <cell r="DV112">
            <v>388780124437</v>
          </cell>
          <cell r="DW112">
            <v>405608464465</v>
          </cell>
        </row>
        <row r="125">
          <cell r="DV125">
            <v>152151064421</v>
          </cell>
          <cell r="DW125">
            <v>136784329469</v>
          </cell>
        </row>
        <row r="131">
          <cell r="DV131">
            <v>129697643868</v>
          </cell>
          <cell r="DW131">
            <v>172888937299.1037</v>
          </cell>
        </row>
        <row r="134">
          <cell r="DW134">
            <v>163000000000</v>
          </cell>
        </row>
      </sheetData>
      <sheetData sheetId="11"/>
      <sheetData sheetId="12"/>
      <sheetData sheetId="13"/>
      <sheetData sheetId="14"/>
      <sheetData sheetId="15"/>
      <sheetData sheetId="16"/>
      <sheetData sheetId="1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5.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6.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7.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8.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9.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I28"/>
  <sheetViews>
    <sheetView showGridLines="0" zoomScaleNormal="100" workbookViewId="0">
      <selection activeCell="D7" sqref="D7"/>
    </sheetView>
  </sheetViews>
  <sheetFormatPr defaultColWidth="9" defaultRowHeight="15" x14ac:dyDescent="0.25"/>
  <cols>
    <col min="1" max="1" width="9" style="172"/>
    <col min="2" max="3" width="3.7109375" style="172" customWidth="1"/>
    <col min="4" max="4" width="14" style="172" customWidth="1"/>
    <col min="5" max="5" width="27.7109375" style="172" customWidth="1"/>
    <col min="6" max="6" width="1.5703125" style="172" customWidth="1"/>
    <col min="7" max="8" width="9" style="172"/>
    <col min="9" max="9" width="4.42578125" style="172" customWidth="1"/>
    <col min="10" max="10" width="9" style="172"/>
    <col min="11" max="11" width="4.28515625" style="172" customWidth="1"/>
    <col min="12" max="16384" width="9" style="172"/>
  </cols>
  <sheetData>
    <row r="2" spans="2:9" x14ac:dyDescent="0.25">
      <c r="B2" s="169"/>
      <c r="C2" s="170"/>
      <c r="D2" s="170"/>
      <c r="E2" s="170"/>
      <c r="F2" s="170"/>
      <c r="G2" s="170"/>
      <c r="H2" s="170"/>
      <c r="I2" s="171"/>
    </row>
    <row r="3" spans="2:9" x14ac:dyDescent="0.25">
      <c r="B3" s="173"/>
      <c r="C3" s="174" t="s">
        <v>1</v>
      </c>
      <c r="D3" s="175" t="s">
        <v>655</v>
      </c>
      <c r="E3" s="175" t="s">
        <v>656</v>
      </c>
      <c r="F3" s="176"/>
      <c r="G3" s="177" t="s">
        <v>657</v>
      </c>
      <c r="H3" s="178"/>
      <c r="I3" s="179"/>
    </row>
    <row r="4" spans="2:9" x14ac:dyDescent="0.25">
      <c r="B4" s="173"/>
      <c r="C4" s="180">
        <v>1</v>
      </c>
      <c r="D4" s="181" t="s">
        <v>987</v>
      </c>
      <c r="E4" s="181" t="s">
        <v>983</v>
      </c>
      <c r="F4" s="182"/>
      <c r="G4" s="183" t="str">
        <f>C4&amp;"."&amp;D4</f>
        <v>1.DV Quang Phát</v>
      </c>
      <c r="H4" s="183"/>
      <c r="I4" s="179"/>
    </row>
    <row r="5" spans="2:9" x14ac:dyDescent="0.25">
      <c r="B5" s="173"/>
      <c r="C5" s="180">
        <v>2</v>
      </c>
      <c r="D5" s="181" t="s">
        <v>988</v>
      </c>
      <c r="E5" s="181" t="s">
        <v>983</v>
      </c>
      <c r="F5" s="182"/>
      <c r="G5" s="183" t="str">
        <f>C5&amp;"."&amp;D5</f>
        <v>2.BT Quang Phát</v>
      </c>
      <c r="H5" s="183"/>
      <c r="I5" s="179"/>
    </row>
    <row r="6" spans="2:9" x14ac:dyDescent="0.25">
      <c r="B6" s="173"/>
      <c r="C6" s="180">
        <v>3</v>
      </c>
      <c r="D6" s="181" t="s">
        <v>984</v>
      </c>
      <c r="E6" s="181" t="s">
        <v>658</v>
      </c>
      <c r="F6" s="182"/>
      <c r="G6" s="183" t="str">
        <f>C6&amp;"."&amp;D6</f>
        <v>3.Kim Quang Phát</v>
      </c>
      <c r="H6" s="183"/>
      <c r="I6" s="179"/>
    </row>
    <row r="7" spans="2:9" x14ac:dyDescent="0.25">
      <c r="B7" s="173"/>
      <c r="C7" s="180">
        <v>4</v>
      </c>
      <c r="D7" s="181" t="s">
        <v>877</v>
      </c>
      <c r="E7" s="181" t="s">
        <v>243</v>
      </c>
      <c r="F7" s="182"/>
      <c r="G7" s="183" t="str">
        <f t="shared" ref="G7:G9" si="0">C7&amp;"."&amp;D7</f>
        <v>4.Kim Mỹ Linh</v>
      </c>
      <c r="H7" s="183"/>
      <c r="I7" s="179"/>
    </row>
    <row r="8" spans="2:9" x14ac:dyDescent="0.25">
      <c r="B8" s="173"/>
      <c r="C8" s="180">
        <v>5</v>
      </c>
      <c r="D8" s="181" t="s">
        <v>985</v>
      </c>
      <c r="E8" s="181" t="s">
        <v>243</v>
      </c>
      <c r="F8" s="182"/>
      <c r="G8" s="183" t="str">
        <f t="shared" si="0"/>
        <v>5.Vạn Xuân</v>
      </c>
      <c r="H8" s="183"/>
      <c r="I8" s="179"/>
    </row>
    <row r="9" spans="2:9" x14ac:dyDescent="0.25">
      <c r="B9" s="173"/>
      <c r="C9" s="180">
        <v>6</v>
      </c>
      <c r="D9" s="181"/>
      <c r="E9" s="181"/>
      <c r="F9" s="182"/>
      <c r="G9" s="183" t="str">
        <f t="shared" si="0"/>
        <v>6.</v>
      </c>
      <c r="H9" s="183"/>
      <c r="I9" s="179"/>
    </row>
    <row r="10" spans="2:9" x14ac:dyDescent="0.25">
      <c r="B10" s="173"/>
      <c r="C10" s="184"/>
      <c r="D10" s="181"/>
      <c r="E10" s="181"/>
      <c r="F10" s="182"/>
      <c r="G10" s="183"/>
      <c r="H10" s="183"/>
      <c r="I10" s="179"/>
    </row>
    <row r="11" spans="2:9" x14ac:dyDescent="0.25">
      <c r="B11" s="185"/>
      <c r="C11" s="186"/>
      <c r="D11" s="186"/>
      <c r="E11" s="186"/>
      <c r="F11" s="186"/>
      <c r="G11" s="186"/>
      <c r="H11" s="186"/>
      <c r="I11" s="187"/>
    </row>
    <row r="13" spans="2:9" x14ac:dyDescent="0.25">
      <c r="B13" s="188"/>
      <c r="C13" s="189"/>
      <c r="D13" s="189"/>
      <c r="E13" s="189"/>
      <c r="F13" s="189"/>
      <c r="G13" s="189"/>
      <c r="H13" s="189"/>
      <c r="I13" s="190"/>
    </row>
    <row r="14" spans="2:9" x14ac:dyDescent="0.25">
      <c r="B14" s="191"/>
      <c r="C14" s="177" t="s">
        <v>640</v>
      </c>
      <c r="D14" s="192"/>
      <c r="E14" s="192"/>
      <c r="F14" s="192"/>
      <c r="G14" s="192"/>
      <c r="H14" s="192"/>
      <c r="I14" s="193"/>
    </row>
    <row r="15" spans="2:9" x14ac:dyDescent="0.25">
      <c r="B15" s="191"/>
      <c r="C15" s="183"/>
      <c r="D15" s="183"/>
      <c r="E15" s="183"/>
      <c r="F15" s="183"/>
      <c r="G15" s="183"/>
      <c r="H15" s="183"/>
      <c r="I15" s="193"/>
    </row>
    <row r="16" spans="2:9" x14ac:dyDescent="0.25">
      <c r="B16" s="191"/>
      <c r="C16" s="194">
        <v>1</v>
      </c>
      <c r="D16" s="195" t="s">
        <v>659</v>
      </c>
      <c r="E16" s="196"/>
      <c r="F16" s="196"/>
      <c r="G16" s="196"/>
      <c r="H16" s="196"/>
      <c r="I16" s="193"/>
    </row>
    <row r="17" spans="2:9" x14ac:dyDescent="0.25">
      <c r="B17" s="191"/>
      <c r="C17" s="197" t="s">
        <v>660</v>
      </c>
      <c r="D17" s="114" t="s">
        <v>661</v>
      </c>
      <c r="E17" s="183"/>
      <c r="F17" s="183"/>
      <c r="G17" s="183"/>
      <c r="H17" s="183"/>
      <c r="I17" s="193"/>
    </row>
    <row r="18" spans="2:9" x14ac:dyDescent="0.25">
      <c r="B18" s="191"/>
      <c r="C18" s="197" t="s">
        <v>662</v>
      </c>
      <c r="D18" s="114" t="s">
        <v>663</v>
      </c>
      <c r="E18" s="183"/>
      <c r="F18" s="183"/>
      <c r="G18" s="183"/>
      <c r="H18" s="183"/>
      <c r="I18" s="193"/>
    </row>
    <row r="19" spans="2:9" x14ac:dyDescent="0.25">
      <c r="B19" s="191"/>
      <c r="C19" s="197" t="s">
        <v>664</v>
      </c>
      <c r="D19" s="114" t="s">
        <v>665</v>
      </c>
      <c r="E19" s="198" t="s">
        <v>666</v>
      </c>
      <c r="F19" s="183"/>
      <c r="G19" s="183"/>
      <c r="H19" s="183"/>
      <c r="I19" s="193"/>
    </row>
    <row r="20" spans="2:9" x14ac:dyDescent="0.25">
      <c r="B20" s="191"/>
      <c r="C20" s="197" t="s">
        <v>667</v>
      </c>
      <c r="D20" s="114" t="s">
        <v>668</v>
      </c>
      <c r="E20" s="198"/>
      <c r="F20" s="183"/>
      <c r="G20" s="183"/>
      <c r="H20" s="183"/>
      <c r="I20" s="193"/>
    </row>
    <row r="21" spans="2:9" x14ac:dyDescent="0.25">
      <c r="B21" s="191"/>
      <c r="C21" s="197" t="s">
        <v>669</v>
      </c>
      <c r="D21" s="114" t="s">
        <v>212</v>
      </c>
      <c r="E21" s="198" t="s">
        <v>666</v>
      </c>
      <c r="F21" s="183"/>
      <c r="G21" s="183"/>
      <c r="H21" s="183"/>
      <c r="I21" s="193"/>
    </row>
    <row r="22" spans="2:9" x14ac:dyDescent="0.25">
      <c r="B22" s="191"/>
      <c r="C22" s="183"/>
      <c r="D22" s="183"/>
      <c r="E22" s="199"/>
      <c r="F22" s="183"/>
      <c r="G22" s="183"/>
      <c r="H22" s="183"/>
      <c r="I22" s="193"/>
    </row>
    <row r="23" spans="2:9" x14ac:dyDescent="0.25">
      <c r="B23" s="191"/>
      <c r="C23" s="194">
        <v>2</v>
      </c>
      <c r="D23" s="195" t="s">
        <v>670</v>
      </c>
      <c r="E23" s="200"/>
      <c r="F23" s="196"/>
      <c r="G23" s="196"/>
      <c r="H23" s="196"/>
      <c r="I23" s="193"/>
    </row>
    <row r="24" spans="2:9" x14ac:dyDescent="0.25">
      <c r="B24" s="191"/>
      <c r="C24" s="197" t="s">
        <v>671</v>
      </c>
      <c r="D24" s="114" t="s">
        <v>672</v>
      </c>
      <c r="E24" s="201" t="s">
        <v>673</v>
      </c>
      <c r="F24" s="183"/>
      <c r="G24" s="183"/>
      <c r="H24" s="183"/>
      <c r="I24" s="193"/>
    </row>
    <row r="25" spans="2:9" x14ac:dyDescent="0.25">
      <c r="B25" s="191"/>
      <c r="C25" s="197" t="s">
        <v>674</v>
      </c>
      <c r="D25" s="114" t="s">
        <v>675</v>
      </c>
      <c r="E25" s="201" t="s">
        <v>673</v>
      </c>
      <c r="F25" s="183"/>
      <c r="G25" s="183"/>
      <c r="H25" s="183"/>
      <c r="I25" s="193"/>
    </row>
    <row r="26" spans="2:9" x14ac:dyDescent="0.25">
      <c r="B26" s="191"/>
      <c r="C26" s="197" t="s">
        <v>676</v>
      </c>
      <c r="D26" s="183" t="s">
        <v>677</v>
      </c>
      <c r="E26" s="202" t="s">
        <v>678</v>
      </c>
      <c r="F26" s="183"/>
      <c r="G26" s="183"/>
      <c r="H26" s="183"/>
      <c r="I26" s="193"/>
    </row>
    <row r="27" spans="2:9" x14ac:dyDescent="0.25">
      <c r="B27" s="191"/>
      <c r="C27" s="197" t="s">
        <v>679</v>
      </c>
      <c r="D27" s="183" t="s">
        <v>680</v>
      </c>
      <c r="E27" s="202" t="s">
        <v>678</v>
      </c>
      <c r="F27" s="183"/>
      <c r="G27" s="183"/>
      <c r="H27" s="183"/>
      <c r="I27" s="193"/>
    </row>
    <row r="28" spans="2:9" x14ac:dyDescent="0.25">
      <c r="B28" s="203"/>
      <c r="C28" s="204"/>
      <c r="D28" s="204"/>
      <c r="E28" s="204"/>
      <c r="F28" s="204"/>
      <c r="G28" s="204"/>
      <c r="H28" s="204"/>
      <c r="I28" s="205"/>
    </row>
  </sheetData>
  <hyperlinks>
    <hyperlink ref="D17" location="'1.1 Lịch sử hình thành'!A1" display="Lịch sử hình thành" xr:uid="{00000000-0004-0000-0400-000000000000}"/>
    <hyperlink ref="D18" location="'1.2 CT Sở hữu'!A1" display="Cấu trúc Sở hữu" xr:uid="{00000000-0004-0000-0400-000001000000}"/>
    <hyperlink ref="D19" location="'1.3 Hoạt động (SP)'!A1" display="Hoạt động (SP)" xr:uid="{00000000-0004-0000-0400-000002000000}"/>
    <hyperlink ref="D20" location="'1.4 Pháp nhân - NM'!A1" display="Pháp nhân - NM" xr:uid="{00000000-0004-0000-0400-000003000000}"/>
    <hyperlink ref="D21" location="'1.5 Công suất'!A1" display="Công suất" xr:uid="{00000000-0004-0000-0400-000004000000}"/>
    <hyperlink ref="D24" location="'2.1.BC_phap nhan (ty)'!A1" display="BC_Phap nhan" xr:uid="{00000000-0004-0000-0400-000005000000}"/>
    <hyperlink ref="D25" location="'2.2.BC_nam'!A1" display="BC_Năm" xr:uid="{00000000-0004-0000-0400-000006000000}"/>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408B7-8A90-434F-8AAA-6B31B75E970E}">
  <dimension ref="A2:DG30"/>
  <sheetViews>
    <sheetView showGridLines="0" zoomScale="70" zoomScaleNormal="70" workbookViewId="0">
      <pane xSplit="2" ySplit="5" topLeftCell="E6" activePane="bottomRight" state="frozen"/>
      <selection pane="topRight" activeCell="C1" sqref="C1"/>
      <selection pane="bottomLeft" activeCell="A6" sqref="A6"/>
      <selection pane="bottomRight" activeCell="P17" sqref="F17:P17"/>
    </sheetView>
  </sheetViews>
  <sheetFormatPr defaultRowHeight="15" outlineLevelCol="1" x14ac:dyDescent="0.25"/>
  <cols>
    <col min="1" max="1" width="6.5703125" customWidth="1" outlineLevel="1"/>
    <col min="2" max="2" width="51.28515625" bestFit="1" customWidth="1" outlineLevel="1"/>
    <col min="3" max="3" width="6.7109375" style="14" bestFit="1" customWidth="1" outlineLevel="1"/>
    <col min="4" max="5" width="19.140625" bestFit="1" customWidth="1" outlineLevel="1"/>
    <col min="6" max="6" width="21.140625" bestFit="1" customWidth="1" outlineLevel="1"/>
    <col min="7" max="7" width="19.140625" bestFit="1" customWidth="1" outlineLevel="1"/>
    <col min="8" max="8" width="3.5703125" customWidth="1" outlineLevel="1"/>
    <col min="9" max="9" width="17.85546875" bestFit="1" customWidth="1" outlineLevel="1"/>
    <col min="10" max="10" width="20.5703125" bestFit="1" customWidth="1" outlineLevel="1"/>
    <col min="11" max="12" width="19.140625" bestFit="1" customWidth="1" outlineLevel="1"/>
    <col min="13" max="13" width="4" customWidth="1" outlineLevel="1"/>
    <col min="14" max="14" width="19.140625" bestFit="1" customWidth="1" outlineLevel="1"/>
    <col min="15" max="15" width="20.5703125" bestFit="1" customWidth="1" outlineLevel="1"/>
    <col min="16" max="17" width="17.85546875" bestFit="1" customWidth="1" outlineLevel="1"/>
    <col min="18" max="18" width="3" customWidth="1" outlineLevel="1"/>
    <col min="19" max="19" width="17.85546875" bestFit="1" customWidth="1" outlineLevel="1"/>
    <col min="20" max="20" width="20.5703125" bestFit="1" customWidth="1" outlineLevel="1"/>
    <col min="21" max="22" width="19.140625" bestFit="1" customWidth="1" outlineLevel="1"/>
    <col min="23" max="23" width="4.28515625" customWidth="1" outlineLevel="1"/>
    <col min="24" max="24" width="16.7109375" bestFit="1" customWidth="1" outlineLevel="1"/>
    <col min="25" max="25" width="20.5703125" bestFit="1" customWidth="1" outlineLevel="1"/>
    <col min="26" max="26" width="16.7109375" bestFit="1" customWidth="1" outlineLevel="1"/>
    <col min="27" max="27" width="14.5703125" customWidth="1" outlineLevel="1"/>
    <col min="28" max="28" width="5.42578125" customWidth="1" outlineLevel="1"/>
    <col min="29" max="29" width="18.7109375" hidden="1" customWidth="1" outlineLevel="1"/>
    <col min="30" max="30" width="20.5703125" hidden="1" customWidth="1" outlineLevel="1"/>
    <col min="31" max="32" width="18.7109375" hidden="1" customWidth="1" outlineLevel="1"/>
    <col min="33" max="33" width="3.42578125" customWidth="1"/>
    <col min="34" max="37" width="17.85546875" customWidth="1" outlineLevel="1"/>
    <col min="38" max="38" width="4.28515625" customWidth="1" outlineLevel="1"/>
    <col min="39" max="40" width="15.7109375" customWidth="1" outlineLevel="1"/>
    <col min="41" max="41" width="23.28515625" customWidth="1" outlineLevel="1"/>
    <col min="42" max="42" width="15.7109375" customWidth="1" outlineLevel="1"/>
    <col min="43" max="43" width="4.42578125" customWidth="1" outlineLevel="1"/>
    <col min="44" max="46" width="16.7109375" customWidth="1" outlineLevel="1"/>
    <col min="47" max="47" width="27" customWidth="1" outlineLevel="1"/>
    <col min="48" max="48" width="8.85546875" outlineLevel="1"/>
    <col min="49" max="50" width="14.28515625" customWidth="1" outlineLevel="1"/>
    <col min="51" max="52" width="18.28515625" customWidth="1" outlineLevel="1"/>
    <col min="53" max="53" width="8.85546875" outlineLevel="1"/>
    <col min="54" max="57" width="10.5703125" customWidth="1" outlineLevel="1"/>
    <col min="58" max="58" width="8.85546875" outlineLevel="1"/>
    <col min="59" max="62" width="2.140625" hidden="1" customWidth="1" outlineLevel="1"/>
    <col min="64" max="67" width="19.140625" bestFit="1" customWidth="1" outlineLevel="1"/>
    <col min="68" max="68" width="8.85546875" outlineLevel="1"/>
    <col min="69" max="72" width="17.42578125" bestFit="1" customWidth="1" outlineLevel="1"/>
    <col min="73" max="73" width="8.85546875" outlineLevel="1"/>
    <col min="74" max="74" width="17.42578125" bestFit="1" customWidth="1" outlineLevel="1"/>
    <col min="75" max="77" width="17.85546875" bestFit="1" customWidth="1" outlineLevel="1"/>
    <col min="78" max="78" width="8.85546875" outlineLevel="1"/>
    <col min="79" max="79" width="17.85546875" bestFit="1" customWidth="1" outlineLevel="1"/>
    <col min="80" max="82" width="17.42578125" bestFit="1" customWidth="1" outlineLevel="1"/>
    <col min="83" max="83" width="8.85546875" outlineLevel="1"/>
    <col min="84" max="86" width="15.28515625" bestFit="1" customWidth="1" outlineLevel="1"/>
    <col min="87" max="87" width="8.28515625" bestFit="1" customWidth="1" outlineLevel="1"/>
    <col min="88" max="88" width="8.85546875" outlineLevel="1"/>
    <col min="89" max="89" width="16.85546875" hidden="1" customWidth="1" outlineLevel="1"/>
    <col min="90" max="90" width="16.28515625" hidden="1" customWidth="1" outlineLevel="1"/>
    <col min="91" max="92" width="16.85546875" hidden="1" customWidth="1" outlineLevel="1"/>
    <col min="94" max="97" width="21.140625" bestFit="1" customWidth="1"/>
    <col min="99" max="99" width="14.5703125" bestFit="1" customWidth="1"/>
    <col min="100" max="100" width="19.85546875" bestFit="1" customWidth="1"/>
    <col min="101" max="101" width="20.7109375" bestFit="1" customWidth="1"/>
    <col min="102" max="102" width="19.85546875" bestFit="1" customWidth="1"/>
    <col min="104" max="104" width="21.140625" bestFit="1" customWidth="1"/>
    <col min="105" max="105" width="19.140625" bestFit="1" customWidth="1"/>
    <col min="106" max="106" width="24.7109375" bestFit="1" customWidth="1"/>
    <col min="107" max="107" width="19.140625" bestFit="1" customWidth="1"/>
  </cols>
  <sheetData>
    <row r="2" spans="2:111" s="397" customFormat="1" ht="15.75" x14ac:dyDescent="0.25">
      <c r="B2" s="410" t="s">
        <v>528</v>
      </c>
      <c r="C2" s="406"/>
      <c r="D2" s="410"/>
      <c r="E2" s="411"/>
      <c r="F2" s="411" t="s">
        <v>619</v>
      </c>
      <c r="G2" s="412"/>
      <c r="H2" s="411"/>
      <c r="I2" s="411"/>
      <c r="J2" s="411" t="s">
        <v>619</v>
      </c>
      <c r="K2" s="411"/>
      <c r="L2" s="413"/>
      <c r="M2" s="411"/>
      <c r="N2" s="411"/>
      <c r="O2" s="411" t="s">
        <v>619</v>
      </c>
      <c r="P2" s="411"/>
      <c r="Q2" s="411"/>
      <c r="R2" s="411"/>
      <c r="S2" s="411"/>
      <c r="T2" s="411" t="s">
        <v>619</v>
      </c>
      <c r="U2" s="411"/>
      <c r="V2" s="411"/>
      <c r="W2" s="411"/>
      <c r="X2" s="411"/>
      <c r="Y2" s="411" t="s">
        <v>619</v>
      </c>
      <c r="Z2" s="411"/>
      <c r="AA2" s="411"/>
      <c r="AB2" s="411"/>
      <c r="AC2" s="411"/>
      <c r="AD2" s="411" t="s">
        <v>619</v>
      </c>
      <c r="AE2" s="411"/>
      <c r="AF2" s="411"/>
      <c r="AH2" s="414"/>
      <c r="AI2" s="414"/>
      <c r="AJ2" s="389" t="s">
        <v>620</v>
      </c>
      <c r="AK2" s="414"/>
      <c r="AL2" s="414"/>
      <c r="AM2" s="415"/>
      <c r="AN2" s="415"/>
      <c r="AO2" s="389" t="s">
        <v>531</v>
      </c>
      <c r="AP2" s="414"/>
      <c r="AQ2" s="414"/>
      <c r="AR2" s="415"/>
      <c r="AS2" s="415"/>
      <c r="AT2" s="389" t="s">
        <v>620</v>
      </c>
      <c r="AU2" s="414"/>
      <c r="AV2" s="414"/>
      <c r="AW2" s="414"/>
      <c r="AX2" s="414"/>
      <c r="AY2" s="389" t="s">
        <v>620</v>
      </c>
      <c r="AZ2" s="414"/>
      <c r="BA2" s="414"/>
      <c r="BB2" s="414"/>
      <c r="BC2" s="414"/>
      <c r="BD2" s="389" t="s">
        <v>620</v>
      </c>
      <c r="BE2" s="414"/>
      <c r="BF2" s="414"/>
      <c r="BG2" s="415"/>
      <c r="BH2" s="415"/>
      <c r="BI2" s="389" t="s">
        <v>620</v>
      </c>
      <c r="BJ2" s="414"/>
      <c r="BL2" s="416"/>
      <c r="BM2" s="416"/>
      <c r="BN2" s="417" t="s">
        <v>621</v>
      </c>
      <c r="BO2" s="418"/>
      <c r="BP2" s="419"/>
      <c r="BQ2" s="416"/>
      <c r="BR2" s="416"/>
      <c r="BS2" s="417" t="s">
        <v>621</v>
      </c>
      <c r="BT2" s="418"/>
      <c r="BU2" s="419"/>
      <c r="BV2" s="416"/>
      <c r="BW2" s="416"/>
      <c r="BX2" s="417" t="s">
        <v>621</v>
      </c>
      <c r="BY2" s="418"/>
      <c r="BZ2" s="419"/>
      <c r="CA2" s="416"/>
      <c r="CB2" s="416"/>
      <c r="CC2" s="417"/>
      <c r="CD2" s="418"/>
      <c r="CE2" s="419"/>
      <c r="CF2" s="416"/>
      <c r="CG2" s="416"/>
      <c r="CH2" s="417"/>
      <c r="CI2" s="418"/>
      <c r="CJ2" s="419"/>
      <c r="CK2" s="416"/>
      <c r="CL2" s="416"/>
      <c r="CM2" s="417" t="s">
        <v>621</v>
      </c>
      <c r="CN2" s="418"/>
      <c r="CP2" s="411"/>
      <c r="CQ2" s="411"/>
      <c r="CR2" s="411" t="s">
        <v>621</v>
      </c>
      <c r="CS2" s="411"/>
      <c r="CU2" s="420"/>
      <c r="CV2" s="420"/>
      <c r="CW2" s="420" t="s">
        <v>622</v>
      </c>
      <c r="CX2" s="420"/>
      <c r="CZ2" s="411"/>
      <c r="DA2" s="411"/>
      <c r="DB2" s="411" t="s">
        <v>685</v>
      </c>
      <c r="DC2" s="411"/>
    </row>
    <row r="3" spans="2:111" s="397" customFormat="1" ht="15.75" x14ac:dyDescent="0.25">
      <c r="B3" s="421"/>
      <c r="C3" s="407"/>
      <c r="D3" s="422"/>
      <c r="E3" s="422"/>
      <c r="F3" s="422"/>
      <c r="G3" s="423"/>
      <c r="H3" s="424"/>
      <c r="I3" s="425"/>
      <c r="J3" s="425"/>
      <c r="K3" s="425"/>
      <c r="L3" s="426"/>
      <c r="M3" s="424"/>
      <c r="N3" s="425"/>
      <c r="O3" s="425"/>
      <c r="P3" s="425"/>
      <c r="Q3" s="422"/>
      <c r="R3" s="424"/>
      <c r="S3" s="425"/>
      <c r="T3" s="425"/>
      <c r="U3" s="425"/>
      <c r="V3" s="422"/>
      <c r="W3" s="424"/>
      <c r="X3" s="425"/>
      <c r="Y3" s="425"/>
      <c r="Z3" s="425"/>
      <c r="AA3" s="422"/>
      <c r="AB3" s="424"/>
      <c r="AC3" s="425"/>
      <c r="AD3" s="425"/>
      <c r="AE3" s="425"/>
      <c r="AF3" s="422"/>
      <c r="AH3" s="422"/>
      <c r="AI3" s="422"/>
      <c r="AJ3" s="422"/>
      <c r="AK3" s="422"/>
      <c r="AL3" s="424"/>
      <c r="AM3" s="425"/>
      <c r="AN3" s="425"/>
      <c r="AO3" s="425"/>
      <c r="AP3" s="422"/>
      <c r="AQ3" s="424"/>
      <c r="AR3" s="425"/>
      <c r="AS3" s="425"/>
      <c r="AT3" s="425"/>
      <c r="AU3" s="422"/>
      <c r="AV3" s="424"/>
      <c r="AW3" s="422"/>
      <c r="AX3" s="422"/>
      <c r="AY3" s="422"/>
      <c r="AZ3" s="422"/>
      <c r="BA3" s="424"/>
      <c r="BB3" s="422"/>
      <c r="BC3" s="422"/>
      <c r="BD3" s="422"/>
      <c r="BE3" s="422"/>
      <c r="BF3" s="424"/>
      <c r="BG3" s="425"/>
      <c r="BH3" s="425"/>
      <c r="BI3" s="425"/>
      <c r="BJ3" s="422"/>
      <c r="BL3" s="425"/>
      <c r="BM3" s="425"/>
      <c r="BN3" s="425"/>
      <c r="BO3" s="422"/>
      <c r="BP3" s="424"/>
      <c r="BQ3" s="425"/>
      <c r="BR3" s="425"/>
      <c r="BS3" s="425"/>
      <c r="BT3" s="422"/>
      <c r="BU3" s="424"/>
      <c r="BV3" s="425"/>
      <c r="BW3" s="425"/>
      <c r="BX3" s="425"/>
      <c r="BY3" s="422"/>
      <c r="BZ3" s="424"/>
      <c r="CA3" s="425"/>
      <c r="CB3" s="425"/>
      <c r="CC3" s="425"/>
      <c r="CD3" s="422"/>
      <c r="CE3" s="424"/>
      <c r="CF3" s="425"/>
      <c r="CG3" s="425"/>
      <c r="CH3" s="425"/>
      <c r="CI3" s="422"/>
      <c r="CJ3" s="424"/>
      <c r="CK3" s="425"/>
      <c r="CL3" s="425"/>
      <c r="CM3" s="425"/>
      <c r="CN3" s="422"/>
      <c r="CP3" s="425"/>
      <c r="CQ3" s="425"/>
      <c r="CR3" s="425"/>
      <c r="CS3" s="425"/>
      <c r="CU3" s="425"/>
      <c r="CV3" s="425"/>
      <c r="CW3" s="425"/>
      <c r="CX3" s="425"/>
      <c r="CZ3" s="425"/>
      <c r="DA3" s="425"/>
      <c r="DB3" s="425"/>
      <c r="DC3" s="425"/>
    </row>
    <row r="4" spans="2:111" s="1161" customFormat="1" ht="7.15" customHeight="1" x14ac:dyDescent="0.25">
      <c r="B4" s="1160"/>
      <c r="D4" s="1162"/>
      <c r="E4" s="1162"/>
      <c r="F4" s="1162"/>
      <c r="G4" s="1163"/>
      <c r="H4" s="1164"/>
      <c r="I4" s="1165"/>
      <c r="J4" s="1165"/>
      <c r="K4" s="1165"/>
      <c r="L4" s="1166"/>
      <c r="M4" s="1164"/>
      <c r="N4" s="1165"/>
      <c r="O4" s="1165"/>
      <c r="P4" s="1165"/>
      <c r="Q4" s="1162"/>
      <c r="R4" s="1164"/>
      <c r="S4" s="1165"/>
      <c r="T4" s="1165"/>
      <c r="U4" s="1165"/>
      <c r="V4" s="1162"/>
      <c r="W4" s="1164"/>
      <c r="X4" s="1165"/>
      <c r="Y4" s="1165"/>
      <c r="Z4" s="1165"/>
      <c r="AA4" s="1162"/>
      <c r="AB4" s="1164"/>
      <c r="AC4" s="1165"/>
      <c r="AD4" s="1165"/>
      <c r="AE4" s="1165"/>
      <c r="AF4" s="1162"/>
      <c r="AH4" s="1162" t="str">
        <f>$AH$5&amp;$AJ$2&amp;AH6</f>
        <v>1.DV Quang PhátĐiều chỉnh 2020</v>
      </c>
      <c r="AI4" s="1162" t="str">
        <f>$AH$5&amp;AI6</f>
        <v>1.DV Quang Phát2021</v>
      </c>
      <c r="AJ4" s="1162" t="str">
        <f>$AH$5&amp;$AJ$2&amp;AJ6</f>
        <v>1.DV Quang PhátĐiều chỉnh 2022</v>
      </c>
      <c r="AK4" s="1162" t="str">
        <f>$AH$5&amp;$AJ$2&amp;AK6</f>
        <v>1.DV Quang PhátĐiều chỉnh 2023</v>
      </c>
      <c r="AL4" s="1164"/>
      <c r="AM4" s="1165" t="str">
        <f>$AM5&amp;$AJ$2&amp;AM6</f>
        <v>2.BT Quang PhátĐiều chỉnh 2020</v>
      </c>
      <c r="AN4" s="1165" t="str">
        <f>$AM5&amp;$AJ$2&amp;AN6</f>
        <v>2.BT Quang PhátĐiều chỉnh 2021</v>
      </c>
      <c r="AO4" s="1165" t="str">
        <f>$AM5&amp;$AJ$2&amp;AO6</f>
        <v>2.BT Quang PhátĐiều chỉnh 2022</v>
      </c>
      <c r="AP4" s="1165" t="str">
        <f>$AM5&amp;$AJ$2&amp;AP6</f>
        <v>2.BT Quang PhátĐiều chỉnh 2023</v>
      </c>
      <c r="AQ4" s="1164"/>
      <c r="AR4" s="1165" t="str">
        <f>$AR$5&amp;$AT$2&amp;AR6</f>
        <v>3.Kim Quang PhátĐiều chỉnh 2020</v>
      </c>
      <c r="AS4" s="1165" t="str">
        <f>$AR$5&amp;$AT$2&amp;AS6</f>
        <v>3.Kim Quang PhátĐiều chỉnh 2021</v>
      </c>
      <c r="AT4" s="1165" t="str">
        <f>$AR$5&amp;AT6</f>
        <v>3.Kim Quang Phát2022</v>
      </c>
      <c r="AU4" s="1165" t="str">
        <f>$AR$5&amp;$AT$2&amp;AU6</f>
        <v>3.Kim Quang PhátĐiều chỉnh 2023</v>
      </c>
      <c r="AV4" s="1164"/>
      <c r="AW4" s="1165" t="str">
        <f>$AW$5&amp;$AT$2&amp;AW6</f>
        <v>4.Kim Mỹ LinhĐiều chỉnh 2020</v>
      </c>
      <c r="AX4" s="1165" t="str">
        <f t="shared" ref="AX4:AZ4" si="0">$AW$5&amp;$AT$2&amp;AX6</f>
        <v>4.Kim Mỹ LinhĐiều chỉnh 2021</v>
      </c>
      <c r="AY4" s="1165" t="str">
        <f t="shared" si="0"/>
        <v>4.Kim Mỹ LinhĐiều chỉnh 2022</v>
      </c>
      <c r="AZ4" s="1165" t="str">
        <f t="shared" si="0"/>
        <v>4.Kim Mỹ LinhĐiều chỉnh 2023</v>
      </c>
      <c r="BA4" s="1164"/>
      <c r="BB4" s="1165" t="str">
        <f>$BB$5&amp;$AT$2&amp;BB6</f>
        <v>5.Vạn XuânĐiều chỉnh 2020</v>
      </c>
      <c r="BC4" s="1165" t="str">
        <f t="shared" ref="BC4:BE4" si="1">$BB$5&amp;$AT$2&amp;BC6</f>
        <v>5.Vạn XuânĐiều chỉnh 2021</v>
      </c>
      <c r="BD4" s="1165" t="str">
        <f t="shared" si="1"/>
        <v>5.Vạn XuânĐiều chỉnh 2022</v>
      </c>
      <c r="BE4" s="1165" t="str">
        <f t="shared" si="1"/>
        <v>5.Vạn XuânĐiều chỉnh 2023</v>
      </c>
      <c r="BF4" s="1164"/>
      <c r="BG4" s="1165" t="str">
        <f>$BG5&amp;$BI$2&amp;BG6</f>
        <v>6.Điều chỉnh 2020</v>
      </c>
      <c r="BH4" s="1165" t="str">
        <f>$BG5&amp;$BI$2&amp;BH6</f>
        <v>6.Điều chỉnh 2021</v>
      </c>
      <c r="BI4" s="1165" t="str">
        <f>$BG5&amp;$BI$2&amp;BI6</f>
        <v>6.Điều chỉnh 2022</v>
      </c>
      <c r="BJ4" s="1165" t="str">
        <f>$BG5&amp;$BI$2&amp;BJ6</f>
        <v>6.Điều chỉnh 2023</v>
      </c>
      <c r="BL4" s="1165"/>
      <c r="BM4" s="1165"/>
      <c r="BN4" s="1165"/>
      <c r="BO4" s="1162"/>
      <c r="BP4" s="1164"/>
      <c r="BQ4" s="1165"/>
      <c r="BR4" s="1165"/>
      <c r="BS4" s="1165"/>
      <c r="BT4" s="1162"/>
      <c r="BU4" s="1164"/>
      <c r="BV4" s="1165"/>
      <c r="BW4" s="1165"/>
      <c r="BX4" s="1165"/>
      <c r="BY4" s="1162"/>
      <c r="BZ4" s="1164"/>
      <c r="CA4" s="1165"/>
      <c r="CB4" s="1165"/>
      <c r="CC4" s="1165"/>
      <c r="CD4" s="1162"/>
      <c r="CE4" s="1164"/>
      <c r="CF4" s="1165"/>
      <c r="CG4" s="1165"/>
      <c r="CH4" s="1165"/>
      <c r="CI4" s="1162"/>
      <c r="CJ4" s="1164"/>
      <c r="CK4" s="1165"/>
      <c r="CL4" s="1165"/>
      <c r="CM4" s="1165"/>
      <c r="CN4" s="1162"/>
      <c r="CP4" s="1165"/>
      <c r="CQ4" s="1165"/>
      <c r="CR4" s="1165"/>
      <c r="CS4" s="1165"/>
      <c r="CU4" s="1165" t="str">
        <f>"ButruNB"&amp;CU6</f>
        <v>ButruNB2020</v>
      </c>
      <c r="CV4" s="1165" t="str">
        <f>"ButruNB"&amp;CV6</f>
        <v>ButruNB2021</v>
      </c>
      <c r="CW4" s="1165" t="str">
        <f>"ButruNB"&amp;CW6</f>
        <v>ButruNB2022</v>
      </c>
      <c r="CX4" s="1165" t="str">
        <f>"ButruNB"&amp;CX6</f>
        <v>ButruNB2023</v>
      </c>
      <c r="CZ4" s="1165"/>
      <c r="DA4" s="1165"/>
      <c r="DB4" s="1165"/>
      <c r="DC4" s="1165"/>
    </row>
    <row r="5" spans="2:111" s="429" customFormat="1" ht="31.5" x14ac:dyDescent="0.25">
      <c r="B5" s="427" t="s">
        <v>142</v>
      </c>
      <c r="C5" s="408" t="s">
        <v>273</v>
      </c>
      <c r="D5" s="2181" t="str">
        <f>'TH1'!G4</f>
        <v>1.DV Quang Phát</v>
      </c>
      <c r="E5" s="2182"/>
      <c r="F5" s="2182"/>
      <c r="G5" s="2183"/>
      <c r="H5" s="428"/>
      <c r="I5" s="2179" t="str">
        <f>'TH1'!G5</f>
        <v>2.BT Quang Phát</v>
      </c>
      <c r="J5" s="2180"/>
      <c r="K5" s="2180"/>
      <c r="L5" s="2180"/>
      <c r="M5" s="428"/>
      <c r="N5" s="2179" t="str">
        <f>'TH1'!G6</f>
        <v>3.Kim Quang Phát</v>
      </c>
      <c r="O5" s="2180"/>
      <c r="P5" s="2180"/>
      <c r="Q5" s="2180"/>
      <c r="R5" s="428"/>
      <c r="S5" s="2179" t="str">
        <f>'TH1'!G7</f>
        <v>4.Kim Mỹ Linh</v>
      </c>
      <c r="T5" s="2180"/>
      <c r="U5" s="2180"/>
      <c r="V5" s="2180"/>
      <c r="W5" s="428"/>
      <c r="X5" s="2179" t="str">
        <f>'TH1'!G8</f>
        <v>5.Vạn Xuân</v>
      </c>
      <c r="Y5" s="2180"/>
      <c r="Z5" s="2180"/>
      <c r="AA5" s="2180"/>
      <c r="AB5" s="428"/>
      <c r="AC5" s="2179" t="str">
        <f>'TH1'!G9</f>
        <v>6.</v>
      </c>
      <c r="AD5" s="2180"/>
      <c r="AE5" s="2180"/>
      <c r="AF5" s="2180"/>
      <c r="AH5" s="2181" t="str">
        <f>'TH1'!G4</f>
        <v>1.DV Quang Phát</v>
      </c>
      <c r="AI5" s="2182"/>
      <c r="AJ5" s="2182"/>
      <c r="AK5" s="2182"/>
      <c r="AL5" s="428"/>
      <c r="AM5" s="2179" t="str">
        <f>'TH1'!G5</f>
        <v>2.BT Quang Phát</v>
      </c>
      <c r="AN5" s="2180"/>
      <c r="AO5" s="2180"/>
      <c r="AP5" s="2180"/>
      <c r="AQ5" s="428"/>
      <c r="AR5" s="2179" t="str">
        <f>'TH1'!G6</f>
        <v>3.Kim Quang Phát</v>
      </c>
      <c r="AS5" s="2180"/>
      <c r="AT5" s="2180"/>
      <c r="AU5" s="2180"/>
      <c r="AV5" s="428"/>
      <c r="AW5" s="2179" t="str">
        <f>'TH1'!G7</f>
        <v>4.Kim Mỹ Linh</v>
      </c>
      <c r="AX5" s="2180"/>
      <c r="AY5" s="2180"/>
      <c r="AZ5" s="2180"/>
      <c r="BA5" s="428"/>
      <c r="BB5" s="2179" t="str">
        <f>'TH1'!G8</f>
        <v>5.Vạn Xuân</v>
      </c>
      <c r="BC5" s="2180"/>
      <c r="BD5" s="2180"/>
      <c r="BE5" s="2180"/>
      <c r="BF5" s="428"/>
      <c r="BG5" s="2179" t="str">
        <f>'TH1'!G9</f>
        <v>6.</v>
      </c>
      <c r="BH5" s="2180"/>
      <c r="BI5" s="2180"/>
      <c r="BJ5" s="2180"/>
      <c r="BL5" s="2179" t="str">
        <f>AH5</f>
        <v>1.DV Quang Phát</v>
      </c>
      <c r="BM5" s="2180"/>
      <c r="BN5" s="2180"/>
      <c r="BO5" s="2180"/>
      <c r="BP5" s="428"/>
      <c r="BQ5" s="2179" t="str">
        <f>'TH1'!G5</f>
        <v>2.BT Quang Phát</v>
      </c>
      <c r="BR5" s="2180"/>
      <c r="BS5" s="2180"/>
      <c r="BT5" s="2180"/>
      <c r="BU5" s="428"/>
      <c r="BV5" s="2179" t="str">
        <f>'TH1'!G6</f>
        <v>3.Kim Quang Phát</v>
      </c>
      <c r="BW5" s="2180"/>
      <c r="BX5" s="2180"/>
      <c r="BY5" s="2180"/>
      <c r="BZ5" s="428"/>
      <c r="CA5" s="2179" t="str">
        <f>'TH1'!G7</f>
        <v>4.Kim Mỹ Linh</v>
      </c>
      <c r="CB5" s="2180"/>
      <c r="CC5" s="2180"/>
      <c r="CD5" s="2180"/>
      <c r="CE5" s="428"/>
      <c r="CF5" s="2179" t="str">
        <f>'TH1'!G8</f>
        <v>5.Vạn Xuân</v>
      </c>
      <c r="CG5" s="2180"/>
      <c r="CH5" s="2180"/>
      <c r="CI5" s="2180"/>
      <c r="CJ5" s="430"/>
      <c r="CK5" s="2179" t="str">
        <f>'TH1'!G9</f>
        <v>6.</v>
      </c>
      <c r="CL5" s="2180"/>
      <c r="CM5" s="2180"/>
      <c r="CN5" s="2180"/>
      <c r="CP5" s="2175" t="s">
        <v>615</v>
      </c>
      <c r="CQ5" s="2176"/>
      <c r="CR5" s="2176"/>
      <c r="CS5" s="2176"/>
      <c r="CU5" s="2177" t="s">
        <v>873</v>
      </c>
      <c r="CV5" s="2178"/>
      <c r="CW5" s="2178"/>
      <c r="CX5" s="2178"/>
      <c r="CZ5" s="2175" t="s">
        <v>873</v>
      </c>
      <c r="DA5" s="2176"/>
      <c r="DB5" s="2176"/>
      <c r="DC5" s="2176"/>
    </row>
    <row r="6" spans="2:111" s="429" customFormat="1" ht="15.75" x14ac:dyDescent="0.25">
      <c r="B6" s="431">
        <v>1000000000</v>
      </c>
      <c r="C6" s="409"/>
      <c r="D6" s="432">
        <v>2020</v>
      </c>
      <c r="E6" s="432">
        <v>2021</v>
      </c>
      <c r="F6" s="433">
        <v>2022</v>
      </c>
      <c r="G6" s="433">
        <v>2023</v>
      </c>
      <c r="H6" s="434"/>
      <c r="I6" s="435">
        <v>2020</v>
      </c>
      <c r="J6" s="435">
        <v>2021</v>
      </c>
      <c r="K6" s="435">
        <v>2022</v>
      </c>
      <c r="L6" s="433">
        <v>2023</v>
      </c>
      <c r="M6" s="434"/>
      <c r="N6" s="435">
        <v>2020</v>
      </c>
      <c r="O6" s="435">
        <v>2021</v>
      </c>
      <c r="P6" s="435">
        <v>2022</v>
      </c>
      <c r="Q6" s="433">
        <v>2023</v>
      </c>
      <c r="R6" s="434"/>
      <c r="S6" s="432">
        <v>2020</v>
      </c>
      <c r="T6" s="432">
        <v>2021</v>
      </c>
      <c r="U6" s="433">
        <v>2022</v>
      </c>
      <c r="V6" s="433">
        <v>2023</v>
      </c>
      <c r="W6" s="434"/>
      <c r="X6" s="435">
        <v>2020</v>
      </c>
      <c r="Y6" s="435">
        <v>2021</v>
      </c>
      <c r="Z6" s="435">
        <v>2022</v>
      </c>
      <c r="AA6" s="433">
        <v>2023</v>
      </c>
      <c r="AB6" s="434"/>
      <c r="AC6" s="435">
        <v>2020</v>
      </c>
      <c r="AD6" s="435">
        <v>2021</v>
      </c>
      <c r="AE6" s="435">
        <v>2022</v>
      </c>
      <c r="AF6" s="433">
        <v>2023</v>
      </c>
      <c r="AH6" s="432">
        <v>2020</v>
      </c>
      <c r="AI6" s="432">
        <v>2021</v>
      </c>
      <c r="AJ6" s="432">
        <v>2022</v>
      </c>
      <c r="AK6" s="432">
        <v>2023</v>
      </c>
      <c r="AL6" s="434"/>
      <c r="AM6" s="432">
        <v>2020</v>
      </c>
      <c r="AN6" s="432">
        <v>2021</v>
      </c>
      <c r="AO6" s="432">
        <v>2022</v>
      </c>
      <c r="AP6" s="432">
        <v>2023</v>
      </c>
      <c r="AQ6" s="434"/>
      <c r="AR6" s="432">
        <v>2020</v>
      </c>
      <c r="AS6" s="432">
        <v>2021</v>
      </c>
      <c r="AT6" s="432">
        <v>2022</v>
      </c>
      <c r="AU6" s="432">
        <v>2023</v>
      </c>
      <c r="AV6" s="434"/>
      <c r="AW6" s="432">
        <v>2020</v>
      </c>
      <c r="AX6" s="432">
        <v>2021</v>
      </c>
      <c r="AY6" s="432">
        <v>2022</v>
      </c>
      <c r="AZ6" s="432">
        <v>2023</v>
      </c>
      <c r="BA6" s="434"/>
      <c r="BB6" s="435">
        <v>2020</v>
      </c>
      <c r="BC6" s="435">
        <v>2021</v>
      </c>
      <c r="BD6" s="435">
        <v>2022</v>
      </c>
      <c r="BE6" s="432">
        <v>2023</v>
      </c>
      <c r="BF6" s="434"/>
      <c r="BG6" s="435">
        <v>2020</v>
      </c>
      <c r="BH6" s="435">
        <v>2021</v>
      </c>
      <c r="BI6" s="435">
        <v>2022</v>
      </c>
      <c r="BJ6" s="432">
        <v>2023</v>
      </c>
      <c r="BL6" s="435">
        <v>2020</v>
      </c>
      <c r="BM6" s="435">
        <v>2021</v>
      </c>
      <c r="BN6" s="435">
        <v>2022</v>
      </c>
      <c r="BO6" s="432">
        <v>2023</v>
      </c>
      <c r="BP6" s="434"/>
      <c r="BQ6" s="435">
        <v>2020</v>
      </c>
      <c r="BR6" s="435">
        <v>2021</v>
      </c>
      <c r="BS6" s="435">
        <v>2022</v>
      </c>
      <c r="BT6" s="432">
        <v>2023</v>
      </c>
      <c r="BU6" s="434"/>
      <c r="BV6" s="435">
        <v>2020</v>
      </c>
      <c r="BW6" s="435">
        <v>2021</v>
      </c>
      <c r="BX6" s="435">
        <v>2022</v>
      </c>
      <c r="BY6" s="432">
        <v>2023</v>
      </c>
      <c r="BZ6" s="434"/>
      <c r="CA6" s="435">
        <v>2020</v>
      </c>
      <c r="CB6" s="435">
        <v>2021</v>
      </c>
      <c r="CC6" s="435">
        <v>2022</v>
      </c>
      <c r="CD6" s="432">
        <v>2023</v>
      </c>
      <c r="CE6" s="434"/>
      <c r="CF6" s="435">
        <v>2020</v>
      </c>
      <c r="CG6" s="435">
        <v>2021</v>
      </c>
      <c r="CH6" s="435">
        <v>2022</v>
      </c>
      <c r="CI6" s="432">
        <v>2023</v>
      </c>
      <c r="CJ6" s="434"/>
      <c r="CK6" s="435">
        <v>2020</v>
      </c>
      <c r="CL6" s="435">
        <v>2021</v>
      </c>
      <c r="CM6" s="435">
        <v>2022</v>
      </c>
      <c r="CN6" s="432">
        <v>2023</v>
      </c>
      <c r="CP6" s="436">
        <v>2020</v>
      </c>
      <c r="CQ6" s="436">
        <v>2021</v>
      </c>
      <c r="CR6" s="436">
        <v>2022</v>
      </c>
      <c r="CS6" s="436">
        <v>2023</v>
      </c>
      <c r="CU6" s="437">
        <v>2020</v>
      </c>
      <c r="CV6" s="437">
        <v>2021</v>
      </c>
      <c r="CW6" s="437">
        <v>2022</v>
      </c>
      <c r="CX6" s="437">
        <v>2023</v>
      </c>
      <c r="CZ6" s="436">
        <v>2020</v>
      </c>
      <c r="DA6" s="436">
        <v>2021</v>
      </c>
      <c r="DB6" s="436">
        <v>2022</v>
      </c>
      <c r="DC6" s="436">
        <v>2023</v>
      </c>
    </row>
    <row r="7" spans="2:111" s="213" customFormat="1" ht="15.75" x14ac:dyDescent="0.25">
      <c r="B7" s="236"/>
      <c r="C7" s="237"/>
      <c r="D7" s="238"/>
      <c r="E7" s="238"/>
      <c r="F7" s="239"/>
      <c r="G7" s="239"/>
      <c r="H7" s="240"/>
      <c r="I7" s="238"/>
      <c r="J7" s="238"/>
      <c r="K7" s="238"/>
      <c r="L7" s="238"/>
      <c r="M7" s="240"/>
      <c r="N7" s="2174"/>
      <c r="O7" s="2174"/>
      <c r="P7" s="2174"/>
      <c r="Q7" s="238"/>
      <c r="R7" s="240"/>
      <c r="S7" s="241"/>
      <c r="T7" s="241"/>
      <c r="U7" s="241"/>
      <c r="V7" s="238"/>
      <c r="W7" s="240"/>
      <c r="X7" s="241"/>
      <c r="Y7" s="241"/>
      <c r="Z7" s="241"/>
      <c r="AA7" s="238"/>
      <c r="AB7" s="240"/>
      <c r="AC7" s="2174"/>
      <c r="AD7" s="2174"/>
      <c r="AE7" s="2174"/>
      <c r="AF7" s="238"/>
      <c r="AH7" s="238"/>
      <c r="AI7" s="238"/>
      <c r="AJ7" s="238"/>
      <c r="AK7" s="238"/>
      <c r="AL7" s="240"/>
      <c r="AM7" s="238"/>
      <c r="AN7" s="238"/>
      <c r="AO7" s="238"/>
      <c r="AP7" s="238"/>
      <c r="AQ7" s="240"/>
      <c r="AR7" s="2174"/>
      <c r="AS7" s="2174"/>
      <c r="AT7" s="2174"/>
      <c r="AU7" s="238"/>
      <c r="AV7" s="240"/>
      <c r="AW7" s="2174"/>
      <c r="AX7" s="2174"/>
      <c r="AY7" s="2174"/>
      <c r="AZ7" s="238"/>
      <c r="BA7" s="240"/>
      <c r="BB7" s="2174"/>
      <c r="BC7" s="2174"/>
      <c r="BD7" s="2174"/>
      <c r="BE7" s="238"/>
      <c r="BF7" s="240"/>
      <c r="BG7" s="2174"/>
      <c r="BH7" s="2174"/>
      <c r="BI7" s="2174"/>
      <c r="BJ7" s="238"/>
      <c r="BL7" s="238"/>
      <c r="BM7" s="238"/>
      <c r="BN7" s="238"/>
      <c r="BO7" s="238"/>
      <c r="BP7" s="240"/>
      <c r="BQ7" s="238"/>
      <c r="BR7" s="238"/>
      <c r="BS7" s="238"/>
      <c r="BT7" s="238"/>
      <c r="BU7" s="240"/>
      <c r="BV7" s="2174"/>
      <c r="BW7" s="2174"/>
      <c r="BX7" s="2174"/>
      <c r="BY7" s="238"/>
      <c r="BZ7" s="240"/>
      <c r="CA7" s="2174"/>
      <c r="CB7" s="2174"/>
      <c r="CC7" s="2174"/>
      <c r="CD7" s="238"/>
      <c r="CE7" s="240"/>
      <c r="CF7" s="2174"/>
      <c r="CG7" s="2174"/>
      <c r="CH7" s="2174"/>
      <c r="CI7" s="238"/>
      <c r="CJ7" s="240"/>
      <c r="CK7" s="2174"/>
      <c r="CL7" s="2174"/>
      <c r="CM7" s="2174"/>
      <c r="CN7" s="238"/>
      <c r="CP7" s="242"/>
      <c r="CQ7" s="242"/>
      <c r="CR7" s="242"/>
      <c r="CS7" s="238"/>
      <c r="CU7" s="242"/>
      <c r="CV7" s="242"/>
      <c r="CW7" s="242"/>
      <c r="CX7" s="238"/>
      <c r="CZ7" s="242"/>
      <c r="DA7" s="242"/>
      <c r="DB7" s="242"/>
      <c r="DC7" s="238"/>
    </row>
    <row r="8" spans="2:111" s="816" customFormat="1" ht="15.75" x14ac:dyDescent="0.25">
      <c r="B8" s="808" t="s">
        <v>623</v>
      </c>
      <c r="C8" s="809" t="s">
        <v>274</v>
      </c>
      <c r="D8" s="810">
        <v>272815509098</v>
      </c>
      <c r="E8" s="811">
        <v>361225907557</v>
      </c>
      <c r="F8" s="811">
        <v>423679605375</v>
      </c>
      <c r="G8" s="812">
        <v>441344076314</v>
      </c>
      <c r="H8" s="813"/>
      <c r="I8" s="814">
        <v>0</v>
      </c>
      <c r="J8" s="814">
        <v>41462536713</v>
      </c>
      <c r="K8" s="814">
        <v>69811635749</v>
      </c>
      <c r="L8" s="814">
        <v>74678752638</v>
      </c>
      <c r="M8" s="813"/>
      <c r="N8" s="815">
        <v>59548559255</v>
      </c>
      <c r="O8" s="815">
        <v>54917326996</v>
      </c>
      <c r="P8" s="815">
        <v>64008838727</v>
      </c>
      <c r="Q8" s="815">
        <v>58809727981</v>
      </c>
      <c r="R8" s="813"/>
      <c r="S8" s="815">
        <v>20700982927</v>
      </c>
      <c r="T8" s="815">
        <v>43997295527</v>
      </c>
      <c r="U8" s="815">
        <v>45487103106</v>
      </c>
      <c r="V8" s="815">
        <v>43100304580</v>
      </c>
      <c r="W8" s="813"/>
      <c r="X8" s="815"/>
      <c r="Y8" s="815"/>
      <c r="Z8" s="815"/>
      <c r="AA8" s="815"/>
      <c r="AB8" s="813"/>
      <c r="AC8" s="815"/>
      <c r="AD8" s="815"/>
      <c r="AE8" s="815"/>
      <c r="AF8" s="815"/>
      <c r="AH8" s="815">
        <f>-SUMIFS('1.DC_Ra soat'!$L:$L,'1.DC_Ra soat'!$F:$F,'1.PL (VND) '!AH$4,'1.DC_Ra soat'!$H:$H,'1.PL (VND) '!$C8)+SUMIFS('1.DC_Ra soat'!$L:$L,'1.DC_Ra soat'!$F:$F,'1.PL (VND) '!AH$4,'1.DC_Ra soat'!$I:$I,'1.PL (VND) '!$C8)</f>
        <v>0</v>
      </c>
      <c r="AI8" s="815">
        <f>-SUMIFS('1.DC_Ra soat'!$L:$L,'1.DC_Ra soat'!$F:$F,'1.PL (VND) '!AI$4,'1.DC_Ra soat'!$H:$H,'1.PL (VND) '!$C8)+SUMIFS('1.DC_Ra soat'!$L:$L,'1.DC_Ra soat'!$F:$F,'1.PL (VND) '!AI$4,'1.DC_Ra soat'!$I:$I,'1.PL (VND) '!$C8)</f>
        <v>0</v>
      </c>
      <c r="AJ8" s="815">
        <f>-SUMIFS('1.DC_Ra soat'!$L:$L,'1.DC_Ra soat'!$F:$F,'1.PL (VND) '!AJ$4,'1.DC_Ra soat'!$H:$H,'1.PL (VND) '!$C8)+SUMIFS('1.DC_Ra soat'!$L:$L,'1.DC_Ra soat'!$F:$F,'1.PL (VND) '!AJ$4,'1.DC_Ra soat'!$I:$I,'1.PL (VND) '!$C8)</f>
        <v>0</v>
      </c>
      <c r="AK8" s="815">
        <f>-SUMIFS('1.DC_Ra soat'!$L:$L,'1.DC_Ra soat'!$F:$F,'1.PL (VND) '!AK$4,'1.DC_Ra soat'!$H:$H,'1.PL (VND) '!$C8)+SUMIFS('1.DC_Ra soat'!$L:$L,'1.DC_Ra soat'!$F:$F,'1.PL (VND) '!AK$4,'1.DC_Ra soat'!$I:$I,'1.PL (VND) '!$C8)</f>
        <v>0</v>
      </c>
      <c r="AL8" s="813"/>
      <c r="AM8" s="815">
        <f>-SUMIFS('1.DC_Ra soat'!$L:$L,'1.DC_Ra soat'!$F:$F,'1.PL (VND) '!AM$4,'1.DC_Ra soat'!$H:$H,'1.PL (VND) '!$C8)+SUMIFS('1.DC_Ra soat'!$L:$L,'1.DC_Ra soat'!$F:$F,'1.PL (VND) '!AM$4,'1.DC_Ra soat'!$I:$I,'1.PL (VND) '!$C8)</f>
        <v>0</v>
      </c>
      <c r="AN8" s="815">
        <f>-SUMIFS('1.DC_Ra soat'!$L:$L,'1.DC_Ra soat'!$F:$F,'1.PL (VND) '!AN$4,'1.DC_Ra soat'!$H:$H,'1.PL (VND) '!$C8)+SUMIFS('1.DC_Ra soat'!$L:$L,'1.DC_Ra soat'!$F:$F,'1.PL (VND) '!AN$4,'1.DC_Ra soat'!$I:$I,'1.PL (VND) '!$C8)</f>
        <v>0</v>
      </c>
      <c r="AO8" s="815">
        <f>-SUMIFS('1.DC_Ra soat'!$L:$L,'1.DC_Ra soat'!$F:$F,'1.PL (VND) '!AO$4,'1.DC_Ra soat'!$H:$H,'1.PL (VND) '!$C8)+SUMIFS('1.DC_Ra soat'!$L:$L,'1.DC_Ra soat'!$F:$F,'1.PL (VND) '!AO$4,'1.DC_Ra soat'!$I:$I,'1.PL (VND) '!$C8)</f>
        <v>0</v>
      </c>
      <c r="AP8" s="815">
        <f>-SUMIFS('1.DC_Ra soat'!$L:$L,'1.DC_Ra soat'!$F:$F,'1.PL (VND) '!AP$4,'1.DC_Ra soat'!$H:$H,'1.PL (VND) '!$C8)+SUMIFS('1.DC_Ra soat'!$L:$L,'1.DC_Ra soat'!$F:$F,'1.PL (VND) '!AP$4,'1.DC_Ra soat'!$I:$I,'1.PL (VND) '!$C8)</f>
        <v>0</v>
      </c>
      <c r="AQ8" s="813"/>
      <c r="AR8" s="815">
        <f>-SUMIFS('1.DC_Ra soat'!$L:$L,'1.DC_Ra soat'!$F:$F,'1.PL (VND) '!AR$4,'1.DC_Ra soat'!$H:$H,'1.PL (VND) '!$C8)+SUMIFS('1.DC_Ra soat'!$L:$L,'1.DC_Ra soat'!$F:$F,'1.PL (VND) '!AR$4,'1.DC_Ra soat'!$I:$I,'1.PL (VND) '!$C8)</f>
        <v>0</v>
      </c>
      <c r="AS8" s="815">
        <f>-SUMIFS('1.DC_Ra soat'!$L:$L,'1.DC_Ra soat'!$F:$F,'1.PL (VND) '!AS$4,'1.DC_Ra soat'!$H:$H,'1.PL (VND) '!$C8)+SUMIFS('1.DC_Ra soat'!$L:$L,'1.DC_Ra soat'!$F:$F,'1.PL (VND) '!AS$4,'1.DC_Ra soat'!$I:$I,'1.PL (VND) '!$C8)</f>
        <v>0</v>
      </c>
      <c r="AT8" s="815">
        <f>-SUMIFS('1.DC_Ra soat'!$L:$L,'1.DC_Ra soat'!$F:$F,'1.PL (VND) '!AT$4,'1.DC_Ra soat'!$H:$H,'1.PL (VND) '!$C8)+SUMIFS('1.DC_Ra soat'!$L:$L,'1.DC_Ra soat'!$F:$F,'1.PL (VND) '!AT$4,'1.DC_Ra soat'!$I:$I,'1.PL (VND) '!$C8)</f>
        <v>0</v>
      </c>
      <c r="AU8" s="815">
        <f>-SUMIFS('1.DC_Ra soat'!$L:$L,'1.DC_Ra soat'!$F:$F,'1.PL (VND) '!AU$4,'1.DC_Ra soat'!$H:$H,'1.PL (VND) '!$C8)+SUMIFS('1.DC_Ra soat'!$L:$L,'1.DC_Ra soat'!$F:$F,'1.PL (VND) '!AU$4,'1.DC_Ra soat'!$I:$I,'1.PL (VND) '!$C8)</f>
        <v>0</v>
      </c>
      <c r="AV8" s="813"/>
      <c r="AW8" s="815">
        <f>-SUMIFS('1.DC_Ra soat'!$L:$L,'1.DC_Ra soat'!$F:$F,'1.PL (VND) '!AW$4,'1.DC_Ra soat'!$H:$H,'1.PL (VND) '!$C8)+SUMIFS('1.DC_Ra soat'!$L:$L,'1.DC_Ra soat'!$F:$F,'1.PL (VND) '!AW$4,'1.DC_Ra soat'!$I:$I,'1.PL (VND) '!$C8)</f>
        <v>0</v>
      </c>
      <c r="AX8" s="815">
        <f>-SUMIFS('1.DC_Ra soat'!$L:$L,'1.DC_Ra soat'!$F:$F,'1.PL (VND) '!AX$4,'1.DC_Ra soat'!$H:$H,'1.PL (VND) '!$C8)+SUMIFS('1.DC_Ra soat'!$L:$L,'1.DC_Ra soat'!$F:$F,'1.PL (VND) '!AX$4,'1.DC_Ra soat'!$I:$I,'1.PL (VND) '!$C8)</f>
        <v>0</v>
      </c>
      <c r="AY8" s="815">
        <f>-SUMIFS('1.DC_Ra soat'!$L:$L,'1.DC_Ra soat'!$F:$F,'1.PL (VND) '!AY$4,'1.DC_Ra soat'!$H:$H,'1.PL (VND) '!$C8)+SUMIFS('1.DC_Ra soat'!$L:$L,'1.DC_Ra soat'!$F:$F,'1.PL (VND) '!AY$4,'1.DC_Ra soat'!$I:$I,'1.PL (VND) '!$C8)</f>
        <v>0</v>
      </c>
      <c r="AZ8" s="815">
        <f>-SUMIFS('1.DC_Ra soat'!$L:$L,'1.DC_Ra soat'!$F:$F,'1.PL (VND) '!AZ$4,'1.DC_Ra soat'!$H:$H,'1.PL (VND) '!$C8)+SUMIFS('1.DC_Ra soat'!$L:$L,'1.DC_Ra soat'!$F:$F,'1.PL (VND) '!AZ$4,'1.DC_Ra soat'!$I:$I,'1.PL (VND) '!$C8)</f>
        <v>0</v>
      </c>
      <c r="BA8" s="813"/>
      <c r="BB8" s="815">
        <f>-SUMIFS('1.DC_Ra soat'!$L:$L,'1.DC_Ra soat'!$F:$F,'1.PL (VND) '!BB$4,'1.DC_Ra soat'!$H:$H,'1.PL (VND) '!$C8)+SUMIFS('1.DC_Ra soat'!$L:$L,'1.DC_Ra soat'!$F:$F,'1.PL (VND) '!BB$4,'1.DC_Ra soat'!$I:$I,'1.PL (VND) '!$C8)</f>
        <v>0</v>
      </c>
      <c r="BC8" s="815">
        <f>-SUMIFS('1.DC_Ra soat'!$L:$L,'1.DC_Ra soat'!$F:$F,'1.PL (VND) '!BC$4,'1.DC_Ra soat'!$H:$H,'1.PL (VND) '!$C8)+SUMIFS('1.DC_Ra soat'!$L:$L,'1.DC_Ra soat'!$F:$F,'1.PL (VND) '!BC$4,'1.DC_Ra soat'!$I:$I,'1.PL (VND) '!$C8)</f>
        <v>0</v>
      </c>
      <c r="BD8" s="815">
        <f>-SUMIFS('1.DC_Ra soat'!$L:$L,'1.DC_Ra soat'!$F:$F,'1.PL (VND) '!BD$4,'1.DC_Ra soat'!$H:$H,'1.PL (VND) '!$C8)+SUMIFS('1.DC_Ra soat'!$L:$L,'1.DC_Ra soat'!$F:$F,'1.PL (VND) '!BD$4,'1.DC_Ra soat'!$I:$I,'1.PL (VND) '!$C8)</f>
        <v>0</v>
      </c>
      <c r="BE8" s="815">
        <f>-SUMIFS('1.DC_Ra soat'!$L:$L,'1.DC_Ra soat'!$F:$F,'1.PL (VND) '!BE$4,'1.DC_Ra soat'!$H:$H,'1.PL (VND) '!$C8)+SUMIFS('1.DC_Ra soat'!$L:$L,'1.DC_Ra soat'!$F:$F,'1.PL (VND) '!BE$4,'1.DC_Ra soat'!$I:$I,'1.PL (VND) '!$C8)</f>
        <v>0</v>
      </c>
      <c r="BF8" s="813"/>
      <c r="BG8" s="815">
        <f>-SUMIFS('1.DC_Ra soat'!$L:$L,'1.DC_Ra soat'!$F:$F,'1.PL (VND) '!BG$4,'1.DC_Ra soat'!$H:$H,'1.PL (VND) '!$C8)+SUMIFS('1.DC_Ra soat'!$L:$L,'1.DC_Ra soat'!$F:$F,'1.PL (VND) '!BG$4,'1.DC_Ra soat'!$I:$I,'1.PL (VND) '!$C8)</f>
        <v>0</v>
      </c>
      <c r="BH8" s="815">
        <f>-SUMIFS('1.DC_Ra soat'!$L:$L,'1.DC_Ra soat'!$F:$F,'1.PL (VND) '!BH$4,'1.DC_Ra soat'!$H:$H,'1.PL (VND) '!$C8)+SUMIFS('1.DC_Ra soat'!$L:$L,'1.DC_Ra soat'!$F:$F,'1.PL (VND) '!BH$4,'1.DC_Ra soat'!$I:$I,'1.PL (VND) '!$C8)</f>
        <v>0</v>
      </c>
      <c r="BI8" s="815">
        <f>-SUMIFS('1.DC_Ra soat'!$L:$L,'1.DC_Ra soat'!$F:$F,'1.PL (VND) '!BI$4,'1.DC_Ra soat'!$H:$H,'1.PL (VND) '!$C8)+SUMIFS('1.DC_Ra soat'!$L:$L,'1.DC_Ra soat'!$F:$F,'1.PL (VND) '!BI$4,'1.DC_Ra soat'!$I:$I,'1.PL (VND) '!$C8)</f>
        <v>0</v>
      </c>
      <c r="BJ8" s="815">
        <f>-SUMIFS('1.DC_Ra soat'!$L:$L,'1.DC_Ra soat'!$F:$F,'1.PL (VND) '!BJ$4,'1.DC_Ra soat'!$H:$H,'1.PL (VND) '!$C8)+SUMIFS('1.DC_Ra soat'!$L:$L,'1.DC_Ra soat'!$F:$F,'1.PL (VND) '!BJ$4,'1.DC_Ra soat'!$I:$I,'1.PL (VND) '!$C8)</f>
        <v>0</v>
      </c>
      <c r="BL8" s="815">
        <f t="shared" ref="BL8:BL28" si="2">D8+AH8</f>
        <v>272815509098</v>
      </c>
      <c r="BM8" s="815">
        <f t="shared" ref="BM8:BM28" si="3">E8+AI8</f>
        <v>361225907557</v>
      </c>
      <c r="BN8" s="815">
        <f t="shared" ref="BN8:BN28" si="4">F8+AJ8</f>
        <v>423679605375</v>
      </c>
      <c r="BO8" s="815">
        <f t="shared" ref="BO8:BO28" si="5">G8+AK8</f>
        <v>441344076314</v>
      </c>
      <c r="BP8" s="813"/>
      <c r="BQ8" s="815">
        <f t="shared" ref="BQ8:BQ28" si="6">I8+AM8</f>
        <v>0</v>
      </c>
      <c r="BR8" s="815">
        <f t="shared" ref="BR8:BR28" si="7">J8+AN8</f>
        <v>41462536713</v>
      </c>
      <c r="BS8" s="815">
        <f t="shared" ref="BS8:BS28" si="8">K8+AO8</f>
        <v>69811635749</v>
      </c>
      <c r="BT8" s="815">
        <f t="shared" ref="BT8:BT28" si="9">L8+AP8</f>
        <v>74678752638</v>
      </c>
      <c r="BU8" s="813"/>
      <c r="BV8" s="815">
        <f t="shared" ref="BV8:BV28" si="10">N8+AR8</f>
        <v>59548559255</v>
      </c>
      <c r="BW8" s="815">
        <f t="shared" ref="BW8:BW28" si="11">O8+AS8</f>
        <v>54917326996</v>
      </c>
      <c r="BX8" s="815">
        <f t="shared" ref="BX8:BX28" si="12">P8+AT8</f>
        <v>64008838727</v>
      </c>
      <c r="BY8" s="815">
        <f t="shared" ref="BY8:BY28" si="13">Q8+AU8</f>
        <v>58809727981</v>
      </c>
      <c r="BZ8" s="813"/>
      <c r="CA8" s="815">
        <f t="shared" ref="CA8:CA28" si="14">S8+AW8</f>
        <v>20700982927</v>
      </c>
      <c r="CB8" s="815">
        <f t="shared" ref="CB8:CB28" si="15">T8+AX8</f>
        <v>43997295527</v>
      </c>
      <c r="CC8" s="815">
        <f t="shared" ref="CC8:CC28" si="16">U8+AY8</f>
        <v>45487103106</v>
      </c>
      <c r="CD8" s="815">
        <f t="shared" ref="CD8:CD28" si="17">V8+AZ8</f>
        <v>43100304580</v>
      </c>
      <c r="CE8" s="813"/>
      <c r="CF8" s="815">
        <f t="shared" ref="CF8:CF28" si="18">X8+BB8</f>
        <v>0</v>
      </c>
      <c r="CG8" s="815">
        <f t="shared" ref="CG8:CG28" si="19">Y8+BC8</f>
        <v>0</v>
      </c>
      <c r="CH8" s="815">
        <f t="shared" ref="CH8:CH28" si="20">Z8+BD8</f>
        <v>0</v>
      </c>
      <c r="CI8" s="815">
        <f t="shared" ref="CI8:CI28" si="21">AA8+BE8</f>
        <v>0</v>
      </c>
      <c r="CJ8" s="813"/>
      <c r="CK8" s="815">
        <f t="shared" ref="CK8:CK28" si="22">AC8+BG8</f>
        <v>0</v>
      </c>
      <c r="CL8" s="815">
        <f t="shared" ref="CL8:CL28" si="23">AD8+BH8</f>
        <v>0</v>
      </c>
      <c r="CM8" s="815">
        <f t="shared" ref="CM8:CM28" si="24">AE8+BI8</f>
        <v>0</v>
      </c>
      <c r="CN8" s="815">
        <f t="shared" ref="CN8:CN28" si="25">AF8+BJ8</f>
        <v>0</v>
      </c>
      <c r="CP8" s="815">
        <f t="shared" ref="CP8:CS26" si="26">SUMIF($BL$6:$CD$6,CP$6,$BL8:$CD8)</f>
        <v>353065051280</v>
      </c>
      <c r="CQ8" s="815">
        <f t="shared" si="26"/>
        <v>501603066793</v>
      </c>
      <c r="CR8" s="815">
        <f t="shared" si="26"/>
        <v>602987182957</v>
      </c>
      <c r="CS8" s="815">
        <f t="shared" si="26"/>
        <v>617932861513</v>
      </c>
      <c r="CT8" s="817"/>
      <c r="CU8" s="815">
        <f>-SUMIFS('1.DC_Ra soat'!$L:$L,'1.DC_Ra soat'!$F:$F,'1.PL (VND) '!CU$4,'1.DC_Ra soat'!$H:$H,'1.PL (VND) '!$C8)+SUMIFS('1.DC_Ra soat'!$L:$L,'1.DC_Ra soat'!$F:$F,'1.PL (VND) '!CU$4,'1.DC_Ra soat'!$I:$I,'1.PL (VND) '!$C8)</f>
        <v>0</v>
      </c>
      <c r="CV8" s="815">
        <f>-SUMIFS('1.DC_Ra soat'!$L:$L,'1.DC_Ra soat'!$F:$F,'1.PL (VND) '!CV$4,'1.DC_Ra soat'!$H:$H,'1.PL (VND) '!$C8)+SUMIFS('1.DC_Ra soat'!$L:$L,'1.DC_Ra soat'!$F:$F,'1.PL (VND) '!CV$4,'1.DC_Ra soat'!$I:$I,'1.PL (VND) '!$C8)</f>
        <v>0</v>
      </c>
      <c r="CW8" s="815">
        <f>-SUMIFS('1.DC_Ra soat'!$L:$L,'1.DC_Ra soat'!$F:$F,'1.PL (VND) '!CW$4,'1.DC_Ra soat'!$H:$H,'1.PL (VND) '!$C8)+SUMIFS('1.DC_Ra soat'!$L:$L,'1.DC_Ra soat'!$F:$F,'1.PL (VND) '!CW$4,'1.DC_Ra soat'!$I:$I,'1.PL (VND) '!$C8)</f>
        <v>-97491273670</v>
      </c>
      <c r="CX8" s="815">
        <f>-SUMIFS('1.DC_Ra soat'!$L:$L,'1.DC_Ra soat'!$F:$F,'1.PL (VND) '!CX$4,'1.DC_Ra soat'!$H:$H,'1.PL (VND) '!$C8)+SUMIFS('1.DC_Ra soat'!$L:$L,'1.DC_Ra soat'!$F:$F,'1.PL (VND) '!CX$4,'1.DC_Ra soat'!$I:$I,'1.PL (VND) '!$C8)</f>
        <v>-85934511540</v>
      </c>
      <c r="CY8" s="817"/>
      <c r="CZ8" s="815">
        <f t="shared" ref="CZ8:CZ26" si="27">CP8+CU8</f>
        <v>353065051280</v>
      </c>
      <c r="DA8" s="815">
        <f t="shared" ref="DA8:DA26" si="28">CQ8+CV8</f>
        <v>501603066793</v>
      </c>
      <c r="DB8" s="815">
        <f t="shared" ref="DB8:DB26" si="29">CR8+CW8</f>
        <v>505495909287</v>
      </c>
      <c r="DC8" s="815">
        <f>CS8+CX8</f>
        <v>531998349973</v>
      </c>
      <c r="DG8" s="817"/>
    </row>
    <row r="9" spans="2:111" s="441" customFormat="1" ht="15.75" x14ac:dyDescent="0.25">
      <c r="B9" s="438" t="s">
        <v>624</v>
      </c>
      <c r="C9" s="771" t="s">
        <v>275</v>
      </c>
      <c r="D9" s="772"/>
      <c r="E9" s="772"/>
      <c r="F9" s="772">
        <v>311800426</v>
      </c>
      <c r="G9" s="773">
        <v>0</v>
      </c>
      <c r="H9" s="774"/>
      <c r="I9" s="439">
        <v>0</v>
      </c>
      <c r="J9" s="439">
        <v>0</v>
      </c>
      <c r="K9" s="439">
        <v>0</v>
      </c>
      <c r="L9" s="439">
        <v>0</v>
      </c>
      <c r="M9" s="774"/>
      <c r="N9" s="439"/>
      <c r="O9" s="439"/>
      <c r="P9" s="439"/>
      <c r="Q9" s="439"/>
      <c r="R9" s="774"/>
      <c r="S9" s="439"/>
      <c r="T9" s="439"/>
      <c r="U9" s="439"/>
      <c r="V9" s="439"/>
      <c r="W9" s="774"/>
      <c r="X9" s="439"/>
      <c r="Y9" s="439"/>
      <c r="Z9" s="439"/>
      <c r="AA9" s="439"/>
      <c r="AB9" s="774"/>
      <c r="AC9" s="439"/>
      <c r="AD9" s="439"/>
      <c r="AE9" s="439"/>
      <c r="AF9" s="439"/>
      <c r="AH9" s="439">
        <f>SUMIFS('1.DC_Ra soat'!$L:$L,'1.DC_Ra soat'!$F:$F,'1.PL (VND) '!AH$4,'1.DC_Ra soat'!$H:$H,'1.PL (VND) '!$C9)-SUMIFS('1.DC_Ra soat'!$L:$L,'1.DC_Ra soat'!$F:$F,'1.PL (VND) '!AH$4,'1.DC_Ra soat'!$I:$I,'1.PL (VND) '!$C9)</f>
        <v>0</v>
      </c>
      <c r="AI9" s="439">
        <f>SUMIFS('1.DC_Ra soat'!$L:$L,'1.DC_Ra soat'!$F:$F,'1.PL (VND) '!AI$4,'1.DC_Ra soat'!$H:$H,'1.PL (VND) '!$C9)-SUMIFS('1.DC_Ra soat'!$L:$L,'1.DC_Ra soat'!$F:$F,'1.PL (VND) '!AI$4,'1.DC_Ra soat'!$I:$I,'1.PL (VND) '!$C9)</f>
        <v>0</v>
      </c>
      <c r="AJ9" s="439">
        <f>SUMIFS('1.DC_Ra soat'!$L:$L,'1.DC_Ra soat'!$F:$F,'1.PL (VND) '!AJ$4,'1.DC_Ra soat'!$H:$H,'1.PL (VND) '!$C9)-SUMIFS('1.DC_Ra soat'!$L:$L,'1.DC_Ra soat'!$F:$F,'1.PL (VND) '!AJ$4,'1.DC_Ra soat'!$I:$I,'1.PL (VND) '!$C9)</f>
        <v>0</v>
      </c>
      <c r="AK9" s="439">
        <f>SUMIFS('1.DC_Ra soat'!$L:$L,'1.DC_Ra soat'!$F:$F,'1.PL (VND) '!AK$4,'1.DC_Ra soat'!$H:$H,'1.PL (VND) '!$C9)-SUMIFS('1.DC_Ra soat'!$L:$L,'1.DC_Ra soat'!$F:$F,'1.PL (VND) '!AK$4,'1.DC_Ra soat'!$I:$I,'1.PL (VND) '!$C9)</f>
        <v>0</v>
      </c>
      <c r="AL9" s="774"/>
      <c r="AM9" s="439">
        <f>SUMIFS('1.DC_Ra soat'!$L:$L,'1.DC_Ra soat'!$F:$F,'1.PL (VND) '!AM$4,'1.DC_Ra soat'!$H:$H,'1.PL (VND) '!$C9)-SUMIFS('1.DC_Ra soat'!$L:$L,'1.DC_Ra soat'!$F:$F,'1.PL (VND) '!AM$4,'1.DC_Ra soat'!$I:$I,'1.PL (VND) '!$C9)</f>
        <v>0</v>
      </c>
      <c r="AN9" s="439">
        <f>SUMIFS('1.DC_Ra soat'!$L:$L,'1.DC_Ra soat'!$F:$F,'1.PL (VND) '!AN$4,'1.DC_Ra soat'!$H:$H,'1.PL (VND) '!$C9)-SUMIFS('1.DC_Ra soat'!$L:$L,'1.DC_Ra soat'!$F:$F,'1.PL (VND) '!AN$4,'1.DC_Ra soat'!$I:$I,'1.PL (VND) '!$C9)</f>
        <v>0</v>
      </c>
      <c r="AO9" s="439">
        <f>SUMIFS('1.DC_Ra soat'!$L:$L,'1.DC_Ra soat'!$F:$F,'1.PL (VND) '!AO$4,'1.DC_Ra soat'!$H:$H,'1.PL (VND) '!$C9)-SUMIFS('1.DC_Ra soat'!$L:$L,'1.DC_Ra soat'!$F:$F,'1.PL (VND) '!AO$4,'1.DC_Ra soat'!$I:$I,'1.PL (VND) '!$C9)</f>
        <v>0</v>
      </c>
      <c r="AP9" s="439">
        <f>SUMIFS('1.DC_Ra soat'!$L:$L,'1.DC_Ra soat'!$F:$F,'1.PL (VND) '!AP$4,'1.DC_Ra soat'!$H:$H,'1.PL (VND) '!$C9)-SUMIFS('1.DC_Ra soat'!$L:$L,'1.DC_Ra soat'!$F:$F,'1.PL (VND) '!AP$4,'1.DC_Ra soat'!$I:$I,'1.PL (VND) '!$C9)</f>
        <v>0</v>
      </c>
      <c r="AQ9" s="774"/>
      <c r="AR9" s="439">
        <f>SUMIFS('1.DC_Ra soat'!$L:$L,'1.DC_Ra soat'!$F:$F,'1.PL (VND) '!AR$4,'1.DC_Ra soat'!$H:$H,'1.PL (VND) '!$C9)-SUMIFS('1.DC_Ra soat'!$L:$L,'1.DC_Ra soat'!$F:$F,'1.PL (VND) '!AR$4,'1.DC_Ra soat'!$I:$I,'1.PL (VND) '!$C9)</f>
        <v>0</v>
      </c>
      <c r="AS9" s="439">
        <f>SUMIFS('1.DC_Ra soat'!$L:$L,'1.DC_Ra soat'!$F:$F,'1.PL (VND) '!AS$4,'1.DC_Ra soat'!$H:$H,'1.PL (VND) '!$C9)-SUMIFS('1.DC_Ra soat'!$L:$L,'1.DC_Ra soat'!$F:$F,'1.PL (VND) '!AS$4,'1.DC_Ra soat'!$I:$I,'1.PL (VND) '!$C9)</f>
        <v>0</v>
      </c>
      <c r="AT9" s="439">
        <f>SUMIFS('1.DC_Ra soat'!$L:$L,'1.DC_Ra soat'!$F:$F,'1.PL (VND) '!AT$4,'1.DC_Ra soat'!$H:$H,'1.PL (VND) '!$C9)-SUMIFS('1.DC_Ra soat'!$L:$L,'1.DC_Ra soat'!$F:$F,'1.PL (VND) '!AT$4,'1.DC_Ra soat'!$I:$I,'1.PL (VND) '!$C9)</f>
        <v>0</v>
      </c>
      <c r="AU9" s="439">
        <f>SUMIFS('1.DC_Ra soat'!$L:$L,'1.DC_Ra soat'!$F:$F,'1.PL (VND) '!AU$4,'1.DC_Ra soat'!$H:$H,'1.PL (VND) '!$C9)-SUMIFS('1.DC_Ra soat'!$L:$L,'1.DC_Ra soat'!$F:$F,'1.PL (VND) '!AU$4,'1.DC_Ra soat'!$I:$I,'1.PL (VND) '!$C9)</f>
        <v>0</v>
      </c>
      <c r="AV9" s="774"/>
      <c r="AW9" s="439">
        <f>SUMIFS('1.DC_Ra soat'!$L:$L,'1.DC_Ra soat'!$F:$F,'1.PL (VND) '!AW$4,'1.DC_Ra soat'!$H:$H,'1.PL (VND) '!$C9)-SUMIFS('1.DC_Ra soat'!$L:$L,'1.DC_Ra soat'!$F:$F,'1.PL (VND) '!AW$4,'1.DC_Ra soat'!$I:$I,'1.PL (VND) '!$C9)</f>
        <v>0</v>
      </c>
      <c r="AX9" s="439">
        <f>SUMIFS('1.DC_Ra soat'!$L:$L,'1.DC_Ra soat'!$F:$F,'1.PL (VND) '!AX$4,'1.DC_Ra soat'!$H:$H,'1.PL (VND) '!$C9)-SUMIFS('1.DC_Ra soat'!$L:$L,'1.DC_Ra soat'!$F:$F,'1.PL (VND) '!AX$4,'1.DC_Ra soat'!$I:$I,'1.PL (VND) '!$C9)</f>
        <v>0</v>
      </c>
      <c r="AY9" s="439">
        <f>SUMIFS('1.DC_Ra soat'!$L:$L,'1.DC_Ra soat'!$F:$F,'1.PL (VND) '!AY$4,'1.DC_Ra soat'!$H:$H,'1.PL (VND) '!$C9)-SUMIFS('1.DC_Ra soat'!$L:$L,'1.DC_Ra soat'!$F:$F,'1.PL (VND) '!AY$4,'1.DC_Ra soat'!$I:$I,'1.PL (VND) '!$C9)</f>
        <v>0</v>
      </c>
      <c r="AZ9" s="439">
        <f>SUMIFS('1.DC_Ra soat'!$L:$L,'1.DC_Ra soat'!$F:$F,'1.PL (VND) '!AZ$4,'1.DC_Ra soat'!$H:$H,'1.PL (VND) '!$C9)-SUMIFS('1.DC_Ra soat'!$L:$L,'1.DC_Ra soat'!$F:$F,'1.PL (VND) '!AZ$4,'1.DC_Ra soat'!$I:$I,'1.PL (VND) '!$C9)</f>
        <v>0</v>
      </c>
      <c r="BA9" s="774"/>
      <c r="BB9" s="439">
        <f>SUMIFS('1.DC_Ra soat'!$L:$L,'1.DC_Ra soat'!$F:$F,'1.PL (VND) '!BB$4,'1.DC_Ra soat'!$H:$H,'1.PL (VND) '!$C9)-SUMIFS('1.DC_Ra soat'!$L:$L,'1.DC_Ra soat'!$F:$F,'1.PL (VND) '!BB$4,'1.DC_Ra soat'!$I:$I,'1.PL (VND) '!$C9)</f>
        <v>0</v>
      </c>
      <c r="BC9" s="439">
        <f>SUMIFS('1.DC_Ra soat'!$L:$L,'1.DC_Ra soat'!$F:$F,'1.PL (VND) '!BC$4,'1.DC_Ra soat'!$H:$H,'1.PL (VND) '!$C9)-SUMIFS('1.DC_Ra soat'!$L:$L,'1.DC_Ra soat'!$F:$F,'1.PL (VND) '!BC$4,'1.DC_Ra soat'!$I:$I,'1.PL (VND) '!$C9)</f>
        <v>0</v>
      </c>
      <c r="BD9" s="439">
        <f>SUMIFS('1.DC_Ra soat'!$L:$L,'1.DC_Ra soat'!$F:$F,'1.PL (VND) '!BD$4,'1.DC_Ra soat'!$H:$H,'1.PL (VND) '!$C9)-SUMIFS('1.DC_Ra soat'!$L:$L,'1.DC_Ra soat'!$F:$F,'1.PL (VND) '!BD$4,'1.DC_Ra soat'!$I:$I,'1.PL (VND) '!$C9)</f>
        <v>0</v>
      </c>
      <c r="BE9" s="439">
        <f>SUMIFS('1.DC_Ra soat'!$L:$L,'1.DC_Ra soat'!$F:$F,'1.PL (VND) '!BE$4,'1.DC_Ra soat'!$H:$H,'1.PL (VND) '!$C9)-SUMIFS('1.DC_Ra soat'!$L:$L,'1.DC_Ra soat'!$F:$F,'1.PL (VND) '!BE$4,'1.DC_Ra soat'!$I:$I,'1.PL (VND) '!$C9)</f>
        <v>0</v>
      </c>
      <c r="BF9" s="774"/>
      <c r="BG9" s="439">
        <f>SUMIFS('1.DC_Ra soat'!$L:$L,'1.DC_Ra soat'!$F:$F,'1.PL (VND) '!BG$4,'1.DC_Ra soat'!$H:$H,'1.PL (VND) '!$C9)-SUMIFS('1.DC_Ra soat'!$L:$L,'1.DC_Ra soat'!$F:$F,'1.PL (VND) '!BG$4,'1.DC_Ra soat'!$I:$I,'1.PL (VND) '!$C9)</f>
        <v>0</v>
      </c>
      <c r="BH9" s="439">
        <f>SUMIFS('1.DC_Ra soat'!$L:$L,'1.DC_Ra soat'!$F:$F,'1.PL (VND) '!BH$4,'1.DC_Ra soat'!$H:$H,'1.PL (VND) '!$C9)-SUMIFS('1.DC_Ra soat'!$L:$L,'1.DC_Ra soat'!$F:$F,'1.PL (VND) '!BH$4,'1.DC_Ra soat'!$I:$I,'1.PL (VND) '!$C9)</f>
        <v>0</v>
      </c>
      <c r="BI9" s="439">
        <f>SUMIFS('1.DC_Ra soat'!$L:$L,'1.DC_Ra soat'!$F:$F,'1.PL (VND) '!BI$4,'1.DC_Ra soat'!$H:$H,'1.PL (VND) '!$C9)-SUMIFS('1.DC_Ra soat'!$L:$L,'1.DC_Ra soat'!$F:$F,'1.PL (VND) '!BI$4,'1.DC_Ra soat'!$I:$I,'1.PL (VND) '!$C9)</f>
        <v>0</v>
      </c>
      <c r="BJ9" s="439">
        <f>SUMIFS('1.DC_Ra soat'!$L:$L,'1.DC_Ra soat'!$F:$F,'1.PL (VND) '!BJ$4,'1.DC_Ra soat'!$H:$H,'1.PL (VND) '!$C9)-SUMIFS('1.DC_Ra soat'!$L:$L,'1.DC_Ra soat'!$F:$F,'1.PL (VND) '!BJ$4,'1.DC_Ra soat'!$I:$I,'1.PL (VND) '!$C9)</f>
        <v>0</v>
      </c>
      <c r="BL9" s="439">
        <f t="shared" si="2"/>
        <v>0</v>
      </c>
      <c r="BM9" s="439">
        <f t="shared" si="3"/>
        <v>0</v>
      </c>
      <c r="BN9" s="439">
        <f t="shared" si="4"/>
        <v>311800426</v>
      </c>
      <c r="BO9" s="439">
        <f t="shared" si="5"/>
        <v>0</v>
      </c>
      <c r="BP9" s="774"/>
      <c r="BQ9" s="439">
        <f t="shared" si="6"/>
        <v>0</v>
      </c>
      <c r="BR9" s="439">
        <f t="shared" si="7"/>
        <v>0</v>
      </c>
      <c r="BS9" s="439">
        <f t="shared" si="8"/>
        <v>0</v>
      </c>
      <c r="BT9" s="439">
        <f t="shared" si="9"/>
        <v>0</v>
      </c>
      <c r="BU9" s="774"/>
      <c r="BV9" s="439">
        <f t="shared" si="10"/>
        <v>0</v>
      </c>
      <c r="BW9" s="439">
        <f t="shared" si="11"/>
        <v>0</v>
      </c>
      <c r="BX9" s="439">
        <f t="shared" si="12"/>
        <v>0</v>
      </c>
      <c r="BY9" s="439">
        <f t="shared" si="13"/>
        <v>0</v>
      </c>
      <c r="BZ9" s="774"/>
      <c r="CA9" s="439">
        <f t="shared" si="14"/>
        <v>0</v>
      </c>
      <c r="CB9" s="439">
        <f t="shared" si="15"/>
        <v>0</v>
      </c>
      <c r="CC9" s="439">
        <f t="shared" si="16"/>
        <v>0</v>
      </c>
      <c r="CD9" s="439">
        <f t="shared" si="17"/>
        <v>0</v>
      </c>
      <c r="CE9" s="774"/>
      <c r="CF9" s="439">
        <f t="shared" si="18"/>
        <v>0</v>
      </c>
      <c r="CG9" s="439">
        <f t="shared" si="19"/>
        <v>0</v>
      </c>
      <c r="CH9" s="439">
        <f t="shared" si="20"/>
        <v>0</v>
      </c>
      <c r="CI9" s="439">
        <f t="shared" si="21"/>
        <v>0</v>
      </c>
      <c r="CJ9" s="774"/>
      <c r="CK9" s="439">
        <f t="shared" si="22"/>
        <v>0</v>
      </c>
      <c r="CL9" s="439">
        <f t="shared" si="23"/>
        <v>0</v>
      </c>
      <c r="CM9" s="439">
        <f t="shared" si="24"/>
        <v>0</v>
      </c>
      <c r="CN9" s="439">
        <f t="shared" si="25"/>
        <v>0</v>
      </c>
      <c r="CP9" s="439">
        <f t="shared" si="26"/>
        <v>0</v>
      </c>
      <c r="CQ9" s="439">
        <f t="shared" si="26"/>
        <v>0</v>
      </c>
      <c r="CR9" s="439">
        <f t="shared" si="26"/>
        <v>311800426</v>
      </c>
      <c r="CS9" s="439">
        <f t="shared" si="26"/>
        <v>0</v>
      </c>
      <c r="CT9" s="440"/>
      <c r="CU9" s="439">
        <f>-SUMIFS('1.DC_Ra soat'!$L:$L,'1.DC_Ra soat'!$F:$F,'1.PL (VND) '!CU$4,'1.DC_Ra soat'!$H:$H,'1.PL (VND) '!$C9)+SUMIFS('1.DC_Ra soat'!$L:$L,'1.DC_Ra soat'!$F:$F,'1.PL (VND) '!CU$4,'1.DC_Ra soat'!$I:$I,'1.PL (VND) '!$C9)</f>
        <v>0</v>
      </c>
      <c r="CV9" s="439">
        <f>-SUMIFS('1.DC_Ra soat'!$L:$L,'1.DC_Ra soat'!$F:$F,'1.PL (VND) '!CV$4,'1.DC_Ra soat'!$H:$H,'1.PL (VND) '!$C9)+SUMIFS('1.DC_Ra soat'!$L:$L,'1.DC_Ra soat'!$F:$F,'1.PL (VND) '!CV$4,'1.DC_Ra soat'!$I:$I,'1.PL (VND) '!$C9)</f>
        <v>0</v>
      </c>
      <c r="CW9" s="439">
        <f>-SUMIFS('1.DC_Ra soat'!$L:$L,'1.DC_Ra soat'!$F:$F,'1.PL (VND) '!CW$4,'1.DC_Ra soat'!$H:$H,'1.PL (VND) '!$C9)+SUMIFS('1.DC_Ra soat'!$L:$L,'1.DC_Ra soat'!$F:$F,'1.PL (VND) '!CW$4,'1.DC_Ra soat'!$I:$I,'1.PL (VND) '!$C9)</f>
        <v>0</v>
      </c>
      <c r="CX9" s="439">
        <f>-SUMIFS('1.DC_Ra soat'!$L:$L,'1.DC_Ra soat'!$F:$F,'1.PL (VND) '!CX$4,'1.DC_Ra soat'!$H:$H,'1.PL (VND) '!$C9)+SUMIFS('1.DC_Ra soat'!$L:$L,'1.DC_Ra soat'!$F:$F,'1.PL (VND) '!CX$4,'1.DC_Ra soat'!$I:$I,'1.PL (VND) '!$C9)</f>
        <v>0</v>
      </c>
      <c r="CY9" s="440"/>
      <c r="CZ9" s="439">
        <f t="shared" si="27"/>
        <v>0</v>
      </c>
      <c r="DA9" s="439">
        <f t="shared" si="28"/>
        <v>0</v>
      </c>
      <c r="DB9" s="439">
        <f t="shared" si="29"/>
        <v>311800426</v>
      </c>
      <c r="DC9" s="439">
        <f t="shared" ref="DC9:DC26" si="30">CS9+CX9</f>
        <v>0</v>
      </c>
      <c r="DG9" s="440"/>
    </row>
    <row r="10" spans="2:111" s="447" customFormat="1" ht="15.75" x14ac:dyDescent="0.25">
      <c r="B10" s="775" t="s">
        <v>625</v>
      </c>
      <c r="C10" s="776" t="s">
        <v>276</v>
      </c>
      <c r="D10" s="777">
        <f>D8-D9</f>
        <v>272815509098</v>
      </c>
      <c r="E10" s="778">
        <f>SUM(E8:E9)</f>
        <v>361225907557</v>
      </c>
      <c r="F10" s="778">
        <f>SUM(F8:F9)</f>
        <v>423991405801</v>
      </c>
      <c r="G10" s="779">
        <f>G8-G9</f>
        <v>441344076314</v>
      </c>
      <c r="H10" s="780"/>
      <c r="I10" s="777">
        <f>I8-I9</f>
        <v>0</v>
      </c>
      <c r="J10" s="777">
        <f>J8-J9</f>
        <v>41462536713</v>
      </c>
      <c r="K10" s="777">
        <f>K8-K9</f>
        <v>69811635749</v>
      </c>
      <c r="L10" s="777">
        <f>L8-L9</f>
        <v>74678752638</v>
      </c>
      <c r="M10" s="780"/>
      <c r="N10" s="443">
        <f>N8-N9</f>
        <v>59548559255</v>
      </c>
      <c r="O10" s="443">
        <f>O8-O9</f>
        <v>54917326996</v>
      </c>
      <c r="P10" s="443">
        <f>P8-P9</f>
        <v>64008838727</v>
      </c>
      <c r="Q10" s="443">
        <f>Q8-Q9</f>
        <v>58809727981</v>
      </c>
      <c r="R10" s="780"/>
      <c r="S10" s="443">
        <f>S8-S9</f>
        <v>20700982927</v>
      </c>
      <c r="T10" s="443">
        <f>T8-T9</f>
        <v>43997295527</v>
      </c>
      <c r="U10" s="443">
        <f>U8-U9</f>
        <v>45487103106</v>
      </c>
      <c r="V10" s="443">
        <f>V8-V9</f>
        <v>43100304580</v>
      </c>
      <c r="W10" s="780"/>
      <c r="X10" s="443">
        <f>X8-X9</f>
        <v>0</v>
      </c>
      <c r="Y10" s="443">
        <f>Y8-Y9</f>
        <v>0</v>
      </c>
      <c r="Z10" s="443">
        <f>Z8-Z9</f>
        <v>0</v>
      </c>
      <c r="AA10" s="443">
        <f>AA8-AA9</f>
        <v>0</v>
      </c>
      <c r="AB10" s="780"/>
      <c r="AC10" s="443">
        <f>AC8-AC9</f>
        <v>0</v>
      </c>
      <c r="AD10" s="443">
        <f>AD8-AD9</f>
        <v>0</v>
      </c>
      <c r="AE10" s="443">
        <f>AE8-AE9</f>
        <v>0</v>
      </c>
      <c r="AF10" s="443">
        <f>AF8-AF9</f>
        <v>0</v>
      </c>
      <c r="AH10" s="443">
        <f>AH8-AH9</f>
        <v>0</v>
      </c>
      <c r="AI10" s="781">
        <f>SUM(AI8:AI9)</f>
        <v>0</v>
      </c>
      <c r="AJ10" s="781">
        <f>SUM(AJ8:AJ9)</f>
        <v>0</v>
      </c>
      <c r="AK10" s="781">
        <f>SUM(AK8:AK9)</f>
        <v>0</v>
      </c>
      <c r="AL10" s="780"/>
      <c r="AM10" s="443">
        <f>AM8-AM9</f>
        <v>0</v>
      </c>
      <c r="AN10" s="443">
        <f>AN8-AN9</f>
        <v>0</v>
      </c>
      <c r="AO10" s="443">
        <f>AO8-AO9</f>
        <v>0</v>
      </c>
      <c r="AP10" s="443">
        <f>AP8-AP9</f>
        <v>0</v>
      </c>
      <c r="AQ10" s="780"/>
      <c r="AR10" s="443">
        <f>AR8-AR9</f>
        <v>0</v>
      </c>
      <c r="AS10" s="443">
        <f>AS8-AS9</f>
        <v>0</v>
      </c>
      <c r="AT10" s="443">
        <f>AT8-AT9</f>
        <v>0</v>
      </c>
      <c r="AU10" s="443">
        <f>AU8-AU9</f>
        <v>0</v>
      </c>
      <c r="AV10" s="780"/>
      <c r="AW10" s="443">
        <f>AW8-AW9</f>
        <v>0</v>
      </c>
      <c r="AX10" s="443">
        <f>AX8-AX9</f>
        <v>0</v>
      </c>
      <c r="AY10" s="443">
        <f>AY8-AY9</f>
        <v>0</v>
      </c>
      <c r="AZ10" s="443">
        <f>AZ8-AZ9</f>
        <v>0</v>
      </c>
      <c r="BA10" s="780"/>
      <c r="BB10" s="443">
        <f>BB8-BB9</f>
        <v>0</v>
      </c>
      <c r="BC10" s="443">
        <f>BC8-BC9</f>
        <v>0</v>
      </c>
      <c r="BD10" s="443">
        <f>BD8-BD9</f>
        <v>0</v>
      </c>
      <c r="BE10" s="781"/>
      <c r="BF10" s="780"/>
      <c r="BG10" s="443">
        <f>BG8-BG9</f>
        <v>0</v>
      </c>
      <c r="BH10" s="443">
        <f>BH8-BH9</f>
        <v>0</v>
      </c>
      <c r="BI10" s="443">
        <f>BI8-BI9</f>
        <v>0</v>
      </c>
      <c r="BJ10" s="781"/>
      <c r="BL10" s="439">
        <f t="shared" si="2"/>
        <v>272815509098</v>
      </c>
      <c r="BM10" s="439">
        <f t="shared" si="3"/>
        <v>361225907557</v>
      </c>
      <c r="BN10" s="439">
        <f t="shared" si="4"/>
        <v>423991405801</v>
      </c>
      <c r="BO10" s="439">
        <f t="shared" si="5"/>
        <v>441344076314</v>
      </c>
      <c r="BP10" s="780"/>
      <c r="BQ10" s="439">
        <f t="shared" si="6"/>
        <v>0</v>
      </c>
      <c r="BR10" s="439">
        <f t="shared" si="7"/>
        <v>41462536713</v>
      </c>
      <c r="BS10" s="439">
        <f t="shared" si="8"/>
        <v>69811635749</v>
      </c>
      <c r="BT10" s="439">
        <f t="shared" si="9"/>
        <v>74678752638</v>
      </c>
      <c r="BU10" s="780"/>
      <c r="BV10" s="439">
        <f t="shared" si="10"/>
        <v>59548559255</v>
      </c>
      <c r="BW10" s="439">
        <f t="shared" si="11"/>
        <v>54917326996</v>
      </c>
      <c r="BX10" s="439">
        <f t="shared" si="12"/>
        <v>64008838727</v>
      </c>
      <c r="BY10" s="439">
        <f t="shared" si="13"/>
        <v>58809727981</v>
      </c>
      <c r="BZ10" s="780"/>
      <c r="CA10" s="439">
        <f t="shared" si="14"/>
        <v>20700982927</v>
      </c>
      <c r="CB10" s="439">
        <f t="shared" si="15"/>
        <v>43997295527</v>
      </c>
      <c r="CC10" s="439">
        <f t="shared" si="16"/>
        <v>45487103106</v>
      </c>
      <c r="CD10" s="439">
        <f t="shared" si="17"/>
        <v>43100304580</v>
      </c>
      <c r="CE10" s="780"/>
      <c r="CF10" s="439">
        <f t="shared" si="18"/>
        <v>0</v>
      </c>
      <c r="CG10" s="439">
        <f t="shared" si="19"/>
        <v>0</v>
      </c>
      <c r="CH10" s="439">
        <f t="shared" si="20"/>
        <v>0</v>
      </c>
      <c r="CI10" s="439">
        <f t="shared" si="21"/>
        <v>0</v>
      </c>
      <c r="CJ10" s="780"/>
      <c r="CK10" s="439">
        <f t="shared" si="22"/>
        <v>0</v>
      </c>
      <c r="CL10" s="439">
        <f t="shared" si="23"/>
        <v>0</v>
      </c>
      <c r="CM10" s="439">
        <f t="shared" si="24"/>
        <v>0</v>
      </c>
      <c r="CN10" s="439">
        <f t="shared" si="25"/>
        <v>0</v>
      </c>
      <c r="CP10" s="443">
        <f t="shared" si="26"/>
        <v>353065051280</v>
      </c>
      <c r="CQ10" s="443">
        <f t="shared" si="26"/>
        <v>501603066793</v>
      </c>
      <c r="CR10" s="443">
        <f t="shared" si="26"/>
        <v>603298983383</v>
      </c>
      <c r="CS10" s="443">
        <f t="shared" si="26"/>
        <v>617932861513</v>
      </c>
      <c r="CT10" s="440"/>
      <c r="CU10" s="443">
        <f>CU8-CU9</f>
        <v>0</v>
      </c>
      <c r="CV10" s="443">
        <f>CV8-CV9</f>
        <v>0</v>
      </c>
      <c r="CW10" s="443">
        <f>CW8-CW9</f>
        <v>-97491273670</v>
      </c>
      <c r="CX10" s="443">
        <f>CX8-CX9</f>
        <v>-85934511540</v>
      </c>
      <c r="CY10" s="440"/>
      <c r="CZ10" s="443">
        <f t="shared" si="27"/>
        <v>353065051280</v>
      </c>
      <c r="DA10" s="443">
        <f t="shared" si="28"/>
        <v>501603066793</v>
      </c>
      <c r="DB10" s="443">
        <f t="shared" si="29"/>
        <v>505807709713</v>
      </c>
      <c r="DC10" s="443">
        <f t="shared" si="30"/>
        <v>531998349973</v>
      </c>
      <c r="DG10" s="440"/>
    </row>
    <row r="11" spans="2:111" s="769" customFormat="1" ht="15.75" x14ac:dyDescent="0.25">
      <c r="B11" s="782" t="s">
        <v>575</v>
      </c>
      <c r="C11" s="783" t="s">
        <v>277</v>
      </c>
      <c r="D11" s="784">
        <v>258558885567</v>
      </c>
      <c r="E11" s="772">
        <v>344462402703</v>
      </c>
      <c r="F11" s="772">
        <v>407464072565</v>
      </c>
      <c r="G11" s="773">
        <v>407961793699</v>
      </c>
      <c r="H11" s="766"/>
      <c r="I11" s="768"/>
      <c r="J11" s="768">
        <v>39077128120</v>
      </c>
      <c r="K11" s="768">
        <v>70442604236</v>
      </c>
      <c r="L11" s="768">
        <v>41666803163</v>
      </c>
      <c r="M11" s="766"/>
      <c r="N11" s="768">
        <v>53813171869</v>
      </c>
      <c r="O11" s="768">
        <v>47543364530</v>
      </c>
      <c r="P11" s="768">
        <v>60151917597</v>
      </c>
      <c r="Q11" s="768">
        <v>58359783404</v>
      </c>
      <c r="R11" s="766"/>
      <c r="S11" s="768">
        <v>20334102810</v>
      </c>
      <c r="T11" s="768">
        <v>41893581101</v>
      </c>
      <c r="U11" s="768">
        <v>44696628066</v>
      </c>
      <c r="V11" s="768">
        <v>42396032419</v>
      </c>
      <c r="W11" s="766"/>
      <c r="X11" s="768"/>
      <c r="Y11" s="768"/>
      <c r="Z11" s="768"/>
      <c r="AA11" s="768"/>
      <c r="AB11" s="766"/>
      <c r="AC11" s="768"/>
      <c r="AD11" s="768"/>
      <c r="AE11" s="768"/>
      <c r="AF11" s="768"/>
      <c r="AH11" s="768">
        <f>SUMIFS('1.DC_Ra soat'!$L:$L,'1.DC_Ra soat'!$F:$F,'1.PL (VND) '!AH$4,'1.DC_Ra soat'!$H:$H,'1.PL (VND) '!$C11)-SUMIFS('1.DC_Ra soat'!$L:$L,'1.DC_Ra soat'!$F:$F,'1.PL (VND) '!AH$4,'1.DC_Ra soat'!$I:$I,'1.PL (VND) '!$C11)</f>
        <v>0</v>
      </c>
      <c r="AI11" s="768">
        <f>SUMIFS('1.DC_Ra soat'!$L:$L,'1.DC_Ra soat'!$F:$F,'1.PL (VND) '!AI$4,'1.DC_Ra soat'!$H:$H,'1.PL (VND) '!$C11)-SUMIFS('1.DC_Ra soat'!$L:$L,'1.DC_Ra soat'!$F:$F,'1.PL (VND) '!AI$4,'1.DC_Ra soat'!$I:$I,'1.PL (VND) '!$C11)</f>
        <v>0</v>
      </c>
      <c r="AJ11" s="768">
        <f>SUMIFS('1.DC_Ra soat'!$L:$L,'1.DC_Ra soat'!$F:$F,'1.PL (VND) '!AJ$4,'1.DC_Ra soat'!$H:$H,'1.PL (VND) '!$C11)-SUMIFS('1.DC_Ra soat'!$L:$L,'1.DC_Ra soat'!$F:$F,'1.PL (VND) '!AJ$4,'1.DC_Ra soat'!$I:$I,'1.PL (VND) '!$C11)</f>
        <v>5249296703</v>
      </c>
      <c r="AK11" s="785">
        <f>SUMIFS('1.DC_Ra soat'!$L:$L,'1.DC_Ra soat'!$F:$F,'1.PL (VND) '!AK$4,'1.DC_Ra soat'!$H:$H,'1.PL (VND) '!$C11)-SUMIFS('1.DC_Ra soat'!$L:$L,'1.DC_Ra soat'!$F:$F,'1.PL (VND) '!AK$4,'1.DC_Ra soat'!$I:$I,'1.PL (VND) '!$C11)</f>
        <v>1073603888</v>
      </c>
      <c r="AL11" s="766"/>
      <c r="AM11" s="768">
        <f>SUMIFS('1.DC_Ra soat'!$L:$L,'1.DC_Ra soat'!$F:$F,'1.PL (VND) '!AM$4,'1.DC_Ra soat'!$H:$H,'1.PL (VND) '!$C11)-SUMIFS('1.DC_Ra soat'!$L:$L,'1.DC_Ra soat'!$F:$F,'1.PL (VND) '!AM$4,'1.DC_Ra soat'!$I:$I,'1.PL (VND) '!$C11)</f>
        <v>0</v>
      </c>
      <c r="AN11" s="768">
        <f>SUMIFS('1.DC_Ra soat'!$L:$L,'1.DC_Ra soat'!$F:$F,'1.PL (VND) '!AN$4,'1.DC_Ra soat'!$H:$H,'1.PL (VND) '!$C11)-SUMIFS('1.DC_Ra soat'!$L:$L,'1.DC_Ra soat'!$F:$F,'1.PL (VND) '!AN$4,'1.DC_Ra soat'!$I:$I,'1.PL (VND) '!$C11)</f>
        <v>0</v>
      </c>
      <c r="AO11" s="768">
        <f>SUMIFS('1.DC_Ra soat'!$L:$L,'1.DC_Ra soat'!$F:$F,'1.PL (VND) '!AO$4,'1.DC_Ra soat'!$H:$H,'1.PL (VND) '!$C11)-SUMIFS('1.DC_Ra soat'!$L:$L,'1.DC_Ra soat'!$F:$F,'1.PL (VND) '!AO$4,'1.DC_Ra soat'!$I:$I,'1.PL (VND) '!$C11)</f>
        <v>0</v>
      </c>
      <c r="AP11" s="768">
        <f>SUMIFS('1.DC_Ra soat'!$L:$L,'1.DC_Ra soat'!$F:$F,'1.PL (VND) '!AP$4,'1.DC_Ra soat'!$H:$H,'1.PL (VND) '!$C11)-SUMIFS('1.DC_Ra soat'!$L:$L,'1.DC_Ra soat'!$F:$F,'1.PL (VND) '!AP$4,'1.DC_Ra soat'!$I:$I,'1.PL (VND) '!$C11)</f>
        <v>0</v>
      </c>
      <c r="AQ11" s="766"/>
      <c r="AR11" s="768">
        <f>SUMIFS('1.DC_Ra soat'!$L:$L,'1.DC_Ra soat'!$F:$F,'1.PL (VND) '!AR$4,'1.DC_Ra soat'!$H:$H,'1.PL (VND) '!$C11)-SUMIFS('1.DC_Ra soat'!$L:$L,'1.DC_Ra soat'!$F:$F,'1.PL (VND) '!AR$4,'1.DC_Ra soat'!$I:$I,'1.PL (VND) '!$C11)</f>
        <v>0</v>
      </c>
      <c r="AS11" s="768">
        <f>SUMIFS('1.DC_Ra soat'!$L:$L,'1.DC_Ra soat'!$F:$F,'1.PL (VND) '!AS$4,'1.DC_Ra soat'!$H:$H,'1.PL (VND) '!$C11)-SUMIFS('1.DC_Ra soat'!$L:$L,'1.DC_Ra soat'!$F:$F,'1.PL (VND) '!AS$4,'1.DC_Ra soat'!$I:$I,'1.PL (VND) '!$C11)</f>
        <v>0</v>
      </c>
      <c r="AT11" s="768">
        <f>SUMIFS('1.DC_Ra soat'!$L:$L,'1.DC_Ra soat'!$F:$F,'1.PL (VND) '!AT$4,'1.DC_Ra soat'!$H:$H,'1.PL (VND) '!$C11)-SUMIFS('1.DC_Ra soat'!$L:$L,'1.DC_Ra soat'!$F:$F,'1.PL (VND) '!AT$4,'1.DC_Ra soat'!$I:$I,'1.PL (VND) '!$C11)</f>
        <v>0</v>
      </c>
      <c r="AU11" s="768">
        <f>SUMIFS('1.DC_Ra soat'!$L:$L,'1.DC_Ra soat'!$F:$F,'1.PL (VND) '!AU$4,'1.DC_Ra soat'!$H:$H,'1.PL (VND) '!$C11)-SUMIFS('1.DC_Ra soat'!$L:$L,'1.DC_Ra soat'!$F:$F,'1.PL (VND) '!AU$4,'1.DC_Ra soat'!$I:$I,'1.PL (VND) '!$C11)</f>
        <v>0</v>
      </c>
      <c r="AV11" s="766"/>
      <c r="AW11" s="768">
        <f>SUMIFS('1.DC_Ra soat'!$L:$L,'1.DC_Ra soat'!$F:$F,'1.PL (VND) '!AW$4,'1.DC_Ra soat'!$H:$H,'1.PL (VND) '!$C11)-SUMIFS('1.DC_Ra soat'!$L:$L,'1.DC_Ra soat'!$F:$F,'1.PL (VND) '!AW$4,'1.DC_Ra soat'!$I:$I,'1.PL (VND) '!$C11)</f>
        <v>0</v>
      </c>
      <c r="AX11" s="768">
        <f>SUMIFS('1.DC_Ra soat'!$L:$L,'1.DC_Ra soat'!$F:$F,'1.PL (VND) '!AX$4,'1.DC_Ra soat'!$H:$H,'1.PL (VND) '!$C11)-SUMIFS('1.DC_Ra soat'!$L:$L,'1.DC_Ra soat'!$F:$F,'1.PL (VND) '!AX$4,'1.DC_Ra soat'!$I:$I,'1.PL (VND) '!$C11)</f>
        <v>0</v>
      </c>
      <c r="AY11" s="768">
        <f>SUMIFS('1.DC_Ra soat'!$L:$L,'1.DC_Ra soat'!$F:$F,'1.PL (VND) '!AY$4,'1.DC_Ra soat'!$H:$H,'1.PL (VND) '!$C11)-SUMIFS('1.DC_Ra soat'!$L:$L,'1.DC_Ra soat'!$F:$F,'1.PL (VND) '!AY$4,'1.DC_Ra soat'!$I:$I,'1.PL (VND) '!$C11)</f>
        <v>0</v>
      </c>
      <c r="AZ11" s="768">
        <f>SUMIFS('1.DC_Ra soat'!$L:$L,'1.DC_Ra soat'!$F:$F,'1.PL (VND) '!AZ$4,'1.DC_Ra soat'!$H:$H,'1.PL (VND) '!$C11)-SUMIFS('1.DC_Ra soat'!$L:$L,'1.DC_Ra soat'!$F:$F,'1.PL (VND) '!AZ$4,'1.DC_Ra soat'!$I:$I,'1.PL (VND) '!$C11)</f>
        <v>0</v>
      </c>
      <c r="BA11" s="766"/>
      <c r="BB11" s="768">
        <f>SUMIFS('1.DC_Ra soat'!$L:$L,'1.DC_Ra soat'!$F:$F,'1.PL (VND) '!BB$4,'1.DC_Ra soat'!$H:$H,'1.PL (VND) '!$C11)-SUMIFS('1.DC_Ra soat'!$L:$L,'1.DC_Ra soat'!$F:$F,'1.PL (VND) '!BB$4,'1.DC_Ra soat'!$I:$I,'1.PL (VND) '!$C11)</f>
        <v>0</v>
      </c>
      <c r="BC11" s="768">
        <f>SUMIFS('1.DC_Ra soat'!$L:$L,'1.DC_Ra soat'!$F:$F,'1.PL (VND) '!BC$4,'1.DC_Ra soat'!$H:$H,'1.PL (VND) '!$C11)-SUMIFS('1.DC_Ra soat'!$L:$L,'1.DC_Ra soat'!$F:$F,'1.PL (VND) '!BC$4,'1.DC_Ra soat'!$I:$I,'1.PL (VND) '!$C11)</f>
        <v>0</v>
      </c>
      <c r="BD11" s="768">
        <f>SUMIFS('1.DC_Ra soat'!$L:$L,'1.DC_Ra soat'!$F:$F,'1.PL (VND) '!BD$4,'1.DC_Ra soat'!$H:$H,'1.PL (VND) '!$C11)-SUMIFS('1.DC_Ra soat'!$L:$L,'1.DC_Ra soat'!$F:$F,'1.PL (VND) '!BD$4,'1.DC_Ra soat'!$I:$I,'1.PL (VND) '!$C11)</f>
        <v>0</v>
      </c>
      <c r="BE11" s="768">
        <f>SUMIFS('1.DC_Ra soat'!$L:$L,'1.DC_Ra soat'!$F:$F,'1.PL (VND) '!BE$4,'1.DC_Ra soat'!$H:$H,'1.PL (VND) '!$C11)-SUMIFS('1.DC_Ra soat'!$L:$L,'1.DC_Ra soat'!$F:$F,'1.PL (VND) '!BE$4,'1.DC_Ra soat'!$I:$I,'1.PL (VND) '!$C11)</f>
        <v>0</v>
      </c>
      <c r="BF11" s="766"/>
      <c r="BG11" s="768">
        <f>SUMIFS('1.DC_Ra soat'!$L:$L,'1.DC_Ra soat'!$F:$F,'1.PL (VND) '!BG$4,'1.DC_Ra soat'!$H:$H,'1.PL (VND) '!$C11)-SUMIFS('1.DC_Ra soat'!$L:$L,'1.DC_Ra soat'!$F:$F,'1.PL (VND) '!BG$4,'1.DC_Ra soat'!$I:$I,'1.PL (VND) '!$C11)</f>
        <v>0</v>
      </c>
      <c r="BH11" s="768">
        <f>SUMIFS('1.DC_Ra soat'!$L:$L,'1.DC_Ra soat'!$F:$F,'1.PL (VND) '!BH$4,'1.DC_Ra soat'!$H:$H,'1.PL (VND) '!$C11)-SUMIFS('1.DC_Ra soat'!$L:$L,'1.DC_Ra soat'!$F:$F,'1.PL (VND) '!BH$4,'1.DC_Ra soat'!$I:$I,'1.PL (VND) '!$C11)</f>
        <v>0</v>
      </c>
      <c r="BI11" s="768">
        <f>SUMIFS('1.DC_Ra soat'!$L:$L,'1.DC_Ra soat'!$F:$F,'1.PL (VND) '!BI$4,'1.DC_Ra soat'!$H:$H,'1.PL (VND) '!$C11)-SUMIFS('1.DC_Ra soat'!$L:$L,'1.DC_Ra soat'!$F:$F,'1.PL (VND) '!BI$4,'1.DC_Ra soat'!$I:$I,'1.PL (VND) '!$C11)</f>
        <v>0</v>
      </c>
      <c r="BJ11" s="768">
        <f>SUMIFS('1.DC_Ra soat'!$L:$L,'1.DC_Ra soat'!$F:$F,'1.PL (VND) '!BJ$4,'1.DC_Ra soat'!$H:$H,'1.PL (VND) '!$C11)-SUMIFS('1.DC_Ra soat'!$L:$L,'1.DC_Ra soat'!$F:$F,'1.PL (VND) '!BJ$4,'1.DC_Ra soat'!$I:$I,'1.PL (VND) '!$C11)</f>
        <v>0</v>
      </c>
      <c r="BL11" s="768">
        <f t="shared" si="2"/>
        <v>258558885567</v>
      </c>
      <c r="BM11" s="768">
        <f t="shared" si="3"/>
        <v>344462402703</v>
      </c>
      <c r="BN11" s="768">
        <f t="shared" si="4"/>
        <v>412713369268</v>
      </c>
      <c r="BO11" s="768">
        <f t="shared" si="5"/>
        <v>409035397587</v>
      </c>
      <c r="BP11" s="766"/>
      <c r="BQ11" s="768">
        <f t="shared" si="6"/>
        <v>0</v>
      </c>
      <c r="BR11" s="768">
        <f t="shared" si="7"/>
        <v>39077128120</v>
      </c>
      <c r="BS11" s="768">
        <f t="shared" si="8"/>
        <v>70442604236</v>
      </c>
      <c r="BT11" s="768">
        <f t="shared" si="9"/>
        <v>41666803163</v>
      </c>
      <c r="BU11" s="766"/>
      <c r="BV11" s="768">
        <f t="shared" si="10"/>
        <v>53813171869</v>
      </c>
      <c r="BW11" s="768">
        <f t="shared" si="11"/>
        <v>47543364530</v>
      </c>
      <c r="BX11" s="768">
        <f t="shared" si="12"/>
        <v>60151917597</v>
      </c>
      <c r="BY11" s="768">
        <f t="shared" si="13"/>
        <v>58359783404</v>
      </c>
      <c r="BZ11" s="766"/>
      <c r="CA11" s="768">
        <f t="shared" si="14"/>
        <v>20334102810</v>
      </c>
      <c r="CB11" s="768">
        <f t="shared" si="15"/>
        <v>41893581101</v>
      </c>
      <c r="CC11" s="768">
        <f t="shared" si="16"/>
        <v>44696628066</v>
      </c>
      <c r="CD11" s="768">
        <f t="shared" si="17"/>
        <v>42396032419</v>
      </c>
      <c r="CE11" s="766"/>
      <c r="CF11" s="768">
        <f t="shared" si="18"/>
        <v>0</v>
      </c>
      <c r="CG11" s="768">
        <f t="shared" si="19"/>
        <v>0</v>
      </c>
      <c r="CH11" s="768">
        <f t="shared" si="20"/>
        <v>0</v>
      </c>
      <c r="CI11" s="768">
        <f t="shared" si="21"/>
        <v>0</v>
      </c>
      <c r="CJ11" s="766"/>
      <c r="CK11" s="768">
        <f t="shared" si="22"/>
        <v>0</v>
      </c>
      <c r="CL11" s="768">
        <f t="shared" si="23"/>
        <v>0</v>
      </c>
      <c r="CM11" s="768">
        <f t="shared" si="24"/>
        <v>0</v>
      </c>
      <c r="CN11" s="768">
        <f t="shared" si="25"/>
        <v>0</v>
      </c>
      <c r="CP11" s="768">
        <f t="shared" si="26"/>
        <v>332706160246</v>
      </c>
      <c r="CQ11" s="768">
        <f t="shared" si="26"/>
        <v>472976476454</v>
      </c>
      <c r="CR11" s="768">
        <f t="shared" si="26"/>
        <v>588004519167</v>
      </c>
      <c r="CS11" s="768">
        <f t="shared" si="26"/>
        <v>551458016573</v>
      </c>
      <c r="CT11" s="770"/>
      <c r="CU11" s="768">
        <f>SUMIFS('1.DC_Ra soat'!$L:$L,'1.DC_Ra soat'!$F:$F,'1.PL (VND) '!CU$4,'1.DC_Ra soat'!$H:$H,'1.PL (VND) '!$C11)-SUMIFS('1.DC_Ra soat'!$L:$L,'1.DC_Ra soat'!$F:$F,'1.PL (VND) '!CU$4,'1.DC_Ra soat'!$I:$I,'1.PL (VND) '!$C11)</f>
        <v>0</v>
      </c>
      <c r="CV11" s="768">
        <f>SUMIFS('1.DC_Ra soat'!$L:$L,'1.DC_Ra soat'!$F:$F,'1.PL (VND) '!CV$4,'1.DC_Ra soat'!$H:$H,'1.PL (VND) '!$C11)-SUMIFS('1.DC_Ra soat'!$L:$L,'1.DC_Ra soat'!$F:$F,'1.PL (VND) '!CV$4,'1.DC_Ra soat'!$I:$I,'1.PL (VND) '!$C11)</f>
        <v>0</v>
      </c>
      <c r="CW11" s="768">
        <f>SUMIFS('1.DC_Ra soat'!$L:$L,'1.DC_Ra soat'!$F:$F,'1.PL (VND) '!CW$4,'1.DC_Ra soat'!$H:$H,'1.PL (VND) '!$C11)-SUMIFS('1.DC_Ra soat'!$L:$L,'1.DC_Ra soat'!$F:$F,'1.PL (VND) '!CW$4,'1.DC_Ra soat'!$I:$I,'1.PL (VND) '!$C11)</f>
        <v>-97491273670</v>
      </c>
      <c r="CX11" s="768">
        <f>SUMIFS('1.DC_Ra soat'!$L:$L,'1.DC_Ra soat'!$F:$F,'1.PL (VND) '!CX$4,'1.DC_Ra soat'!$H:$H,'1.PL (VND) '!$C11)-SUMIFS('1.DC_Ra soat'!$L:$L,'1.DC_Ra soat'!$F:$F,'1.PL (VND) '!CX$4,'1.DC_Ra soat'!$I:$I,'1.PL (VND) '!$C11)</f>
        <v>-85934511540</v>
      </c>
      <c r="CY11" s="770"/>
      <c r="CZ11" s="768">
        <f t="shared" si="27"/>
        <v>332706160246</v>
      </c>
      <c r="DA11" s="768">
        <f t="shared" si="28"/>
        <v>472976476454</v>
      </c>
      <c r="DB11" s="768">
        <f t="shared" si="29"/>
        <v>490513245497</v>
      </c>
      <c r="DC11" s="768">
        <f t="shared" si="30"/>
        <v>465523505033</v>
      </c>
      <c r="DG11" s="770"/>
    </row>
    <row r="12" spans="2:111" s="447" customFormat="1" ht="15.75" x14ac:dyDescent="0.25">
      <c r="B12" s="786" t="s">
        <v>626</v>
      </c>
      <c r="C12" s="776" t="s">
        <v>278</v>
      </c>
      <c r="D12" s="777">
        <f>D10-D11</f>
        <v>14256623531</v>
      </c>
      <c r="E12" s="777">
        <f>E10-E11</f>
        <v>16763504854</v>
      </c>
      <c r="F12" s="777">
        <f>F10-F11</f>
        <v>16527333236</v>
      </c>
      <c r="G12" s="787">
        <f>G10-G11</f>
        <v>33382282615</v>
      </c>
      <c r="H12" s="780"/>
      <c r="I12" s="777">
        <f>I10-I11</f>
        <v>0</v>
      </c>
      <c r="J12" s="777">
        <f>J10-J11</f>
        <v>2385408593</v>
      </c>
      <c r="K12" s="777">
        <f>K10-K11</f>
        <v>-630968487</v>
      </c>
      <c r="L12" s="777">
        <f>L10-L11</f>
        <v>33011949475</v>
      </c>
      <c r="M12" s="780"/>
      <c r="N12" s="443">
        <f>N10-N11</f>
        <v>5735387386</v>
      </c>
      <c r="O12" s="443">
        <f>O10-O11</f>
        <v>7373962466</v>
      </c>
      <c r="P12" s="443">
        <f>P10-P11</f>
        <v>3856921130</v>
      </c>
      <c r="Q12" s="443">
        <f>Q10-Q11</f>
        <v>449944577</v>
      </c>
      <c r="R12" s="780"/>
      <c r="S12" s="443">
        <f>S10-S11</f>
        <v>366880117</v>
      </c>
      <c r="T12" s="443">
        <f>T10-T11</f>
        <v>2103714426</v>
      </c>
      <c r="U12" s="443">
        <f>U10-U11</f>
        <v>790475040</v>
      </c>
      <c r="V12" s="443">
        <f>V10-V11</f>
        <v>704272161</v>
      </c>
      <c r="W12" s="780"/>
      <c r="X12" s="443">
        <f>X10-X11</f>
        <v>0</v>
      </c>
      <c r="Y12" s="443">
        <f>Y10-Y11</f>
        <v>0</v>
      </c>
      <c r="Z12" s="443">
        <f>Z10-Z11</f>
        <v>0</v>
      </c>
      <c r="AA12" s="443">
        <f>AA10-AA11</f>
        <v>0</v>
      </c>
      <c r="AB12" s="780"/>
      <c r="AC12" s="443">
        <f>AC10-AC11</f>
        <v>0</v>
      </c>
      <c r="AD12" s="443">
        <f>AD10-AD11</f>
        <v>0</v>
      </c>
      <c r="AE12" s="443">
        <f>AE10-AE11</f>
        <v>0</v>
      </c>
      <c r="AF12" s="443">
        <f>AF10-AF11</f>
        <v>0</v>
      </c>
      <c r="AH12" s="443">
        <f>AH10-AH11</f>
        <v>0</v>
      </c>
      <c r="AI12" s="443">
        <f>AI10-AI11</f>
        <v>0</v>
      </c>
      <c r="AJ12" s="443">
        <f>AJ10-AJ11</f>
        <v>-5249296703</v>
      </c>
      <c r="AK12" s="443">
        <f>AK10-AK11</f>
        <v>-1073603888</v>
      </c>
      <c r="AL12" s="780"/>
      <c r="AM12" s="443">
        <f>AM10-AM11</f>
        <v>0</v>
      </c>
      <c r="AN12" s="443">
        <f>AN10-AN11</f>
        <v>0</v>
      </c>
      <c r="AO12" s="443">
        <f>AO10-AO11</f>
        <v>0</v>
      </c>
      <c r="AP12" s="443">
        <f>AP10-AP11</f>
        <v>0</v>
      </c>
      <c r="AQ12" s="780"/>
      <c r="AR12" s="443">
        <f>AR10-AR11</f>
        <v>0</v>
      </c>
      <c r="AS12" s="443">
        <f>AS10-AS11</f>
        <v>0</v>
      </c>
      <c r="AT12" s="443">
        <f>AT10-AT11</f>
        <v>0</v>
      </c>
      <c r="AU12" s="443">
        <f>AU10-AU11</f>
        <v>0</v>
      </c>
      <c r="AV12" s="780"/>
      <c r="AW12" s="443">
        <f>AW10-AW11</f>
        <v>0</v>
      </c>
      <c r="AX12" s="443">
        <f>AX10-AX11</f>
        <v>0</v>
      </c>
      <c r="AY12" s="443">
        <f>AY10-AY11</f>
        <v>0</v>
      </c>
      <c r="AZ12" s="443">
        <f>AZ10-AZ11</f>
        <v>0</v>
      </c>
      <c r="BA12" s="780"/>
      <c r="BB12" s="443">
        <f>BB10-BB11</f>
        <v>0</v>
      </c>
      <c r="BC12" s="443">
        <f>BC10-BC11</f>
        <v>0</v>
      </c>
      <c r="BD12" s="443">
        <f>BD10-BD11</f>
        <v>0</v>
      </c>
      <c r="BE12" s="443"/>
      <c r="BF12" s="780"/>
      <c r="BG12" s="443">
        <f>BG10-BG11</f>
        <v>0</v>
      </c>
      <c r="BH12" s="443">
        <f>BH10-BH11</f>
        <v>0</v>
      </c>
      <c r="BI12" s="443">
        <f>BI10-BI11</f>
        <v>0</v>
      </c>
      <c r="BJ12" s="443"/>
      <c r="BL12" s="439">
        <f t="shared" si="2"/>
        <v>14256623531</v>
      </c>
      <c r="BM12" s="439">
        <f t="shared" si="3"/>
        <v>16763504854</v>
      </c>
      <c r="BN12" s="439">
        <f t="shared" si="4"/>
        <v>11278036533</v>
      </c>
      <c r="BO12" s="439">
        <f t="shared" si="5"/>
        <v>32308678727</v>
      </c>
      <c r="BP12" s="780"/>
      <c r="BQ12" s="439">
        <f t="shared" si="6"/>
        <v>0</v>
      </c>
      <c r="BR12" s="439">
        <f t="shared" si="7"/>
        <v>2385408593</v>
      </c>
      <c r="BS12" s="439">
        <f t="shared" si="8"/>
        <v>-630968487</v>
      </c>
      <c r="BT12" s="439">
        <f t="shared" si="9"/>
        <v>33011949475</v>
      </c>
      <c r="BU12" s="780"/>
      <c r="BV12" s="439">
        <f t="shared" si="10"/>
        <v>5735387386</v>
      </c>
      <c r="BW12" s="439">
        <f t="shared" si="11"/>
        <v>7373962466</v>
      </c>
      <c r="BX12" s="439">
        <f t="shared" si="12"/>
        <v>3856921130</v>
      </c>
      <c r="BY12" s="439">
        <f t="shared" si="13"/>
        <v>449944577</v>
      </c>
      <c r="BZ12" s="780"/>
      <c r="CA12" s="439">
        <f t="shared" si="14"/>
        <v>366880117</v>
      </c>
      <c r="CB12" s="439">
        <f t="shared" si="15"/>
        <v>2103714426</v>
      </c>
      <c r="CC12" s="439">
        <f t="shared" si="16"/>
        <v>790475040</v>
      </c>
      <c r="CD12" s="439">
        <f t="shared" si="17"/>
        <v>704272161</v>
      </c>
      <c r="CE12" s="780"/>
      <c r="CF12" s="439">
        <f t="shared" si="18"/>
        <v>0</v>
      </c>
      <c r="CG12" s="439">
        <f t="shared" si="19"/>
        <v>0</v>
      </c>
      <c r="CH12" s="439">
        <f t="shared" si="20"/>
        <v>0</v>
      </c>
      <c r="CI12" s="439">
        <f t="shared" si="21"/>
        <v>0</v>
      </c>
      <c r="CJ12" s="780"/>
      <c r="CK12" s="439">
        <f t="shared" si="22"/>
        <v>0</v>
      </c>
      <c r="CL12" s="439">
        <f t="shared" si="23"/>
        <v>0</v>
      </c>
      <c r="CM12" s="439">
        <f t="shared" si="24"/>
        <v>0</v>
      </c>
      <c r="CN12" s="439">
        <f t="shared" si="25"/>
        <v>0</v>
      </c>
      <c r="CP12" s="443">
        <f t="shared" si="26"/>
        <v>20358891034</v>
      </c>
      <c r="CQ12" s="443">
        <f t="shared" si="26"/>
        <v>28626590339</v>
      </c>
      <c r="CR12" s="443">
        <f t="shared" si="26"/>
        <v>15294464216</v>
      </c>
      <c r="CS12" s="443">
        <f t="shared" si="26"/>
        <v>66474844940</v>
      </c>
      <c r="CT12" s="440"/>
      <c r="CU12" s="443">
        <f>CU10-CU11</f>
        <v>0</v>
      </c>
      <c r="CV12" s="443">
        <f>CV10-CV11</f>
        <v>0</v>
      </c>
      <c r="CW12" s="443">
        <f>CW10-CW11</f>
        <v>0</v>
      </c>
      <c r="CX12" s="443">
        <f>CX10-CX11</f>
        <v>0</v>
      </c>
      <c r="CY12" s="440"/>
      <c r="CZ12" s="443">
        <f t="shared" si="27"/>
        <v>20358891034</v>
      </c>
      <c r="DA12" s="443">
        <f t="shared" si="28"/>
        <v>28626590339</v>
      </c>
      <c r="DB12" s="443">
        <f t="shared" si="29"/>
        <v>15294464216</v>
      </c>
      <c r="DC12" s="443">
        <f t="shared" si="30"/>
        <v>66474844940</v>
      </c>
      <c r="DG12" s="440"/>
    </row>
    <row r="13" spans="2:111" s="769" customFormat="1" ht="15.75" x14ac:dyDescent="0.25">
      <c r="B13" s="788" t="s">
        <v>148</v>
      </c>
      <c r="C13" s="783" t="s">
        <v>279</v>
      </c>
      <c r="D13" s="784">
        <v>833883</v>
      </c>
      <c r="E13" s="772">
        <v>524620</v>
      </c>
      <c r="F13" s="772">
        <v>2988510</v>
      </c>
      <c r="G13" s="773">
        <v>38735873</v>
      </c>
      <c r="H13" s="766"/>
      <c r="I13" s="768">
        <v>1151</v>
      </c>
      <c r="J13" s="768">
        <v>28281</v>
      </c>
      <c r="K13" s="768">
        <v>135642</v>
      </c>
      <c r="L13" s="768">
        <v>99182</v>
      </c>
      <c r="M13" s="766"/>
      <c r="N13" s="768">
        <v>87952</v>
      </c>
      <c r="O13" s="768">
        <v>42349</v>
      </c>
      <c r="P13" s="768">
        <v>154503</v>
      </c>
      <c r="Q13" s="768">
        <v>102331</v>
      </c>
      <c r="R13" s="766"/>
      <c r="S13" s="768">
        <v>50076</v>
      </c>
      <c r="T13" s="768">
        <v>98187</v>
      </c>
      <c r="U13" s="768">
        <v>64876</v>
      </c>
      <c r="V13" s="768">
        <v>71367</v>
      </c>
      <c r="W13" s="766"/>
      <c r="X13" s="768"/>
      <c r="Y13" s="768"/>
      <c r="Z13" s="768"/>
      <c r="AA13" s="768"/>
      <c r="AB13" s="766"/>
      <c r="AC13" s="768"/>
      <c r="AD13" s="768"/>
      <c r="AE13" s="768"/>
      <c r="AF13" s="768"/>
      <c r="AH13" s="768">
        <f>-SUMIFS('1.DC_Ra soat'!$L:$L,'1.DC_Ra soat'!$F:$F,'1.PL (VND) '!AH$4,'1.DC_Ra soat'!$H:$H,'1.PL (VND) '!$C13)+SUMIFS('1.DC_Ra soat'!$L:$L,'1.DC_Ra soat'!$F:$F,'1.PL (VND) '!AH$4,'1.DC_Ra soat'!$I:$I,'1.PL (VND) '!$C13)</f>
        <v>0</v>
      </c>
      <c r="AI13" s="768">
        <f>-SUMIFS('1.DC_Ra soat'!$L:$L,'1.DC_Ra soat'!$F:$F,'1.PL (VND) '!AI$4,'1.DC_Ra soat'!$H:$H,'1.PL (VND) '!$C13)+SUMIFS('1.DC_Ra soat'!$L:$L,'1.DC_Ra soat'!$F:$F,'1.PL (VND) '!AI$4,'1.DC_Ra soat'!$I:$I,'1.PL (VND) '!$C13)</f>
        <v>0</v>
      </c>
      <c r="AJ13" s="768">
        <f>-SUMIFS('1.DC_Ra soat'!$L:$L,'1.DC_Ra soat'!$F:$F,'1.PL (VND) '!AJ$4,'1.DC_Ra soat'!$H:$H,'1.PL (VND) '!$C13)+SUMIFS('1.DC_Ra soat'!$L:$L,'1.DC_Ra soat'!$F:$F,'1.PL (VND) '!AJ$4,'1.DC_Ra soat'!$I:$I,'1.PL (VND) '!$C13)</f>
        <v>0</v>
      </c>
      <c r="AK13" s="768">
        <f>-SUMIFS('1.DC_Ra soat'!$L:$L,'1.DC_Ra soat'!$F:$F,'1.PL (VND) '!AK$4,'1.DC_Ra soat'!$H:$H,'1.PL (VND) '!$C13)+SUMIFS('1.DC_Ra soat'!$L:$L,'1.DC_Ra soat'!$F:$F,'1.PL (VND) '!AK$4,'1.DC_Ra soat'!$I:$I,'1.PL (VND) '!$C13)</f>
        <v>0</v>
      </c>
      <c r="AL13" s="766"/>
      <c r="AM13" s="768">
        <f>-SUMIFS('1.DC_Ra soat'!$L:$L,'1.DC_Ra soat'!$F:$F,'1.PL (VND) '!AM$4,'1.DC_Ra soat'!$H:$H,'1.PL (VND) '!$C13)+SUMIFS('1.DC_Ra soat'!$L:$L,'1.DC_Ra soat'!$F:$F,'1.PL (VND) '!AM$4,'1.DC_Ra soat'!$I:$I,'1.PL (VND) '!$C13)</f>
        <v>0</v>
      </c>
      <c r="AN13" s="768">
        <f>-SUMIFS('1.DC_Ra soat'!$L:$L,'1.DC_Ra soat'!$F:$F,'1.PL (VND) '!AN$4,'1.DC_Ra soat'!$H:$H,'1.PL (VND) '!$C13)+SUMIFS('1.DC_Ra soat'!$L:$L,'1.DC_Ra soat'!$F:$F,'1.PL (VND) '!AN$4,'1.DC_Ra soat'!$I:$I,'1.PL (VND) '!$C13)</f>
        <v>0</v>
      </c>
      <c r="AO13" s="768">
        <f>-SUMIFS('1.DC_Ra soat'!$L:$L,'1.DC_Ra soat'!$F:$F,'1.PL (VND) '!AO$4,'1.DC_Ra soat'!$H:$H,'1.PL (VND) '!$C13)+SUMIFS('1.DC_Ra soat'!$L:$L,'1.DC_Ra soat'!$F:$F,'1.PL (VND) '!AO$4,'1.DC_Ra soat'!$I:$I,'1.PL (VND) '!$C13)</f>
        <v>0</v>
      </c>
      <c r="AP13" s="768">
        <f>-SUMIFS('1.DC_Ra soat'!$L:$L,'1.DC_Ra soat'!$F:$F,'1.PL (VND) '!AP$4,'1.DC_Ra soat'!$H:$H,'1.PL (VND) '!$C13)+SUMIFS('1.DC_Ra soat'!$L:$L,'1.DC_Ra soat'!$F:$F,'1.PL (VND) '!AP$4,'1.DC_Ra soat'!$I:$I,'1.PL (VND) '!$C13)</f>
        <v>0</v>
      </c>
      <c r="AQ13" s="766"/>
      <c r="AR13" s="768">
        <f>-SUMIFS('1.DC_Ra soat'!$L:$L,'1.DC_Ra soat'!$F:$F,'1.PL (VND) '!AR$4,'1.DC_Ra soat'!$H:$H,'1.PL (VND) '!$C13)+SUMIFS('1.DC_Ra soat'!$L:$L,'1.DC_Ra soat'!$F:$F,'1.PL (VND) '!AR$4,'1.DC_Ra soat'!$I:$I,'1.PL (VND) '!$C13)</f>
        <v>0</v>
      </c>
      <c r="AS13" s="768">
        <f>-SUMIFS('1.DC_Ra soat'!$L:$L,'1.DC_Ra soat'!$F:$F,'1.PL (VND) '!AS$4,'1.DC_Ra soat'!$H:$H,'1.PL (VND) '!$C13)+SUMIFS('1.DC_Ra soat'!$L:$L,'1.DC_Ra soat'!$F:$F,'1.PL (VND) '!AS$4,'1.DC_Ra soat'!$I:$I,'1.PL (VND) '!$C13)</f>
        <v>0</v>
      </c>
      <c r="AT13" s="768">
        <f>-SUMIFS('1.DC_Ra soat'!$L:$L,'1.DC_Ra soat'!$F:$F,'1.PL (VND) '!AT$4,'1.DC_Ra soat'!$H:$H,'1.PL (VND) '!$C13)+SUMIFS('1.DC_Ra soat'!$L:$L,'1.DC_Ra soat'!$F:$F,'1.PL (VND) '!AT$4,'1.DC_Ra soat'!$I:$I,'1.PL (VND) '!$C13)</f>
        <v>0</v>
      </c>
      <c r="AU13" s="768">
        <f>-SUMIFS('1.DC_Ra soat'!$L:$L,'1.DC_Ra soat'!$F:$F,'1.PL (VND) '!AU$4,'1.DC_Ra soat'!$H:$H,'1.PL (VND) '!$C13)+SUMIFS('1.DC_Ra soat'!$L:$L,'1.DC_Ra soat'!$F:$F,'1.PL (VND) '!AU$4,'1.DC_Ra soat'!$I:$I,'1.PL (VND) '!$C13)</f>
        <v>0</v>
      </c>
      <c r="AV13" s="766"/>
      <c r="AW13" s="768">
        <f>-SUMIFS('1.DC_Ra soat'!$L:$L,'1.DC_Ra soat'!$F:$F,'1.PL (VND) '!AW$4,'1.DC_Ra soat'!$H:$H,'1.PL (VND) '!$C13)+SUMIFS('1.DC_Ra soat'!$L:$L,'1.DC_Ra soat'!$F:$F,'1.PL (VND) '!AW$4,'1.DC_Ra soat'!$I:$I,'1.PL (VND) '!$C13)</f>
        <v>0</v>
      </c>
      <c r="AX13" s="768">
        <f>-SUMIFS('1.DC_Ra soat'!$L:$L,'1.DC_Ra soat'!$F:$F,'1.PL (VND) '!AX$4,'1.DC_Ra soat'!$H:$H,'1.PL (VND) '!$C13)+SUMIFS('1.DC_Ra soat'!$L:$L,'1.DC_Ra soat'!$F:$F,'1.PL (VND) '!AX$4,'1.DC_Ra soat'!$I:$I,'1.PL (VND) '!$C13)</f>
        <v>0</v>
      </c>
      <c r="AY13" s="768">
        <f>-SUMIFS('1.DC_Ra soat'!$L:$L,'1.DC_Ra soat'!$F:$F,'1.PL (VND) '!AY$4,'1.DC_Ra soat'!$H:$H,'1.PL (VND) '!$C13)+SUMIFS('1.DC_Ra soat'!$L:$L,'1.DC_Ra soat'!$F:$F,'1.PL (VND) '!AY$4,'1.DC_Ra soat'!$I:$I,'1.PL (VND) '!$C13)</f>
        <v>0</v>
      </c>
      <c r="AZ13" s="768">
        <f>-SUMIFS('1.DC_Ra soat'!$L:$L,'1.DC_Ra soat'!$F:$F,'1.PL (VND) '!AZ$4,'1.DC_Ra soat'!$H:$H,'1.PL (VND) '!$C13)+SUMIFS('1.DC_Ra soat'!$L:$L,'1.DC_Ra soat'!$F:$F,'1.PL (VND) '!AZ$4,'1.DC_Ra soat'!$I:$I,'1.PL (VND) '!$C13)</f>
        <v>0</v>
      </c>
      <c r="BA13" s="766"/>
      <c r="BB13" s="768">
        <f>-SUMIFS('1.DC_Ra soat'!$L:$L,'1.DC_Ra soat'!$F:$F,'1.PL (VND) '!BB$4,'1.DC_Ra soat'!$H:$H,'1.PL (VND) '!$C13)+SUMIFS('1.DC_Ra soat'!$L:$L,'1.DC_Ra soat'!$F:$F,'1.PL (VND) '!BB$4,'1.DC_Ra soat'!$I:$I,'1.PL (VND) '!$C13)</f>
        <v>0</v>
      </c>
      <c r="BC13" s="768">
        <f>-SUMIFS('1.DC_Ra soat'!$L:$L,'1.DC_Ra soat'!$F:$F,'1.PL (VND) '!BC$4,'1.DC_Ra soat'!$H:$H,'1.PL (VND) '!$C13)+SUMIFS('1.DC_Ra soat'!$L:$L,'1.DC_Ra soat'!$F:$F,'1.PL (VND) '!BC$4,'1.DC_Ra soat'!$I:$I,'1.PL (VND) '!$C13)</f>
        <v>0</v>
      </c>
      <c r="BD13" s="768">
        <f>-SUMIFS('1.DC_Ra soat'!$L:$L,'1.DC_Ra soat'!$F:$F,'1.PL (VND) '!BD$4,'1.DC_Ra soat'!$H:$H,'1.PL (VND) '!$C13)+SUMIFS('1.DC_Ra soat'!$L:$L,'1.DC_Ra soat'!$F:$F,'1.PL (VND) '!BD$4,'1.DC_Ra soat'!$I:$I,'1.PL (VND) '!$C13)</f>
        <v>0</v>
      </c>
      <c r="BE13" s="768">
        <f>-SUMIFS('1.DC_Ra soat'!$L:$L,'1.DC_Ra soat'!$F:$F,'1.PL (VND) '!BE$4,'1.DC_Ra soat'!$H:$H,'1.PL (VND) '!$C13)+SUMIFS('1.DC_Ra soat'!$L:$L,'1.DC_Ra soat'!$F:$F,'1.PL (VND) '!BE$4,'1.DC_Ra soat'!$I:$I,'1.PL (VND) '!$C13)</f>
        <v>0</v>
      </c>
      <c r="BF13" s="766"/>
      <c r="BG13" s="768">
        <f>-SUMIFS('1.DC_Ra soat'!$L:$L,'1.DC_Ra soat'!$F:$F,'1.PL (VND) '!BG$4,'1.DC_Ra soat'!$H:$H,'1.PL (VND) '!$C13)+SUMIFS('1.DC_Ra soat'!$L:$L,'1.DC_Ra soat'!$F:$F,'1.PL (VND) '!BG$4,'1.DC_Ra soat'!$I:$I,'1.PL (VND) '!$C13)</f>
        <v>0</v>
      </c>
      <c r="BH13" s="768">
        <f>-SUMIFS('1.DC_Ra soat'!$L:$L,'1.DC_Ra soat'!$F:$F,'1.PL (VND) '!BH$4,'1.DC_Ra soat'!$H:$H,'1.PL (VND) '!$C13)+SUMIFS('1.DC_Ra soat'!$L:$L,'1.DC_Ra soat'!$F:$F,'1.PL (VND) '!BH$4,'1.DC_Ra soat'!$I:$I,'1.PL (VND) '!$C13)</f>
        <v>0</v>
      </c>
      <c r="BI13" s="768">
        <f>-SUMIFS('1.DC_Ra soat'!$L:$L,'1.DC_Ra soat'!$F:$F,'1.PL (VND) '!BI$4,'1.DC_Ra soat'!$H:$H,'1.PL (VND) '!$C13)+SUMIFS('1.DC_Ra soat'!$L:$L,'1.DC_Ra soat'!$F:$F,'1.PL (VND) '!BI$4,'1.DC_Ra soat'!$I:$I,'1.PL (VND) '!$C13)</f>
        <v>0</v>
      </c>
      <c r="BJ13" s="768">
        <f>-SUMIFS('1.DC_Ra soat'!$L:$L,'1.DC_Ra soat'!$F:$F,'1.PL (VND) '!BJ$4,'1.DC_Ra soat'!$H:$H,'1.PL (VND) '!$C13)+SUMIFS('1.DC_Ra soat'!$L:$L,'1.DC_Ra soat'!$F:$F,'1.PL (VND) '!BJ$4,'1.DC_Ra soat'!$I:$I,'1.PL (VND) '!$C13)</f>
        <v>0</v>
      </c>
      <c r="BL13" s="768">
        <f t="shared" si="2"/>
        <v>833883</v>
      </c>
      <c r="BM13" s="768">
        <f t="shared" si="3"/>
        <v>524620</v>
      </c>
      <c r="BN13" s="768">
        <f t="shared" si="4"/>
        <v>2988510</v>
      </c>
      <c r="BO13" s="768">
        <f t="shared" si="5"/>
        <v>38735873</v>
      </c>
      <c r="BP13" s="766"/>
      <c r="BQ13" s="768">
        <f t="shared" si="6"/>
        <v>1151</v>
      </c>
      <c r="BR13" s="768">
        <f t="shared" si="7"/>
        <v>28281</v>
      </c>
      <c r="BS13" s="768">
        <f t="shared" si="8"/>
        <v>135642</v>
      </c>
      <c r="BT13" s="768">
        <f t="shared" si="9"/>
        <v>99182</v>
      </c>
      <c r="BU13" s="766"/>
      <c r="BV13" s="768">
        <f t="shared" si="10"/>
        <v>87952</v>
      </c>
      <c r="BW13" s="768">
        <f t="shared" si="11"/>
        <v>42349</v>
      </c>
      <c r="BX13" s="768">
        <f t="shared" si="12"/>
        <v>154503</v>
      </c>
      <c r="BY13" s="768">
        <f t="shared" si="13"/>
        <v>102331</v>
      </c>
      <c r="BZ13" s="766"/>
      <c r="CA13" s="768">
        <f t="shared" si="14"/>
        <v>50076</v>
      </c>
      <c r="CB13" s="768">
        <f t="shared" si="15"/>
        <v>98187</v>
      </c>
      <c r="CC13" s="768">
        <f t="shared" si="16"/>
        <v>64876</v>
      </c>
      <c r="CD13" s="768">
        <f t="shared" si="17"/>
        <v>71367</v>
      </c>
      <c r="CE13" s="766"/>
      <c r="CF13" s="768">
        <f t="shared" si="18"/>
        <v>0</v>
      </c>
      <c r="CG13" s="768">
        <f t="shared" si="19"/>
        <v>0</v>
      </c>
      <c r="CH13" s="768">
        <f t="shared" si="20"/>
        <v>0</v>
      </c>
      <c r="CI13" s="768">
        <f t="shared" si="21"/>
        <v>0</v>
      </c>
      <c r="CJ13" s="766"/>
      <c r="CK13" s="768">
        <f t="shared" si="22"/>
        <v>0</v>
      </c>
      <c r="CL13" s="768">
        <f t="shared" si="23"/>
        <v>0</v>
      </c>
      <c r="CM13" s="768">
        <f t="shared" si="24"/>
        <v>0</v>
      </c>
      <c r="CN13" s="768">
        <f t="shared" si="25"/>
        <v>0</v>
      </c>
      <c r="CP13" s="768">
        <f t="shared" si="26"/>
        <v>973062</v>
      </c>
      <c r="CQ13" s="768">
        <f t="shared" si="26"/>
        <v>693437</v>
      </c>
      <c r="CR13" s="768">
        <f t="shared" si="26"/>
        <v>3343531</v>
      </c>
      <c r="CS13" s="768">
        <f t="shared" si="26"/>
        <v>39008753</v>
      </c>
      <c r="CT13" s="770"/>
      <c r="CU13" s="768">
        <f>-SUMIFS('1.DC_Ra soat'!$L:$L,'1.DC_Ra soat'!$F:$F,'1.PL (VND) '!CU$4,'1.DC_Ra soat'!$H:$H,'1.PL (VND) '!$C13)+SUMIFS('1.DC_Ra soat'!$L:$L,'1.DC_Ra soat'!$F:$F,'1.PL (VND) '!CU$4,'1.DC_Ra soat'!$I:$I,'1.PL (VND) '!$C13)</f>
        <v>0</v>
      </c>
      <c r="CV13" s="768">
        <f>-SUMIFS('1.DC_Ra soat'!$L:$L,'1.DC_Ra soat'!$F:$F,'1.PL (VND) '!CV$4,'1.DC_Ra soat'!$H:$H,'1.PL (VND) '!$C13)+SUMIFS('1.DC_Ra soat'!$L:$L,'1.DC_Ra soat'!$F:$F,'1.PL (VND) '!CV$4,'1.DC_Ra soat'!$I:$I,'1.PL (VND) '!$C13)</f>
        <v>0</v>
      </c>
      <c r="CW13" s="768">
        <f>-SUMIFS('1.DC_Ra soat'!$L:$L,'1.DC_Ra soat'!$F:$F,'1.PL (VND) '!CW$4,'1.DC_Ra soat'!$H:$H,'1.PL (VND) '!$C13)+SUMIFS('1.DC_Ra soat'!$L:$L,'1.DC_Ra soat'!$F:$F,'1.PL (VND) '!CW$4,'1.DC_Ra soat'!$I:$I,'1.PL (VND) '!$C13)</f>
        <v>0</v>
      </c>
      <c r="CX13" s="768">
        <f>-SUMIFS('1.DC_Ra soat'!$L:$L,'1.DC_Ra soat'!$F:$F,'1.PL (VND) '!CX$4,'1.DC_Ra soat'!$H:$H,'1.PL (VND) '!$C13)+SUMIFS('1.DC_Ra soat'!$L:$L,'1.DC_Ra soat'!$F:$F,'1.PL (VND) '!CX$4,'1.DC_Ra soat'!$I:$I,'1.PL (VND) '!$C13)</f>
        <v>0</v>
      </c>
      <c r="CY13" s="770"/>
      <c r="CZ13" s="768">
        <f t="shared" si="27"/>
        <v>973062</v>
      </c>
      <c r="DA13" s="768">
        <f t="shared" si="28"/>
        <v>693437</v>
      </c>
      <c r="DB13" s="768">
        <f t="shared" si="29"/>
        <v>3343531</v>
      </c>
      <c r="DC13" s="768">
        <f t="shared" si="30"/>
        <v>39008753</v>
      </c>
      <c r="DG13" s="770"/>
    </row>
    <row r="14" spans="2:111" s="769" customFormat="1" ht="15.75" x14ac:dyDescent="0.25">
      <c r="B14" s="761" t="s">
        <v>149</v>
      </c>
      <c r="C14" s="762" t="s">
        <v>280</v>
      </c>
      <c r="D14" s="763">
        <v>8171598143</v>
      </c>
      <c r="E14" s="764">
        <v>4496061333</v>
      </c>
      <c r="F14" s="764">
        <v>8332900199</v>
      </c>
      <c r="G14" s="765">
        <v>12548808701</v>
      </c>
      <c r="H14" s="766"/>
      <c r="I14" s="767"/>
      <c r="J14" s="767">
        <v>725227638</v>
      </c>
      <c r="K14" s="767">
        <v>2586469172</v>
      </c>
      <c r="L14" s="767">
        <v>1890560444</v>
      </c>
      <c r="M14" s="766"/>
      <c r="N14" s="768">
        <v>1336298435</v>
      </c>
      <c r="O14" s="768">
        <v>1675370773</v>
      </c>
      <c r="P14" s="768">
        <v>2178070579</v>
      </c>
      <c r="Q14" s="768">
        <v>2214890036</v>
      </c>
      <c r="R14" s="766"/>
      <c r="S14" s="768">
        <v>296662990</v>
      </c>
      <c r="T14" s="768">
        <v>832438007</v>
      </c>
      <c r="U14" s="768">
        <v>1092759146</v>
      </c>
      <c r="V14" s="768">
        <v>1540066497</v>
      </c>
      <c r="W14" s="766"/>
      <c r="X14" s="768"/>
      <c r="Y14" s="768"/>
      <c r="Z14" s="768"/>
      <c r="AA14" s="768"/>
      <c r="AB14" s="766"/>
      <c r="AC14" s="768"/>
      <c r="AD14" s="768"/>
      <c r="AE14" s="768"/>
      <c r="AF14" s="768"/>
      <c r="AH14" s="768">
        <f>SUMIFS('1.DC_Ra soat'!$L:$L,'1.DC_Ra soat'!$F:$F,'1.PL (VND) '!AH$4,'1.DC_Ra soat'!$H:$H,'1.PL (VND) '!$C14)-SUMIFS('1.DC_Ra soat'!$L:$L,'1.DC_Ra soat'!$F:$F,'1.PL (VND) '!AH$4,'1.DC_Ra soat'!$I:$I,'1.PL (VND) '!$C14)</f>
        <v>0</v>
      </c>
      <c r="AI14" s="768">
        <f>SUMIFS('1.DC_Ra soat'!$L:$L,'1.DC_Ra soat'!$F:$F,'1.PL (VND) '!AI$4,'1.DC_Ra soat'!$H:$H,'1.PL (VND) '!$C14)-SUMIFS('1.DC_Ra soat'!$L:$L,'1.DC_Ra soat'!$F:$F,'1.PL (VND) '!AI$4,'1.DC_Ra soat'!$I:$I,'1.PL (VND) '!$C14)</f>
        <v>0</v>
      </c>
      <c r="AJ14" s="768">
        <f>SUMIFS('1.DC_Ra soat'!$L:$L,'1.DC_Ra soat'!$F:$F,'1.PL (VND) '!AJ$4,'1.DC_Ra soat'!$H:$H,'1.PL (VND) '!$C14)-SUMIFS('1.DC_Ra soat'!$L:$L,'1.DC_Ra soat'!$F:$F,'1.PL (VND) '!AJ$4,'1.DC_Ra soat'!$I:$I,'1.PL (VND) '!$C14)</f>
        <v>5500420923</v>
      </c>
      <c r="AK14" s="768">
        <f>SUMIFS('1.DC_Ra soat'!$L:$L,'1.DC_Ra soat'!$F:$F,'1.PL (VND) '!AK$4,'1.DC_Ra soat'!$H:$H,'1.PL (VND) '!$C14)-SUMIFS('1.DC_Ra soat'!$L:$L,'1.DC_Ra soat'!$F:$F,'1.PL (VND) '!AK$4,'1.DC_Ra soat'!$I:$I,'1.PL (VND) '!$C14)</f>
        <v>0</v>
      </c>
      <c r="AL14" s="766"/>
      <c r="AM14" s="768">
        <f>SUMIFS('1.DC_Ra soat'!$L:$L,'1.DC_Ra soat'!$F:$F,'1.PL (VND) '!AM$4,'1.DC_Ra soat'!$H:$H,'1.PL (VND) '!$C14)-SUMIFS('1.DC_Ra soat'!$L:$L,'1.DC_Ra soat'!$F:$F,'1.PL (VND) '!AM$4,'1.DC_Ra soat'!$I:$I,'1.PL (VND) '!$C14)</f>
        <v>0</v>
      </c>
      <c r="AN14" s="768">
        <f>SUMIFS('1.DC_Ra soat'!$L:$L,'1.DC_Ra soat'!$F:$F,'1.PL (VND) '!AN$4,'1.DC_Ra soat'!$H:$H,'1.PL (VND) '!$C14)-SUMIFS('1.DC_Ra soat'!$L:$L,'1.DC_Ra soat'!$F:$F,'1.PL (VND) '!AN$4,'1.DC_Ra soat'!$I:$I,'1.PL (VND) '!$C14)</f>
        <v>0</v>
      </c>
      <c r="AO14" s="768">
        <f>SUMIFS('1.DC_Ra soat'!$L:$L,'1.DC_Ra soat'!$F:$F,'1.PL (VND) '!AO$4,'1.DC_Ra soat'!$H:$H,'1.PL (VND) '!$C14)-SUMIFS('1.DC_Ra soat'!$L:$L,'1.DC_Ra soat'!$F:$F,'1.PL (VND) '!AO$4,'1.DC_Ra soat'!$I:$I,'1.PL (VND) '!$C14)</f>
        <v>741540549</v>
      </c>
      <c r="AP14" s="768">
        <f>SUMIFS('1.DC_Ra soat'!$L:$L,'1.DC_Ra soat'!$F:$F,'1.PL (VND) '!AP$4,'1.DC_Ra soat'!$H:$H,'1.PL (VND) '!$C14)-SUMIFS('1.DC_Ra soat'!$L:$L,'1.DC_Ra soat'!$F:$F,'1.PL (VND) '!AP$4,'1.DC_Ra soat'!$I:$I,'1.PL (VND) '!$C14)</f>
        <v>0</v>
      </c>
      <c r="AQ14" s="766"/>
      <c r="AR14" s="768">
        <f>SUMIFS('1.DC_Ra soat'!$L:$L,'1.DC_Ra soat'!$F:$F,'1.PL (VND) '!AR$4,'1.DC_Ra soat'!$H:$H,'1.PL (VND) '!$C14)-SUMIFS('1.DC_Ra soat'!$L:$L,'1.DC_Ra soat'!$F:$F,'1.PL (VND) '!AR$4,'1.DC_Ra soat'!$I:$I,'1.PL (VND) '!$C14)</f>
        <v>0</v>
      </c>
      <c r="AS14" s="768">
        <f>SUMIFS('1.DC_Ra soat'!$L:$L,'1.DC_Ra soat'!$F:$F,'1.PL (VND) '!AS$4,'1.DC_Ra soat'!$H:$H,'1.PL (VND) '!$C14)-SUMIFS('1.DC_Ra soat'!$L:$L,'1.DC_Ra soat'!$F:$F,'1.PL (VND) '!AS$4,'1.DC_Ra soat'!$I:$I,'1.PL (VND) '!$C14)</f>
        <v>0</v>
      </c>
      <c r="AT14" s="768">
        <f>SUMIFS('1.DC_Ra soat'!$L:$L,'1.DC_Ra soat'!$F:$F,'1.PL (VND) '!AT$4,'1.DC_Ra soat'!$H:$H,'1.PL (VND) '!$C14)-SUMIFS('1.DC_Ra soat'!$L:$L,'1.DC_Ra soat'!$F:$F,'1.PL (VND) '!AT$4,'1.DC_Ra soat'!$I:$I,'1.PL (VND) '!$C14)</f>
        <v>0</v>
      </c>
      <c r="AU14" s="768">
        <f>SUMIFS('1.DC_Ra soat'!$L:$L,'1.DC_Ra soat'!$F:$F,'1.PL (VND) '!AU$4,'1.DC_Ra soat'!$H:$H,'1.PL (VND) '!$C14)-SUMIFS('1.DC_Ra soat'!$L:$L,'1.DC_Ra soat'!$F:$F,'1.PL (VND) '!AU$4,'1.DC_Ra soat'!$I:$I,'1.PL (VND) '!$C14)</f>
        <v>0</v>
      </c>
      <c r="AV14" s="766"/>
      <c r="AW14" s="768">
        <f>SUMIFS('1.DC_Ra soat'!$L:$L,'1.DC_Ra soat'!$F:$F,'1.PL (VND) '!AW$4,'1.DC_Ra soat'!$H:$H,'1.PL (VND) '!$C14)-SUMIFS('1.DC_Ra soat'!$L:$L,'1.DC_Ra soat'!$F:$F,'1.PL (VND) '!AW$4,'1.DC_Ra soat'!$I:$I,'1.PL (VND) '!$C14)</f>
        <v>0</v>
      </c>
      <c r="AX14" s="768">
        <f>SUMIFS('1.DC_Ra soat'!$L:$L,'1.DC_Ra soat'!$F:$F,'1.PL (VND) '!AX$4,'1.DC_Ra soat'!$H:$H,'1.PL (VND) '!$C14)-SUMIFS('1.DC_Ra soat'!$L:$L,'1.DC_Ra soat'!$F:$F,'1.PL (VND) '!AX$4,'1.DC_Ra soat'!$I:$I,'1.PL (VND) '!$C14)</f>
        <v>0</v>
      </c>
      <c r="AY14" s="768">
        <f>SUMIFS('1.DC_Ra soat'!$L:$L,'1.DC_Ra soat'!$F:$F,'1.PL (VND) '!AY$4,'1.DC_Ra soat'!$H:$H,'1.PL (VND) '!$C14)-SUMIFS('1.DC_Ra soat'!$L:$L,'1.DC_Ra soat'!$F:$F,'1.PL (VND) '!AY$4,'1.DC_Ra soat'!$I:$I,'1.PL (VND) '!$C14)</f>
        <v>1262355349</v>
      </c>
      <c r="AZ14" s="768">
        <f>SUMIFS('1.DC_Ra soat'!$L:$L,'1.DC_Ra soat'!$F:$F,'1.PL (VND) '!AZ$4,'1.DC_Ra soat'!$H:$H,'1.PL (VND) '!$C14)-SUMIFS('1.DC_Ra soat'!$L:$L,'1.DC_Ra soat'!$F:$F,'1.PL (VND) '!AZ$4,'1.DC_Ra soat'!$I:$I,'1.PL (VND) '!$C14)</f>
        <v>0</v>
      </c>
      <c r="BA14" s="766"/>
      <c r="BB14" s="768">
        <f>SUMIFS('1.DC_Ra soat'!$L:$L,'1.DC_Ra soat'!$F:$F,'1.PL (VND) '!BB$4,'1.DC_Ra soat'!$H:$H,'1.PL (VND) '!$C14)-SUMIFS('1.DC_Ra soat'!$L:$L,'1.DC_Ra soat'!$F:$F,'1.PL (VND) '!BB$4,'1.DC_Ra soat'!$I:$I,'1.PL (VND) '!$C14)</f>
        <v>0</v>
      </c>
      <c r="BC14" s="768">
        <f>SUMIFS('1.DC_Ra soat'!$L:$L,'1.DC_Ra soat'!$F:$F,'1.PL (VND) '!BC$4,'1.DC_Ra soat'!$H:$H,'1.PL (VND) '!$C14)-SUMIFS('1.DC_Ra soat'!$L:$L,'1.DC_Ra soat'!$F:$F,'1.PL (VND) '!BC$4,'1.DC_Ra soat'!$I:$I,'1.PL (VND) '!$C14)</f>
        <v>0</v>
      </c>
      <c r="BD14" s="768">
        <f>SUMIFS('1.DC_Ra soat'!$L:$L,'1.DC_Ra soat'!$F:$F,'1.PL (VND) '!BD$4,'1.DC_Ra soat'!$H:$H,'1.PL (VND) '!$C14)-SUMIFS('1.DC_Ra soat'!$L:$L,'1.DC_Ra soat'!$F:$F,'1.PL (VND) '!BD$4,'1.DC_Ra soat'!$I:$I,'1.PL (VND) '!$C14)</f>
        <v>0</v>
      </c>
      <c r="BE14" s="768">
        <f>SUMIFS('1.DC_Ra soat'!$L:$L,'1.DC_Ra soat'!$F:$F,'1.PL (VND) '!BE$4,'1.DC_Ra soat'!$H:$H,'1.PL (VND) '!$C14)-SUMIFS('1.DC_Ra soat'!$L:$L,'1.DC_Ra soat'!$F:$F,'1.PL (VND) '!BE$4,'1.DC_Ra soat'!$I:$I,'1.PL (VND) '!$C14)</f>
        <v>0</v>
      </c>
      <c r="BF14" s="766"/>
      <c r="BG14" s="768">
        <f>SUMIFS('1.DC_Ra soat'!$L:$L,'1.DC_Ra soat'!$F:$F,'1.PL (VND) '!BG$4,'1.DC_Ra soat'!$H:$H,'1.PL (VND) '!$C14)-SUMIFS('1.DC_Ra soat'!$L:$L,'1.DC_Ra soat'!$F:$F,'1.PL (VND) '!BG$4,'1.DC_Ra soat'!$I:$I,'1.PL (VND) '!$C14)</f>
        <v>0</v>
      </c>
      <c r="BH14" s="768">
        <f>SUMIFS('1.DC_Ra soat'!$L:$L,'1.DC_Ra soat'!$F:$F,'1.PL (VND) '!BH$4,'1.DC_Ra soat'!$H:$H,'1.PL (VND) '!$C14)-SUMIFS('1.DC_Ra soat'!$L:$L,'1.DC_Ra soat'!$F:$F,'1.PL (VND) '!BH$4,'1.DC_Ra soat'!$I:$I,'1.PL (VND) '!$C14)</f>
        <v>0</v>
      </c>
      <c r="BI14" s="768">
        <f>SUMIFS('1.DC_Ra soat'!$L:$L,'1.DC_Ra soat'!$F:$F,'1.PL (VND) '!BI$4,'1.DC_Ra soat'!$H:$H,'1.PL (VND) '!$C14)-SUMIFS('1.DC_Ra soat'!$L:$L,'1.DC_Ra soat'!$F:$F,'1.PL (VND) '!BI$4,'1.DC_Ra soat'!$I:$I,'1.PL (VND) '!$C14)</f>
        <v>0</v>
      </c>
      <c r="BJ14" s="768">
        <f>SUMIFS('1.DC_Ra soat'!$L:$L,'1.DC_Ra soat'!$F:$F,'1.PL (VND) '!BJ$4,'1.DC_Ra soat'!$H:$H,'1.PL (VND) '!$C14)-SUMIFS('1.DC_Ra soat'!$L:$L,'1.DC_Ra soat'!$F:$F,'1.PL (VND) '!BJ$4,'1.DC_Ra soat'!$I:$I,'1.PL (VND) '!$C14)</f>
        <v>0</v>
      </c>
      <c r="BL14" s="768">
        <f t="shared" si="2"/>
        <v>8171598143</v>
      </c>
      <c r="BM14" s="768">
        <f t="shared" si="3"/>
        <v>4496061333</v>
      </c>
      <c r="BN14" s="768">
        <f t="shared" si="4"/>
        <v>13833321122</v>
      </c>
      <c r="BO14" s="768">
        <f t="shared" si="5"/>
        <v>12548808701</v>
      </c>
      <c r="BP14" s="766"/>
      <c r="BQ14" s="768">
        <f t="shared" si="6"/>
        <v>0</v>
      </c>
      <c r="BR14" s="768">
        <f t="shared" si="7"/>
        <v>725227638</v>
      </c>
      <c r="BS14" s="768">
        <f t="shared" si="8"/>
        <v>3328009721</v>
      </c>
      <c r="BT14" s="768">
        <f t="shared" si="9"/>
        <v>1890560444</v>
      </c>
      <c r="BU14" s="766"/>
      <c r="BV14" s="768">
        <f t="shared" si="10"/>
        <v>1336298435</v>
      </c>
      <c r="BW14" s="768">
        <f t="shared" si="11"/>
        <v>1675370773</v>
      </c>
      <c r="BX14" s="768">
        <f t="shared" si="12"/>
        <v>2178070579</v>
      </c>
      <c r="BY14" s="768">
        <f t="shared" si="13"/>
        <v>2214890036</v>
      </c>
      <c r="BZ14" s="766"/>
      <c r="CA14" s="768">
        <f t="shared" si="14"/>
        <v>296662990</v>
      </c>
      <c r="CB14" s="768">
        <f t="shared" si="15"/>
        <v>832438007</v>
      </c>
      <c r="CC14" s="768">
        <f t="shared" si="16"/>
        <v>2355114495</v>
      </c>
      <c r="CD14" s="768">
        <f t="shared" si="17"/>
        <v>1540066497</v>
      </c>
      <c r="CE14" s="766"/>
      <c r="CF14" s="768">
        <f t="shared" si="18"/>
        <v>0</v>
      </c>
      <c r="CG14" s="768">
        <f t="shared" si="19"/>
        <v>0</v>
      </c>
      <c r="CH14" s="768">
        <f t="shared" si="20"/>
        <v>0</v>
      </c>
      <c r="CI14" s="768">
        <f t="shared" si="21"/>
        <v>0</v>
      </c>
      <c r="CJ14" s="766"/>
      <c r="CK14" s="768">
        <f t="shared" si="22"/>
        <v>0</v>
      </c>
      <c r="CL14" s="768">
        <f t="shared" si="23"/>
        <v>0</v>
      </c>
      <c r="CM14" s="768">
        <f t="shared" si="24"/>
        <v>0</v>
      </c>
      <c r="CN14" s="768">
        <f t="shared" si="25"/>
        <v>0</v>
      </c>
      <c r="CP14" s="768">
        <f t="shared" si="26"/>
        <v>9804559568</v>
      </c>
      <c r="CQ14" s="768">
        <f t="shared" si="26"/>
        <v>7729097751</v>
      </c>
      <c r="CR14" s="768">
        <f t="shared" si="26"/>
        <v>21694515917</v>
      </c>
      <c r="CS14" s="768">
        <f t="shared" si="26"/>
        <v>18194325678</v>
      </c>
      <c r="CT14" s="770"/>
      <c r="CU14" s="768">
        <f>-SUMIFS('1.DC_Ra soat'!$L:$L,'1.DC_Ra soat'!$F:$F,'1.PL (VND) '!CU$4,'1.DC_Ra soat'!$H:$H,'1.PL (VND) '!$C14)+SUMIFS('1.DC_Ra soat'!$L:$L,'1.DC_Ra soat'!$F:$F,'1.PL (VND) '!CU$4,'1.DC_Ra soat'!$I:$I,'1.PL (VND) '!$C14)</f>
        <v>0</v>
      </c>
      <c r="CV14" s="768">
        <f>-SUMIFS('1.DC_Ra soat'!$L:$L,'1.DC_Ra soat'!$F:$F,'1.PL (VND) '!CV$4,'1.DC_Ra soat'!$H:$H,'1.PL (VND) '!$C14)+SUMIFS('1.DC_Ra soat'!$L:$L,'1.DC_Ra soat'!$F:$F,'1.PL (VND) '!CV$4,'1.DC_Ra soat'!$I:$I,'1.PL (VND) '!$C14)</f>
        <v>0</v>
      </c>
      <c r="CW14" s="768">
        <f>-SUMIFS('1.DC_Ra soat'!$L:$L,'1.DC_Ra soat'!$F:$F,'1.PL (VND) '!CW$4,'1.DC_Ra soat'!$H:$H,'1.PL (VND) '!$C14)+SUMIFS('1.DC_Ra soat'!$L:$L,'1.DC_Ra soat'!$F:$F,'1.PL (VND) '!CW$4,'1.DC_Ra soat'!$I:$I,'1.PL (VND) '!$C14)</f>
        <v>0</v>
      </c>
      <c r="CX14" s="768">
        <f>-SUMIFS('1.DC_Ra soat'!$L:$L,'1.DC_Ra soat'!$F:$F,'1.PL (VND) '!CX$4,'1.DC_Ra soat'!$H:$H,'1.PL (VND) '!$C14)+SUMIFS('1.DC_Ra soat'!$L:$L,'1.DC_Ra soat'!$F:$F,'1.PL (VND) '!CX$4,'1.DC_Ra soat'!$I:$I,'1.PL (VND) '!$C14)</f>
        <v>0</v>
      </c>
      <c r="CY14" s="770"/>
      <c r="CZ14" s="768">
        <f t="shared" si="27"/>
        <v>9804559568</v>
      </c>
      <c r="DA14" s="768">
        <f t="shared" si="28"/>
        <v>7729097751</v>
      </c>
      <c r="DB14" s="768">
        <f t="shared" si="29"/>
        <v>21694515917</v>
      </c>
      <c r="DC14" s="768">
        <f t="shared" si="30"/>
        <v>18194325678</v>
      </c>
      <c r="DG14" s="770"/>
    </row>
    <row r="15" spans="2:111" s="441" customFormat="1" ht="15.75" x14ac:dyDescent="0.25">
      <c r="B15" s="445" t="s">
        <v>627</v>
      </c>
      <c r="C15" s="771" t="s">
        <v>281</v>
      </c>
      <c r="D15" s="789">
        <f>D14</f>
        <v>8171598143</v>
      </c>
      <c r="E15" s="789">
        <f t="shared" ref="E15:G15" si="31">E14</f>
        <v>4496061333</v>
      </c>
      <c r="F15" s="789">
        <f t="shared" si="31"/>
        <v>8332900199</v>
      </c>
      <c r="G15" s="789">
        <f t="shared" si="31"/>
        <v>12548808701</v>
      </c>
      <c r="H15" s="774"/>
      <c r="I15" s="439">
        <f>I14</f>
        <v>0</v>
      </c>
      <c r="J15" s="439">
        <f t="shared" ref="J15:L15" si="32">J14</f>
        <v>725227638</v>
      </c>
      <c r="K15" s="439">
        <f t="shared" si="32"/>
        <v>2586469172</v>
      </c>
      <c r="L15" s="439">
        <f t="shared" si="32"/>
        <v>1890560444</v>
      </c>
      <c r="M15" s="774"/>
      <c r="N15" s="439">
        <f>N14</f>
        <v>1336298435</v>
      </c>
      <c r="O15" s="439">
        <f>O14</f>
        <v>1675370773</v>
      </c>
      <c r="P15" s="439">
        <f>P14</f>
        <v>2178070579</v>
      </c>
      <c r="Q15" s="439">
        <f>Q14</f>
        <v>2214890036</v>
      </c>
      <c r="R15" s="774"/>
      <c r="S15" s="439">
        <f>S14</f>
        <v>296662990</v>
      </c>
      <c r="T15" s="439">
        <f t="shared" ref="T15:V15" si="33">T14</f>
        <v>832438007</v>
      </c>
      <c r="U15" s="439">
        <f t="shared" si="33"/>
        <v>1092759146</v>
      </c>
      <c r="V15" s="439">
        <f t="shared" si="33"/>
        <v>1540066497</v>
      </c>
      <c r="W15" s="774"/>
      <c r="X15" s="439"/>
      <c r="Y15" s="439"/>
      <c r="Z15" s="439"/>
      <c r="AA15" s="439"/>
      <c r="AB15" s="774"/>
      <c r="AC15" s="439">
        <f>AC14</f>
        <v>0</v>
      </c>
      <c r="AD15" s="439">
        <f t="shared" ref="AD15:AE15" si="34">AD14</f>
        <v>0</v>
      </c>
      <c r="AE15" s="439">
        <f t="shared" si="34"/>
        <v>0</v>
      </c>
      <c r="AF15" s="439">
        <v>0</v>
      </c>
      <c r="AH15" s="439">
        <f>SUMIFS('1.DC_Ra soat'!$L:$L,'1.DC_Ra soat'!$F:$F,'1.PL (VND) '!AH$4,'1.DC_Ra soat'!$H:$H,'1.PL (VND) '!$C15)-SUMIFS('1.DC_Ra soat'!$L:$L,'1.DC_Ra soat'!$F:$F,'1.PL (VND) '!AH$4,'1.DC_Ra soat'!$I:$I,'1.PL (VND) '!$C15)</f>
        <v>0</v>
      </c>
      <c r="AI15" s="439">
        <f>SUMIFS('1.DC_Ra soat'!$L:$L,'1.DC_Ra soat'!$F:$F,'1.PL (VND) '!AI$4,'1.DC_Ra soat'!$H:$H,'1.PL (VND) '!$C15)-SUMIFS('1.DC_Ra soat'!$L:$L,'1.DC_Ra soat'!$F:$F,'1.PL (VND) '!AI$4,'1.DC_Ra soat'!$I:$I,'1.PL (VND) '!$C15)</f>
        <v>0</v>
      </c>
      <c r="AJ15" s="439">
        <f>SUMIFS('1.DC_Ra soat'!$L:$L,'1.DC_Ra soat'!$F:$F,'1.PL (VND) '!AJ$4,'1.DC_Ra soat'!$H:$H,'1.PL (VND) '!$C15)-SUMIFS('1.DC_Ra soat'!$L:$L,'1.DC_Ra soat'!$F:$F,'1.PL (VND) '!AJ$4,'1.DC_Ra soat'!$I:$I,'1.PL (VND) '!$C15)</f>
        <v>0</v>
      </c>
      <c r="AK15" s="439">
        <f>SUMIFS('1.DC_Ra soat'!$L:$L,'1.DC_Ra soat'!$F:$F,'1.PL (VND) '!AK$4,'1.DC_Ra soat'!$H:$H,'1.PL (VND) '!$C15)-SUMIFS('1.DC_Ra soat'!$L:$L,'1.DC_Ra soat'!$F:$F,'1.PL (VND) '!AK$4,'1.DC_Ra soat'!$I:$I,'1.PL (VND) '!$C15)</f>
        <v>0</v>
      </c>
      <c r="AL15" s="774"/>
      <c r="AM15" s="439">
        <f>SUMIFS('1.DC_Ra soat'!$L:$L,'1.DC_Ra soat'!$F:$F,'1.PL (VND) '!AM$4,'1.DC_Ra soat'!$H:$H,'1.PL (VND) '!$C15)-SUMIFS('1.DC_Ra soat'!$L:$L,'1.DC_Ra soat'!$F:$F,'1.PL (VND) '!AM$4,'1.DC_Ra soat'!$I:$I,'1.PL (VND) '!$C15)</f>
        <v>0</v>
      </c>
      <c r="AN15" s="439">
        <f>SUMIFS('1.DC_Ra soat'!$L:$L,'1.DC_Ra soat'!$F:$F,'1.PL (VND) '!AN$4,'1.DC_Ra soat'!$H:$H,'1.PL (VND) '!$C15)-SUMIFS('1.DC_Ra soat'!$L:$L,'1.DC_Ra soat'!$F:$F,'1.PL (VND) '!AN$4,'1.DC_Ra soat'!$I:$I,'1.PL (VND) '!$C15)</f>
        <v>0</v>
      </c>
      <c r="AO15" s="439">
        <f>SUMIFS('1.DC_Ra soat'!$L:$L,'1.DC_Ra soat'!$F:$F,'1.PL (VND) '!AO$4,'1.DC_Ra soat'!$H:$H,'1.PL (VND) '!$C15)-SUMIFS('1.DC_Ra soat'!$L:$L,'1.DC_Ra soat'!$F:$F,'1.PL (VND) '!AO$4,'1.DC_Ra soat'!$I:$I,'1.PL (VND) '!$C15)</f>
        <v>0</v>
      </c>
      <c r="AP15" s="439">
        <f>SUMIFS('1.DC_Ra soat'!$L:$L,'1.DC_Ra soat'!$F:$F,'1.PL (VND) '!AP$4,'1.DC_Ra soat'!$H:$H,'1.PL (VND) '!$C15)-SUMIFS('1.DC_Ra soat'!$L:$L,'1.DC_Ra soat'!$F:$F,'1.PL (VND) '!AP$4,'1.DC_Ra soat'!$I:$I,'1.PL (VND) '!$C15)</f>
        <v>0</v>
      </c>
      <c r="AQ15" s="774"/>
      <c r="AR15" s="439">
        <f>SUMIFS('1.DC_Ra soat'!$L:$L,'1.DC_Ra soat'!$F:$F,'1.PL (VND) '!AR$4,'1.DC_Ra soat'!$H:$H,'1.PL (VND) '!$C15)-SUMIFS('1.DC_Ra soat'!$L:$L,'1.DC_Ra soat'!$F:$F,'1.PL (VND) '!AR$4,'1.DC_Ra soat'!$I:$I,'1.PL (VND) '!$C15)</f>
        <v>0</v>
      </c>
      <c r="AS15" s="439">
        <f>SUMIFS('1.DC_Ra soat'!$L:$L,'1.DC_Ra soat'!$F:$F,'1.PL (VND) '!AS$4,'1.DC_Ra soat'!$H:$H,'1.PL (VND) '!$C15)-SUMIFS('1.DC_Ra soat'!$L:$L,'1.DC_Ra soat'!$F:$F,'1.PL (VND) '!AS$4,'1.DC_Ra soat'!$I:$I,'1.PL (VND) '!$C15)</f>
        <v>0</v>
      </c>
      <c r="AT15" s="439">
        <f>AT14</f>
        <v>0</v>
      </c>
      <c r="AU15" s="439">
        <f>SUMIFS('1.DC_Ra soat'!$L:$L,'1.DC_Ra soat'!$F:$F,'1.PL (VND) '!AU$4,'1.DC_Ra soat'!$H:$H,'1.PL (VND) '!$C15)-SUMIFS('1.DC_Ra soat'!$L:$L,'1.DC_Ra soat'!$F:$F,'1.PL (VND) '!AU$4,'1.DC_Ra soat'!$I:$I,'1.PL (VND) '!$C15)</f>
        <v>0</v>
      </c>
      <c r="AV15" s="774"/>
      <c r="AW15" s="439">
        <f>SUMIFS('1.DC_Ra soat'!$L:$L,'1.DC_Ra soat'!$F:$F,'1.PL (VND) '!AW$4,'1.DC_Ra soat'!$H:$H,'1.PL (VND) '!$C15)-SUMIFS('1.DC_Ra soat'!$L:$L,'1.DC_Ra soat'!$F:$F,'1.PL (VND) '!AW$4,'1.DC_Ra soat'!$I:$I,'1.PL (VND) '!$C15)</f>
        <v>0</v>
      </c>
      <c r="AX15" s="439">
        <f>SUMIFS('1.DC_Ra soat'!$L:$L,'1.DC_Ra soat'!$F:$F,'1.PL (VND) '!AX$4,'1.DC_Ra soat'!$H:$H,'1.PL (VND) '!$C15)-SUMIFS('1.DC_Ra soat'!$L:$L,'1.DC_Ra soat'!$F:$F,'1.PL (VND) '!AX$4,'1.DC_Ra soat'!$I:$I,'1.PL (VND) '!$C15)</f>
        <v>0</v>
      </c>
      <c r="AY15" s="439">
        <f>SUMIFS('1.DC_Ra soat'!$L:$L,'1.DC_Ra soat'!$F:$F,'1.PL (VND) '!AY$4,'1.DC_Ra soat'!$H:$H,'1.PL (VND) '!$C15)-SUMIFS('1.DC_Ra soat'!$L:$L,'1.DC_Ra soat'!$F:$F,'1.PL (VND) '!AY$4,'1.DC_Ra soat'!$I:$I,'1.PL (VND) '!$C15)</f>
        <v>0</v>
      </c>
      <c r="AZ15" s="439">
        <f>SUMIFS('1.DC_Ra soat'!$L:$L,'1.DC_Ra soat'!$F:$F,'1.PL (VND) '!AZ$4,'1.DC_Ra soat'!$H:$H,'1.PL (VND) '!$C15)-SUMIFS('1.DC_Ra soat'!$L:$L,'1.DC_Ra soat'!$F:$F,'1.PL (VND) '!AZ$4,'1.DC_Ra soat'!$I:$I,'1.PL (VND) '!$C15)</f>
        <v>0</v>
      </c>
      <c r="BA15" s="774"/>
      <c r="BB15" s="439">
        <f>SUMIFS('1.DC_Ra soat'!$L:$L,'1.DC_Ra soat'!$F:$F,'1.PL (VND) '!BB$4,'1.DC_Ra soat'!$H:$H,'1.PL (VND) '!$C15)-SUMIFS('1.DC_Ra soat'!$L:$L,'1.DC_Ra soat'!$F:$F,'1.PL (VND) '!BB$4,'1.DC_Ra soat'!$I:$I,'1.PL (VND) '!$C15)</f>
        <v>0</v>
      </c>
      <c r="BC15" s="439">
        <f>SUMIFS('1.DC_Ra soat'!$L:$L,'1.DC_Ra soat'!$F:$F,'1.PL (VND) '!BC$4,'1.DC_Ra soat'!$H:$H,'1.PL (VND) '!$C15)-SUMIFS('1.DC_Ra soat'!$L:$L,'1.DC_Ra soat'!$F:$F,'1.PL (VND) '!BC$4,'1.DC_Ra soat'!$I:$I,'1.PL (VND) '!$C15)</f>
        <v>0</v>
      </c>
      <c r="BD15" s="439">
        <f>SUMIFS('1.DC_Ra soat'!$L:$L,'1.DC_Ra soat'!$F:$F,'1.PL (VND) '!BD$4,'1.DC_Ra soat'!$H:$H,'1.PL (VND) '!$C15)-SUMIFS('1.DC_Ra soat'!$L:$L,'1.DC_Ra soat'!$F:$F,'1.PL (VND) '!BD$4,'1.DC_Ra soat'!$I:$I,'1.PL (VND) '!$C15)</f>
        <v>0</v>
      </c>
      <c r="BE15" s="439">
        <f>SUMIFS('1.DC_Ra soat'!$L:$L,'1.DC_Ra soat'!$F:$F,'1.PL (VND) '!BE$4,'1.DC_Ra soat'!$H:$H,'1.PL (VND) '!$C15)-SUMIFS('1.DC_Ra soat'!$L:$L,'1.DC_Ra soat'!$F:$F,'1.PL (VND) '!BE$4,'1.DC_Ra soat'!$I:$I,'1.PL (VND) '!$C15)</f>
        <v>0</v>
      </c>
      <c r="BF15" s="774"/>
      <c r="BG15" s="439">
        <f>SUMIFS('1.DC_Ra soat'!$L:$L,'1.DC_Ra soat'!$F:$F,'1.PL (VND) '!BG$4,'1.DC_Ra soat'!$H:$H,'1.PL (VND) '!$C15)-SUMIFS('1.DC_Ra soat'!$L:$L,'1.DC_Ra soat'!$F:$F,'1.PL (VND) '!BG$4,'1.DC_Ra soat'!$I:$I,'1.PL (VND) '!$C15)</f>
        <v>0</v>
      </c>
      <c r="BH15" s="439">
        <f>SUMIFS('1.DC_Ra soat'!$L:$L,'1.DC_Ra soat'!$F:$F,'1.PL (VND) '!BH$4,'1.DC_Ra soat'!$H:$H,'1.PL (VND) '!$C15)-SUMIFS('1.DC_Ra soat'!$L:$L,'1.DC_Ra soat'!$F:$F,'1.PL (VND) '!BH$4,'1.DC_Ra soat'!$I:$I,'1.PL (VND) '!$C15)</f>
        <v>0</v>
      </c>
      <c r="BI15" s="439">
        <f>SUMIFS('1.DC_Ra soat'!$L:$L,'1.DC_Ra soat'!$F:$F,'1.PL (VND) '!BI$4,'1.DC_Ra soat'!$H:$H,'1.PL (VND) '!$C15)-SUMIFS('1.DC_Ra soat'!$L:$L,'1.DC_Ra soat'!$F:$F,'1.PL (VND) '!BI$4,'1.DC_Ra soat'!$I:$I,'1.PL (VND) '!$C15)</f>
        <v>0</v>
      </c>
      <c r="BJ15" s="439">
        <f>SUMIFS('1.DC_Ra soat'!$L:$L,'1.DC_Ra soat'!$F:$F,'1.PL (VND) '!BJ$4,'1.DC_Ra soat'!$H:$H,'1.PL (VND) '!$C15)-SUMIFS('1.DC_Ra soat'!$L:$L,'1.DC_Ra soat'!$F:$F,'1.PL (VND) '!BJ$4,'1.DC_Ra soat'!$I:$I,'1.PL (VND) '!$C15)</f>
        <v>0</v>
      </c>
      <c r="BL15" s="439">
        <f t="shared" si="2"/>
        <v>8171598143</v>
      </c>
      <c r="BM15" s="439">
        <f t="shared" si="3"/>
        <v>4496061333</v>
      </c>
      <c r="BN15" s="439">
        <f t="shared" si="4"/>
        <v>8332900199</v>
      </c>
      <c r="BO15" s="439">
        <f t="shared" si="5"/>
        <v>12548808701</v>
      </c>
      <c r="BP15" s="774"/>
      <c r="BQ15" s="439">
        <f t="shared" si="6"/>
        <v>0</v>
      </c>
      <c r="BR15" s="439">
        <f t="shared" si="7"/>
        <v>725227638</v>
      </c>
      <c r="BS15" s="439">
        <f t="shared" si="8"/>
        <v>2586469172</v>
      </c>
      <c r="BT15" s="439">
        <f t="shared" si="9"/>
        <v>1890560444</v>
      </c>
      <c r="BU15" s="774"/>
      <c r="BV15" s="439">
        <f t="shared" si="10"/>
        <v>1336298435</v>
      </c>
      <c r="BW15" s="439">
        <f t="shared" si="11"/>
        <v>1675370773</v>
      </c>
      <c r="BX15" s="439">
        <f t="shared" si="12"/>
        <v>2178070579</v>
      </c>
      <c r="BY15" s="439">
        <f t="shared" si="13"/>
        <v>2214890036</v>
      </c>
      <c r="BZ15" s="774"/>
      <c r="CA15" s="439">
        <f t="shared" si="14"/>
        <v>296662990</v>
      </c>
      <c r="CB15" s="439">
        <f t="shared" si="15"/>
        <v>832438007</v>
      </c>
      <c r="CC15" s="439">
        <f t="shared" si="16"/>
        <v>1092759146</v>
      </c>
      <c r="CD15" s="439">
        <f t="shared" si="17"/>
        <v>1540066497</v>
      </c>
      <c r="CE15" s="774"/>
      <c r="CF15" s="439">
        <f t="shared" si="18"/>
        <v>0</v>
      </c>
      <c r="CG15" s="439">
        <f t="shared" si="19"/>
        <v>0</v>
      </c>
      <c r="CH15" s="439">
        <f t="shared" si="20"/>
        <v>0</v>
      </c>
      <c r="CI15" s="439">
        <f t="shared" si="21"/>
        <v>0</v>
      </c>
      <c r="CJ15" s="774"/>
      <c r="CK15" s="439">
        <f t="shared" si="22"/>
        <v>0</v>
      </c>
      <c r="CL15" s="439">
        <f t="shared" si="23"/>
        <v>0</v>
      </c>
      <c r="CM15" s="439">
        <f t="shared" si="24"/>
        <v>0</v>
      </c>
      <c r="CN15" s="439">
        <f t="shared" si="25"/>
        <v>0</v>
      </c>
      <c r="CP15" s="439">
        <f t="shared" si="26"/>
        <v>9804559568</v>
      </c>
      <c r="CQ15" s="439">
        <f t="shared" si="26"/>
        <v>7729097751</v>
      </c>
      <c r="CR15" s="439">
        <f t="shared" si="26"/>
        <v>14190199096</v>
      </c>
      <c r="CS15" s="439">
        <f t="shared" si="26"/>
        <v>18194325678</v>
      </c>
      <c r="CT15" s="440"/>
      <c r="CU15" s="439">
        <f>CU14</f>
        <v>0</v>
      </c>
      <c r="CV15" s="439">
        <f>CV14</f>
        <v>0</v>
      </c>
      <c r="CW15" s="439">
        <f>CW14</f>
        <v>0</v>
      </c>
      <c r="CX15" s="439">
        <f>CX14</f>
        <v>0</v>
      </c>
      <c r="CY15" s="440"/>
      <c r="CZ15" s="439">
        <f t="shared" si="27"/>
        <v>9804559568</v>
      </c>
      <c r="DA15" s="439">
        <f t="shared" si="28"/>
        <v>7729097751</v>
      </c>
      <c r="DB15" s="439">
        <f t="shared" si="29"/>
        <v>14190199096</v>
      </c>
      <c r="DC15" s="439">
        <f t="shared" si="30"/>
        <v>18194325678</v>
      </c>
      <c r="DG15" s="440"/>
    </row>
    <row r="16" spans="2:111" s="441" customFormat="1" ht="15.75" x14ac:dyDescent="0.25">
      <c r="B16" s="791" t="s">
        <v>649</v>
      </c>
      <c r="C16" s="771">
        <v>24</v>
      </c>
      <c r="D16" s="789"/>
      <c r="E16" s="789"/>
      <c r="F16" s="789"/>
      <c r="G16" s="790"/>
      <c r="H16" s="774"/>
      <c r="I16" s="439"/>
      <c r="J16" s="439"/>
      <c r="K16" s="439"/>
      <c r="L16" s="439"/>
      <c r="M16" s="774"/>
      <c r="N16" s="439"/>
      <c r="O16" s="439"/>
      <c r="P16" s="439"/>
      <c r="Q16" s="439"/>
      <c r="R16" s="774"/>
      <c r="S16" s="439"/>
      <c r="T16" s="439"/>
      <c r="U16" s="439"/>
      <c r="V16" s="439"/>
      <c r="W16" s="774"/>
      <c r="X16" s="439"/>
      <c r="Y16" s="439"/>
      <c r="Z16" s="439"/>
      <c r="AA16" s="439"/>
      <c r="AB16" s="774"/>
      <c r="AC16" s="439"/>
      <c r="AD16" s="439"/>
      <c r="AE16" s="439"/>
      <c r="AF16" s="439"/>
      <c r="AH16" s="439">
        <f>-SUMIFS('1.DC_Ra soat'!$L:$L,'1.DC_Ra soat'!$F:$F,'1.PL (VND) '!AH$4,'1.DC_Ra soat'!$H:$H,'1.PL (VND) '!$C16)+SUMIFS('1.DC_Ra soat'!$L:$L,'1.DC_Ra soat'!$F:$F,'1.PL (VND) '!AH$4,'1.DC_Ra soat'!$I:$I,'1.PL (VND) '!$C16)</f>
        <v>0</v>
      </c>
      <c r="AI16" s="439">
        <f>-SUMIFS('1.DC_Ra soat'!$L:$L,'1.DC_Ra soat'!$F:$F,'1.PL (VND) '!AI$4,'1.DC_Ra soat'!$H:$H,'1.PL (VND) '!$C16)+SUMIFS('1.DC_Ra soat'!$L:$L,'1.DC_Ra soat'!$F:$F,'1.PL (VND) '!AI$4,'1.DC_Ra soat'!$I:$I,'1.PL (VND) '!$C16)</f>
        <v>0</v>
      </c>
      <c r="AJ16" s="439">
        <f>-SUMIFS('1.DC_Ra soat'!$L:$L,'1.DC_Ra soat'!$F:$F,'1.PL (VND) '!AJ$4,'1.DC_Ra soat'!$H:$H,'1.PL (VND) '!$C16)+SUMIFS('1.DC_Ra soat'!$L:$L,'1.DC_Ra soat'!$F:$F,'1.PL (VND) '!AJ$4,'1.DC_Ra soat'!$I:$I,'1.PL (VND) '!$C16)</f>
        <v>0</v>
      </c>
      <c r="AK16" s="439">
        <f>-SUMIFS('1.DC_Ra soat'!$L:$L,'1.DC_Ra soat'!$F:$F,'1.PL (VND) '!AK$4,'1.DC_Ra soat'!$H:$H,'1.PL (VND) '!$C16)+SUMIFS('1.DC_Ra soat'!$L:$L,'1.DC_Ra soat'!$F:$F,'1.PL (VND) '!AK$4,'1.DC_Ra soat'!$I:$I,'1.PL (VND) '!$C16)</f>
        <v>0</v>
      </c>
      <c r="AL16" s="774"/>
      <c r="AM16" s="439">
        <f>-SUMIFS('1.DC_Ra soat'!$L:$L,'1.DC_Ra soat'!$F:$F,'1.PL (VND) '!AM$4,'1.DC_Ra soat'!$H:$H,'1.PL (VND) '!$C16)+SUMIFS('1.DC_Ra soat'!$L:$L,'1.DC_Ra soat'!$F:$F,'1.PL (VND) '!AM$4,'1.DC_Ra soat'!$I:$I,'1.PL (VND) '!$C16)</f>
        <v>0</v>
      </c>
      <c r="AN16" s="439">
        <f>-SUMIFS('1.DC_Ra soat'!$L:$L,'1.DC_Ra soat'!$F:$F,'1.PL (VND) '!AN$4,'1.DC_Ra soat'!$H:$H,'1.PL (VND) '!$C16)+SUMIFS('1.DC_Ra soat'!$L:$L,'1.DC_Ra soat'!$F:$F,'1.PL (VND) '!AN$4,'1.DC_Ra soat'!$I:$I,'1.PL (VND) '!$C16)</f>
        <v>0</v>
      </c>
      <c r="AO16" s="439">
        <f>-SUMIFS('1.DC_Ra soat'!$L:$L,'1.DC_Ra soat'!$F:$F,'1.PL (VND) '!AO$4,'1.DC_Ra soat'!$H:$H,'1.PL (VND) '!$C16)+SUMIFS('1.DC_Ra soat'!$L:$L,'1.DC_Ra soat'!$F:$F,'1.PL (VND) '!AO$4,'1.DC_Ra soat'!$I:$I,'1.PL (VND) '!$C16)</f>
        <v>0</v>
      </c>
      <c r="AP16" s="439">
        <f>-SUMIFS('1.DC_Ra soat'!$L:$L,'1.DC_Ra soat'!$F:$F,'1.PL (VND) '!AP$4,'1.DC_Ra soat'!$H:$H,'1.PL (VND) '!$C16)+SUMIFS('1.DC_Ra soat'!$L:$L,'1.DC_Ra soat'!$F:$F,'1.PL (VND) '!AP$4,'1.DC_Ra soat'!$I:$I,'1.PL (VND) '!$C16)</f>
        <v>0</v>
      </c>
      <c r="AQ16" s="774"/>
      <c r="AR16" s="439">
        <f>-SUMIFS('1.DC_Ra soat'!$L:$L,'1.DC_Ra soat'!$F:$F,'1.PL (VND) '!AR$4,'1.DC_Ra soat'!$H:$H,'1.PL (VND) '!$C16)+SUMIFS('1.DC_Ra soat'!$L:$L,'1.DC_Ra soat'!$F:$F,'1.PL (VND) '!AR$4,'1.DC_Ra soat'!$I:$I,'1.PL (VND) '!$C16)</f>
        <v>0</v>
      </c>
      <c r="AS16" s="439">
        <f>-SUMIFS('1.DC_Ra soat'!$L:$L,'1.DC_Ra soat'!$F:$F,'1.PL (VND) '!AS$4,'1.DC_Ra soat'!$H:$H,'1.PL (VND) '!$C16)+SUMIFS('1.DC_Ra soat'!$L:$L,'1.DC_Ra soat'!$F:$F,'1.PL (VND) '!AS$4,'1.DC_Ra soat'!$I:$I,'1.PL (VND) '!$C16)</f>
        <v>0</v>
      </c>
      <c r="AT16" s="439">
        <f>-SUMIFS('1.DC_Ra soat'!$L:$L,'1.DC_Ra soat'!$F:$F,'1.PL (VND) '!AT$4,'1.DC_Ra soat'!$H:$H,'1.PL (VND) '!$C16)+SUMIFS('1.DC_Ra soat'!$L:$L,'1.DC_Ra soat'!$F:$F,'1.PL (VND) '!AT$4,'1.DC_Ra soat'!$I:$I,'1.PL (VND) '!$C16)</f>
        <v>0</v>
      </c>
      <c r="AU16" s="439">
        <f>-SUMIFS('1.DC_Ra soat'!$L:$L,'1.DC_Ra soat'!$F:$F,'1.PL (VND) '!AU$4,'1.DC_Ra soat'!$H:$H,'1.PL (VND) '!$C16)+SUMIFS('1.DC_Ra soat'!$L:$L,'1.DC_Ra soat'!$F:$F,'1.PL (VND) '!AU$4,'1.DC_Ra soat'!$I:$I,'1.PL (VND) '!$C16)</f>
        <v>0</v>
      </c>
      <c r="AV16" s="774"/>
      <c r="AW16" s="439">
        <f>-SUMIFS('1.DC_Ra soat'!$L:$L,'1.DC_Ra soat'!$F:$F,'1.PL (VND) '!AW$4,'1.DC_Ra soat'!$H:$H,'1.PL (VND) '!$C16)+SUMIFS('1.DC_Ra soat'!$L:$L,'1.DC_Ra soat'!$F:$F,'1.PL (VND) '!AW$4,'1.DC_Ra soat'!$I:$I,'1.PL (VND) '!$C16)</f>
        <v>0</v>
      </c>
      <c r="AX16" s="439">
        <f>-SUMIFS('1.DC_Ra soat'!$L:$L,'1.DC_Ra soat'!$F:$F,'1.PL (VND) '!AX$4,'1.DC_Ra soat'!$H:$H,'1.PL (VND) '!$C16)+SUMIFS('1.DC_Ra soat'!$L:$L,'1.DC_Ra soat'!$F:$F,'1.PL (VND) '!AX$4,'1.DC_Ra soat'!$I:$I,'1.PL (VND) '!$C16)</f>
        <v>0</v>
      </c>
      <c r="AY16" s="439">
        <f>-SUMIFS('1.DC_Ra soat'!$L:$L,'1.DC_Ra soat'!$F:$F,'1.PL (VND) '!AY$4,'1.DC_Ra soat'!$H:$H,'1.PL (VND) '!$C16)+SUMIFS('1.DC_Ra soat'!$L:$L,'1.DC_Ra soat'!$F:$F,'1.PL (VND) '!AY$4,'1.DC_Ra soat'!$I:$I,'1.PL (VND) '!$C16)</f>
        <v>0</v>
      </c>
      <c r="AZ16" s="439">
        <f>-SUMIFS('1.DC_Ra soat'!$L:$L,'1.DC_Ra soat'!$F:$F,'1.PL (VND) '!AZ$4,'1.DC_Ra soat'!$H:$H,'1.PL (VND) '!$C16)+SUMIFS('1.DC_Ra soat'!$L:$L,'1.DC_Ra soat'!$F:$F,'1.PL (VND) '!AZ$4,'1.DC_Ra soat'!$I:$I,'1.PL (VND) '!$C16)</f>
        <v>0</v>
      </c>
      <c r="BA16" s="774"/>
      <c r="BB16" s="439">
        <f>-SUMIFS('1.DC_Ra soat'!$L:$L,'1.DC_Ra soat'!$F:$F,'1.PL (VND) '!BB$4,'1.DC_Ra soat'!$H:$H,'1.PL (VND) '!$C16)+SUMIFS('1.DC_Ra soat'!$L:$L,'1.DC_Ra soat'!$F:$F,'1.PL (VND) '!BB$4,'1.DC_Ra soat'!$I:$I,'1.PL (VND) '!$C16)</f>
        <v>0</v>
      </c>
      <c r="BC16" s="439">
        <f>-SUMIFS('1.DC_Ra soat'!$L:$L,'1.DC_Ra soat'!$F:$F,'1.PL (VND) '!BC$4,'1.DC_Ra soat'!$H:$H,'1.PL (VND) '!$C16)+SUMIFS('1.DC_Ra soat'!$L:$L,'1.DC_Ra soat'!$F:$F,'1.PL (VND) '!BC$4,'1.DC_Ra soat'!$I:$I,'1.PL (VND) '!$C16)</f>
        <v>0</v>
      </c>
      <c r="BD16" s="439">
        <f>-SUMIFS('1.DC_Ra soat'!$L:$L,'1.DC_Ra soat'!$F:$F,'1.PL (VND) '!BD$4,'1.DC_Ra soat'!$H:$H,'1.PL (VND) '!$C16)+SUMIFS('1.DC_Ra soat'!$L:$L,'1.DC_Ra soat'!$F:$F,'1.PL (VND) '!BD$4,'1.DC_Ra soat'!$I:$I,'1.PL (VND) '!$C16)</f>
        <v>0</v>
      </c>
      <c r="BE16" s="439">
        <f>-SUMIFS('1.DC_Ra soat'!$L:$L,'1.DC_Ra soat'!$F:$F,'1.PL (VND) '!BE$4,'1.DC_Ra soat'!$H:$H,'1.PL (VND) '!$C16)+SUMIFS('1.DC_Ra soat'!$L:$L,'1.DC_Ra soat'!$F:$F,'1.PL (VND) '!BE$4,'1.DC_Ra soat'!$I:$I,'1.PL (VND) '!$C16)</f>
        <v>0</v>
      </c>
      <c r="BF16" s="774"/>
      <c r="BG16" s="439">
        <f>-SUMIFS('1.DC_Ra soat'!$L:$L,'1.DC_Ra soat'!$F:$F,'1.PL (VND) '!BG$4,'1.DC_Ra soat'!$H:$H,'1.PL (VND) '!$C16)+SUMIFS('1.DC_Ra soat'!$L:$L,'1.DC_Ra soat'!$F:$F,'1.PL (VND) '!BG$4,'1.DC_Ra soat'!$I:$I,'1.PL (VND) '!$C16)</f>
        <v>0</v>
      </c>
      <c r="BH16" s="439">
        <f>-SUMIFS('1.DC_Ra soat'!$L:$L,'1.DC_Ra soat'!$F:$F,'1.PL (VND) '!BH$4,'1.DC_Ra soat'!$H:$H,'1.PL (VND) '!$C16)+SUMIFS('1.DC_Ra soat'!$L:$L,'1.DC_Ra soat'!$F:$F,'1.PL (VND) '!BH$4,'1.DC_Ra soat'!$I:$I,'1.PL (VND) '!$C16)</f>
        <v>0</v>
      </c>
      <c r="BI16" s="439">
        <f>-SUMIFS('1.DC_Ra soat'!$L:$L,'1.DC_Ra soat'!$F:$F,'1.PL (VND) '!BI$4,'1.DC_Ra soat'!$H:$H,'1.PL (VND) '!$C16)+SUMIFS('1.DC_Ra soat'!$L:$L,'1.DC_Ra soat'!$F:$F,'1.PL (VND) '!BI$4,'1.DC_Ra soat'!$I:$I,'1.PL (VND) '!$C16)</f>
        <v>0</v>
      </c>
      <c r="BJ16" s="439">
        <f>-SUMIFS('1.DC_Ra soat'!$L:$L,'1.DC_Ra soat'!$F:$F,'1.PL (VND) '!BJ$4,'1.DC_Ra soat'!$H:$H,'1.PL (VND) '!$C16)+SUMIFS('1.DC_Ra soat'!$L:$L,'1.DC_Ra soat'!$F:$F,'1.PL (VND) '!BJ$4,'1.DC_Ra soat'!$I:$I,'1.PL (VND) '!$C16)</f>
        <v>0</v>
      </c>
      <c r="BL16" s="439">
        <f t="shared" si="2"/>
        <v>0</v>
      </c>
      <c r="BM16" s="439">
        <f t="shared" si="3"/>
        <v>0</v>
      </c>
      <c r="BN16" s="439">
        <f t="shared" si="4"/>
        <v>0</v>
      </c>
      <c r="BO16" s="439">
        <f t="shared" si="5"/>
        <v>0</v>
      </c>
      <c r="BP16" s="774"/>
      <c r="BQ16" s="439">
        <f t="shared" si="6"/>
        <v>0</v>
      </c>
      <c r="BR16" s="439">
        <f t="shared" si="7"/>
        <v>0</v>
      </c>
      <c r="BS16" s="439">
        <f t="shared" si="8"/>
        <v>0</v>
      </c>
      <c r="BT16" s="439">
        <f t="shared" si="9"/>
        <v>0</v>
      </c>
      <c r="BU16" s="774"/>
      <c r="BV16" s="439">
        <f t="shared" si="10"/>
        <v>0</v>
      </c>
      <c r="BW16" s="439">
        <f t="shared" si="11"/>
        <v>0</v>
      </c>
      <c r="BX16" s="439">
        <f t="shared" si="12"/>
        <v>0</v>
      </c>
      <c r="BY16" s="439">
        <f t="shared" si="13"/>
        <v>0</v>
      </c>
      <c r="BZ16" s="774"/>
      <c r="CA16" s="439">
        <f t="shared" si="14"/>
        <v>0</v>
      </c>
      <c r="CB16" s="439">
        <f t="shared" si="15"/>
        <v>0</v>
      </c>
      <c r="CC16" s="439">
        <f t="shared" si="16"/>
        <v>0</v>
      </c>
      <c r="CD16" s="439">
        <f t="shared" si="17"/>
        <v>0</v>
      </c>
      <c r="CE16" s="774"/>
      <c r="CF16" s="439">
        <f t="shared" si="18"/>
        <v>0</v>
      </c>
      <c r="CG16" s="439">
        <f t="shared" si="19"/>
        <v>0</v>
      </c>
      <c r="CH16" s="439">
        <f t="shared" si="20"/>
        <v>0</v>
      </c>
      <c r="CI16" s="439">
        <f t="shared" si="21"/>
        <v>0</v>
      </c>
      <c r="CJ16" s="774"/>
      <c r="CK16" s="439">
        <f t="shared" si="22"/>
        <v>0</v>
      </c>
      <c r="CL16" s="439">
        <f t="shared" si="23"/>
        <v>0</v>
      </c>
      <c r="CM16" s="439">
        <f t="shared" si="24"/>
        <v>0</v>
      </c>
      <c r="CN16" s="439">
        <f t="shared" si="25"/>
        <v>0</v>
      </c>
      <c r="CP16" s="439">
        <f t="shared" si="26"/>
        <v>0</v>
      </c>
      <c r="CQ16" s="439">
        <f t="shared" si="26"/>
        <v>0</v>
      </c>
      <c r="CR16" s="439">
        <f t="shared" si="26"/>
        <v>0</v>
      </c>
      <c r="CS16" s="439">
        <f t="shared" si="26"/>
        <v>0</v>
      </c>
      <c r="CT16" s="440"/>
      <c r="CU16" s="439">
        <f>-SUMIFS('1.DC_Ra soat'!$L:$L,'1.DC_Ra soat'!$F:$F,'1.PL (VND) '!CU$4,'1.DC_Ra soat'!$H:$H,'1.PL (VND) '!$C16)+SUMIFS('1.DC_Ra soat'!$L:$L,'1.DC_Ra soat'!$F:$F,'1.PL (VND) '!CU$4,'1.DC_Ra soat'!$I:$I,'1.PL (VND) '!$C16)</f>
        <v>0</v>
      </c>
      <c r="CV16" s="439">
        <f>-SUMIFS('1.DC_Ra soat'!$L:$L,'1.DC_Ra soat'!$F:$F,'1.PL (VND) '!CV$4,'1.DC_Ra soat'!$H:$H,'1.PL (VND) '!$C16)+SUMIFS('1.DC_Ra soat'!$L:$L,'1.DC_Ra soat'!$F:$F,'1.PL (VND) '!CV$4,'1.DC_Ra soat'!$I:$I,'1.PL (VND) '!$C16)</f>
        <v>0</v>
      </c>
      <c r="CW16" s="439">
        <f>-SUMIFS('1.DC_Ra soat'!$L:$L,'1.DC_Ra soat'!$F:$F,'1.PL (VND) '!CW$4,'1.DC_Ra soat'!$H:$H,'1.PL (VND) '!$C16)+SUMIFS('1.DC_Ra soat'!$L:$L,'1.DC_Ra soat'!$F:$F,'1.PL (VND) '!CW$4,'1.DC_Ra soat'!$I:$I,'1.PL (VND) '!$C16)</f>
        <v>0</v>
      </c>
      <c r="CX16" s="439">
        <f>-SUMIFS('1.DC_Ra soat'!$L:$L,'1.DC_Ra soat'!$F:$F,'1.PL (VND) '!CX$4,'1.DC_Ra soat'!$H:$H,'1.PL (VND) '!$C16)+SUMIFS('1.DC_Ra soat'!$L:$L,'1.DC_Ra soat'!$F:$F,'1.PL (VND) '!CX$4,'1.DC_Ra soat'!$I:$I,'1.PL (VND) '!$C16)</f>
        <v>0</v>
      </c>
      <c r="CY16" s="440"/>
      <c r="CZ16" s="439">
        <f t="shared" si="27"/>
        <v>0</v>
      </c>
      <c r="DA16" s="439">
        <f t="shared" si="28"/>
        <v>0</v>
      </c>
      <c r="DB16" s="439">
        <f t="shared" si="29"/>
        <v>0</v>
      </c>
      <c r="DC16" s="439">
        <f t="shared" si="30"/>
        <v>0</v>
      </c>
      <c r="DG16" s="440"/>
    </row>
    <row r="17" spans="2:111" s="769" customFormat="1" ht="15.75" x14ac:dyDescent="0.25">
      <c r="B17" s="761" t="s">
        <v>201</v>
      </c>
      <c r="C17" s="762" t="s">
        <v>282</v>
      </c>
      <c r="D17" s="763">
        <v>0</v>
      </c>
      <c r="E17" s="763">
        <v>0</v>
      </c>
      <c r="F17" s="763">
        <v>0</v>
      </c>
      <c r="G17" s="763">
        <v>0</v>
      </c>
      <c r="H17" s="766"/>
      <c r="I17" s="767"/>
      <c r="J17" s="767">
        <v>0</v>
      </c>
      <c r="K17" s="767">
        <v>0</v>
      </c>
      <c r="L17" s="767">
        <v>240600000</v>
      </c>
      <c r="M17" s="766"/>
      <c r="N17" s="768"/>
      <c r="O17" s="768">
        <v>0</v>
      </c>
      <c r="P17" s="768">
        <v>0</v>
      </c>
      <c r="Q17" s="768">
        <v>0</v>
      </c>
      <c r="R17" s="766"/>
      <c r="S17" s="768"/>
      <c r="T17" s="768"/>
      <c r="U17" s="768"/>
      <c r="V17" s="768"/>
      <c r="W17" s="766"/>
      <c r="X17" s="768"/>
      <c r="Y17" s="768"/>
      <c r="Z17" s="768"/>
      <c r="AA17" s="768"/>
      <c r="AB17" s="766"/>
      <c r="AC17" s="768"/>
      <c r="AD17" s="768"/>
      <c r="AE17" s="768"/>
      <c r="AF17" s="768"/>
      <c r="AH17" s="768">
        <f>SUMIFS('1.DC_Ra soat'!$L:$L,'1.DC_Ra soat'!$F:$F,'1.PL (VND) '!AH$4,'1.DC_Ra soat'!$H:$H,'1.PL (VND) '!$C17)-SUMIFS('1.DC_Ra soat'!$L:$L,'1.DC_Ra soat'!$F:$F,'1.PL (VND) '!AH$4,'1.DC_Ra soat'!$I:$I,'1.PL (VND) '!$C17)</f>
        <v>0</v>
      </c>
      <c r="AI17" s="768">
        <f>SUMIFS('1.DC_Ra soat'!$L:$L,'1.DC_Ra soat'!$F:$F,'1.PL (VND) '!AI$4,'1.DC_Ra soat'!$H:$H,'1.PL (VND) '!$C17)-SUMIFS('1.DC_Ra soat'!$L:$L,'1.DC_Ra soat'!$F:$F,'1.PL (VND) '!AI$4,'1.DC_Ra soat'!$I:$I,'1.PL (VND) '!$C17)</f>
        <v>0</v>
      </c>
      <c r="AJ17" s="768">
        <f>SUMIFS('1.DC_Ra soat'!$L:$L,'1.DC_Ra soat'!$F:$F,'1.PL (VND) '!AJ$4,'1.DC_Ra soat'!$H:$H,'1.PL (VND) '!$C17)-SUMIFS('1.DC_Ra soat'!$L:$L,'1.DC_Ra soat'!$F:$F,'1.PL (VND) '!AJ$4,'1.DC_Ra soat'!$I:$I,'1.PL (VND) '!$C17)</f>
        <v>0</v>
      </c>
      <c r="AK17" s="768">
        <f>SUMIFS('1.DC_Ra soat'!$L:$L,'1.DC_Ra soat'!$F:$F,'1.PL (VND) '!AK$4,'1.DC_Ra soat'!$H:$H,'1.PL (VND) '!$C17)-SUMIFS('1.DC_Ra soat'!$L:$L,'1.DC_Ra soat'!$F:$F,'1.PL (VND) '!AK$4,'1.DC_Ra soat'!$I:$I,'1.PL (VND) '!$C17)</f>
        <v>0</v>
      </c>
      <c r="AL17" s="766"/>
      <c r="AM17" s="768">
        <f>SUMIFS('1.DC_Ra soat'!$L:$L,'1.DC_Ra soat'!$F:$F,'1.PL (VND) '!AM$4,'1.DC_Ra soat'!$H:$H,'1.PL (VND) '!$C17)-SUMIFS('1.DC_Ra soat'!$L:$L,'1.DC_Ra soat'!$F:$F,'1.PL (VND) '!AM$4,'1.DC_Ra soat'!$I:$I,'1.PL (VND) '!$C17)</f>
        <v>0</v>
      </c>
      <c r="AN17" s="768">
        <f>SUMIFS('1.DC_Ra soat'!$L:$L,'1.DC_Ra soat'!$F:$F,'1.PL (VND) '!AN$4,'1.DC_Ra soat'!$H:$H,'1.PL (VND) '!$C17)-SUMIFS('1.DC_Ra soat'!$L:$L,'1.DC_Ra soat'!$F:$F,'1.PL (VND) '!AN$4,'1.DC_Ra soat'!$I:$I,'1.PL (VND) '!$C17)</f>
        <v>0</v>
      </c>
      <c r="AO17" s="768">
        <f>SUMIFS('1.DC_Ra soat'!$L:$L,'1.DC_Ra soat'!$F:$F,'1.PL (VND) '!AO$4,'1.DC_Ra soat'!$H:$H,'1.PL (VND) '!$C17)-SUMIFS('1.DC_Ra soat'!$L:$L,'1.DC_Ra soat'!$F:$F,'1.PL (VND) '!AO$4,'1.DC_Ra soat'!$I:$I,'1.PL (VND) '!$C17)</f>
        <v>0</v>
      </c>
      <c r="AP17" s="768">
        <f>SUMIFS('1.DC_Ra soat'!$L:$L,'1.DC_Ra soat'!$F:$F,'1.PL (VND) '!AP$4,'1.DC_Ra soat'!$H:$H,'1.PL (VND) '!$C17)-SUMIFS('1.DC_Ra soat'!$L:$L,'1.DC_Ra soat'!$F:$F,'1.PL (VND) '!AP$4,'1.DC_Ra soat'!$I:$I,'1.PL (VND) '!$C17)</f>
        <v>0</v>
      </c>
      <c r="AQ17" s="766"/>
      <c r="AR17" s="768">
        <f>SUMIFS('1.DC_Ra soat'!$L:$L,'1.DC_Ra soat'!$F:$F,'1.PL (VND) '!AR$4,'1.DC_Ra soat'!$H:$H,'1.PL (VND) '!$C17)-SUMIFS('1.DC_Ra soat'!$L:$L,'1.DC_Ra soat'!$F:$F,'1.PL (VND) '!AR$4,'1.DC_Ra soat'!$I:$I,'1.PL (VND) '!$C17)</f>
        <v>0</v>
      </c>
      <c r="AS17" s="768">
        <f>SUMIFS('1.DC_Ra soat'!$L:$L,'1.DC_Ra soat'!$F:$F,'1.PL (VND) '!AS$4,'1.DC_Ra soat'!$H:$H,'1.PL (VND) '!$C17)-SUMIFS('1.DC_Ra soat'!$L:$L,'1.DC_Ra soat'!$F:$F,'1.PL (VND) '!AS$4,'1.DC_Ra soat'!$I:$I,'1.PL (VND) '!$C17)</f>
        <v>0</v>
      </c>
      <c r="AT17" s="768">
        <f>SUMIFS('1.DC_Ra soat'!$L:$L,'1.DC_Ra soat'!$F:$F,'1.PL (VND) '!AT$4,'1.DC_Ra soat'!$H:$H,'1.PL (VND) '!$C17)-SUMIFS('1.DC_Ra soat'!$L:$L,'1.DC_Ra soat'!$F:$F,'1.PL (VND) '!AT$4,'1.DC_Ra soat'!$I:$I,'1.PL (VND) '!$C17)</f>
        <v>0</v>
      </c>
      <c r="AU17" s="768">
        <f>SUMIFS('1.DC_Ra soat'!$L:$L,'1.DC_Ra soat'!$F:$F,'1.PL (VND) '!AU$4,'1.DC_Ra soat'!$H:$H,'1.PL (VND) '!$C17)-SUMIFS('1.DC_Ra soat'!$L:$L,'1.DC_Ra soat'!$F:$F,'1.PL (VND) '!AU$4,'1.DC_Ra soat'!$I:$I,'1.PL (VND) '!$C17)</f>
        <v>0</v>
      </c>
      <c r="AV17" s="766"/>
      <c r="AW17" s="768">
        <f>SUMIFS('1.DC_Ra soat'!$L:$L,'1.DC_Ra soat'!$F:$F,'1.PL (VND) '!AW$4,'1.DC_Ra soat'!$H:$H,'1.PL (VND) '!$C17)-SUMIFS('1.DC_Ra soat'!$L:$L,'1.DC_Ra soat'!$F:$F,'1.PL (VND) '!AW$4,'1.DC_Ra soat'!$I:$I,'1.PL (VND) '!$C17)</f>
        <v>0</v>
      </c>
      <c r="AX17" s="768">
        <f>SUMIFS('1.DC_Ra soat'!$L:$L,'1.DC_Ra soat'!$F:$F,'1.PL (VND) '!AX$4,'1.DC_Ra soat'!$H:$H,'1.PL (VND) '!$C17)-SUMIFS('1.DC_Ra soat'!$L:$L,'1.DC_Ra soat'!$F:$F,'1.PL (VND) '!AX$4,'1.DC_Ra soat'!$I:$I,'1.PL (VND) '!$C17)</f>
        <v>0</v>
      </c>
      <c r="AY17" s="768">
        <f>SUMIFS('1.DC_Ra soat'!$L:$L,'1.DC_Ra soat'!$F:$F,'1.PL (VND) '!AY$4,'1.DC_Ra soat'!$H:$H,'1.PL (VND) '!$C17)-SUMIFS('1.DC_Ra soat'!$L:$L,'1.DC_Ra soat'!$F:$F,'1.PL (VND) '!AY$4,'1.DC_Ra soat'!$I:$I,'1.PL (VND) '!$C17)</f>
        <v>0</v>
      </c>
      <c r="AZ17" s="768">
        <f>SUMIFS('1.DC_Ra soat'!$L:$L,'1.DC_Ra soat'!$F:$F,'1.PL (VND) '!AZ$4,'1.DC_Ra soat'!$H:$H,'1.PL (VND) '!$C17)-SUMIFS('1.DC_Ra soat'!$L:$L,'1.DC_Ra soat'!$F:$F,'1.PL (VND) '!AZ$4,'1.DC_Ra soat'!$I:$I,'1.PL (VND) '!$C17)</f>
        <v>0</v>
      </c>
      <c r="BA17" s="766"/>
      <c r="BB17" s="768">
        <f>SUMIFS('1.DC_Ra soat'!$L:$L,'1.DC_Ra soat'!$F:$F,'1.PL (VND) '!BB$4,'1.DC_Ra soat'!$H:$H,'1.PL (VND) '!$C17)-SUMIFS('1.DC_Ra soat'!$L:$L,'1.DC_Ra soat'!$F:$F,'1.PL (VND) '!BB$4,'1.DC_Ra soat'!$I:$I,'1.PL (VND) '!$C17)</f>
        <v>0</v>
      </c>
      <c r="BC17" s="768">
        <f>SUMIFS('1.DC_Ra soat'!$L:$L,'1.DC_Ra soat'!$F:$F,'1.PL (VND) '!BC$4,'1.DC_Ra soat'!$H:$H,'1.PL (VND) '!$C17)-SUMIFS('1.DC_Ra soat'!$L:$L,'1.DC_Ra soat'!$F:$F,'1.PL (VND) '!BC$4,'1.DC_Ra soat'!$I:$I,'1.PL (VND) '!$C17)</f>
        <v>0</v>
      </c>
      <c r="BD17" s="768">
        <f>SUMIFS('1.DC_Ra soat'!$L:$L,'1.DC_Ra soat'!$F:$F,'1.PL (VND) '!BD$4,'1.DC_Ra soat'!$H:$H,'1.PL (VND) '!$C17)-SUMIFS('1.DC_Ra soat'!$L:$L,'1.DC_Ra soat'!$F:$F,'1.PL (VND) '!BD$4,'1.DC_Ra soat'!$I:$I,'1.PL (VND) '!$C17)</f>
        <v>0</v>
      </c>
      <c r="BE17" s="768">
        <f>SUMIFS('1.DC_Ra soat'!$L:$L,'1.DC_Ra soat'!$F:$F,'1.PL (VND) '!BE$4,'1.DC_Ra soat'!$H:$H,'1.PL (VND) '!$C17)-SUMIFS('1.DC_Ra soat'!$L:$L,'1.DC_Ra soat'!$F:$F,'1.PL (VND) '!BE$4,'1.DC_Ra soat'!$I:$I,'1.PL (VND) '!$C17)</f>
        <v>0</v>
      </c>
      <c r="BF17" s="766"/>
      <c r="BG17" s="768">
        <f>SUMIFS('1.DC_Ra soat'!$L:$L,'1.DC_Ra soat'!$F:$F,'1.PL (VND) '!BG$4,'1.DC_Ra soat'!$H:$H,'1.PL (VND) '!$C17)-SUMIFS('1.DC_Ra soat'!$L:$L,'1.DC_Ra soat'!$F:$F,'1.PL (VND) '!BG$4,'1.DC_Ra soat'!$I:$I,'1.PL (VND) '!$C17)</f>
        <v>0</v>
      </c>
      <c r="BH17" s="768">
        <f>SUMIFS('1.DC_Ra soat'!$L:$L,'1.DC_Ra soat'!$F:$F,'1.PL (VND) '!BH$4,'1.DC_Ra soat'!$H:$H,'1.PL (VND) '!$C17)-SUMIFS('1.DC_Ra soat'!$L:$L,'1.DC_Ra soat'!$F:$F,'1.PL (VND) '!BH$4,'1.DC_Ra soat'!$I:$I,'1.PL (VND) '!$C17)</f>
        <v>0</v>
      </c>
      <c r="BI17" s="768">
        <f>SUMIFS('1.DC_Ra soat'!$L:$L,'1.DC_Ra soat'!$F:$F,'1.PL (VND) '!BI$4,'1.DC_Ra soat'!$H:$H,'1.PL (VND) '!$C17)-SUMIFS('1.DC_Ra soat'!$L:$L,'1.DC_Ra soat'!$F:$F,'1.PL (VND) '!BI$4,'1.DC_Ra soat'!$I:$I,'1.PL (VND) '!$C17)</f>
        <v>0</v>
      </c>
      <c r="BJ17" s="768">
        <f>SUMIFS('1.DC_Ra soat'!$L:$L,'1.DC_Ra soat'!$F:$F,'1.PL (VND) '!BJ$4,'1.DC_Ra soat'!$H:$H,'1.PL (VND) '!$C17)-SUMIFS('1.DC_Ra soat'!$L:$L,'1.DC_Ra soat'!$F:$F,'1.PL (VND) '!BJ$4,'1.DC_Ra soat'!$I:$I,'1.PL (VND) '!$C17)</f>
        <v>0</v>
      </c>
      <c r="BL17" s="768">
        <f t="shared" si="2"/>
        <v>0</v>
      </c>
      <c r="BM17" s="768">
        <f t="shared" si="3"/>
        <v>0</v>
      </c>
      <c r="BN17" s="768">
        <f t="shared" si="4"/>
        <v>0</v>
      </c>
      <c r="BO17" s="768">
        <f t="shared" si="5"/>
        <v>0</v>
      </c>
      <c r="BP17" s="766"/>
      <c r="BQ17" s="768">
        <f t="shared" si="6"/>
        <v>0</v>
      </c>
      <c r="BR17" s="768">
        <f t="shared" si="7"/>
        <v>0</v>
      </c>
      <c r="BS17" s="768">
        <f t="shared" si="8"/>
        <v>0</v>
      </c>
      <c r="BT17" s="768">
        <f t="shared" si="9"/>
        <v>240600000</v>
      </c>
      <c r="BU17" s="766"/>
      <c r="BV17" s="768">
        <f t="shared" si="10"/>
        <v>0</v>
      </c>
      <c r="BW17" s="768">
        <f t="shared" si="11"/>
        <v>0</v>
      </c>
      <c r="BX17" s="768">
        <f t="shared" si="12"/>
        <v>0</v>
      </c>
      <c r="BY17" s="768">
        <f t="shared" si="13"/>
        <v>0</v>
      </c>
      <c r="BZ17" s="766"/>
      <c r="CA17" s="768">
        <f t="shared" si="14"/>
        <v>0</v>
      </c>
      <c r="CB17" s="768">
        <f t="shared" si="15"/>
        <v>0</v>
      </c>
      <c r="CC17" s="768">
        <f t="shared" si="16"/>
        <v>0</v>
      </c>
      <c r="CD17" s="768">
        <f t="shared" si="17"/>
        <v>0</v>
      </c>
      <c r="CE17" s="766"/>
      <c r="CF17" s="768">
        <f t="shared" si="18"/>
        <v>0</v>
      </c>
      <c r="CG17" s="768">
        <f t="shared" si="19"/>
        <v>0</v>
      </c>
      <c r="CH17" s="768">
        <f t="shared" si="20"/>
        <v>0</v>
      </c>
      <c r="CI17" s="768">
        <f t="shared" si="21"/>
        <v>0</v>
      </c>
      <c r="CJ17" s="766"/>
      <c r="CK17" s="768">
        <f t="shared" si="22"/>
        <v>0</v>
      </c>
      <c r="CL17" s="768">
        <f t="shared" si="23"/>
        <v>0</v>
      </c>
      <c r="CM17" s="768">
        <f t="shared" si="24"/>
        <v>0</v>
      </c>
      <c r="CN17" s="768">
        <f t="shared" si="25"/>
        <v>0</v>
      </c>
      <c r="CP17" s="768">
        <f t="shared" si="26"/>
        <v>0</v>
      </c>
      <c r="CQ17" s="768">
        <f t="shared" si="26"/>
        <v>0</v>
      </c>
      <c r="CR17" s="768">
        <f t="shared" si="26"/>
        <v>0</v>
      </c>
      <c r="CS17" s="768">
        <f t="shared" si="26"/>
        <v>240600000</v>
      </c>
      <c r="CT17" s="770"/>
      <c r="CU17" s="768">
        <f>-SUMIFS('1.DC_Ra soat'!$L:$L,'1.DC_Ra soat'!$F:$F,'1.PL (VND) '!CU$4,'1.DC_Ra soat'!$H:$H,'1.PL (VND) '!$C17)+SUMIFS('1.DC_Ra soat'!$L:$L,'1.DC_Ra soat'!$F:$F,'1.PL (VND) '!CU$4,'1.DC_Ra soat'!$I:$I,'1.PL (VND) '!$C17)</f>
        <v>0</v>
      </c>
      <c r="CV17" s="768">
        <f>-SUMIFS('1.DC_Ra soat'!$L:$L,'1.DC_Ra soat'!$F:$F,'1.PL (VND) '!CV$4,'1.DC_Ra soat'!$H:$H,'1.PL (VND) '!$C17)+SUMIFS('1.DC_Ra soat'!$L:$L,'1.DC_Ra soat'!$F:$F,'1.PL (VND) '!CV$4,'1.DC_Ra soat'!$I:$I,'1.PL (VND) '!$C17)</f>
        <v>0</v>
      </c>
      <c r="CW17" s="768">
        <f>-SUMIFS('1.DC_Ra soat'!$L:$L,'1.DC_Ra soat'!$F:$F,'1.PL (VND) '!CW$4,'1.DC_Ra soat'!$H:$H,'1.PL (VND) '!$C17)+SUMIFS('1.DC_Ra soat'!$L:$L,'1.DC_Ra soat'!$F:$F,'1.PL (VND) '!CW$4,'1.DC_Ra soat'!$I:$I,'1.PL (VND) '!$C17)</f>
        <v>0</v>
      </c>
      <c r="CX17" s="768">
        <f>-SUMIFS('1.DC_Ra soat'!$L:$L,'1.DC_Ra soat'!$F:$F,'1.PL (VND) '!CX$4,'1.DC_Ra soat'!$H:$H,'1.PL (VND) '!$C17)+SUMIFS('1.DC_Ra soat'!$L:$L,'1.DC_Ra soat'!$F:$F,'1.PL (VND) '!CX$4,'1.DC_Ra soat'!$I:$I,'1.PL (VND) '!$C17)</f>
        <v>0</v>
      </c>
      <c r="CY17" s="770"/>
      <c r="CZ17" s="768">
        <f t="shared" si="27"/>
        <v>0</v>
      </c>
      <c r="DA17" s="768">
        <f t="shared" si="28"/>
        <v>0</v>
      </c>
      <c r="DB17" s="768">
        <f t="shared" si="29"/>
        <v>0</v>
      </c>
      <c r="DC17" s="768">
        <f t="shared" si="30"/>
        <v>240600000</v>
      </c>
      <c r="DG17" s="770"/>
    </row>
    <row r="18" spans="2:111" s="769" customFormat="1" ht="15.75" x14ac:dyDescent="0.25">
      <c r="B18" s="788" t="s">
        <v>202</v>
      </c>
      <c r="C18" s="783" t="s">
        <v>283</v>
      </c>
      <c r="D18" s="784">
        <v>6112406836</v>
      </c>
      <c r="E18" s="772">
        <v>11423662819</v>
      </c>
      <c r="F18" s="772">
        <v>7465300147</v>
      </c>
      <c r="G18" s="773">
        <v>11492599238</v>
      </c>
      <c r="H18" s="766"/>
      <c r="I18" s="768">
        <v>1010849</v>
      </c>
      <c r="J18" s="768">
        <v>1454227638</v>
      </c>
      <c r="K18" s="768">
        <v>2063563404</v>
      </c>
      <c r="L18" s="768">
        <v>380420389</v>
      </c>
      <c r="M18" s="766"/>
      <c r="N18" s="768">
        <v>4380500388</v>
      </c>
      <c r="O18" s="768">
        <v>5725104791</v>
      </c>
      <c r="P18" s="768">
        <v>1648893959</v>
      </c>
      <c r="Q18" s="768">
        <v>1709584146</v>
      </c>
      <c r="R18" s="766"/>
      <c r="S18" s="768">
        <v>376250812</v>
      </c>
      <c r="T18" s="768">
        <v>1247001186</v>
      </c>
      <c r="U18" s="768">
        <v>1246767325</v>
      </c>
      <c r="V18" s="768">
        <v>1138916982</v>
      </c>
      <c r="W18" s="766"/>
      <c r="X18" s="768"/>
      <c r="Y18" s="768"/>
      <c r="Z18" s="768"/>
      <c r="AA18" s="768"/>
      <c r="AB18" s="766"/>
      <c r="AC18" s="768"/>
      <c r="AD18" s="768"/>
      <c r="AE18" s="768"/>
      <c r="AF18" s="768"/>
      <c r="AH18" s="768">
        <f>SUMIFS('1.DC_Ra soat'!$L:$L,'1.DC_Ra soat'!$F:$F,'1.PL (VND) '!AH$4,'1.DC_Ra soat'!$H:$H,'1.PL (VND) '!$C18)-SUMIFS('1.DC_Ra soat'!$L:$L,'1.DC_Ra soat'!$F:$F,'1.PL (VND) '!AH$4,'1.DC_Ra soat'!$I:$I,'1.PL (VND) '!$C18)</f>
        <v>0</v>
      </c>
      <c r="AI18" s="768">
        <f>SUMIFS('1.DC_Ra soat'!$L:$L,'1.DC_Ra soat'!$F:$F,'1.PL (VND) '!AI$4,'1.DC_Ra soat'!$H:$H,'1.PL (VND) '!$C18)-SUMIFS('1.DC_Ra soat'!$L:$L,'1.DC_Ra soat'!$F:$F,'1.PL (VND) '!AI$4,'1.DC_Ra soat'!$I:$I,'1.PL (VND) '!$C18)</f>
        <v>0</v>
      </c>
      <c r="AJ18" s="768">
        <f>SUMIFS('1.DC_Ra soat'!$L:$L,'1.DC_Ra soat'!$F:$F,'1.PL (VND) '!AJ$4,'1.DC_Ra soat'!$H:$H,'1.PL (VND) '!$C18)-SUMIFS('1.DC_Ra soat'!$L:$L,'1.DC_Ra soat'!$F:$F,'1.PL (VND) '!AJ$4,'1.DC_Ra soat'!$I:$I,'1.PL (VND) '!$C18)</f>
        <v>0</v>
      </c>
      <c r="AK18" s="768">
        <f>SUMIFS('1.DC_Ra soat'!$L:$L,'1.DC_Ra soat'!$F:$F,'1.PL (VND) '!AK$4,'1.DC_Ra soat'!$H:$H,'1.PL (VND) '!$C18)-SUMIFS('1.DC_Ra soat'!$L:$L,'1.DC_Ra soat'!$F:$F,'1.PL (VND) '!AK$4,'1.DC_Ra soat'!$I:$I,'1.PL (VND) '!$C18)</f>
        <v>3550000000</v>
      </c>
      <c r="AL18" s="766"/>
      <c r="AM18" s="768">
        <f>SUMIFS('1.DC_Ra soat'!$L:$L,'1.DC_Ra soat'!$F:$F,'1.PL (VND) '!AM$4,'1.DC_Ra soat'!$H:$H,'1.PL (VND) '!$C18)-SUMIFS('1.DC_Ra soat'!$L:$L,'1.DC_Ra soat'!$F:$F,'1.PL (VND) '!AM$4,'1.DC_Ra soat'!$I:$I,'1.PL (VND) '!$C18)</f>
        <v>0</v>
      </c>
      <c r="AN18" s="768">
        <f>SUMIFS('1.DC_Ra soat'!$L:$L,'1.DC_Ra soat'!$F:$F,'1.PL (VND) '!AN$4,'1.DC_Ra soat'!$H:$H,'1.PL (VND) '!$C18)-SUMIFS('1.DC_Ra soat'!$L:$L,'1.DC_Ra soat'!$F:$F,'1.PL (VND) '!AN$4,'1.DC_Ra soat'!$I:$I,'1.PL (VND) '!$C18)</f>
        <v>0</v>
      </c>
      <c r="AO18" s="768">
        <f>SUMIFS('1.DC_Ra soat'!$L:$L,'1.DC_Ra soat'!$F:$F,'1.PL (VND) '!AO$4,'1.DC_Ra soat'!$H:$H,'1.PL (VND) '!$C18)-SUMIFS('1.DC_Ra soat'!$L:$L,'1.DC_Ra soat'!$F:$F,'1.PL (VND) '!AO$4,'1.DC_Ra soat'!$I:$I,'1.PL (VND) '!$C18)</f>
        <v>0</v>
      </c>
      <c r="AP18" s="768">
        <f>SUMIFS('1.DC_Ra soat'!$L:$L,'1.DC_Ra soat'!$F:$F,'1.PL (VND) '!AP$4,'1.DC_Ra soat'!$H:$H,'1.PL (VND) '!$C18)-SUMIFS('1.DC_Ra soat'!$L:$L,'1.DC_Ra soat'!$F:$F,'1.PL (VND) '!AP$4,'1.DC_Ra soat'!$I:$I,'1.PL (VND) '!$C18)</f>
        <v>0</v>
      </c>
      <c r="AQ18" s="766"/>
      <c r="AR18" s="768">
        <f>SUMIFS('1.DC_Ra soat'!$L:$L,'1.DC_Ra soat'!$F:$F,'1.PL (VND) '!AR$4,'1.DC_Ra soat'!$H:$H,'1.PL (VND) '!$C18)-SUMIFS('1.DC_Ra soat'!$L:$L,'1.DC_Ra soat'!$F:$F,'1.PL (VND) '!AR$4,'1.DC_Ra soat'!$I:$I,'1.PL (VND) '!$C18)</f>
        <v>0</v>
      </c>
      <c r="AS18" s="768">
        <f>SUMIFS('1.DC_Ra soat'!$L:$L,'1.DC_Ra soat'!$F:$F,'1.PL (VND) '!AS$4,'1.DC_Ra soat'!$H:$H,'1.PL (VND) '!$C18)-SUMIFS('1.DC_Ra soat'!$L:$L,'1.DC_Ra soat'!$F:$F,'1.PL (VND) '!AS$4,'1.DC_Ra soat'!$I:$I,'1.PL (VND) '!$C18)</f>
        <v>0</v>
      </c>
      <c r="AT18" s="768">
        <f>SUMIFS('1.DC_Ra soat'!$L:$L,'1.DC_Ra soat'!$F:$F,'1.PL (VND) '!AT$4,'1.DC_Ra soat'!$H:$H,'1.PL (VND) '!$C18)-SUMIFS('1.DC_Ra soat'!$L:$L,'1.DC_Ra soat'!$F:$F,'1.PL (VND) '!AT$4,'1.DC_Ra soat'!$I:$I,'1.PL (VND) '!$C18)</f>
        <v>0</v>
      </c>
      <c r="AU18" s="768">
        <f>SUMIFS('1.DC_Ra soat'!$L:$L,'1.DC_Ra soat'!$F:$F,'1.PL (VND) '!AU$4,'1.DC_Ra soat'!$H:$H,'1.PL (VND) '!$C18)-SUMIFS('1.DC_Ra soat'!$L:$L,'1.DC_Ra soat'!$F:$F,'1.PL (VND) '!AU$4,'1.DC_Ra soat'!$I:$I,'1.PL (VND) '!$C18)</f>
        <v>4950000000</v>
      </c>
      <c r="AV18" s="766"/>
      <c r="AW18" s="768">
        <f>SUMIFS('1.DC_Ra soat'!$L:$L,'1.DC_Ra soat'!$F:$F,'1.PL (VND) '!AW$4,'1.DC_Ra soat'!$H:$H,'1.PL (VND) '!$C18)-SUMIFS('1.DC_Ra soat'!$L:$L,'1.DC_Ra soat'!$F:$F,'1.PL (VND) '!AW$4,'1.DC_Ra soat'!$I:$I,'1.PL (VND) '!$C18)</f>
        <v>0</v>
      </c>
      <c r="AX18" s="768">
        <f>SUMIFS('1.DC_Ra soat'!$L:$L,'1.DC_Ra soat'!$F:$F,'1.PL (VND) '!AX$4,'1.DC_Ra soat'!$H:$H,'1.PL (VND) '!$C18)-SUMIFS('1.DC_Ra soat'!$L:$L,'1.DC_Ra soat'!$F:$F,'1.PL (VND) '!AX$4,'1.DC_Ra soat'!$I:$I,'1.PL (VND) '!$C18)</f>
        <v>0</v>
      </c>
      <c r="AY18" s="768">
        <f>SUMIFS('1.DC_Ra soat'!$L:$L,'1.DC_Ra soat'!$F:$F,'1.PL (VND) '!AY$4,'1.DC_Ra soat'!$H:$H,'1.PL (VND) '!$C18)-SUMIFS('1.DC_Ra soat'!$L:$L,'1.DC_Ra soat'!$F:$F,'1.PL (VND) '!AY$4,'1.DC_Ra soat'!$I:$I,'1.PL (VND) '!$C18)</f>
        <v>0</v>
      </c>
      <c r="AZ18" s="768">
        <f>SUMIFS('1.DC_Ra soat'!$L:$L,'1.DC_Ra soat'!$F:$F,'1.PL (VND) '!AZ$4,'1.DC_Ra soat'!$H:$H,'1.PL (VND) '!$C18)-SUMIFS('1.DC_Ra soat'!$L:$L,'1.DC_Ra soat'!$F:$F,'1.PL (VND) '!AZ$4,'1.DC_Ra soat'!$I:$I,'1.PL (VND) '!$C18)</f>
        <v>5000000000</v>
      </c>
      <c r="BA18" s="766"/>
      <c r="BB18" s="768">
        <f>SUMIFS('1.DC_Ra soat'!$L:$L,'1.DC_Ra soat'!$F:$F,'1.PL (VND) '!BB$4,'1.DC_Ra soat'!$H:$H,'1.PL (VND) '!$C18)-SUMIFS('1.DC_Ra soat'!$L:$L,'1.DC_Ra soat'!$F:$F,'1.PL (VND) '!BB$4,'1.DC_Ra soat'!$I:$I,'1.PL (VND) '!$C18)</f>
        <v>0</v>
      </c>
      <c r="BC18" s="768">
        <f>SUMIFS('1.DC_Ra soat'!$L:$L,'1.DC_Ra soat'!$F:$F,'1.PL (VND) '!BC$4,'1.DC_Ra soat'!$H:$H,'1.PL (VND) '!$C18)-SUMIFS('1.DC_Ra soat'!$L:$L,'1.DC_Ra soat'!$F:$F,'1.PL (VND) '!BC$4,'1.DC_Ra soat'!$I:$I,'1.PL (VND) '!$C18)</f>
        <v>0</v>
      </c>
      <c r="BD18" s="768">
        <f>SUMIFS('1.DC_Ra soat'!$L:$L,'1.DC_Ra soat'!$F:$F,'1.PL (VND) '!BD$4,'1.DC_Ra soat'!$H:$H,'1.PL (VND) '!$C18)-SUMIFS('1.DC_Ra soat'!$L:$L,'1.DC_Ra soat'!$F:$F,'1.PL (VND) '!BD$4,'1.DC_Ra soat'!$I:$I,'1.PL (VND) '!$C18)</f>
        <v>0</v>
      </c>
      <c r="BE18" s="768">
        <f>SUMIFS('1.DC_Ra soat'!$L:$L,'1.DC_Ra soat'!$F:$F,'1.PL (VND) '!BE$4,'1.DC_Ra soat'!$H:$H,'1.PL (VND) '!$C18)-SUMIFS('1.DC_Ra soat'!$L:$L,'1.DC_Ra soat'!$F:$F,'1.PL (VND) '!BE$4,'1.DC_Ra soat'!$I:$I,'1.PL (VND) '!$C18)</f>
        <v>0</v>
      </c>
      <c r="BF18" s="766"/>
      <c r="BG18" s="768">
        <f>SUMIFS('1.DC_Ra soat'!$L:$L,'1.DC_Ra soat'!$F:$F,'1.PL (VND) '!BG$4,'1.DC_Ra soat'!$H:$H,'1.PL (VND) '!$C18)-SUMIFS('1.DC_Ra soat'!$L:$L,'1.DC_Ra soat'!$F:$F,'1.PL (VND) '!BG$4,'1.DC_Ra soat'!$I:$I,'1.PL (VND) '!$C18)</f>
        <v>0</v>
      </c>
      <c r="BH18" s="768">
        <f>SUMIFS('1.DC_Ra soat'!$L:$L,'1.DC_Ra soat'!$F:$F,'1.PL (VND) '!BH$4,'1.DC_Ra soat'!$H:$H,'1.PL (VND) '!$C18)-SUMIFS('1.DC_Ra soat'!$L:$L,'1.DC_Ra soat'!$F:$F,'1.PL (VND) '!BH$4,'1.DC_Ra soat'!$I:$I,'1.PL (VND) '!$C18)</f>
        <v>0</v>
      </c>
      <c r="BI18" s="768">
        <f>SUMIFS('1.DC_Ra soat'!$L:$L,'1.DC_Ra soat'!$F:$F,'1.PL (VND) '!BI$4,'1.DC_Ra soat'!$H:$H,'1.PL (VND) '!$C18)-SUMIFS('1.DC_Ra soat'!$L:$L,'1.DC_Ra soat'!$F:$F,'1.PL (VND) '!BI$4,'1.DC_Ra soat'!$I:$I,'1.PL (VND) '!$C18)</f>
        <v>0</v>
      </c>
      <c r="BJ18" s="768">
        <f>SUMIFS('1.DC_Ra soat'!$L:$L,'1.DC_Ra soat'!$F:$F,'1.PL (VND) '!BJ$4,'1.DC_Ra soat'!$H:$H,'1.PL (VND) '!$C18)-SUMIFS('1.DC_Ra soat'!$L:$L,'1.DC_Ra soat'!$F:$F,'1.PL (VND) '!BJ$4,'1.DC_Ra soat'!$I:$I,'1.PL (VND) '!$C18)</f>
        <v>0</v>
      </c>
      <c r="BL18" s="768">
        <f t="shared" si="2"/>
        <v>6112406836</v>
      </c>
      <c r="BM18" s="768">
        <f t="shared" si="3"/>
        <v>11423662819</v>
      </c>
      <c r="BN18" s="768">
        <f t="shared" si="4"/>
        <v>7465300147</v>
      </c>
      <c r="BO18" s="768">
        <f t="shared" si="5"/>
        <v>15042599238</v>
      </c>
      <c r="BP18" s="766"/>
      <c r="BQ18" s="768">
        <f t="shared" si="6"/>
        <v>1010849</v>
      </c>
      <c r="BR18" s="768">
        <f t="shared" si="7"/>
        <v>1454227638</v>
      </c>
      <c r="BS18" s="768">
        <f t="shared" si="8"/>
        <v>2063563404</v>
      </c>
      <c r="BT18" s="768">
        <f t="shared" si="9"/>
        <v>380420389</v>
      </c>
      <c r="BU18" s="766"/>
      <c r="BV18" s="768">
        <f t="shared" si="10"/>
        <v>4380500388</v>
      </c>
      <c r="BW18" s="768">
        <f t="shared" si="11"/>
        <v>5725104791</v>
      </c>
      <c r="BX18" s="768">
        <f t="shared" si="12"/>
        <v>1648893959</v>
      </c>
      <c r="BY18" s="768">
        <f t="shared" si="13"/>
        <v>6659584146</v>
      </c>
      <c r="BZ18" s="766"/>
      <c r="CA18" s="768">
        <f t="shared" si="14"/>
        <v>376250812</v>
      </c>
      <c r="CB18" s="768">
        <f t="shared" si="15"/>
        <v>1247001186</v>
      </c>
      <c r="CC18" s="768">
        <f t="shared" si="16"/>
        <v>1246767325</v>
      </c>
      <c r="CD18" s="768">
        <f t="shared" si="17"/>
        <v>6138916982</v>
      </c>
      <c r="CE18" s="766"/>
      <c r="CF18" s="768">
        <f t="shared" si="18"/>
        <v>0</v>
      </c>
      <c r="CG18" s="768">
        <f t="shared" si="19"/>
        <v>0</v>
      </c>
      <c r="CH18" s="768">
        <f t="shared" si="20"/>
        <v>0</v>
      </c>
      <c r="CI18" s="768">
        <f t="shared" si="21"/>
        <v>0</v>
      </c>
      <c r="CJ18" s="766"/>
      <c r="CK18" s="768">
        <f t="shared" si="22"/>
        <v>0</v>
      </c>
      <c r="CL18" s="768">
        <f t="shared" si="23"/>
        <v>0</v>
      </c>
      <c r="CM18" s="768">
        <f t="shared" si="24"/>
        <v>0</v>
      </c>
      <c r="CN18" s="768">
        <f t="shared" si="25"/>
        <v>0</v>
      </c>
      <c r="CP18" s="768">
        <f t="shared" si="26"/>
        <v>10870168885</v>
      </c>
      <c r="CQ18" s="768">
        <f t="shared" si="26"/>
        <v>19849996434</v>
      </c>
      <c r="CR18" s="768">
        <f t="shared" si="26"/>
        <v>12424524835</v>
      </c>
      <c r="CS18" s="768">
        <f t="shared" si="26"/>
        <v>28221520755</v>
      </c>
      <c r="CT18" s="770"/>
      <c r="CU18" s="768">
        <f>-SUMIFS('1.DC_Ra soat'!$L:$L,'1.DC_Ra soat'!$F:$F,'1.PL (VND) '!CU$4,'1.DC_Ra soat'!$H:$H,'1.PL (VND) '!$C18)+SUMIFS('1.DC_Ra soat'!$L:$L,'1.DC_Ra soat'!$F:$F,'1.PL (VND) '!CU$4,'1.DC_Ra soat'!$I:$I,'1.PL (VND) '!$C18)</f>
        <v>0</v>
      </c>
      <c r="CV18" s="768">
        <f>-SUMIFS('1.DC_Ra soat'!$L:$L,'1.DC_Ra soat'!$F:$F,'1.PL (VND) '!CV$4,'1.DC_Ra soat'!$H:$H,'1.PL (VND) '!$C18)+SUMIFS('1.DC_Ra soat'!$L:$L,'1.DC_Ra soat'!$F:$F,'1.PL (VND) '!CV$4,'1.DC_Ra soat'!$I:$I,'1.PL (VND) '!$C18)</f>
        <v>0</v>
      </c>
      <c r="CW18" s="768">
        <f>-SUMIFS('1.DC_Ra soat'!$L:$L,'1.DC_Ra soat'!$F:$F,'1.PL (VND) '!CW$4,'1.DC_Ra soat'!$H:$H,'1.PL (VND) '!$C18)+SUMIFS('1.DC_Ra soat'!$L:$L,'1.DC_Ra soat'!$F:$F,'1.PL (VND) '!CW$4,'1.DC_Ra soat'!$I:$I,'1.PL (VND) '!$C18)</f>
        <v>0</v>
      </c>
      <c r="CX18" s="768">
        <f>-SUMIFS('1.DC_Ra soat'!$L:$L,'1.DC_Ra soat'!$F:$F,'1.PL (VND) '!CX$4,'1.DC_Ra soat'!$H:$H,'1.PL (VND) '!$C18)+SUMIFS('1.DC_Ra soat'!$L:$L,'1.DC_Ra soat'!$F:$F,'1.PL (VND) '!CX$4,'1.DC_Ra soat'!$I:$I,'1.PL (VND) '!$C18)</f>
        <v>0</v>
      </c>
      <c r="CY18" s="770"/>
      <c r="CZ18" s="768">
        <f t="shared" si="27"/>
        <v>10870168885</v>
      </c>
      <c r="DA18" s="768">
        <f t="shared" si="28"/>
        <v>19849996434</v>
      </c>
      <c r="DB18" s="768">
        <f t="shared" si="29"/>
        <v>12424524835</v>
      </c>
      <c r="DC18" s="768">
        <f t="shared" si="30"/>
        <v>28221520755</v>
      </c>
      <c r="DG18" s="770"/>
    </row>
    <row r="19" spans="2:111" s="447" customFormat="1" ht="15.75" x14ac:dyDescent="0.25">
      <c r="B19" s="792" t="s">
        <v>557</v>
      </c>
      <c r="C19" s="776" t="s">
        <v>284</v>
      </c>
      <c r="D19" s="777">
        <f>D12+D13-D14-D17-D18</f>
        <v>-26547565</v>
      </c>
      <c r="E19" s="777">
        <f>E12+E13-E14-E17-E18</f>
        <v>844305322</v>
      </c>
      <c r="F19" s="777">
        <f>F12+F13-F14-F17-F18</f>
        <v>732121400</v>
      </c>
      <c r="G19" s="787">
        <f>G12+G13-G14-G17-G18</f>
        <v>9379610549</v>
      </c>
      <c r="H19" s="780"/>
      <c r="I19" s="777">
        <f>I12+I13-I14-I17-I18</f>
        <v>-1009698</v>
      </c>
      <c r="J19" s="777">
        <f>J12+J13-J14-J17-J18</f>
        <v>205981598</v>
      </c>
      <c r="K19" s="777">
        <f>K12+K13-K14-K17-K18</f>
        <v>-5280865421</v>
      </c>
      <c r="L19" s="777">
        <f>L12+L13-L14-L17-L18</f>
        <v>30500467824</v>
      </c>
      <c r="M19" s="780"/>
      <c r="N19" s="443">
        <f>N12+N13-N14-N17-N18</f>
        <v>18676515</v>
      </c>
      <c r="O19" s="443">
        <f>O12+O13-O14-O17-O18</f>
        <v>-26470749</v>
      </c>
      <c r="P19" s="443">
        <f>P12+P13-P14-P17-P18</f>
        <v>30111095</v>
      </c>
      <c r="Q19" s="443">
        <f>Q12+Q13-Q14-Q17-Q18</f>
        <v>-3474427274</v>
      </c>
      <c r="R19" s="780"/>
      <c r="S19" s="443">
        <f>S12+S13-S14-S17-S18</f>
        <v>-305983609</v>
      </c>
      <c r="T19" s="443">
        <f>T12+T13-T14-T17-T18</f>
        <v>24373420</v>
      </c>
      <c r="U19" s="443">
        <f>U12+U13-U14-U17-U18</f>
        <v>-1548986555</v>
      </c>
      <c r="V19" s="443">
        <f>V12+V13-V14-V17-V18</f>
        <v>-1974639951</v>
      </c>
      <c r="W19" s="780"/>
      <c r="X19" s="443">
        <f>X12+X13-X14-X17-X18</f>
        <v>0</v>
      </c>
      <c r="Y19" s="443">
        <f>Y12+Y13-Y14-Y17-Y18</f>
        <v>0</v>
      </c>
      <c r="Z19" s="443">
        <f>Z12+Z13-Z14-Z17-Z18</f>
        <v>0</v>
      </c>
      <c r="AA19" s="443">
        <f>AA12+AA13-AA14-AA17-AA18</f>
        <v>0</v>
      </c>
      <c r="AB19" s="780"/>
      <c r="AC19" s="443">
        <f>AC12+AC13-AC14-AC17-AC18</f>
        <v>0</v>
      </c>
      <c r="AD19" s="443">
        <f>AD12+AD13-AD14-AD17-AD18</f>
        <v>0</v>
      </c>
      <c r="AE19" s="443">
        <f>AE12+AE13-AE14-AE17-AE18</f>
        <v>0</v>
      </c>
      <c r="AF19" s="443">
        <f>AF12+AF13-AF14-AF17-AF18</f>
        <v>0</v>
      </c>
      <c r="AH19" s="443">
        <f>AH12+AH13-AH14-AH17-AH18</f>
        <v>0</v>
      </c>
      <c r="AI19" s="443">
        <f>AI12+AI13-AI14-AI17-AI18</f>
        <v>0</v>
      </c>
      <c r="AJ19" s="443">
        <f>AJ12+AJ13-AJ14-AJ17-AJ18</f>
        <v>-10749717626</v>
      </c>
      <c r="AK19" s="443">
        <f>AK12+AK13-AK14-AK17-AK18</f>
        <v>-4623603888</v>
      </c>
      <c r="AL19" s="780"/>
      <c r="AM19" s="443">
        <f>AM12+AM13-AM14-AM17-AM18</f>
        <v>0</v>
      </c>
      <c r="AN19" s="443">
        <f>AN12+AN13-AN14-AN17-AN18</f>
        <v>0</v>
      </c>
      <c r="AO19" s="443">
        <f>AO12+AO13-AO14-AO17-AO18</f>
        <v>-741540549</v>
      </c>
      <c r="AP19" s="443">
        <f>AP12+AP13-AP14-AP17-AP18</f>
        <v>0</v>
      </c>
      <c r="AQ19" s="780"/>
      <c r="AR19" s="443">
        <f>AR12+AR13-AR14-AR17-AR18</f>
        <v>0</v>
      </c>
      <c r="AS19" s="443">
        <f>AS12+AS13-AS14-AS17-AS18</f>
        <v>0</v>
      </c>
      <c r="AT19" s="443">
        <f>AT12+AT13-AT14-AT17-AT18</f>
        <v>0</v>
      </c>
      <c r="AU19" s="443">
        <f>AU12+AU13-AU14-AU17-AU18</f>
        <v>-4950000000</v>
      </c>
      <c r="AV19" s="780"/>
      <c r="AW19" s="443">
        <f>AW12+AW13-AW14-AW17-AW18</f>
        <v>0</v>
      </c>
      <c r="AX19" s="443">
        <f>AX12+AX13-AX14-AX17-AX18</f>
        <v>0</v>
      </c>
      <c r="AY19" s="443">
        <f>AY12+AY13-AY14-AY17-AY18</f>
        <v>-1262355349</v>
      </c>
      <c r="AZ19" s="443">
        <f>AZ12+AZ13-AZ14-AZ17-AZ18</f>
        <v>-5000000000</v>
      </c>
      <c r="BA19" s="780"/>
      <c r="BB19" s="443">
        <f>BB12+BB13-BB14-BB17-BB18</f>
        <v>0</v>
      </c>
      <c r="BC19" s="443">
        <f>BC12+BC13-BC14-BC17-BC18</f>
        <v>0</v>
      </c>
      <c r="BD19" s="443">
        <f>BD12+BD13-BD14-BD17-BD18</f>
        <v>0</v>
      </c>
      <c r="BE19" s="443"/>
      <c r="BF19" s="780"/>
      <c r="BG19" s="443">
        <f>BG12+BG13-BG14-BG17-BG18</f>
        <v>0</v>
      </c>
      <c r="BH19" s="443">
        <f>BH12+BH13-BH14-BH17-BH18</f>
        <v>0</v>
      </c>
      <c r="BI19" s="443">
        <f>BI12+BI13-BI14-BI17-BI18</f>
        <v>0</v>
      </c>
      <c r="BJ19" s="443"/>
      <c r="BL19" s="439">
        <f t="shared" si="2"/>
        <v>-26547565</v>
      </c>
      <c r="BM19" s="439">
        <f t="shared" si="3"/>
        <v>844305322</v>
      </c>
      <c r="BN19" s="439">
        <f t="shared" si="4"/>
        <v>-10017596226</v>
      </c>
      <c r="BO19" s="439">
        <f t="shared" si="5"/>
        <v>4756006661</v>
      </c>
      <c r="BP19" s="780"/>
      <c r="BQ19" s="439">
        <f t="shared" si="6"/>
        <v>-1009698</v>
      </c>
      <c r="BR19" s="439">
        <f t="shared" si="7"/>
        <v>205981598</v>
      </c>
      <c r="BS19" s="439">
        <f t="shared" si="8"/>
        <v>-6022405970</v>
      </c>
      <c r="BT19" s="439">
        <f t="shared" si="9"/>
        <v>30500467824</v>
      </c>
      <c r="BU19" s="780"/>
      <c r="BV19" s="439">
        <f t="shared" si="10"/>
        <v>18676515</v>
      </c>
      <c r="BW19" s="439">
        <f t="shared" si="11"/>
        <v>-26470749</v>
      </c>
      <c r="BX19" s="439">
        <f t="shared" si="12"/>
        <v>30111095</v>
      </c>
      <c r="BY19" s="439">
        <f t="shared" si="13"/>
        <v>-8424427274</v>
      </c>
      <c r="BZ19" s="780"/>
      <c r="CA19" s="439">
        <f t="shared" si="14"/>
        <v>-305983609</v>
      </c>
      <c r="CB19" s="439">
        <f t="shared" si="15"/>
        <v>24373420</v>
      </c>
      <c r="CC19" s="439">
        <f t="shared" si="16"/>
        <v>-2811341904</v>
      </c>
      <c r="CD19" s="439">
        <f t="shared" si="17"/>
        <v>-6974639951</v>
      </c>
      <c r="CE19" s="780"/>
      <c r="CF19" s="439">
        <f t="shared" si="18"/>
        <v>0</v>
      </c>
      <c r="CG19" s="439">
        <f t="shared" si="19"/>
        <v>0</v>
      </c>
      <c r="CH19" s="439">
        <f t="shared" si="20"/>
        <v>0</v>
      </c>
      <c r="CI19" s="439">
        <f t="shared" si="21"/>
        <v>0</v>
      </c>
      <c r="CJ19" s="780"/>
      <c r="CK19" s="439">
        <f t="shared" si="22"/>
        <v>0</v>
      </c>
      <c r="CL19" s="439">
        <f t="shared" si="23"/>
        <v>0</v>
      </c>
      <c r="CM19" s="439">
        <f t="shared" si="24"/>
        <v>0</v>
      </c>
      <c r="CN19" s="439">
        <f t="shared" si="25"/>
        <v>0</v>
      </c>
      <c r="CP19" s="443">
        <f t="shared" si="26"/>
        <v>-314864357</v>
      </c>
      <c r="CQ19" s="443">
        <f t="shared" si="26"/>
        <v>1048189591</v>
      </c>
      <c r="CR19" s="443">
        <f t="shared" si="26"/>
        <v>-18821233005</v>
      </c>
      <c r="CS19" s="443">
        <f t="shared" si="26"/>
        <v>19857407260</v>
      </c>
      <c r="CT19" s="440"/>
      <c r="CU19" s="443">
        <f>CU12+CU13-CU14-CU17-CU18</f>
        <v>0</v>
      </c>
      <c r="CV19" s="443">
        <f>CV12+CV13-CV14-CV17-CV18</f>
        <v>0</v>
      </c>
      <c r="CW19" s="443">
        <f>CW12+CW13-CW14-CW17-CW18</f>
        <v>0</v>
      </c>
      <c r="CX19" s="443">
        <f>CX12+CX13-CX14-CX17-CX18</f>
        <v>0</v>
      </c>
      <c r="CY19" s="440"/>
      <c r="CZ19" s="443">
        <f t="shared" si="27"/>
        <v>-314864357</v>
      </c>
      <c r="DA19" s="443">
        <f t="shared" si="28"/>
        <v>1048189591</v>
      </c>
      <c r="DB19" s="443">
        <f t="shared" si="29"/>
        <v>-18821233005</v>
      </c>
      <c r="DC19" s="443">
        <f t="shared" si="30"/>
        <v>19857407260</v>
      </c>
      <c r="DG19" s="440"/>
    </row>
    <row r="20" spans="2:111" s="769" customFormat="1" ht="15.75" x14ac:dyDescent="0.25">
      <c r="B20" s="793" t="s">
        <v>204</v>
      </c>
      <c r="C20" s="783" t="s">
        <v>285</v>
      </c>
      <c r="D20" s="784">
        <v>106425000</v>
      </c>
      <c r="E20" s="772">
        <v>1776946759</v>
      </c>
      <c r="F20" s="772">
        <v>106250000</v>
      </c>
      <c r="G20" s="773">
        <v>23752535</v>
      </c>
      <c r="H20" s="766"/>
      <c r="I20" s="768"/>
      <c r="J20" s="768">
        <v>3300000</v>
      </c>
      <c r="K20" s="768"/>
      <c r="L20" s="768">
        <v>2105000</v>
      </c>
      <c r="M20" s="766"/>
      <c r="N20" s="768"/>
      <c r="O20" s="768">
        <v>181835662</v>
      </c>
      <c r="P20" s="768">
        <v>2817796296</v>
      </c>
      <c r="Q20" s="768">
        <v>4800001</v>
      </c>
      <c r="R20" s="766"/>
      <c r="S20" s="768">
        <v>0</v>
      </c>
      <c r="T20" s="768">
        <v>0</v>
      </c>
      <c r="U20" s="768">
        <v>185185185</v>
      </c>
      <c r="V20" s="768"/>
      <c r="W20" s="766"/>
      <c r="X20" s="768"/>
      <c r="Y20" s="768"/>
      <c r="Z20" s="768"/>
      <c r="AA20" s="768"/>
      <c r="AB20" s="766"/>
      <c r="AC20" s="768"/>
      <c r="AD20" s="768"/>
      <c r="AE20" s="768"/>
      <c r="AF20" s="768"/>
      <c r="AH20" s="768">
        <f>-SUMIFS('1.DC_Ra soat'!$L:$L,'1.DC_Ra soat'!$F:$F,'1.PL (VND) '!AH$4,'1.DC_Ra soat'!$H:$H,'1.PL (VND) '!$C20)+SUMIFS('1.DC_Ra soat'!$L:$L,'1.DC_Ra soat'!$F:$F,'1.PL (VND) '!AH$4,'1.DC_Ra soat'!$I:$I,'1.PL (VND) '!$C20)</f>
        <v>0</v>
      </c>
      <c r="AI20" s="768">
        <f>-SUMIFS('1.DC_Ra soat'!$L:$L,'1.DC_Ra soat'!$F:$F,'1.PL (VND) '!AI$4,'1.DC_Ra soat'!$H:$H,'1.PL (VND) '!$C20)+SUMIFS('1.DC_Ra soat'!$L:$L,'1.DC_Ra soat'!$F:$F,'1.PL (VND) '!AI$4,'1.DC_Ra soat'!$I:$I,'1.PL (VND) '!$C20)</f>
        <v>0</v>
      </c>
      <c r="AJ20" s="768">
        <f>-SUMIFS('1.DC_Ra soat'!$L:$L,'1.DC_Ra soat'!$F:$F,'1.PL (VND) '!AJ$4,'1.DC_Ra soat'!$H:$H,'1.PL (VND) '!$C20)+SUMIFS('1.DC_Ra soat'!$L:$L,'1.DC_Ra soat'!$F:$F,'1.PL (VND) '!AJ$4,'1.DC_Ra soat'!$I:$I,'1.PL (VND) '!$C20)</f>
        <v>0</v>
      </c>
      <c r="AK20" s="768">
        <f>-SUMIFS('1.DC_Ra soat'!$L:$L,'1.DC_Ra soat'!$F:$F,'1.PL (VND) '!AK$4,'1.DC_Ra soat'!$H:$H,'1.PL (VND) '!$C20)+SUMIFS('1.DC_Ra soat'!$L:$L,'1.DC_Ra soat'!$F:$F,'1.PL (VND) '!AK$4,'1.DC_Ra soat'!$I:$I,'1.PL (VND) '!$C20)</f>
        <v>0</v>
      </c>
      <c r="AL20" s="766"/>
      <c r="AM20" s="768">
        <f>-SUMIFS('1.DC_Ra soat'!$L:$L,'1.DC_Ra soat'!$F:$F,'1.PL (VND) '!AM$4,'1.DC_Ra soat'!$H:$H,'1.PL (VND) '!$C20)+SUMIFS('1.DC_Ra soat'!$L:$L,'1.DC_Ra soat'!$F:$F,'1.PL (VND) '!AM$4,'1.DC_Ra soat'!$I:$I,'1.PL (VND) '!$C20)</f>
        <v>0</v>
      </c>
      <c r="AN20" s="768">
        <f>-SUMIFS('1.DC_Ra soat'!$L:$L,'1.DC_Ra soat'!$F:$F,'1.PL (VND) '!AN$4,'1.DC_Ra soat'!$H:$H,'1.PL (VND) '!$C20)+SUMIFS('1.DC_Ra soat'!$L:$L,'1.DC_Ra soat'!$F:$F,'1.PL (VND) '!AN$4,'1.DC_Ra soat'!$I:$I,'1.PL (VND) '!$C20)</f>
        <v>0</v>
      </c>
      <c r="AO20" s="768">
        <f>-SUMIFS('1.DC_Ra soat'!$L:$L,'1.DC_Ra soat'!$F:$F,'1.PL (VND) '!AO$4,'1.DC_Ra soat'!$H:$H,'1.PL (VND) '!$C20)+SUMIFS('1.DC_Ra soat'!$L:$L,'1.DC_Ra soat'!$F:$F,'1.PL (VND) '!AO$4,'1.DC_Ra soat'!$I:$I,'1.PL (VND) '!$C20)</f>
        <v>0</v>
      </c>
      <c r="AP20" s="768">
        <f>-SUMIFS('1.DC_Ra soat'!$L:$L,'1.DC_Ra soat'!$F:$F,'1.PL (VND) '!AP$4,'1.DC_Ra soat'!$H:$H,'1.PL (VND) '!$C20)+SUMIFS('1.DC_Ra soat'!$L:$L,'1.DC_Ra soat'!$F:$F,'1.PL (VND) '!AP$4,'1.DC_Ra soat'!$I:$I,'1.PL (VND) '!$C20)</f>
        <v>0</v>
      </c>
      <c r="AQ20" s="766"/>
      <c r="AR20" s="768">
        <f>-SUMIFS('1.DC_Ra soat'!$L:$L,'1.DC_Ra soat'!$F:$F,'1.PL (VND) '!AR$4,'1.DC_Ra soat'!$H:$H,'1.PL (VND) '!$C20)+SUMIFS('1.DC_Ra soat'!$L:$L,'1.DC_Ra soat'!$F:$F,'1.PL (VND) '!AR$4,'1.DC_Ra soat'!$I:$I,'1.PL (VND) '!$C20)</f>
        <v>0</v>
      </c>
      <c r="AS20" s="768">
        <f>-SUMIFS('1.DC_Ra soat'!$L:$L,'1.DC_Ra soat'!$F:$F,'1.PL (VND) '!AS$4,'1.DC_Ra soat'!$H:$H,'1.PL (VND) '!$C20)+SUMIFS('1.DC_Ra soat'!$L:$L,'1.DC_Ra soat'!$F:$F,'1.PL (VND) '!AS$4,'1.DC_Ra soat'!$I:$I,'1.PL (VND) '!$C20)</f>
        <v>0</v>
      </c>
      <c r="AT20" s="768">
        <f>-SUMIFS('1.DC_Ra soat'!$L:$L,'1.DC_Ra soat'!$F:$F,'1.PL (VND) '!AT$4,'1.DC_Ra soat'!$H:$H,'1.PL (VND) '!$C20)+SUMIFS('1.DC_Ra soat'!$L:$L,'1.DC_Ra soat'!$F:$F,'1.PL (VND) '!AT$4,'1.DC_Ra soat'!$I:$I,'1.PL (VND) '!$C20)</f>
        <v>0</v>
      </c>
      <c r="AU20" s="768">
        <f>-SUMIFS('1.DC_Ra soat'!$L:$L,'1.DC_Ra soat'!$F:$F,'1.PL (VND) '!AU$4,'1.DC_Ra soat'!$H:$H,'1.PL (VND) '!$C20)+SUMIFS('1.DC_Ra soat'!$L:$L,'1.DC_Ra soat'!$F:$F,'1.PL (VND) '!AU$4,'1.DC_Ra soat'!$I:$I,'1.PL (VND) '!$C20)</f>
        <v>0</v>
      </c>
      <c r="AV20" s="766"/>
      <c r="AW20" s="768">
        <f>-SUMIFS('1.DC_Ra soat'!$L:$L,'1.DC_Ra soat'!$F:$F,'1.PL (VND) '!AW$4,'1.DC_Ra soat'!$H:$H,'1.PL (VND) '!$C20)+SUMIFS('1.DC_Ra soat'!$L:$L,'1.DC_Ra soat'!$F:$F,'1.PL (VND) '!AW$4,'1.DC_Ra soat'!$I:$I,'1.PL (VND) '!$C20)</f>
        <v>0</v>
      </c>
      <c r="AX20" s="768">
        <f>-SUMIFS('1.DC_Ra soat'!$L:$L,'1.DC_Ra soat'!$F:$F,'1.PL (VND) '!AX$4,'1.DC_Ra soat'!$H:$H,'1.PL (VND) '!$C20)+SUMIFS('1.DC_Ra soat'!$L:$L,'1.DC_Ra soat'!$F:$F,'1.PL (VND) '!AX$4,'1.DC_Ra soat'!$I:$I,'1.PL (VND) '!$C20)</f>
        <v>0</v>
      </c>
      <c r="AY20" s="768">
        <f>-SUMIFS('1.DC_Ra soat'!$L:$L,'1.DC_Ra soat'!$F:$F,'1.PL (VND) '!AY$4,'1.DC_Ra soat'!$H:$H,'1.PL (VND) '!$C20)+SUMIFS('1.DC_Ra soat'!$L:$L,'1.DC_Ra soat'!$F:$F,'1.PL (VND) '!AY$4,'1.DC_Ra soat'!$I:$I,'1.PL (VND) '!$C20)</f>
        <v>0</v>
      </c>
      <c r="AZ20" s="768">
        <f>-SUMIFS('1.DC_Ra soat'!$L:$L,'1.DC_Ra soat'!$F:$F,'1.PL (VND) '!AZ$4,'1.DC_Ra soat'!$H:$H,'1.PL (VND) '!$C20)+SUMIFS('1.DC_Ra soat'!$L:$L,'1.DC_Ra soat'!$F:$F,'1.PL (VND) '!AZ$4,'1.DC_Ra soat'!$I:$I,'1.PL (VND) '!$C20)</f>
        <v>0</v>
      </c>
      <c r="BA20" s="766"/>
      <c r="BB20" s="768">
        <f>-SUMIFS('1.DC_Ra soat'!$L:$L,'1.DC_Ra soat'!$F:$F,'1.PL (VND) '!BB$4,'1.DC_Ra soat'!$H:$H,'1.PL (VND) '!$C20)+SUMIFS('1.DC_Ra soat'!$L:$L,'1.DC_Ra soat'!$F:$F,'1.PL (VND) '!BB$4,'1.DC_Ra soat'!$I:$I,'1.PL (VND) '!$C20)</f>
        <v>0</v>
      </c>
      <c r="BC20" s="768">
        <f>-SUMIFS('1.DC_Ra soat'!$L:$L,'1.DC_Ra soat'!$F:$F,'1.PL (VND) '!BC$4,'1.DC_Ra soat'!$H:$H,'1.PL (VND) '!$C20)+SUMIFS('1.DC_Ra soat'!$L:$L,'1.DC_Ra soat'!$F:$F,'1.PL (VND) '!BC$4,'1.DC_Ra soat'!$I:$I,'1.PL (VND) '!$C20)</f>
        <v>0</v>
      </c>
      <c r="BD20" s="768">
        <f>-SUMIFS('1.DC_Ra soat'!$L:$L,'1.DC_Ra soat'!$F:$F,'1.PL (VND) '!BD$4,'1.DC_Ra soat'!$H:$H,'1.PL (VND) '!$C20)+SUMIFS('1.DC_Ra soat'!$L:$L,'1.DC_Ra soat'!$F:$F,'1.PL (VND) '!BD$4,'1.DC_Ra soat'!$I:$I,'1.PL (VND) '!$C20)</f>
        <v>0</v>
      </c>
      <c r="BE20" s="768">
        <f>-SUMIFS('1.DC_Ra soat'!$L:$L,'1.DC_Ra soat'!$F:$F,'1.PL (VND) '!BE$4,'1.DC_Ra soat'!$H:$H,'1.PL (VND) '!$C20)+SUMIFS('1.DC_Ra soat'!$L:$L,'1.DC_Ra soat'!$F:$F,'1.PL (VND) '!BE$4,'1.DC_Ra soat'!$I:$I,'1.PL (VND) '!$C20)</f>
        <v>0</v>
      </c>
      <c r="BF20" s="766"/>
      <c r="BG20" s="768">
        <f>-SUMIFS('1.DC_Ra soat'!$L:$L,'1.DC_Ra soat'!$F:$F,'1.PL (VND) '!BG$4,'1.DC_Ra soat'!$H:$H,'1.PL (VND) '!$C20)+SUMIFS('1.DC_Ra soat'!$L:$L,'1.DC_Ra soat'!$F:$F,'1.PL (VND) '!BG$4,'1.DC_Ra soat'!$I:$I,'1.PL (VND) '!$C20)</f>
        <v>0</v>
      </c>
      <c r="BH20" s="768">
        <f>-SUMIFS('1.DC_Ra soat'!$L:$L,'1.DC_Ra soat'!$F:$F,'1.PL (VND) '!BH$4,'1.DC_Ra soat'!$H:$H,'1.PL (VND) '!$C20)+SUMIFS('1.DC_Ra soat'!$L:$L,'1.DC_Ra soat'!$F:$F,'1.PL (VND) '!BH$4,'1.DC_Ra soat'!$I:$I,'1.PL (VND) '!$C20)</f>
        <v>0</v>
      </c>
      <c r="BI20" s="768">
        <f>-SUMIFS('1.DC_Ra soat'!$L:$L,'1.DC_Ra soat'!$F:$F,'1.PL (VND) '!BI$4,'1.DC_Ra soat'!$H:$H,'1.PL (VND) '!$C20)+SUMIFS('1.DC_Ra soat'!$L:$L,'1.DC_Ra soat'!$F:$F,'1.PL (VND) '!BI$4,'1.DC_Ra soat'!$I:$I,'1.PL (VND) '!$C20)</f>
        <v>0</v>
      </c>
      <c r="BJ20" s="768">
        <f>-SUMIFS('1.DC_Ra soat'!$L:$L,'1.DC_Ra soat'!$F:$F,'1.PL (VND) '!BJ$4,'1.DC_Ra soat'!$H:$H,'1.PL (VND) '!$C20)+SUMIFS('1.DC_Ra soat'!$L:$L,'1.DC_Ra soat'!$F:$F,'1.PL (VND) '!BJ$4,'1.DC_Ra soat'!$I:$I,'1.PL (VND) '!$C20)</f>
        <v>0</v>
      </c>
      <c r="BL20" s="768">
        <f t="shared" si="2"/>
        <v>106425000</v>
      </c>
      <c r="BM20" s="768">
        <f t="shared" si="3"/>
        <v>1776946759</v>
      </c>
      <c r="BN20" s="768">
        <f t="shared" si="4"/>
        <v>106250000</v>
      </c>
      <c r="BO20" s="768">
        <f t="shared" si="5"/>
        <v>23752535</v>
      </c>
      <c r="BP20" s="766"/>
      <c r="BQ20" s="768">
        <f t="shared" si="6"/>
        <v>0</v>
      </c>
      <c r="BR20" s="768">
        <f t="shared" si="7"/>
        <v>3300000</v>
      </c>
      <c r="BS20" s="768">
        <f t="shared" si="8"/>
        <v>0</v>
      </c>
      <c r="BT20" s="768">
        <f t="shared" si="9"/>
        <v>2105000</v>
      </c>
      <c r="BU20" s="766"/>
      <c r="BV20" s="768">
        <f t="shared" si="10"/>
        <v>0</v>
      </c>
      <c r="BW20" s="768">
        <f t="shared" si="11"/>
        <v>181835662</v>
      </c>
      <c r="BX20" s="768">
        <f t="shared" si="12"/>
        <v>2817796296</v>
      </c>
      <c r="BY20" s="768">
        <f t="shared" si="13"/>
        <v>4800001</v>
      </c>
      <c r="BZ20" s="766"/>
      <c r="CA20" s="768">
        <f t="shared" si="14"/>
        <v>0</v>
      </c>
      <c r="CB20" s="768">
        <f t="shared" si="15"/>
        <v>0</v>
      </c>
      <c r="CC20" s="768">
        <f t="shared" si="16"/>
        <v>185185185</v>
      </c>
      <c r="CD20" s="768">
        <f t="shared" si="17"/>
        <v>0</v>
      </c>
      <c r="CE20" s="766"/>
      <c r="CF20" s="768">
        <f t="shared" si="18"/>
        <v>0</v>
      </c>
      <c r="CG20" s="768">
        <f t="shared" si="19"/>
        <v>0</v>
      </c>
      <c r="CH20" s="768">
        <f t="shared" si="20"/>
        <v>0</v>
      </c>
      <c r="CI20" s="768">
        <f t="shared" si="21"/>
        <v>0</v>
      </c>
      <c r="CJ20" s="766"/>
      <c r="CK20" s="768">
        <f t="shared" si="22"/>
        <v>0</v>
      </c>
      <c r="CL20" s="768">
        <f t="shared" si="23"/>
        <v>0</v>
      </c>
      <c r="CM20" s="768">
        <f t="shared" si="24"/>
        <v>0</v>
      </c>
      <c r="CN20" s="768">
        <f t="shared" si="25"/>
        <v>0</v>
      </c>
      <c r="CP20" s="768">
        <f t="shared" si="26"/>
        <v>106425000</v>
      </c>
      <c r="CQ20" s="768">
        <f t="shared" si="26"/>
        <v>1962082421</v>
      </c>
      <c r="CR20" s="768">
        <f t="shared" si="26"/>
        <v>3109231481</v>
      </c>
      <c r="CS20" s="768">
        <f t="shared" si="26"/>
        <v>30657536</v>
      </c>
      <c r="CT20" s="770"/>
      <c r="CU20" s="768">
        <f>-SUMIFS('1.DC_Ra soat'!$L:$L,'1.DC_Ra soat'!$F:$F,'1.PL (VND) '!CU$4,'1.DC_Ra soat'!$H:$H,'1.PL (VND) '!$C20)+SUMIFS('1.DC_Ra soat'!$L:$L,'1.DC_Ra soat'!$F:$F,'1.PL (VND) '!CU$4,'1.DC_Ra soat'!$I:$I,'1.PL (VND) '!$C20)</f>
        <v>0</v>
      </c>
      <c r="CV20" s="768">
        <f>-SUMIFS('1.DC_Ra soat'!$L:$L,'1.DC_Ra soat'!$F:$F,'1.PL (VND) '!CV$4,'1.DC_Ra soat'!$H:$H,'1.PL (VND) '!$C20)+SUMIFS('1.DC_Ra soat'!$L:$L,'1.DC_Ra soat'!$F:$F,'1.PL (VND) '!CV$4,'1.DC_Ra soat'!$I:$I,'1.PL (VND) '!$C20)</f>
        <v>0</v>
      </c>
      <c r="CW20" s="768">
        <f>-SUMIFS('1.DC_Ra soat'!$L:$L,'1.DC_Ra soat'!$F:$F,'1.PL (VND) '!CW$4,'1.DC_Ra soat'!$H:$H,'1.PL (VND) '!$C20)+SUMIFS('1.DC_Ra soat'!$L:$L,'1.DC_Ra soat'!$F:$F,'1.PL (VND) '!CW$4,'1.DC_Ra soat'!$I:$I,'1.PL (VND) '!$C20)</f>
        <v>0</v>
      </c>
      <c r="CX20" s="768">
        <f>-SUMIFS('1.DC_Ra soat'!$L:$L,'1.DC_Ra soat'!$F:$F,'1.PL (VND) '!CX$4,'1.DC_Ra soat'!$H:$H,'1.PL (VND) '!$C20)+SUMIFS('1.DC_Ra soat'!$L:$L,'1.DC_Ra soat'!$F:$F,'1.PL (VND) '!CX$4,'1.DC_Ra soat'!$I:$I,'1.PL (VND) '!$C20)</f>
        <v>0</v>
      </c>
      <c r="CY20" s="770"/>
      <c r="CZ20" s="768">
        <f t="shared" si="27"/>
        <v>106425000</v>
      </c>
      <c r="DA20" s="768">
        <f t="shared" si="28"/>
        <v>1962082421</v>
      </c>
      <c r="DB20" s="768">
        <f t="shared" si="29"/>
        <v>3109231481</v>
      </c>
      <c r="DC20" s="768">
        <f t="shared" si="30"/>
        <v>30657536</v>
      </c>
      <c r="DG20" s="770"/>
    </row>
    <row r="21" spans="2:111" s="769" customFormat="1" ht="15.75" x14ac:dyDescent="0.25">
      <c r="B21" s="761" t="s">
        <v>205</v>
      </c>
      <c r="C21" s="762" t="s">
        <v>286</v>
      </c>
      <c r="D21" s="763"/>
      <c r="E21" s="764">
        <v>2450371322</v>
      </c>
      <c r="F21" s="764"/>
      <c r="G21" s="765">
        <v>152726972</v>
      </c>
      <c r="H21" s="766"/>
      <c r="I21" s="767"/>
      <c r="J21" s="767"/>
      <c r="K21" s="767"/>
      <c r="L21" s="767">
        <v>380001</v>
      </c>
      <c r="M21" s="766"/>
      <c r="N21" s="768"/>
      <c r="O21" s="768">
        <v>78282827</v>
      </c>
      <c r="P21" s="768">
        <v>2811473154</v>
      </c>
      <c r="Q21" s="768"/>
      <c r="R21" s="766"/>
      <c r="S21" s="768"/>
      <c r="T21" s="768"/>
      <c r="U21" s="768">
        <v>573037500</v>
      </c>
      <c r="V21" s="768">
        <v>2271321</v>
      </c>
      <c r="W21" s="766"/>
      <c r="X21" s="768"/>
      <c r="Y21" s="768"/>
      <c r="Z21" s="768"/>
      <c r="AA21" s="768"/>
      <c r="AB21" s="766"/>
      <c r="AC21" s="768"/>
      <c r="AD21" s="768"/>
      <c r="AE21" s="768"/>
      <c r="AF21" s="768"/>
      <c r="AH21" s="768">
        <f>SUMIFS('1.DC_Ra soat'!$L:$L,'1.DC_Ra soat'!$F:$F,'1.PL (VND) '!AH$4,'1.DC_Ra soat'!$H:$H,'1.PL (VND) '!$C21)-SUMIFS('1.DC_Ra soat'!$L:$L,'1.DC_Ra soat'!$F:$F,'1.PL (VND) '!AH$4,'1.DC_Ra soat'!$I:$I,'1.PL (VND) '!$C21)</f>
        <v>0</v>
      </c>
      <c r="AI21" s="768">
        <f>SUMIFS('1.DC_Ra soat'!$L:$L,'1.DC_Ra soat'!$F:$F,'1.PL (VND) '!AI$4,'1.DC_Ra soat'!$H:$H,'1.PL (VND) '!$C21)-SUMIFS('1.DC_Ra soat'!$L:$L,'1.DC_Ra soat'!$F:$F,'1.PL (VND) '!AI$4,'1.DC_Ra soat'!$I:$I,'1.PL (VND) '!$C21)</f>
        <v>0</v>
      </c>
      <c r="AJ21" s="768">
        <f>SUMIFS('1.DC_Ra soat'!$L:$L,'1.DC_Ra soat'!$F:$F,'1.PL (VND) '!AJ$4,'1.DC_Ra soat'!$H:$H,'1.PL (VND) '!$C21)-SUMIFS('1.DC_Ra soat'!$L:$L,'1.DC_Ra soat'!$F:$F,'1.PL (VND) '!AJ$4,'1.DC_Ra soat'!$I:$I,'1.PL (VND) '!$C21)</f>
        <v>0</v>
      </c>
      <c r="AK21" s="768">
        <f>SUMIFS('1.DC_Ra soat'!$L:$L,'1.DC_Ra soat'!$F:$F,'1.PL (VND) '!AK$4,'1.DC_Ra soat'!$H:$H,'1.PL (VND) '!$C21)-SUMIFS('1.DC_Ra soat'!$L:$L,'1.DC_Ra soat'!$F:$F,'1.PL (VND) '!AK$4,'1.DC_Ra soat'!$I:$I,'1.PL (VND) '!$C21)</f>
        <v>0</v>
      </c>
      <c r="AL21" s="766"/>
      <c r="AM21" s="768">
        <f>SUMIFS('1.DC_Ra soat'!$L:$L,'1.DC_Ra soat'!$F:$F,'1.PL (VND) '!AM$4,'1.DC_Ra soat'!$H:$H,'1.PL (VND) '!$C21)-SUMIFS('1.DC_Ra soat'!$L:$L,'1.DC_Ra soat'!$F:$F,'1.PL (VND) '!AM$4,'1.DC_Ra soat'!$I:$I,'1.PL (VND) '!$C21)</f>
        <v>0</v>
      </c>
      <c r="AN21" s="768">
        <f>SUMIFS('1.DC_Ra soat'!$L:$L,'1.DC_Ra soat'!$F:$F,'1.PL (VND) '!AN$4,'1.DC_Ra soat'!$H:$H,'1.PL (VND) '!$C21)-SUMIFS('1.DC_Ra soat'!$L:$L,'1.DC_Ra soat'!$F:$F,'1.PL (VND) '!AN$4,'1.DC_Ra soat'!$I:$I,'1.PL (VND) '!$C21)</f>
        <v>0</v>
      </c>
      <c r="AO21" s="768">
        <f>SUMIFS('1.DC_Ra soat'!$L:$L,'1.DC_Ra soat'!$F:$F,'1.PL (VND) '!AO$4,'1.DC_Ra soat'!$H:$H,'1.PL (VND) '!$C21)-SUMIFS('1.DC_Ra soat'!$L:$L,'1.DC_Ra soat'!$F:$F,'1.PL (VND) '!AO$4,'1.DC_Ra soat'!$I:$I,'1.PL (VND) '!$C21)</f>
        <v>0</v>
      </c>
      <c r="AP21" s="768">
        <f>SUMIFS('1.DC_Ra soat'!$L:$L,'1.DC_Ra soat'!$F:$F,'1.PL (VND) '!AP$4,'1.DC_Ra soat'!$H:$H,'1.PL (VND) '!$C21)-SUMIFS('1.DC_Ra soat'!$L:$L,'1.DC_Ra soat'!$F:$F,'1.PL (VND) '!AP$4,'1.DC_Ra soat'!$I:$I,'1.PL (VND) '!$C21)</f>
        <v>0</v>
      </c>
      <c r="AQ21" s="766"/>
      <c r="AR21" s="768">
        <f>SUMIFS('1.DC_Ra soat'!$L:$L,'1.DC_Ra soat'!$F:$F,'1.PL (VND) '!AR$4,'1.DC_Ra soat'!$H:$H,'1.PL (VND) '!$C21)-SUMIFS('1.DC_Ra soat'!$L:$L,'1.DC_Ra soat'!$F:$F,'1.PL (VND) '!AR$4,'1.DC_Ra soat'!$I:$I,'1.PL (VND) '!$C21)</f>
        <v>0</v>
      </c>
      <c r="AS21" s="768">
        <f>SUMIFS('1.DC_Ra soat'!$L:$L,'1.DC_Ra soat'!$F:$F,'1.PL (VND) '!AS$4,'1.DC_Ra soat'!$H:$H,'1.PL (VND) '!$C21)-SUMIFS('1.DC_Ra soat'!$L:$L,'1.DC_Ra soat'!$F:$F,'1.PL (VND) '!AS$4,'1.DC_Ra soat'!$I:$I,'1.PL (VND) '!$C21)</f>
        <v>0</v>
      </c>
      <c r="AT21" s="768">
        <f>SUMIFS('1.DC_Ra soat'!$L:$L,'1.DC_Ra soat'!$F:$F,'1.PL (VND) '!AT$4,'1.DC_Ra soat'!$H:$H,'1.PL (VND) '!$C21)-SUMIFS('1.DC_Ra soat'!$L:$L,'1.DC_Ra soat'!$F:$F,'1.PL (VND) '!AT$4,'1.DC_Ra soat'!$I:$I,'1.PL (VND) '!$C21)</f>
        <v>0</v>
      </c>
      <c r="AU21" s="768">
        <f>SUMIFS('1.DC_Ra soat'!$L:$L,'1.DC_Ra soat'!$F:$F,'1.PL (VND) '!AU$4,'1.DC_Ra soat'!$H:$H,'1.PL (VND) '!$C21)-SUMIFS('1.DC_Ra soat'!$L:$L,'1.DC_Ra soat'!$F:$F,'1.PL (VND) '!AU$4,'1.DC_Ra soat'!$I:$I,'1.PL (VND) '!$C21)</f>
        <v>0</v>
      </c>
      <c r="AV21" s="766"/>
      <c r="AW21" s="768">
        <f>SUMIFS('1.DC_Ra soat'!$L:$L,'1.DC_Ra soat'!$F:$F,'1.PL (VND) '!AW$4,'1.DC_Ra soat'!$H:$H,'1.PL (VND) '!$C21)-SUMIFS('1.DC_Ra soat'!$L:$L,'1.DC_Ra soat'!$F:$F,'1.PL (VND) '!AW$4,'1.DC_Ra soat'!$I:$I,'1.PL (VND) '!$C21)</f>
        <v>0</v>
      </c>
      <c r="AX21" s="768">
        <f>SUMIFS('1.DC_Ra soat'!$L:$L,'1.DC_Ra soat'!$F:$F,'1.PL (VND) '!AX$4,'1.DC_Ra soat'!$H:$H,'1.PL (VND) '!$C21)-SUMIFS('1.DC_Ra soat'!$L:$L,'1.DC_Ra soat'!$F:$F,'1.PL (VND) '!AX$4,'1.DC_Ra soat'!$I:$I,'1.PL (VND) '!$C21)</f>
        <v>0</v>
      </c>
      <c r="AY21" s="768">
        <f>SUMIFS('1.DC_Ra soat'!$L:$L,'1.DC_Ra soat'!$F:$F,'1.PL (VND) '!AY$4,'1.DC_Ra soat'!$H:$H,'1.PL (VND) '!$C21)-SUMIFS('1.DC_Ra soat'!$L:$L,'1.DC_Ra soat'!$F:$F,'1.PL (VND) '!AY$4,'1.DC_Ra soat'!$I:$I,'1.PL (VND) '!$C21)</f>
        <v>0</v>
      </c>
      <c r="AZ21" s="768">
        <f>SUMIFS('1.DC_Ra soat'!$L:$L,'1.DC_Ra soat'!$F:$F,'1.PL (VND) '!AZ$4,'1.DC_Ra soat'!$H:$H,'1.PL (VND) '!$C21)-SUMIFS('1.DC_Ra soat'!$L:$L,'1.DC_Ra soat'!$F:$F,'1.PL (VND) '!AZ$4,'1.DC_Ra soat'!$I:$I,'1.PL (VND) '!$C21)</f>
        <v>0</v>
      </c>
      <c r="BA21" s="766"/>
      <c r="BB21" s="768">
        <f>SUMIFS('1.DC_Ra soat'!$L:$L,'1.DC_Ra soat'!$F:$F,'1.PL (VND) '!BB$4,'1.DC_Ra soat'!$H:$H,'1.PL (VND) '!$C21)-SUMIFS('1.DC_Ra soat'!$L:$L,'1.DC_Ra soat'!$F:$F,'1.PL (VND) '!BB$4,'1.DC_Ra soat'!$I:$I,'1.PL (VND) '!$C21)</f>
        <v>0</v>
      </c>
      <c r="BC21" s="768">
        <f>SUMIFS('1.DC_Ra soat'!$L:$L,'1.DC_Ra soat'!$F:$F,'1.PL (VND) '!BC$4,'1.DC_Ra soat'!$H:$H,'1.PL (VND) '!$C21)-SUMIFS('1.DC_Ra soat'!$L:$L,'1.DC_Ra soat'!$F:$F,'1.PL (VND) '!BC$4,'1.DC_Ra soat'!$I:$I,'1.PL (VND) '!$C21)</f>
        <v>0</v>
      </c>
      <c r="BD21" s="768">
        <f>SUMIFS('1.DC_Ra soat'!$L:$L,'1.DC_Ra soat'!$F:$F,'1.PL (VND) '!BD$4,'1.DC_Ra soat'!$H:$H,'1.PL (VND) '!$C21)-SUMIFS('1.DC_Ra soat'!$L:$L,'1.DC_Ra soat'!$F:$F,'1.PL (VND) '!BD$4,'1.DC_Ra soat'!$I:$I,'1.PL (VND) '!$C21)</f>
        <v>0</v>
      </c>
      <c r="BE21" s="768">
        <f>SUMIFS('1.DC_Ra soat'!$L:$L,'1.DC_Ra soat'!$F:$F,'1.PL (VND) '!BE$4,'1.DC_Ra soat'!$H:$H,'1.PL (VND) '!$C21)-SUMIFS('1.DC_Ra soat'!$L:$L,'1.DC_Ra soat'!$F:$F,'1.PL (VND) '!BE$4,'1.DC_Ra soat'!$I:$I,'1.PL (VND) '!$C21)</f>
        <v>0</v>
      </c>
      <c r="BF21" s="766"/>
      <c r="BG21" s="768">
        <f>SUMIFS('1.DC_Ra soat'!$L:$L,'1.DC_Ra soat'!$F:$F,'1.PL (VND) '!BG$4,'1.DC_Ra soat'!$H:$H,'1.PL (VND) '!$C21)-SUMIFS('1.DC_Ra soat'!$L:$L,'1.DC_Ra soat'!$F:$F,'1.PL (VND) '!BG$4,'1.DC_Ra soat'!$I:$I,'1.PL (VND) '!$C21)</f>
        <v>0</v>
      </c>
      <c r="BH21" s="768">
        <f>SUMIFS('1.DC_Ra soat'!$L:$L,'1.DC_Ra soat'!$F:$F,'1.PL (VND) '!BH$4,'1.DC_Ra soat'!$H:$H,'1.PL (VND) '!$C21)-SUMIFS('1.DC_Ra soat'!$L:$L,'1.DC_Ra soat'!$F:$F,'1.PL (VND) '!BH$4,'1.DC_Ra soat'!$I:$I,'1.PL (VND) '!$C21)</f>
        <v>0</v>
      </c>
      <c r="BI21" s="768">
        <f>SUMIFS('1.DC_Ra soat'!$L:$L,'1.DC_Ra soat'!$F:$F,'1.PL (VND) '!BI$4,'1.DC_Ra soat'!$H:$H,'1.PL (VND) '!$C21)-SUMIFS('1.DC_Ra soat'!$L:$L,'1.DC_Ra soat'!$F:$F,'1.PL (VND) '!BI$4,'1.DC_Ra soat'!$I:$I,'1.PL (VND) '!$C21)</f>
        <v>0</v>
      </c>
      <c r="BJ21" s="768">
        <f>SUMIFS('1.DC_Ra soat'!$L:$L,'1.DC_Ra soat'!$F:$F,'1.PL (VND) '!BJ$4,'1.DC_Ra soat'!$H:$H,'1.PL (VND) '!$C21)-SUMIFS('1.DC_Ra soat'!$L:$L,'1.DC_Ra soat'!$F:$F,'1.PL (VND) '!BJ$4,'1.DC_Ra soat'!$I:$I,'1.PL (VND) '!$C21)</f>
        <v>0</v>
      </c>
      <c r="BL21" s="768">
        <f t="shared" si="2"/>
        <v>0</v>
      </c>
      <c r="BM21" s="768">
        <f t="shared" si="3"/>
        <v>2450371322</v>
      </c>
      <c r="BN21" s="768">
        <f t="shared" si="4"/>
        <v>0</v>
      </c>
      <c r="BO21" s="768">
        <f t="shared" si="5"/>
        <v>152726972</v>
      </c>
      <c r="BP21" s="766"/>
      <c r="BQ21" s="768">
        <f t="shared" si="6"/>
        <v>0</v>
      </c>
      <c r="BR21" s="768">
        <f t="shared" si="7"/>
        <v>0</v>
      </c>
      <c r="BS21" s="768">
        <f t="shared" si="8"/>
        <v>0</v>
      </c>
      <c r="BT21" s="768">
        <f t="shared" si="9"/>
        <v>380001</v>
      </c>
      <c r="BU21" s="766"/>
      <c r="BV21" s="768">
        <f t="shared" si="10"/>
        <v>0</v>
      </c>
      <c r="BW21" s="768">
        <f t="shared" si="11"/>
        <v>78282827</v>
      </c>
      <c r="BX21" s="768">
        <f t="shared" si="12"/>
        <v>2811473154</v>
      </c>
      <c r="BY21" s="768">
        <f t="shared" si="13"/>
        <v>0</v>
      </c>
      <c r="BZ21" s="766"/>
      <c r="CA21" s="768">
        <f t="shared" si="14"/>
        <v>0</v>
      </c>
      <c r="CB21" s="768">
        <f t="shared" si="15"/>
        <v>0</v>
      </c>
      <c r="CC21" s="768">
        <f t="shared" si="16"/>
        <v>573037500</v>
      </c>
      <c r="CD21" s="768">
        <f t="shared" si="17"/>
        <v>2271321</v>
      </c>
      <c r="CE21" s="766"/>
      <c r="CF21" s="768">
        <f t="shared" si="18"/>
        <v>0</v>
      </c>
      <c r="CG21" s="768">
        <f t="shared" si="19"/>
        <v>0</v>
      </c>
      <c r="CH21" s="768">
        <f t="shared" si="20"/>
        <v>0</v>
      </c>
      <c r="CI21" s="768">
        <f t="shared" si="21"/>
        <v>0</v>
      </c>
      <c r="CJ21" s="766"/>
      <c r="CK21" s="768">
        <f t="shared" si="22"/>
        <v>0</v>
      </c>
      <c r="CL21" s="768">
        <f t="shared" si="23"/>
        <v>0</v>
      </c>
      <c r="CM21" s="768">
        <f t="shared" si="24"/>
        <v>0</v>
      </c>
      <c r="CN21" s="768">
        <f t="shared" si="25"/>
        <v>0</v>
      </c>
      <c r="CP21" s="768">
        <f t="shared" si="26"/>
        <v>0</v>
      </c>
      <c r="CQ21" s="768">
        <f t="shared" si="26"/>
        <v>2528654149</v>
      </c>
      <c r="CR21" s="768">
        <f t="shared" si="26"/>
        <v>3384510654</v>
      </c>
      <c r="CS21" s="768">
        <f t="shared" si="26"/>
        <v>155378294</v>
      </c>
      <c r="CT21" s="770"/>
      <c r="CU21" s="768">
        <f>-SUMIFS('1.DC_Ra soat'!$L:$L,'1.DC_Ra soat'!$F:$F,'1.PL (VND) '!CU$4,'1.DC_Ra soat'!$H:$H,'1.PL (VND) '!$C21)+SUMIFS('1.DC_Ra soat'!$L:$L,'1.DC_Ra soat'!$F:$F,'1.PL (VND) '!CU$4,'1.DC_Ra soat'!$I:$I,'1.PL (VND) '!$C21)</f>
        <v>0</v>
      </c>
      <c r="CV21" s="768">
        <f>-SUMIFS('1.DC_Ra soat'!$L:$L,'1.DC_Ra soat'!$F:$F,'1.PL (VND) '!CV$4,'1.DC_Ra soat'!$H:$H,'1.PL (VND) '!$C21)+SUMIFS('1.DC_Ra soat'!$L:$L,'1.DC_Ra soat'!$F:$F,'1.PL (VND) '!CV$4,'1.DC_Ra soat'!$I:$I,'1.PL (VND) '!$C21)</f>
        <v>0</v>
      </c>
      <c r="CW21" s="768">
        <f>-SUMIFS('1.DC_Ra soat'!$L:$L,'1.DC_Ra soat'!$F:$F,'1.PL (VND) '!CW$4,'1.DC_Ra soat'!$H:$H,'1.PL (VND) '!$C21)+SUMIFS('1.DC_Ra soat'!$L:$L,'1.DC_Ra soat'!$F:$F,'1.PL (VND) '!CW$4,'1.DC_Ra soat'!$I:$I,'1.PL (VND) '!$C21)</f>
        <v>0</v>
      </c>
      <c r="CX21" s="768">
        <f>-SUMIFS('1.DC_Ra soat'!$L:$L,'1.DC_Ra soat'!$F:$F,'1.PL (VND) '!CX$4,'1.DC_Ra soat'!$H:$H,'1.PL (VND) '!$C21)+SUMIFS('1.DC_Ra soat'!$L:$L,'1.DC_Ra soat'!$F:$F,'1.PL (VND) '!CX$4,'1.DC_Ra soat'!$I:$I,'1.PL (VND) '!$C21)</f>
        <v>0</v>
      </c>
      <c r="CY21" s="770"/>
      <c r="CZ21" s="768">
        <f t="shared" si="27"/>
        <v>0</v>
      </c>
      <c r="DA21" s="768">
        <f t="shared" si="28"/>
        <v>2528654149</v>
      </c>
      <c r="DB21" s="768">
        <f t="shared" si="29"/>
        <v>3384510654</v>
      </c>
      <c r="DC21" s="768">
        <f t="shared" si="30"/>
        <v>155378294</v>
      </c>
      <c r="DG21" s="770"/>
    </row>
    <row r="22" spans="2:111" s="447" customFormat="1" ht="15.75" x14ac:dyDescent="0.25">
      <c r="B22" s="794" t="s">
        <v>628</v>
      </c>
      <c r="C22" s="795" t="s">
        <v>287</v>
      </c>
      <c r="D22" s="443">
        <f>D20-D21</f>
        <v>106425000</v>
      </c>
      <c r="E22" s="443">
        <f>E20-E21</f>
        <v>-673424563</v>
      </c>
      <c r="F22" s="443">
        <f>F20-F21</f>
        <v>106250000</v>
      </c>
      <c r="G22" s="796">
        <f>G20-G21</f>
        <v>-128974437</v>
      </c>
      <c r="H22" s="780"/>
      <c r="I22" s="443">
        <f>I20-I21</f>
        <v>0</v>
      </c>
      <c r="J22" s="443">
        <f>J20-J21</f>
        <v>3300000</v>
      </c>
      <c r="K22" s="443">
        <f>K20-K21</f>
        <v>0</v>
      </c>
      <c r="L22" s="443">
        <f>L20-L21</f>
        <v>1724999</v>
      </c>
      <c r="M22" s="780"/>
      <c r="N22" s="443">
        <f>N20-N21</f>
        <v>0</v>
      </c>
      <c r="O22" s="443">
        <f>O20-O21</f>
        <v>103552835</v>
      </c>
      <c r="P22" s="443">
        <f>P20-P21</f>
        <v>6323142</v>
      </c>
      <c r="Q22" s="443">
        <f>Q20-Q21</f>
        <v>4800001</v>
      </c>
      <c r="R22" s="780"/>
      <c r="S22" s="443">
        <f>S20-S21</f>
        <v>0</v>
      </c>
      <c r="T22" s="443">
        <f>T20-T21</f>
        <v>0</v>
      </c>
      <c r="U22" s="443">
        <f>U20-U21</f>
        <v>-387852315</v>
      </c>
      <c r="V22" s="443">
        <f>V20-V21</f>
        <v>-2271321</v>
      </c>
      <c r="W22" s="780"/>
      <c r="X22" s="443">
        <f>X20-X21</f>
        <v>0</v>
      </c>
      <c r="Y22" s="443">
        <f>Y20-Y21</f>
        <v>0</v>
      </c>
      <c r="Z22" s="443">
        <f>Z20-Z21</f>
        <v>0</v>
      </c>
      <c r="AA22" s="443">
        <f>AA20-AA21</f>
        <v>0</v>
      </c>
      <c r="AB22" s="780"/>
      <c r="AC22" s="443">
        <f>AC20-AC21</f>
        <v>0</v>
      </c>
      <c r="AD22" s="443">
        <f>AD20-AD21</f>
        <v>0</v>
      </c>
      <c r="AE22" s="443">
        <f>AE20-AE21</f>
        <v>0</v>
      </c>
      <c r="AF22" s="443">
        <f>AF20-AF21</f>
        <v>0</v>
      </c>
      <c r="AH22" s="443">
        <f>AH20-AH21</f>
        <v>0</v>
      </c>
      <c r="AI22" s="443">
        <f>AI20-AI21</f>
        <v>0</v>
      </c>
      <c r="AJ22" s="443">
        <f>AJ20-AJ21</f>
        <v>0</v>
      </c>
      <c r="AK22" s="443">
        <f>AK20-AK21</f>
        <v>0</v>
      </c>
      <c r="AL22" s="780"/>
      <c r="AM22" s="443">
        <f>AM20-AM21</f>
        <v>0</v>
      </c>
      <c r="AN22" s="443">
        <f>AN20-AN21</f>
        <v>0</v>
      </c>
      <c r="AO22" s="443">
        <f>AO20-AO21</f>
        <v>0</v>
      </c>
      <c r="AP22" s="443">
        <f>AP20-AP21</f>
        <v>0</v>
      </c>
      <c r="AQ22" s="780"/>
      <c r="AR22" s="443">
        <f>AR20-AR21</f>
        <v>0</v>
      </c>
      <c r="AS22" s="443">
        <f>AS20-AS21</f>
        <v>0</v>
      </c>
      <c r="AT22" s="443">
        <f>AT20-AT21</f>
        <v>0</v>
      </c>
      <c r="AU22" s="443">
        <f>AU20-AU21</f>
        <v>0</v>
      </c>
      <c r="AV22" s="780"/>
      <c r="AW22" s="443">
        <f>AW20-AW21</f>
        <v>0</v>
      </c>
      <c r="AX22" s="443">
        <f>AX20-AX21</f>
        <v>0</v>
      </c>
      <c r="AY22" s="443">
        <f>AY20-AY21</f>
        <v>0</v>
      </c>
      <c r="AZ22" s="443">
        <f>AZ20-AZ21</f>
        <v>0</v>
      </c>
      <c r="BA22" s="780"/>
      <c r="BB22" s="443">
        <f>BB20-BB21</f>
        <v>0</v>
      </c>
      <c r="BC22" s="443">
        <f>BC20-BC21</f>
        <v>0</v>
      </c>
      <c r="BD22" s="443">
        <f>BD20-BD21</f>
        <v>0</v>
      </c>
      <c r="BE22" s="443"/>
      <c r="BF22" s="780"/>
      <c r="BG22" s="443">
        <f>BG20-BG21</f>
        <v>0</v>
      </c>
      <c r="BH22" s="443">
        <f>BH20-BH21</f>
        <v>0</v>
      </c>
      <c r="BI22" s="443">
        <f>BI20-BI21</f>
        <v>0</v>
      </c>
      <c r="BJ22" s="443"/>
      <c r="BL22" s="439">
        <f t="shared" si="2"/>
        <v>106425000</v>
      </c>
      <c r="BM22" s="439">
        <f t="shared" si="3"/>
        <v>-673424563</v>
      </c>
      <c r="BN22" s="439">
        <f t="shared" si="4"/>
        <v>106250000</v>
      </c>
      <c r="BO22" s="439">
        <f t="shared" si="5"/>
        <v>-128974437</v>
      </c>
      <c r="BP22" s="780"/>
      <c r="BQ22" s="439">
        <f t="shared" si="6"/>
        <v>0</v>
      </c>
      <c r="BR22" s="439">
        <f t="shared" si="7"/>
        <v>3300000</v>
      </c>
      <c r="BS22" s="439">
        <f t="shared" si="8"/>
        <v>0</v>
      </c>
      <c r="BT22" s="439">
        <f t="shared" si="9"/>
        <v>1724999</v>
      </c>
      <c r="BU22" s="780"/>
      <c r="BV22" s="439">
        <f t="shared" si="10"/>
        <v>0</v>
      </c>
      <c r="BW22" s="439">
        <f t="shared" si="11"/>
        <v>103552835</v>
      </c>
      <c r="BX22" s="439">
        <f t="shared" si="12"/>
        <v>6323142</v>
      </c>
      <c r="BY22" s="439">
        <f t="shared" si="13"/>
        <v>4800001</v>
      </c>
      <c r="BZ22" s="780"/>
      <c r="CA22" s="439">
        <f t="shared" si="14"/>
        <v>0</v>
      </c>
      <c r="CB22" s="439">
        <f t="shared" si="15"/>
        <v>0</v>
      </c>
      <c r="CC22" s="439">
        <f t="shared" si="16"/>
        <v>-387852315</v>
      </c>
      <c r="CD22" s="439">
        <f t="shared" si="17"/>
        <v>-2271321</v>
      </c>
      <c r="CE22" s="780"/>
      <c r="CF22" s="439">
        <f t="shared" si="18"/>
        <v>0</v>
      </c>
      <c r="CG22" s="439">
        <f t="shared" si="19"/>
        <v>0</v>
      </c>
      <c r="CH22" s="439">
        <f t="shared" si="20"/>
        <v>0</v>
      </c>
      <c r="CI22" s="439">
        <f t="shared" si="21"/>
        <v>0</v>
      </c>
      <c r="CJ22" s="780"/>
      <c r="CK22" s="439">
        <f t="shared" si="22"/>
        <v>0</v>
      </c>
      <c r="CL22" s="439">
        <f t="shared" si="23"/>
        <v>0</v>
      </c>
      <c r="CM22" s="439">
        <f t="shared" si="24"/>
        <v>0</v>
      </c>
      <c r="CN22" s="439">
        <f t="shared" si="25"/>
        <v>0</v>
      </c>
      <c r="CP22" s="443">
        <f t="shared" si="26"/>
        <v>106425000</v>
      </c>
      <c r="CQ22" s="443">
        <f t="shared" si="26"/>
        <v>-566571728</v>
      </c>
      <c r="CR22" s="443">
        <f t="shared" si="26"/>
        <v>-275279173</v>
      </c>
      <c r="CS22" s="443">
        <f t="shared" si="26"/>
        <v>-124720758</v>
      </c>
      <c r="CT22" s="440"/>
      <c r="CU22" s="443">
        <f>CU20-CU21</f>
        <v>0</v>
      </c>
      <c r="CV22" s="443">
        <f>CV20-CV21</f>
        <v>0</v>
      </c>
      <c r="CW22" s="443">
        <f>CW20-CW21</f>
        <v>0</v>
      </c>
      <c r="CX22" s="443">
        <f>CX20-CX21</f>
        <v>0</v>
      </c>
      <c r="CY22" s="440"/>
      <c r="CZ22" s="443">
        <f t="shared" si="27"/>
        <v>106425000</v>
      </c>
      <c r="DA22" s="443">
        <f t="shared" si="28"/>
        <v>-566571728</v>
      </c>
      <c r="DB22" s="443">
        <f t="shared" si="29"/>
        <v>-275279173</v>
      </c>
      <c r="DC22" s="443">
        <f t="shared" si="30"/>
        <v>-124720758</v>
      </c>
      <c r="DG22" s="440"/>
    </row>
    <row r="23" spans="2:111" s="447" customFormat="1" ht="15.75" x14ac:dyDescent="0.25">
      <c r="B23" s="775" t="s">
        <v>629</v>
      </c>
      <c r="C23" s="776" t="s">
        <v>288</v>
      </c>
      <c r="D23" s="777">
        <f>D19+D22</f>
        <v>79877435</v>
      </c>
      <c r="E23" s="777">
        <f>E19+E22</f>
        <v>170880759</v>
      </c>
      <c r="F23" s="777">
        <f>F19+F22</f>
        <v>838371400</v>
      </c>
      <c r="G23" s="787">
        <f>G19+G22</f>
        <v>9250636112</v>
      </c>
      <c r="H23" s="780"/>
      <c r="I23" s="777">
        <f>I19+I22</f>
        <v>-1009698</v>
      </c>
      <c r="J23" s="777">
        <f>J19+J22</f>
        <v>209281598</v>
      </c>
      <c r="K23" s="777">
        <f>K19+K22</f>
        <v>-5280865421</v>
      </c>
      <c r="L23" s="777">
        <f>L19+L22</f>
        <v>30502192823</v>
      </c>
      <c r="M23" s="780"/>
      <c r="N23" s="443">
        <f>N19+N22</f>
        <v>18676515</v>
      </c>
      <c r="O23" s="443">
        <f>O19+O22</f>
        <v>77082086</v>
      </c>
      <c r="P23" s="443">
        <f>P19+P22</f>
        <v>36434237</v>
      </c>
      <c r="Q23" s="443">
        <f>Q19+Q22</f>
        <v>-3469627273</v>
      </c>
      <c r="R23" s="780"/>
      <c r="S23" s="443">
        <f>S19+S22</f>
        <v>-305983609</v>
      </c>
      <c r="T23" s="443">
        <f>T19+T22</f>
        <v>24373420</v>
      </c>
      <c r="U23" s="443">
        <f>U19+U22</f>
        <v>-1936838870</v>
      </c>
      <c r="V23" s="443">
        <f>V19+V22</f>
        <v>-1976911272</v>
      </c>
      <c r="W23" s="780"/>
      <c r="X23" s="443">
        <f>X19+X22</f>
        <v>0</v>
      </c>
      <c r="Y23" s="443">
        <f>Y19+Y22</f>
        <v>0</v>
      </c>
      <c r="Z23" s="443">
        <f>Z19+Z22</f>
        <v>0</v>
      </c>
      <c r="AA23" s="443">
        <f>AA19+AA22</f>
        <v>0</v>
      </c>
      <c r="AB23" s="780"/>
      <c r="AC23" s="443">
        <f>AC19+AC22</f>
        <v>0</v>
      </c>
      <c r="AD23" s="443">
        <f>AD19+AD22</f>
        <v>0</v>
      </c>
      <c r="AE23" s="443">
        <f>AE19+AE22</f>
        <v>0</v>
      </c>
      <c r="AF23" s="443">
        <f>AF19+AF22</f>
        <v>0</v>
      </c>
      <c r="AH23" s="443">
        <f>AH19+AH22</f>
        <v>0</v>
      </c>
      <c r="AI23" s="443">
        <f>AI19+AI22</f>
        <v>0</v>
      </c>
      <c r="AJ23" s="443">
        <f>AJ19+AJ22</f>
        <v>-10749717626</v>
      </c>
      <c r="AK23" s="443">
        <f>AK19+AK22</f>
        <v>-4623603888</v>
      </c>
      <c r="AL23" s="780"/>
      <c r="AM23" s="443">
        <f>AM19+AM22</f>
        <v>0</v>
      </c>
      <c r="AN23" s="443">
        <f>AN19+AN22</f>
        <v>0</v>
      </c>
      <c r="AO23" s="443">
        <f>AO19+AO22</f>
        <v>-741540549</v>
      </c>
      <c r="AP23" s="443">
        <f>AP19+AP22</f>
        <v>0</v>
      </c>
      <c r="AQ23" s="780"/>
      <c r="AR23" s="443">
        <f>AR19+AR22</f>
        <v>0</v>
      </c>
      <c r="AS23" s="443">
        <f>AS19+AS22</f>
        <v>0</v>
      </c>
      <c r="AT23" s="443">
        <f>AT19+AT22</f>
        <v>0</v>
      </c>
      <c r="AU23" s="443">
        <f>AU19+AU22</f>
        <v>-4950000000</v>
      </c>
      <c r="AV23" s="780"/>
      <c r="AW23" s="443">
        <f>AW19+AW22</f>
        <v>0</v>
      </c>
      <c r="AX23" s="443">
        <f>AX19+AX22</f>
        <v>0</v>
      </c>
      <c r="AY23" s="443">
        <f>AY19+AY22</f>
        <v>-1262355349</v>
      </c>
      <c r="AZ23" s="443">
        <f>AZ19+AZ22</f>
        <v>-5000000000</v>
      </c>
      <c r="BA23" s="780"/>
      <c r="BB23" s="443">
        <f>BB19+BB22</f>
        <v>0</v>
      </c>
      <c r="BC23" s="443">
        <f>BC19+BC22</f>
        <v>0</v>
      </c>
      <c r="BD23" s="443">
        <f>BD19+BD22</f>
        <v>0</v>
      </c>
      <c r="BE23" s="443"/>
      <c r="BF23" s="780"/>
      <c r="BG23" s="443">
        <f>BG19+BG22</f>
        <v>0</v>
      </c>
      <c r="BH23" s="443">
        <f>BH19+BH22</f>
        <v>0</v>
      </c>
      <c r="BI23" s="443">
        <f>BI19+BI22</f>
        <v>0</v>
      </c>
      <c r="BJ23" s="443"/>
      <c r="BL23" s="439">
        <f t="shared" si="2"/>
        <v>79877435</v>
      </c>
      <c r="BM23" s="439">
        <f t="shared" si="3"/>
        <v>170880759</v>
      </c>
      <c r="BN23" s="439">
        <f t="shared" si="4"/>
        <v>-9911346226</v>
      </c>
      <c r="BO23" s="439">
        <f t="shared" si="5"/>
        <v>4627032224</v>
      </c>
      <c r="BP23" s="780"/>
      <c r="BQ23" s="439">
        <f t="shared" si="6"/>
        <v>-1009698</v>
      </c>
      <c r="BR23" s="439">
        <f t="shared" si="7"/>
        <v>209281598</v>
      </c>
      <c r="BS23" s="439">
        <f t="shared" si="8"/>
        <v>-6022405970</v>
      </c>
      <c r="BT23" s="439">
        <f t="shared" si="9"/>
        <v>30502192823</v>
      </c>
      <c r="BU23" s="780"/>
      <c r="BV23" s="439">
        <f t="shared" si="10"/>
        <v>18676515</v>
      </c>
      <c r="BW23" s="439">
        <f t="shared" si="11"/>
        <v>77082086</v>
      </c>
      <c r="BX23" s="439">
        <f t="shared" si="12"/>
        <v>36434237</v>
      </c>
      <c r="BY23" s="439">
        <f t="shared" si="13"/>
        <v>-8419627273</v>
      </c>
      <c r="BZ23" s="780"/>
      <c r="CA23" s="439">
        <f t="shared" si="14"/>
        <v>-305983609</v>
      </c>
      <c r="CB23" s="439">
        <f t="shared" si="15"/>
        <v>24373420</v>
      </c>
      <c r="CC23" s="439">
        <f t="shared" si="16"/>
        <v>-3199194219</v>
      </c>
      <c r="CD23" s="439">
        <f t="shared" si="17"/>
        <v>-6976911272</v>
      </c>
      <c r="CE23" s="780"/>
      <c r="CF23" s="439">
        <f t="shared" si="18"/>
        <v>0</v>
      </c>
      <c r="CG23" s="439">
        <f t="shared" si="19"/>
        <v>0</v>
      </c>
      <c r="CH23" s="439">
        <f t="shared" si="20"/>
        <v>0</v>
      </c>
      <c r="CI23" s="439">
        <f t="shared" si="21"/>
        <v>0</v>
      </c>
      <c r="CJ23" s="780"/>
      <c r="CK23" s="439">
        <f t="shared" si="22"/>
        <v>0</v>
      </c>
      <c r="CL23" s="439">
        <f t="shared" si="23"/>
        <v>0</v>
      </c>
      <c r="CM23" s="439">
        <f t="shared" si="24"/>
        <v>0</v>
      </c>
      <c r="CN23" s="439">
        <f t="shared" si="25"/>
        <v>0</v>
      </c>
      <c r="CP23" s="443">
        <f t="shared" si="26"/>
        <v>-208439357</v>
      </c>
      <c r="CQ23" s="443">
        <f t="shared" si="26"/>
        <v>481617863</v>
      </c>
      <c r="CR23" s="443">
        <f t="shared" si="26"/>
        <v>-19096512178</v>
      </c>
      <c r="CS23" s="443">
        <f t="shared" si="26"/>
        <v>19732686502</v>
      </c>
      <c r="CT23" s="440"/>
      <c r="CU23" s="443">
        <f>CU19+CU22</f>
        <v>0</v>
      </c>
      <c r="CV23" s="443">
        <f>CV19+CV22</f>
        <v>0</v>
      </c>
      <c r="CW23" s="443">
        <f>CW19+CW22</f>
        <v>0</v>
      </c>
      <c r="CX23" s="443">
        <f>CX19+CX22</f>
        <v>0</v>
      </c>
      <c r="CY23" s="440"/>
      <c r="CZ23" s="443">
        <f t="shared" si="27"/>
        <v>-208439357</v>
      </c>
      <c r="DA23" s="443">
        <f t="shared" si="28"/>
        <v>481617863</v>
      </c>
      <c r="DB23" s="443">
        <f t="shared" si="29"/>
        <v>-19096512178</v>
      </c>
      <c r="DC23" s="443">
        <f t="shared" si="30"/>
        <v>19732686502</v>
      </c>
      <c r="DG23" s="440"/>
    </row>
    <row r="24" spans="2:111" s="769" customFormat="1" ht="15.75" x14ac:dyDescent="0.25">
      <c r="B24" s="793" t="s">
        <v>630</v>
      </c>
      <c r="C24" s="783" t="s">
        <v>289</v>
      </c>
      <c r="D24" s="784">
        <v>15975487</v>
      </c>
      <c r="E24" s="772">
        <v>34176152</v>
      </c>
      <c r="F24" s="772">
        <v>28102224</v>
      </c>
      <c r="G24" s="773">
        <v>1850127222.4000001</v>
      </c>
      <c r="H24" s="766"/>
      <c r="I24" s="768"/>
      <c r="J24" s="768"/>
      <c r="K24" s="768"/>
      <c r="L24" s="768">
        <v>6148558564.6000004</v>
      </c>
      <c r="M24" s="766"/>
      <c r="N24" s="768">
        <v>2614712</v>
      </c>
      <c r="O24" s="768">
        <v>10791492</v>
      </c>
      <c r="P24" s="768">
        <v>7286847</v>
      </c>
      <c r="Q24" s="768">
        <v>0</v>
      </c>
      <c r="R24" s="766"/>
      <c r="S24" s="768"/>
      <c r="T24" s="768">
        <v>3412279</v>
      </c>
      <c r="U24" s="768"/>
      <c r="V24" s="768">
        <v>2271321</v>
      </c>
      <c r="W24" s="766"/>
      <c r="X24" s="768"/>
      <c r="Y24" s="768"/>
      <c r="Z24" s="768"/>
      <c r="AA24" s="768"/>
      <c r="AB24" s="766"/>
      <c r="AC24" s="768"/>
      <c r="AD24" s="768">
        <v>0</v>
      </c>
      <c r="AE24" s="768">
        <v>0</v>
      </c>
      <c r="AF24" s="768"/>
      <c r="AH24" s="768">
        <f>SUMIFS('1.DC_Ra soat'!$L:$L,'1.DC_Ra soat'!$F:$F,'1.PL (VND) '!AH$4,'1.DC_Ra soat'!$H:$H,'1.PL (VND) '!$C24)-SUMIFS('1.DC_Ra soat'!$L:$L,'1.DC_Ra soat'!$F:$F,'1.PL (VND) '!AH$4,'1.DC_Ra soat'!$I:$I,'1.PL (VND) '!$C24)</f>
        <v>0</v>
      </c>
      <c r="AI24" s="768">
        <f>SUMIFS('1.DC_Ra soat'!$L:$L,'1.DC_Ra soat'!$F:$F,'1.PL (VND) '!AI$4,'1.DC_Ra soat'!$H:$H,'1.PL (VND) '!$C24)-SUMIFS('1.DC_Ra soat'!$L:$L,'1.DC_Ra soat'!$F:$F,'1.PL (VND) '!AI$4,'1.DC_Ra soat'!$I:$I,'1.PL (VND) '!$C24)</f>
        <v>0</v>
      </c>
      <c r="AJ24" s="768">
        <f>SUMIFS('1.DC_Ra soat'!$L:$L,'1.DC_Ra soat'!$F:$F,'1.PL (VND) '!AJ$4,'1.DC_Ra soat'!$H:$H,'1.PL (VND) '!$C24)-SUMIFS('1.DC_Ra soat'!$L:$L,'1.DC_Ra soat'!$F:$F,'1.PL (VND) '!AJ$4,'1.DC_Ra soat'!$I:$I,'1.PL (VND) '!$C24)</f>
        <v>0</v>
      </c>
      <c r="AK24" s="768">
        <f>SUMIFS('1.DC_Ra soat'!$L:$L,'1.DC_Ra soat'!$F:$F,'1.PL (VND) '!AK$4,'1.DC_Ra soat'!$H:$H,'1.PL (VND) '!$C24)-SUMIFS('1.DC_Ra soat'!$L:$L,'1.DC_Ra soat'!$F:$F,'1.PL (VND) '!AK$4,'1.DC_Ra soat'!$I:$I,'1.PL (VND) '!$C24)</f>
        <v>0</v>
      </c>
      <c r="AL24" s="766"/>
      <c r="AM24" s="768">
        <f>SUMIFS('1.DC_Ra soat'!$L:$L,'1.DC_Ra soat'!$F:$F,'1.PL (VND) '!AM$4,'1.DC_Ra soat'!$H:$H,'1.PL (VND) '!$C24)-SUMIFS('1.DC_Ra soat'!$L:$L,'1.DC_Ra soat'!$F:$F,'1.PL (VND) '!AM$4,'1.DC_Ra soat'!$I:$I,'1.PL (VND) '!$C24)</f>
        <v>0</v>
      </c>
      <c r="AN24" s="768">
        <f>SUMIFS('1.DC_Ra soat'!$L:$L,'1.DC_Ra soat'!$F:$F,'1.PL (VND) '!AN$4,'1.DC_Ra soat'!$H:$H,'1.PL (VND) '!$C24)-SUMIFS('1.DC_Ra soat'!$L:$L,'1.DC_Ra soat'!$F:$F,'1.PL (VND) '!AN$4,'1.DC_Ra soat'!$I:$I,'1.PL (VND) '!$C24)</f>
        <v>0</v>
      </c>
      <c r="AO24" s="768">
        <f>SUMIFS('1.DC_Ra soat'!$L:$L,'1.DC_Ra soat'!$F:$F,'1.PL (VND) '!AO$4,'1.DC_Ra soat'!$H:$H,'1.PL (VND) '!$C24)-SUMIFS('1.DC_Ra soat'!$L:$L,'1.DC_Ra soat'!$F:$F,'1.PL (VND) '!AO$4,'1.DC_Ra soat'!$I:$I,'1.PL (VND) '!$C24)</f>
        <v>0</v>
      </c>
      <c r="AP24" s="768">
        <f>SUMIFS('1.DC_Ra soat'!$L:$L,'1.DC_Ra soat'!$F:$F,'1.PL (VND) '!AP$4,'1.DC_Ra soat'!$H:$H,'1.PL (VND) '!$C24)-SUMIFS('1.DC_Ra soat'!$L:$L,'1.DC_Ra soat'!$F:$F,'1.PL (VND) '!AP$4,'1.DC_Ra soat'!$I:$I,'1.PL (VND) '!$C24)</f>
        <v>0</v>
      </c>
      <c r="AQ24" s="766"/>
      <c r="AR24" s="768">
        <f>SUMIFS('1.DC_Ra soat'!$L:$L,'1.DC_Ra soat'!$F:$F,'1.PL (VND) '!AR$4,'1.DC_Ra soat'!$H:$H,'1.PL (VND) '!$C24)-SUMIFS('1.DC_Ra soat'!$L:$L,'1.DC_Ra soat'!$F:$F,'1.PL (VND) '!AR$4,'1.DC_Ra soat'!$I:$I,'1.PL (VND) '!$C24)</f>
        <v>0</v>
      </c>
      <c r="AS24" s="768">
        <f>SUMIFS('1.DC_Ra soat'!$L:$L,'1.DC_Ra soat'!$F:$F,'1.PL (VND) '!AS$4,'1.DC_Ra soat'!$H:$H,'1.PL (VND) '!$C24)-SUMIFS('1.DC_Ra soat'!$L:$L,'1.DC_Ra soat'!$F:$F,'1.PL (VND) '!AS$4,'1.DC_Ra soat'!$I:$I,'1.PL (VND) '!$C24)</f>
        <v>0</v>
      </c>
      <c r="AT24" s="768">
        <f>SUMIFS('1.DC_Ra soat'!$L:$L,'1.DC_Ra soat'!$F:$F,'1.PL (VND) '!AT$4,'1.DC_Ra soat'!$H:$H,'1.PL (VND) '!$C24)-SUMIFS('1.DC_Ra soat'!$L:$L,'1.DC_Ra soat'!$F:$F,'1.PL (VND) '!AT$4,'1.DC_Ra soat'!$I:$I,'1.PL (VND) '!$C24)</f>
        <v>0</v>
      </c>
      <c r="AU24" s="768">
        <f>SUMIFS('1.DC_Ra soat'!$L:$L,'1.DC_Ra soat'!$F:$F,'1.PL (VND) '!AU$4,'1.DC_Ra soat'!$H:$H,'1.PL (VND) '!$C24)-SUMIFS('1.DC_Ra soat'!$L:$L,'1.DC_Ra soat'!$F:$F,'1.PL (VND) '!AU$4,'1.DC_Ra soat'!$I:$I,'1.PL (VND) '!$C24)</f>
        <v>0</v>
      </c>
      <c r="AV24" s="766"/>
      <c r="AW24" s="768">
        <f>SUMIFS('1.DC_Ra soat'!$L:$L,'1.DC_Ra soat'!$F:$F,'1.PL (VND) '!AW$4,'1.DC_Ra soat'!$H:$H,'1.PL (VND) '!$C24)-SUMIFS('1.DC_Ra soat'!$L:$L,'1.DC_Ra soat'!$F:$F,'1.PL (VND) '!AW$4,'1.DC_Ra soat'!$I:$I,'1.PL (VND) '!$C24)</f>
        <v>0</v>
      </c>
      <c r="AX24" s="768">
        <f>SUMIFS('1.DC_Ra soat'!$L:$L,'1.DC_Ra soat'!$F:$F,'1.PL (VND) '!AX$4,'1.DC_Ra soat'!$H:$H,'1.PL (VND) '!$C24)-SUMIFS('1.DC_Ra soat'!$L:$L,'1.DC_Ra soat'!$F:$F,'1.PL (VND) '!AX$4,'1.DC_Ra soat'!$I:$I,'1.PL (VND) '!$C24)</f>
        <v>0</v>
      </c>
      <c r="AY24" s="768">
        <f>SUMIFS('1.DC_Ra soat'!$L:$L,'1.DC_Ra soat'!$F:$F,'1.PL (VND) '!AY$4,'1.DC_Ra soat'!$H:$H,'1.PL (VND) '!$C24)-SUMIFS('1.DC_Ra soat'!$L:$L,'1.DC_Ra soat'!$F:$F,'1.PL (VND) '!AY$4,'1.DC_Ra soat'!$I:$I,'1.PL (VND) '!$C24)</f>
        <v>0</v>
      </c>
      <c r="AZ24" s="768">
        <f>SUMIFS('1.DC_Ra soat'!$L:$L,'1.DC_Ra soat'!$F:$F,'1.PL (VND) '!AZ$4,'1.DC_Ra soat'!$H:$H,'1.PL (VND) '!$C24)-SUMIFS('1.DC_Ra soat'!$L:$L,'1.DC_Ra soat'!$F:$F,'1.PL (VND) '!AZ$4,'1.DC_Ra soat'!$I:$I,'1.PL (VND) '!$C24)</f>
        <v>0</v>
      </c>
      <c r="BA24" s="766"/>
      <c r="BB24" s="768">
        <f>SUMIFS('1.DC_Ra soat'!$L:$L,'1.DC_Ra soat'!$F:$F,'1.PL (VND) '!BB$4,'1.DC_Ra soat'!$H:$H,'1.PL (VND) '!$C24)-SUMIFS('1.DC_Ra soat'!$L:$L,'1.DC_Ra soat'!$F:$F,'1.PL (VND) '!BB$4,'1.DC_Ra soat'!$I:$I,'1.PL (VND) '!$C24)</f>
        <v>0</v>
      </c>
      <c r="BC24" s="768">
        <f>SUMIFS('1.DC_Ra soat'!$L:$L,'1.DC_Ra soat'!$F:$F,'1.PL (VND) '!BC$4,'1.DC_Ra soat'!$H:$H,'1.PL (VND) '!$C24)-SUMIFS('1.DC_Ra soat'!$L:$L,'1.DC_Ra soat'!$F:$F,'1.PL (VND) '!BC$4,'1.DC_Ra soat'!$I:$I,'1.PL (VND) '!$C24)</f>
        <v>0</v>
      </c>
      <c r="BD24" s="768">
        <f>SUMIFS('1.DC_Ra soat'!$L:$L,'1.DC_Ra soat'!$F:$F,'1.PL (VND) '!BD$4,'1.DC_Ra soat'!$H:$H,'1.PL (VND) '!$C24)-SUMIFS('1.DC_Ra soat'!$L:$L,'1.DC_Ra soat'!$F:$F,'1.PL (VND) '!BD$4,'1.DC_Ra soat'!$I:$I,'1.PL (VND) '!$C24)</f>
        <v>0</v>
      </c>
      <c r="BE24" s="768">
        <f>SUMIFS('1.DC_Ra soat'!$L:$L,'1.DC_Ra soat'!$F:$F,'1.PL (VND) '!BE$4,'1.DC_Ra soat'!$H:$H,'1.PL (VND) '!$C24)-SUMIFS('1.DC_Ra soat'!$L:$L,'1.DC_Ra soat'!$F:$F,'1.PL (VND) '!BE$4,'1.DC_Ra soat'!$I:$I,'1.PL (VND) '!$C24)</f>
        <v>0</v>
      </c>
      <c r="BF24" s="766"/>
      <c r="BG24" s="768">
        <f>SUMIFS('1.DC_Ra soat'!$L:$L,'1.DC_Ra soat'!$F:$F,'1.PL (VND) '!BG$4,'1.DC_Ra soat'!$H:$H,'1.PL (VND) '!$C24)-SUMIFS('1.DC_Ra soat'!$L:$L,'1.DC_Ra soat'!$F:$F,'1.PL (VND) '!BG$4,'1.DC_Ra soat'!$I:$I,'1.PL (VND) '!$C24)</f>
        <v>0</v>
      </c>
      <c r="BH24" s="768">
        <f>SUMIFS('1.DC_Ra soat'!$L:$L,'1.DC_Ra soat'!$F:$F,'1.PL (VND) '!BH$4,'1.DC_Ra soat'!$H:$H,'1.PL (VND) '!$C24)-SUMIFS('1.DC_Ra soat'!$L:$L,'1.DC_Ra soat'!$F:$F,'1.PL (VND) '!BH$4,'1.DC_Ra soat'!$I:$I,'1.PL (VND) '!$C24)</f>
        <v>0</v>
      </c>
      <c r="BI24" s="768">
        <f>SUMIFS('1.DC_Ra soat'!$L:$L,'1.DC_Ra soat'!$F:$F,'1.PL (VND) '!BI$4,'1.DC_Ra soat'!$H:$H,'1.PL (VND) '!$C24)-SUMIFS('1.DC_Ra soat'!$L:$L,'1.DC_Ra soat'!$F:$F,'1.PL (VND) '!BI$4,'1.DC_Ra soat'!$I:$I,'1.PL (VND) '!$C24)</f>
        <v>0</v>
      </c>
      <c r="BJ24" s="768">
        <f>SUMIFS('1.DC_Ra soat'!$L:$L,'1.DC_Ra soat'!$F:$F,'1.PL (VND) '!BJ$4,'1.DC_Ra soat'!$H:$H,'1.PL (VND) '!$C24)-SUMIFS('1.DC_Ra soat'!$L:$L,'1.DC_Ra soat'!$F:$F,'1.PL (VND) '!BJ$4,'1.DC_Ra soat'!$I:$I,'1.PL (VND) '!$C24)</f>
        <v>0</v>
      </c>
      <c r="BL24" s="768">
        <f t="shared" si="2"/>
        <v>15975487</v>
      </c>
      <c r="BM24" s="768">
        <f t="shared" si="3"/>
        <v>34176152</v>
      </c>
      <c r="BN24" s="768">
        <f t="shared" si="4"/>
        <v>28102224</v>
      </c>
      <c r="BO24" s="768">
        <f t="shared" si="5"/>
        <v>1850127222.4000001</v>
      </c>
      <c r="BP24" s="766"/>
      <c r="BQ24" s="768">
        <f t="shared" si="6"/>
        <v>0</v>
      </c>
      <c r="BR24" s="768">
        <f t="shared" si="7"/>
        <v>0</v>
      </c>
      <c r="BS24" s="768">
        <f t="shared" si="8"/>
        <v>0</v>
      </c>
      <c r="BT24" s="768">
        <f t="shared" si="9"/>
        <v>6148558564.6000004</v>
      </c>
      <c r="BU24" s="766"/>
      <c r="BV24" s="768">
        <f t="shared" si="10"/>
        <v>2614712</v>
      </c>
      <c r="BW24" s="768">
        <f t="shared" si="11"/>
        <v>10791492</v>
      </c>
      <c r="BX24" s="768">
        <f t="shared" si="12"/>
        <v>7286847</v>
      </c>
      <c r="BY24" s="768">
        <f t="shared" si="13"/>
        <v>0</v>
      </c>
      <c r="BZ24" s="766"/>
      <c r="CA24" s="768">
        <f t="shared" si="14"/>
        <v>0</v>
      </c>
      <c r="CB24" s="768">
        <f t="shared" si="15"/>
        <v>3412279</v>
      </c>
      <c r="CC24" s="768">
        <f t="shared" si="16"/>
        <v>0</v>
      </c>
      <c r="CD24" s="768">
        <f t="shared" si="17"/>
        <v>2271321</v>
      </c>
      <c r="CE24" s="766"/>
      <c r="CF24" s="768">
        <f t="shared" si="18"/>
        <v>0</v>
      </c>
      <c r="CG24" s="768">
        <f t="shared" si="19"/>
        <v>0</v>
      </c>
      <c r="CH24" s="768">
        <f t="shared" si="20"/>
        <v>0</v>
      </c>
      <c r="CI24" s="768">
        <f t="shared" si="21"/>
        <v>0</v>
      </c>
      <c r="CJ24" s="766"/>
      <c r="CK24" s="768">
        <f t="shared" si="22"/>
        <v>0</v>
      </c>
      <c r="CL24" s="768">
        <f t="shared" si="23"/>
        <v>0</v>
      </c>
      <c r="CM24" s="768">
        <f t="shared" si="24"/>
        <v>0</v>
      </c>
      <c r="CN24" s="768">
        <f t="shared" si="25"/>
        <v>0</v>
      </c>
      <c r="CP24" s="768">
        <f t="shared" si="26"/>
        <v>18590199</v>
      </c>
      <c r="CQ24" s="768">
        <f t="shared" si="26"/>
        <v>48379923</v>
      </c>
      <c r="CR24" s="768">
        <f t="shared" si="26"/>
        <v>35389071</v>
      </c>
      <c r="CS24" s="768">
        <f>SUMIF($BL$6:$CD$6,CS$6,$BL24:$CD24)</f>
        <v>8000957108</v>
      </c>
      <c r="CT24" s="770"/>
      <c r="CU24" s="768">
        <f>-SUMIFS('1.DC_Ra soat'!$L:$L,'1.DC_Ra soat'!$F:$F,'1.PL (VND) '!CU$4,'1.DC_Ra soat'!$H:$H,'1.PL (VND) '!$C24)+SUMIFS('1.DC_Ra soat'!$L:$L,'1.DC_Ra soat'!$F:$F,'1.PL (VND) '!CU$4,'1.DC_Ra soat'!$I:$I,'1.PL (VND) '!$C24)</f>
        <v>0</v>
      </c>
      <c r="CV24" s="768">
        <f>-SUMIFS('1.DC_Ra soat'!$L:$L,'1.DC_Ra soat'!$F:$F,'1.PL (VND) '!CV$4,'1.DC_Ra soat'!$H:$H,'1.PL (VND) '!$C24)+SUMIFS('1.DC_Ra soat'!$L:$L,'1.DC_Ra soat'!$F:$F,'1.PL (VND) '!CV$4,'1.DC_Ra soat'!$I:$I,'1.PL (VND) '!$C24)</f>
        <v>0</v>
      </c>
      <c r="CW24" s="768">
        <f>-SUMIFS('1.DC_Ra soat'!$L:$L,'1.DC_Ra soat'!$F:$F,'1.PL (VND) '!CW$4,'1.DC_Ra soat'!$H:$H,'1.PL (VND) '!$C24)+SUMIFS('1.DC_Ra soat'!$L:$L,'1.DC_Ra soat'!$F:$F,'1.PL (VND) '!CW$4,'1.DC_Ra soat'!$I:$I,'1.PL (VND) '!$C24)</f>
        <v>0</v>
      </c>
      <c r="CX24" s="768">
        <f>-SUMIFS('1.DC_Ra soat'!$L:$L,'1.DC_Ra soat'!$F:$F,'1.PL (VND) '!CX$4,'1.DC_Ra soat'!$H:$H,'1.PL (VND) '!$C24)+SUMIFS('1.DC_Ra soat'!$L:$L,'1.DC_Ra soat'!$F:$F,'1.PL (VND) '!CX$4,'1.DC_Ra soat'!$I:$I,'1.PL (VND) '!$C24)</f>
        <v>0</v>
      </c>
      <c r="CY24" s="770"/>
      <c r="CZ24" s="768">
        <f t="shared" si="27"/>
        <v>18590199</v>
      </c>
      <c r="DA24" s="768">
        <f t="shared" si="28"/>
        <v>48379923</v>
      </c>
      <c r="DB24" s="768">
        <f t="shared" si="29"/>
        <v>35389071</v>
      </c>
      <c r="DC24" s="768">
        <f t="shared" si="30"/>
        <v>8000957108</v>
      </c>
      <c r="DG24" s="770"/>
    </row>
    <row r="25" spans="2:111" s="441" customFormat="1" ht="15.75" x14ac:dyDescent="0.25">
      <c r="B25" s="797" t="s">
        <v>529</v>
      </c>
      <c r="C25" s="798" t="s">
        <v>290</v>
      </c>
      <c r="D25" s="799"/>
      <c r="E25" s="799">
        <v>0</v>
      </c>
      <c r="F25" s="799">
        <v>0</v>
      </c>
      <c r="G25" s="800"/>
      <c r="H25" s="774"/>
      <c r="I25" s="801"/>
      <c r="J25" s="801"/>
      <c r="K25" s="801"/>
      <c r="L25" s="801"/>
      <c r="M25" s="774"/>
      <c r="N25" s="439"/>
      <c r="O25" s="439"/>
      <c r="P25" s="439"/>
      <c r="Q25" s="439"/>
      <c r="R25" s="774"/>
      <c r="S25" s="439"/>
      <c r="T25" s="439"/>
      <c r="U25" s="439"/>
      <c r="V25" s="439"/>
      <c r="W25" s="774"/>
      <c r="X25" s="439"/>
      <c r="Y25" s="439"/>
      <c r="Z25" s="439"/>
      <c r="AA25" s="439"/>
      <c r="AB25" s="774"/>
      <c r="AC25" s="439"/>
      <c r="AD25" s="439">
        <v>0</v>
      </c>
      <c r="AE25" s="439">
        <v>0</v>
      </c>
      <c r="AF25" s="439"/>
      <c r="AH25" s="439">
        <f>SUMIFS('1.DC_Ra soat'!$L:$L,'1.DC_Ra soat'!$F:$F,'1.PL (VND) '!AH$4,'1.DC_Ra soat'!$H:$H,'1.PL (VND) '!$C25)-SUMIFS('1.DC_Ra soat'!$L:$L,'1.DC_Ra soat'!$F:$F,'1.PL (VND) '!AH$4,'1.DC_Ra soat'!$I:$I,'1.PL (VND) '!$C25)</f>
        <v>0</v>
      </c>
      <c r="AI25" s="439">
        <f>SUMIFS('1.DC_Ra soat'!$L:$L,'1.DC_Ra soat'!$F:$F,'1.PL (VND) '!AI$4,'1.DC_Ra soat'!$H:$H,'1.PL (VND) '!$C25)-SUMIFS('1.DC_Ra soat'!$L:$L,'1.DC_Ra soat'!$F:$F,'1.PL (VND) '!AI$4,'1.DC_Ra soat'!$I:$I,'1.PL (VND) '!$C25)</f>
        <v>0</v>
      </c>
      <c r="AJ25" s="439">
        <f>SUMIFS('1.DC_Ra soat'!$L:$L,'1.DC_Ra soat'!$F:$F,'1.PL (VND) '!AJ$4,'1.DC_Ra soat'!$H:$H,'1.PL (VND) '!$C25)-SUMIFS('1.DC_Ra soat'!$L:$L,'1.DC_Ra soat'!$F:$F,'1.PL (VND) '!AJ$4,'1.DC_Ra soat'!$I:$I,'1.PL (VND) '!$C25)</f>
        <v>0</v>
      </c>
      <c r="AK25" s="439">
        <f>SUMIFS('1.DC_Ra soat'!$L:$L,'1.DC_Ra soat'!$F:$F,'1.PL (VND) '!AK$4,'1.DC_Ra soat'!$H:$H,'1.PL (VND) '!$C25)-SUMIFS('1.DC_Ra soat'!$L:$L,'1.DC_Ra soat'!$F:$F,'1.PL (VND) '!AK$4,'1.DC_Ra soat'!$I:$I,'1.PL (VND) '!$C25)</f>
        <v>0</v>
      </c>
      <c r="AL25" s="774"/>
      <c r="AM25" s="439">
        <f>SUMIFS('1.DC_Ra soat'!$L:$L,'1.DC_Ra soat'!$F:$F,'1.PL (VND) '!AM$4,'1.DC_Ra soat'!$H:$H,'1.PL (VND) '!$C25)-SUMIFS('1.DC_Ra soat'!$L:$L,'1.DC_Ra soat'!$F:$F,'1.PL (VND) '!AM$4,'1.DC_Ra soat'!$I:$I,'1.PL (VND) '!$C25)</f>
        <v>0</v>
      </c>
      <c r="AN25" s="439">
        <f>SUMIFS('1.DC_Ra soat'!$L:$L,'1.DC_Ra soat'!$F:$F,'1.PL (VND) '!AN$4,'1.DC_Ra soat'!$H:$H,'1.PL (VND) '!$C25)-SUMIFS('1.DC_Ra soat'!$L:$L,'1.DC_Ra soat'!$F:$F,'1.PL (VND) '!AN$4,'1.DC_Ra soat'!$I:$I,'1.PL (VND) '!$C25)</f>
        <v>0</v>
      </c>
      <c r="AO25" s="439">
        <f>SUMIFS('1.DC_Ra soat'!$L:$L,'1.DC_Ra soat'!$F:$F,'1.PL (VND) '!AO$4,'1.DC_Ra soat'!$H:$H,'1.PL (VND) '!$C25)-SUMIFS('1.DC_Ra soat'!$L:$L,'1.DC_Ra soat'!$F:$F,'1.PL (VND) '!AO$4,'1.DC_Ra soat'!$I:$I,'1.PL (VND) '!$C25)</f>
        <v>0</v>
      </c>
      <c r="AP25" s="439">
        <f>SUMIFS('1.DC_Ra soat'!$L:$L,'1.DC_Ra soat'!$F:$F,'1.PL (VND) '!AP$4,'1.DC_Ra soat'!$H:$H,'1.PL (VND) '!$C25)-SUMIFS('1.DC_Ra soat'!$L:$L,'1.DC_Ra soat'!$F:$F,'1.PL (VND) '!AP$4,'1.DC_Ra soat'!$I:$I,'1.PL (VND) '!$C25)</f>
        <v>0</v>
      </c>
      <c r="AQ25" s="774"/>
      <c r="AR25" s="439">
        <f>SUMIFS('1.DC_Ra soat'!$L:$L,'1.DC_Ra soat'!$F:$F,'1.PL (VND) '!AR$4,'1.DC_Ra soat'!$H:$H,'1.PL (VND) '!$C25)-SUMIFS('1.DC_Ra soat'!$L:$L,'1.DC_Ra soat'!$F:$F,'1.PL (VND) '!AR$4,'1.DC_Ra soat'!$I:$I,'1.PL (VND) '!$C25)</f>
        <v>0</v>
      </c>
      <c r="AS25" s="439">
        <f>SUMIFS('1.DC_Ra soat'!$L:$L,'1.DC_Ra soat'!$F:$F,'1.PL (VND) '!AS$4,'1.DC_Ra soat'!$H:$H,'1.PL (VND) '!$C25)-SUMIFS('1.DC_Ra soat'!$L:$L,'1.DC_Ra soat'!$F:$F,'1.PL (VND) '!AS$4,'1.DC_Ra soat'!$I:$I,'1.PL (VND) '!$C25)</f>
        <v>0</v>
      </c>
      <c r="AT25" s="439">
        <f>SUMIFS('1.DC_Ra soat'!$L:$L,'1.DC_Ra soat'!$F:$F,'1.PL (VND) '!AT$4,'1.DC_Ra soat'!$H:$H,'1.PL (VND) '!$C25)-SUMIFS('1.DC_Ra soat'!$L:$L,'1.DC_Ra soat'!$F:$F,'1.PL (VND) '!AT$4,'1.DC_Ra soat'!$I:$I,'1.PL (VND) '!$C25)</f>
        <v>0</v>
      </c>
      <c r="AU25" s="439">
        <f>SUMIFS('1.DC_Ra soat'!$L:$L,'1.DC_Ra soat'!$F:$F,'1.PL (VND) '!AU$4,'1.DC_Ra soat'!$H:$H,'1.PL (VND) '!$C25)-SUMIFS('1.DC_Ra soat'!$L:$L,'1.DC_Ra soat'!$F:$F,'1.PL (VND) '!AU$4,'1.DC_Ra soat'!$I:$I,'1.PL (VND) '!$C25)</f>
        <v>0</v>
      </c>
      <c r="AV25" s="774"/>
      <c r="AW25" s="439">
        <f>SUMIFS('1.DC_Ra soat'!$L:$L,'1.DC_Ra soat'!$F:$F,'1.PL (VND) '!AW$4,'1.DC_Ra soat'!$H:$H,'1.PL (VND) '!$C25)-SUMIFS('1.DC_Ra soat'!$L:$L,'1.DC_Ra soat'!$F:$F,'1.PL (VND) '!AW$4,'1.DC_Ra soat'!$I:$I,'1.PL (VND) '!$C25)</f>
        <v>0</v>
      </c>
      <c r="AX25" s="439">
        <f>SUMIFS('1.DC_Ra soat'!$L:$L,'1.DC_Ra soat'!$F:$F,'1.PL (VND) '!AX$4,'1.DC_Ra soat'!$H:$H,'1.PL (VND) '!$C25)-SUMIFS('1.DC_Ra soat'!$L:$L,'1.DC_Ra soat'!$F:$F,'1.PL (VND) '!AX$4,'1.DC_Ra soat'!$I:$I,'1.PL (VND) '!$C25)</f>
        <v>0</v>
      </c>
      <c r="AY25" s="439">
        <f>SUMIFS('1.DC_Ra soat'!$L:$L,'1.DC_Ra soat'!$F:$F,'1.PL (VND) '!AY$4,'1.DC_Ra soat'!$H:$H,'1.PL (VND) '!$C25)-SUMIFS('1.DC_Ra soat'!$L:$L,'1.DC_Ra soat'!$F:$F,'1.PL (VND) '!AY$4,'1.DC_Ra soat'!$I:$I,'1.PL (VND) '!$C25)</f>
        <v>0</v>
      </c>
      <c r="AZ25" s="439">
        <f>SUMIFS('1.DC_Ra soat'!$L:$L,'1.DC_Ra soat'!$F:$F,'1.PL (VND) '!AZ$4,'1.DC_Ra soat'!$H:$H,'1.PL (VND) '!$C25)-SUMIFS('1.DC_Ra soat'!$L:$L,'1.DC_Ra soat'!$F:$F,'1.PL (VND) '!AZ$4,'1.DC_Ra soat'!$I:$I,'1.PL (VND) '!$C25)</f>
        <v>0</v>
      </c>
      <c r="BA25" s="774"/>
      <c r="BB25" s="439">
        <f>SUMIFS('1.DC_Ra soat'!$L:$L,'1.DC_Ra soat'!$F:$F,'1.PL (VND) '!BB$4,'1.DC_Ra soat'!$H:$H,'1.PL (VND) '!$C25)-SUMIFS('1.DC_Ra soat'!$L:$L,'1.DC_Ra soat'!$F:$F,'1.PL (VND) '!BB$4,'1.DC_Ra soat'!$I:$I,'1.PL (VND) '!$C25)</f>
        <v>0</v>
      </c>
      <c r="BC25" s="439">
        <f>SUMIFS('1.DC_Ra soat'!$L:$L,'1.DC_Ra soat'!$F:$F,'1.PL (VND) '!BC$4,'1.DC_Ra soat'!$H:$H,'1.PL (VND) '!$C25)-SUMIFS('1.DC_Ra soat'!$L:$L,'1.DC_Ra soat'!$F:$F,'1.PL (VND) '!BC$4,'1.DC_Ra soat'!$I:$I,'1.PL (VND) '!$C25)</f>
        <v>0</v>
      </c>
      <c r="BD25" s="439">
        <f>SUMIFS('1.DC_Ra soat'!$L:$L,'1.DC_Ra soat'!$F:$F,'1.PL (VND) '!BD$4,'1.DC_Ra soat'!$H:$H,'1.PL (VND) '!$C25)-SUMIFS('1.DC_Ra soat'!$L:$L,'1.DC_Ra soat'!$F:$F,'1.PL (VND) '!BD$4,'1.DC_Ra soat'!$I:$I,'1.PL (VND) '!$C25)</f>
        <v>0</v>
      </c>
      <c r="BE25" s="439">
        <f>SUMIFS('1.DC_Ra soat'!$L:$L,'1.DC_Ra soat'!$F:$F,'1.PL (VND) '!BE$4,'1.DC_Ra soat'!$H:$H,'1.PL (VND) '!$C25)-SUMIFS('1.DC_Ra soat'!$L:$L,'1.DC_Ra soat'!$F:$F,'1.PL (VND) '!BE$4,'1.DC_Ra soat'!$I:$I,'1.PL (VND) '!$C25)</f>
        <v>0</v>
      </c>
      <c r="BF25" s="774"/>
      <c r="BG25" s="439">
        <f>SUMIFS('1.DC_Ra soat'!$L:$L,'1.DC_Ra soat'!$F:$F,'1.PL (VND) '!BG$4,'1.DC_Ra soat'!$H:$H,'1.PL (VND) '!$C25)-SUMIFS('1.DC_Ra soat'!$L:$L,'1.DC_Ra soat'!$F:$F,'1.PL (VND) '!BG$4,'1.DC_Ra soat'!$I:$I,'1.PL (VND) '!$C25)</f>
        <v>0</v>
      </c>
      <c r="BH25" s="439">
        <f>SUMIFS('1.DC_Ra soat'!$L:$L,'1.DC_Ra soat'!$F:$F,'1.PL (VND) '!BH$4,'1.DC_Ra soat'!$H:$H,'1.PL (VND) '!$C25)-SUMIFS('1.DC_Ra soat'!$L:$L,'1.DC_Ra soat'!$F:$F,'1.PL (VND) '!BH$4,'1.DC_Ra soat'!$I:$I,'1.PL (VND) '!$C25)</f>
        <v>0</v>
      </c>
      <c r="BI25" s="439">
        <f>SUMIFS('1.DC_Ra soat'!$L:$L,'1.DC_Ra soat'!$F:$F,'1.PL (VND) '!BI$4,'1.DC_Ra soat'!$H:$H,'1.PL (VND) '!$C25)-SUMIFS('1.DC_Ra soat'!$L:$L,'1.DC_Ra soat'!$F:$F,'1.PL (VND) '!BI$4,'1.DC_Ra soat'!$I:$I,'1.PL (VND) '!$C25)</f>
        <v>0</v>
      </c>
      <c r="BJ25" s="439">
        <f>SUMIFS('1.DC_Ra soat'!$L:$L,'1.DC_Ra soat'!$F:$F,'1.PL (VND) '!BJ$4,'1.DC_Ra soat'!$H:$H,'1.PL (VND) '!$C25)-SUMIFS('1.DC_Ra soat'!$L:$L,'1.DC_Ra soat'!$F:$F,'1.PL (VND) '!BJ$4,'1.DC_Ra soat'!$I:$I,'1.PL (VND) '!$C25)</f>
        <v>0</v>
      </c>
      <c r="BL25" s="439">
        <f t="shared" si="2"/>
        <v>0</v>
      </c>
      <c r="BM25" s="439">
        <f t="shared" si="3"/>
        <v>0</v>
      </c>
      <c r="BN25" s="439">
        <f t="shared" si="4"/>
        <v>0</v>
      </c>
      <c r="BO25" s="439">
        <f t="shared" si="5"/>
        <v>0</v>
      </c>
      <c r="BP25" s="774"/>
      <c r="BQ25" s="439">
        <f t="shared" si="6"/>
        <v>0</v>
      </c>
      <c r="BR25" s="439">
        <f t="shared" si="7"/>
        <v>0</v>
      </c>
      <c r="BS25" s="439">
        <f t="shared" si="8"/>
        <v>0</v>
      </c>
      <c r="BT25" s="439">
        <f t="shared" si="9"/>
        <v>0</v>
      </c>
      <c r="BU25" s="774"/>
      <c r="BV25" s="439">
        <f t="shared" si="10"/>
        <v>0</v>
      </c>
      <c r="BW25" s="439">
        <f t="shared" si="11"/>
        <v>0</v>
      </c>
      <c r="BX25" s="439">
        <f t="shared" si="12"/>
        <v>0</v>
      </c>
      <c r="BY25" s="439">
        <f t="shared" si="13"/>
        <v>0</v>
      </c>
      <c r="BZ25" s="774"/>
      <c r="CA25" s="439">
        <f t="shared" si="14"/>
        <v>0</v>
      </c>
      <c r="CB25" s="439">
        <f t="shared" si="15"/>
        <v>0</v>
      </c>
      <c r="CC25" s="439">
        <f t="shared" si="16"/>
        <v>0</v>
      </c>
      <c r="CD25" s="439">
        <f t="shared" si="17"/>
        <v>0</v>
      </c>
      <c r="CE25" s="774"/>
      <c r="CF25" s="439">
        <f t="shared" si="18"/>
        <v>0</v>
      </c>
      <c r="CG25" s="439">
        <f t="shared" si="19"/>
        <v>0</v>
      </c>
      <c r="CH25" s="439">
        <f t="shared" si="20"/>
        <v>0</v>
      </c>
      <c r="CI25" s="439">
        <f t="shared" si="21"/>
        <v>0</v>
      </c>
      <c r="CJ25" s="774"/>
      <c r="CK25" s="439">
        <f t="shared" si="22"/>
        <v>0</v>
      </c>
      <c r="CL25" s="439">
        <f t="shared" si="23"/>
        <v>0</v>
      </c>
      <c r="CM25" s="439">
        <f t="shared" si="24"/>
        <v>0</v>
      </c>
      <c r="CN25" s="439">
        <f t="shared" si="25"/>
        <v>0</v>
      </c>
      <c r="CP25" s="439">
        <f t="shared" si="26"/>
        <v>0</v>
      </c>
      <c r="CQ25" s="439">
        <f t="shared" si="26"/>
        <v>0</v>
      </c>
      <c r="CR25" s="439">
        <f t="shared" si="26"/>
        <v>0</v>
      </c>
      <c r="CS25" s="439">
        <f t="shared" si="26"/>
        <v>0</v>
      </c>
      <c r="CT25" s="440"/>
      <c r="CU25" s="439">
        <f>-SUMIFS('1.DC_Ra soat'!$L:$L,'1.DC_Ra soat'!$F:$F,'1.PL (VND) '!CU$4,'1.DC_Ra soat'!$H:$H,'1.PL (VND) '!$C25)+SUMIFS('1.DC_Ra soat'!$L:$L,'1.DC_Ra soat'!$F:$F,'1.PL (VND) '!CU$4,'1.DC_Ra soat'!$I:$I,'1.PL (VND) '!$C25)</f>
        <v>0</v>
      </c>
      <c r="CV25" s="439">
        <f>-SUMIFS('1.DC_Ra soat'!$L:$L,'1.DC_Ra soat'!$F:$F,'1.PL (VND) '!CV$4,'1.DC_Ra soat'!$H:$H,'1.PL (VND) '!$C25)+SUMIFS('1.DC_Ra soat'!$L:$L,'1.DC_Ra soat'!$F:$F,'1.PL (VND) '!CV$4,'1.DC_Ra soat'!$I:$I,'1.PL (VND) '!$C25)</f>
        <v>0</v>
      </c>
      <c r="CW25" s="439">
        <f>-SUMIFS('1.DC_Ra soat'!$L:$L,'1.DC_Ra soat'!$F:$F,'1.PL (VND) '!CW$4,'1.DC_Ra soat'!$H:$H,'1.PL (VND) '!$C25)+SUMIFS('1.DC_Ra soat'!$L:$L,'1.DC_Ra soat'!$F:$F,'1.PL (VND) '!CW$4,'1.DC_Ra soat'!$I:$I,'1.PL (VND) '!$C25)</f>
        <v>0</v>
      </c>
      <c r="CX25" s="439">
        <f>-SUMIFS('1.DC_Ra soat'!$L:$L,'1.DC_Ra soat'!$F:$F,'1.PL (VND) '!CX$4,'1.DC_Ra soat'!$H:$H,'1.PL (VND) '!$C25)+SUMIFS('1.DC_Ra soat'!$L:$L,'1.DC_Ra soat'!$F:$F,'1.PL (VND) '!CX$4,'1.DC_Ra soat'!$I:$I,'1.PL (VND) '!$C25)</f>
        <v>0</v>
      </c>
      <c r="CY25" s="440"/>
      <c r="CZ25" s="439">
        <f t="shared" si="27"/>
        <v>0</v>
      </c>
      <c r="DA25" s="439">
        <f t="shared" si="28"/>
        <v>0</v>
      </c>
      <c r="DB25" s="439">
        <f t="shared" si="29"/>
        <v>0</v>
      </c>
      <c r="DC25" s="439">
        <f t="shared" si="30"/>
        <v>0</v>
      </c>
      <c r="DG25" s="440"/>
    </row>
    <row r="26" spans="2:111" s="447" customFormat="1" ht="15.75" x14ac:dyDescent="0.25">
      <c r="B26" s="818" t="s">
        <v>530</v>
      </c>
      <c r="C26" s="819" t="s">
        <v>291</v>
      </c>
      <c r="D26" s="820">
        <f>D23-D24-D25</f>
        <v>63901948</v>
      </c>
      <c r="E26" s="820">
        <f>E23-E24-E25</f>
        <v>136704607</v>
      </c>
      <c r="F26" s="820">
        <f>F23-F24-F25</f>
        <v>810269176</v>
      </c>
      <c r="G26" s="821">
        <f>G23-G24-G25</f>
        <v>7400508889.6000004</v>
      </c>
      <c r="H26" s="802"/>
      <c r="I26" s="822">
        <f>I23-I24-I25</f>
        <v>-1009698</v>
      </c>
      <c r="J26" s="822">
        <f>J23-J24-J25</f>
        <v>209281598</v>
      </c>
      <c r="K26" s="822">
        <f>K23-K24-K25</f>
        <v>-5280865421</v>
      </c>
      <c r="L26" s="822">
        <f>L23-L24-L25</f>
        <v>24353634258.400002</v>
      </c>
      <c r="M26" s="802"/>
      <c r="N26" s="822">
        <f>N23-N24-N25</f>
        <v>16061803</v>
      </c>
      <c r="O26" s="822">
        <f>O23-O24-O25</f>
        <v>66290594</v>
      </c>
      <c r="P26" s="822">
        <f>P23-P24-P25</f>
        <v>29147390</v>
      </c>
      <c r="Q26" s="822">
        <f>Q23-Q24-Q25</f>
        <v>-3469627273</v>
      </c>
      <c r="R26" s="802"/>
      <c r="S26" s="822">
        <f>S23-S24-S25</f>
        <v>-305983609</v>
      </c>
      <c r="T26" s="822">
        <f>T23-T24-T25</f>
        <v>20961141</v>
      </c>
      <c r="U26" s="822">
        <f>U23-U24-U25</f>
        <v>-1936838870</v>
      </c>
      <c r="V26" s="822">
        <f>V23-V24-V25</f>
        <v>-1979182593</v>
      </c>
      <c r="W26" s="802"/>
      <c r="X26" s="822">
        <f>X23-X24-X25</f>
        <v>0</v>
      </c>
      <c r="Y26" s="822">
        <f>Y23-Y24-Y25</f>
        <v>0</v>
      </c>
      <c r="Z26" s="822">
        <f>Z23-Z24-Z25</f>
        <v>0</v>
      </c>
      <c r="AA26" s="822">
        <f>AA23-AA24-AA25</f>
        <v>0</v>
      </c>
      <c r="AB26" s="802"/>
      <c r="AC26" s="822">
        <f>AC23-AC24-AC25</f>
        <v>0</v>
      </c>
      <c r="AD26" s="822">
        <f>AD23-AD24-AD25</f>
        <v>0</v>
      </c>
      <c r="AE26" s="822">
        <f>AE23-AE24-AE25</f>
        <v>0</v>
      </c>
      <c r="AF26" s="822">
        <f>AF23-AF24-AF25</f>
        <v>0</v>
      </c>
      <c r="AH26" s="822">
        <f>AH23-AH24-AH25</f>
        <v>0</v>
      </c>
      <c r="AI26" s="822">
        <f>AI23-AI24-AI25</f>
        <v>0</v>
      </c>
      <c r="AJ26" s="822">
        <f>AJ23-AJ24-AJ25</f>
        <v>-10749717626</v>
      </c>
      <c r="AK26" s="823">
        <f>AK23-AK24-AK25</f>
        <v>-4623603888</v>
      </c>
      <c r="AL26" s="802"/>
      <c r="AM26" s="822">
        <f>AM23-AM24-AM25</f>
        <v>0</v>
      </c>
      <c r="AN26" s="822">
        <f>AN23-AN24-AN25</f>
        <v>0</v>
      </c>
      <c r="AO26" s="822">
        <f>AO23-AO24-AO25</f>
        <v>-741540549</v>
      </c>
      <c r="AP26" s="822">
        <f>AP23-AP24-AP25</f>
        <v>0</v>
      </c>
      <c r="AQ26" s="802"/>
      <c r="AR26" s="822">
        <f>AR23-AR24-AR25</f>
        <v>0</v>
      </c>
      <c r="AS26" s="822">
        <f>AS23-AS24-AS25</f>
        <v>0</v>
      </c>
      <c r="AT26" s="822">
        <f>AT23-AT24-AT25</f>
        <v>0</v>
      </c>
      <c r="AU26" s="822">
        <f>AU23-AU24-AU25</f>
        <v>-4950000000</v>
      </c>
      <c r="AV26" s="802"/>
      <c r="AW26" s="822">
        <f>AW23-AW24-AW25</f>
        <v>0</v>
      </c>
      <c r="AX26" s="822">
        <f>AX23-AX24-AX25</f>
        <v>0</v>
      </c>
      <c r="AY26" s="822">
        <f>AY23-AY24-AY25</f>
        <v>-1262355349</v>
      </c>
      <c r="AZ26" s="822">
        <f>AZ23-AZ24-AZ25</f>
        <v>-5000000000</v>
      </c>
      <c r="BA26" s="802"/>
      <c r="BB26" s="822">
        <f>BB23-BB24-BB25</f>
        <v>0</v>
      </c>
      <c r="BC26" s="822">
        <f>BC23-BC24-BC25</f>
        <v>0</v>
      </c>
      <c r="BD26" s="822">
        <f>BD23-BD24-BD25</f>
        <v>0</v>
      </c>
      <c r="BE26" s="822">
        <f>BE23-BE24-BE25</f>
        <v>0</v>
      </c>
      <c r="BF26" s="802"/>
      <c r="BG26" s="822">
        <f>BG23-BG24-BG25</f>
        <v>0</v>
      </c>
      <c r="BH26" s="822">
        <f>BH23-BH24-BH25</f>
        <v>0</v>
      </c>
      <c r="BI26" s="822">
        <f>BI23-BI24-BI25</f>
        <v>0</v>
      </c>
      <c r="BJ26" s="822"/>
      <c r="BL26" s="824">
        <f t="shared" si="2"/>
        <v>63901948</v>
      </c>
      <c r="BM26" s="824">
        <f t="shared" si="3"/>
        <v>136704607</v>
      </c>
      <c r="BN26" s="824">
        <f t="shared" si="4"/>
        <v>-9939448450</v>
      </c>
      <c r="BO26" s="824">
        <f t="shared" si="5"/>
        <v>2776905001.6000004</v>
      </c>
      <c r="BP26" s="802"/>
      <c r="BQ26" s="824">
        <f t="shared" si="6"/>
        <v>-1009698</v>
      </c>
      <c r="BR26" s="824">
        <f t="shared" si="7"/>
        <v>209281598</v>
      </c>
      <c r="BS26" s="824">
        <f t="shared" si="8"/>
        <v>-6022405970</v>
      </c>
      <c r="BT26" s="824">
        <f t="shared" si="9"/>
        <v>24353634258.400002</v>
      </c>
      <c r="BU26" s="802"/>
      <c r="BV26" s="824">
        <f t="shared" si="10"/>
        <v>16061803</v>
      </c>
      <c r="BW26" s="824">
        <f t="shared" si="11"/>
        <v>66290594</v>
      </c>
      <c r="BX26" s="824">
        <f t="shared" si="12"/>
        <v>29147390</v>
      </c>
      <c r="BY26" s="824">
        <f t="shared" si="13"/>
        <v>-8419627273</v>
      </c>
      <c r="BZ26" s="802"/>
      <c r="CA26" s="824">
        <f t="shared" si="14"/>
        <v>-305983609</v>
      </c>
      <c r="CB26" s="824">
        <f t="shared" si="15"/>
        <v>20961141</v>
      </c>
      <c r="CC26" s="824">
        <f t="shared" si="16"/>
        <v>-3199194219</v>
      </c>
      <c r="CD26" s="824">
        <f t="shared" si="17"/>
        <v>-6979182593</v>
      </c>
      <c r="CE26" s="802"/>
      <c r="CF26" s="824">
        <f t="shared" si="18"/>
        <v>0</v>
      </c>
      <c r="CG26" s="824">
        <f t="shared" si="19"/>
        <v>0</v>
      </c>
      <c r="CH26" s="824">
        <f t="shared" si="20"/>
        <v>0</v>
      </c>
      <c r="CI26" s="824">
        <f t="shared" si="21"/>
        <v>0</v>
      </c>
      <c r="CJ26" s="802"/>
      <c r="CK26" s="824">
        <f t="shared" si="22"/>
        <v>0</v>
      </c>
      <c r="CL26" s="824">
        <f t="shared" si="23"/>
        <v>0</v>
      </c>
      <c r="CM26" s="824">
        <f t="shared" si="24"/>
        <v>0</v>
      </c>
      <c r="CN26" s="824">
        <f t="shared" si="25"/>
        <v>0</v>
      </c>
      <c r="CP26" s="820">
        <f t="shared" si="26"/>
        <v>-227029556</v>
      </c>
      <c r="CQ26" s="820">
        <f t="shared" si="26"/>
        <v>433237940</v>
      </c>
      <c r="CR26" s="820">
        <f t="shared" si="26"/>
        <v>-19131901249</v>
      </c>
      <c r="CS26" s="820">
        <f t="shared" si="26"/>
        <v>11731729394</v>
      </c>
      <c r="CT26" s="444"/>
      <c r="CU26" s="820">
        <f>CU23-CU24-CU25</f>
        <v>0</v>
      </c>
      <c r="CV26" s="820">
        <f>CV23-CV24-CV25</f>
        <v>0</v>
      </c>
      <c r="CW26" s="820">
        <f>CW23-CW24-CW25</f>
        <v>0</v>
      </c>
      <c r="CX26" s="820">
        <f>CX23-CX24-CX25</f>
        <v>0</v>
      </c>
      <c r="CY26" s="444"/>
      <c r="CZ26" s="820">
        <f t="shared" si="27"/>
        <v>-227029556</v>
      </c>
      <c r="DA26" s="820">
        <f t="shared" si="28"/>
        <v>433237940</v>
      </c>
      <c r="DB26" s="820">
        <f t="shared" si="29"/>
        <v>-19131901249</v>
      </c>
      <c r="DC26" s="820">
        <f t="shared" si="30"/>
        <v>11731729394</v>
      </c>
      <c r="DG26" s="444"/>
    </row>
    <row r="27" spans="2:111" s="441" customFormat="1" ht="15.75" x14ac:dyDescent="0.25">
      <c r="B27" s="803" t="s">
        <v>631</v>
      </c>
      <c r="C27" s="798"/>
      <c r="D27" s="799"/>
      <c r="E27" s="799"/>
      <c r="F27" s="799"/>
      <c r="G27" s="800"/>
      <c r="H27" s="774"/>
      <c r="I27" s="439">
        <v>0</v>
      </c>
      <c r="J27" s="439"/>
      <c r="K27" s="439"/>
      <c r="L27" s="439">
        <v>0</v>
      </c>
      <c r="M27" s="774"/>
      <c r="N27" s="439"/>
      <c r="O27" s="439"/>
      <c r="P27" s="439"/>
      <c r="Q27" s="439"/>
      <c r="R27" s="774"/>
      <c r="S27" s="439"/>
      <c r="T27" s="439"/>
      <c r="U27" s="439"/>
      <c r="V27" s="439"/>
      <c r="W27" s="774"/>
      <c r="X27" s="439"/>
      <c r="Y27" s="439"/>
      <c r="Z27" s="439"/>
      <c r="AA27" s="439"/>
      <c r="AB27" s="774"/>
      <c r="AC27" s="439"/>
      <c r="AD27" s="439"/>
      <c r="AE27" s="439"/>
      <c r="AF27" s="439"/>
      <c r="AH27" s="439"/>
      <c r="AI27" s="789"/>
      <c r="AJ27" s="789"/>
      <c r="AK27" s="789"/>
      <c r="AL27" s="774"/>
      <c r="AM27" s="439"/>
      <c r="AN27" s="439"/>
      <c r="AO27" s="439"/>
      <c r="AP27" s="789"/>
      <c r="AQ27" s="774"/>
      <c r="AR27" s="439"/>
      <c r="AS27" s="439"/>
      <c r="AT27" s="439"/>
      <c r="AU27" s="439"/>
      <c r="AV27" s="774"/>
      <c r="AW27" s="439"/>
      <c r="AX27" s="439"/>
      <c r="AY27" s="439"/>
      <c r="AZ27" s="789"/>
      <c r="BA27" s="774"/>
      <c r="BB27" s="439"/>
      <c r="BC27" s="439"/>
      <c r="BD27" s="439"/>
      <c r="BE27" s="789"/>
      <c r="BF27" s="774"/>
      <c r="BG27" s="439"/>
      <c r="BH27" s="439"/>
      <c r="BI27" s="439"/>
      <c r="BJ27" s="789"/>
      <c r="BL27" s="439">
        <f t="shared" si="2"/>
        <v>0</v>
      </c>
      <c r="BM27" s="439">
        <f t="shared" si="3"/>
        <v>0</v>
      </c>
      <c r="BN27" s="439">
        <f t="shared" si="4"/>
        <v>0</v>
      </c>
      <c r="BO27" s="439">
        <f t="shared" si="5"/>
        <v>0</v>
      </c>
      <c r="BP27" s="774"/>
      <c r="BQ27" s="439">
        <f t="shared" si="6"/>
        <v>0</v>
      </c>
      <c r="BR27" s="439">
        <f t="shared" si="7"/>
        <v>0</v>
      </c>
      <c r="BS27" s="439">
        <f t="shared" si="8"/>
        <v>0</v>
      </c>
      <c r="BT27" s="439">
        <f t="shared" si="9"/>
        <v>0</v>
      </c>
      <c r="BU27" s="774"/>
      <c r="BV27" s="439">
        <f t="shared" si="10"/>
        <v>0</v>
      </c>
      <c r="BW27" s="439">
        <f t="shared" si="11"/>
        <v>0</v>
      </c>
      <c r="BX27" s="439">
        <f t="shared" si="12"/>
        <v>0</v>
      </c>
      <c r="BY27" s="439">
        <f t="shared" si="13"/>
        <v>0</v>
      </c>
      <c r="BZ27" s="774"/>
      <c r="CA27" s="439">
        <f t="shared" si="14"/>
        <v>0</v>
      </c>
      <c r="CB27" s="439">
        <f t="shared" si="15"/>
        <v>0</v>
      </c>
      <c r="CC27" s="439">
        <f t="shared" si="16"/>
        <v>0</v>
      </c>
      <c r="CD27" s="439">
        <f t="shared" si="17"/>
        <v>0</v>
      </c>
      <c r="CE27" s="774"/>
      <c r="CF27" s="439">
        <f t="shared" si="18"/>
        <v>0</v>
      </c>
      <c r="CG27" s="439">
        <f t="shared" si="19"/>
        <v>0</v>
      </c>
      <c r="CH27" s="439">
        <f t="shared" si="20"/>
        <v>0</v>
      </c>
      <c r="CI27" s="439">
        <f t="shared" si="21"/>
        <v>0</v>
      </c>
      <c r="CJ27" s="774"/>
      <c r="CK27" s="439">
        <f t="shared" si="22"/>
        <v>0</v>
      </c>
      <c r="CL27" s="439">
        <f t="shared" si="23"/>
        <v>0</v>
      </c>
      <c r="CM27" s="439">
        <f t="shared" si="24"/>
        <v>0</v>
      </c>
      <c r="CN27" s="439">
        <f t="shared" si="25"/>
        <v>0</v>
      </c>
      <c r="CP27" s="439">
        <f t="shared" ref="CP27:CS28" si="35">AH27+BL27</f>
        <v>0</v>
      </c>
      <c r="CQ27" s="439">
        <f t="shared" si="35"/>
        <v>0</v>
      </c>
      <c r="CR27" s="439">
        <f t="shared" si="35"/>
        <v>0</v>
      </c>
      <c r="CS27" s="439">
        <f t="shared" si="35"/>
        <v>0</v>
      </c>
      <c r="CT27" s="440"/>
      <c r="CU27" s="439">
        <f t="shared" ref="CU27:CX28" si="36">AM27+BQ27</f>
        <v>0</v>
      </c>
      <c r="CV27" s="439">
        <f t="shared" si="36"/>
        <v>0</v>
      </c>
      <c r="CW27" s="439">
        <f t="shared" si="36"/>
        <v>0</v>
      </c>
      <c r="CX27" s="439">
        <f t="shared" si="36"/>
        <v>0</v>
      </c>
      <c r="CY27" s="440"/>
      <c r="CZ27" s="439">
        <f t="shared" ref="CZ27:DC28" si="37">AR27+BV27</f>
        <v>0</v>
      </c>
      <c r="DA27" s="439">
        <f t="shared" si="37"/>
        <v>0</v>
      </c>
      <c r="DB27" s="439">
        <f t="shared" si="37"/>
        <v>0</v>
      </c>
      <c r="DC27" s="439">
        <f t="shared" si="37"/>
        <v>0</v>
      </c>
      <c r="DG27" s="440"/>
    </row>
    <row r="28" spans="2:111" s="441" customFormat="1" ht="15.75" x14ac:dyDescent="0.25">
      <c r="B28" s="438" t="s">
        <v>632</v>
      </c>
      <c r="C28" s="771"/>
      <c r="D28" s="789"/>
      <c r="E28" s="789"/>
      <c r="F28" s="789"/>
      <c r="G28" s="790"/>
      <c r="H28" s="774"/>
      <c r="I28" s="439">
        <v>0</v>
      </c>
      <c r="J28" s="439"/>
      <c r="K28" s="439"/>
      <c r="L28" s="439"/>
      <c r="M28" s="774"/>
      <c r="N28" s="439"/>
      <c r="O28" s="439"/>
      <c r="P28" s="439"/>
      <c r="Q28" s="439"/>
      <c r="R28" s="774"/>
      <c r="S28" s="439"/>
      <c r="T28" s="439"/>
      <c r="U28" s="439"/>
      <c r="V28" s="439"/>
      <c r="W28" s="774"/>
      <c r="X28" s="439"/>
      <c r="Y28" s="439"/>
      <c r="Z28" s="439"/>
      <c r="AA28" s="439"/>
      <c r="AB28" s="774"/>
      <c r="AC28" s="439"/>
      <c r="AD28" s="439"/>
      <c r="AE28" s="439"/>
      <c r="AF28" s="439"/>
      <c r="AH28" s="439"/>
      <c r="AI28" s="789"/>
      <c r="AJ28" s="789"/>
      <c r="AK28" s="789"/>
      <c r="AL28" s="774"/>
      <c r="AM28" s="439"/>
      <c r="AN28" s="439"/>
      <c r="AO28" s="439"/>
      <c r="AP28" s="789"/>
      <c r="AQ28" s="774"/>
      <c r="AR28" s="439"/>
      <c r="AS28" s="439"/>
      <c r="AT28" s="439"/>
      <c r="AU28" s="439"/>
      <c r="AV28" s="774"/>
      <c r="AW28" s="439"/>
      <c r="AX28" s="439"/>
      <c r="AY28" s="439"/>
      <c r="AZ28" s="789"/>
      <c r="BA28" s="774"/>
      <c r="BB28" s="439"/>
      <c r="BC28" s="439"/>
      <c r="BD28" s="439"/>
      <c r="BE28" s="789"/>
      <c r="BF28" s="774"/>
      <c r="BG28" s="439"/>
      <c r="BH28" s="439"/>
      <c r="BI28" s="439"/>
      <c r="BJ28" s="789"/>
      <c r="BL28" s="439">
        <f t="shared" si="2"/>
        <v>0</v>
      </c>
      <c r="BM28" s="439">
        <f t="shared" si="3"/>
        <v>0</v>
      </c>
      <c r="BN28" s="439">
        <f t="shared" si="4"/>
        <v>0</v>
      </c>
      <c r="BO28" s="439">
        <f t="shared" si="5"/>
        <v>0</v>
      </c>
      <c r="BP28" s="774"/>
      <c r="BQ28" s="439">
        <f t="shared" si="6"/>
        <v>0</v>
      </c>
      <c r="BR28" s="439">
        <f t="shared" si="7"/>
        <v>0</v>
      </c>
      <c r="BS28" s="439">
        <f t="shared" si="8"/>
        <v>0</v>
      </c>
      <c r="BT28" s="439">
        <f t="shared" si="9"/>
        <v>0</v>
      </c>
      <c r="BU28" s="774"/>
      <c r="BV28" s="439">
        <f t="shared" si="10"/>
        <v>0</v>
      </c>
      <c r="BW28" s="439">
        <f t="shared" si="11"/>
        <v>0</v>
      </c>
      <c r="BX28" s="439">
        <f t="shared" si="12"/>
        <v>0</v>
      </c>
      <c r="BY28" s="804">
        <f t="shared" si="13"/>
        <v>0</v>
      </c>
      <c r="BZ28" s="455"/>
      <c r="CA28" s="804">
        <f t="shared" si="14"/>
        <v>0</v>
      </c>
      <c r="CB28" s="439">
        <f t="shared" si="15"/>
        <v>0</v>
      </c>
      <c r="CC28" s="439">
        <f t="shared" si="16"/>
        <v>0</v>
      </c>
      <c r="CD28" s="439">
        <f t="shared" si="17"/>
        <v>0</v>
      </c>
      <c r="CE28" s="774"/>
      <c r="CF28" s="439">
        <f t="shared" si="18"/>
        <v>0</v>
      </c>
      <c r="CG28" s="439">
        <f t="shared" si="19"/>
        <v>0</v>
      </c>
      <c r="CH28" s="439">
        <f t="shared" si="20"/>
        <v>0</v>
      </c>
      <c r="CI28" s="439">
        <f t="shared" si="21"/>
        <v>0</v>
      </c>
      <c r="CJ28" s="774"/>
      <c r="CK28" s="439">
        <f t="shared" si="22"/>
        <v>0</v>
      </c>
      <c r="CL28" s="439">
        <f t="shared" si="23"/>
        <v>0</v>
      </c>
      <c r="CM28" s="439">
        <f t="shared" si="24"/>
        <v>0</v>
      </c>
      <c r="CN28" s="439">
        <f t="shared" si="25"/>
        <v>0</v>
      </c>
      <c r="CP28" s="439">
        <f t="shared" si="35"/>
        <v>0</v>
      </c>
      <c r="CQ28" s="439">
        <f t="shared" si="35"/>
        <v>0</v>
      </c>
      <c r="CR28" s="439">
        <f t="shared" si="35"/>
        <v>0</v>
      </c>
      <c r="CS28" s="439">
        <f t="shared" si="35"/>
        <v>0</v>
      </c>
      <c r="CT28" s="440"/>
      <c r="CU28" s="439">
        <f t="shared" si="36"/>
        <v>0</v>
      </c>
      <c r="CV28" s="439">
        <f t="shared" si="36"/>
        <v>0</v>
      </c>
      <c r="CW28" s="439">
        <f t="shared" si="36"/>
        <v>0</v>
      </c>
      <c r="CX28" s="439">
        <f t="shared" si="36"/>
        <v>0</v>
      </c>
      <c r="CY28" s="440"/>
      <c r="CZ28" s="439">
        <f t="shared" si="37"/>
        <v>0</v>
      </c>
      <c r="DA28" s="439">
        <f t="shared" si="37"/>
        <v>0</v>
      </c>
      <c r="DB28" s="439">
        <f t="shared" si="37"/>
        <v>0</v>
      </c>
      <c r="DC28" s="439">
        <f t="shared" si="37"/>
        <v>0</v>
      </c>
      <c r="DG28" s="440"/>
    </row>
    <row r="29" spans="2:111" s="441" customFormat="1" ht="15.75" x14ac:dyDescent="0.25">
      <c r="B29" s="438" t="s">
        <v>633</v>
      </c>
      <c r="C29" s="771"/>
      <c r="D29" s="804">
        <f>D12/D10</f>
        <v>5.2257379274866581E-2</v>
      </c>
      <c r="E29" s="804">
        <f>E12/E10</f>
        <v>4.6407260673446533E-2</v>
      </c>
      <c r="F29" s="804">
        <f>F12/F10</f>
        <v>3.898034962472114E-2</v>
      </c>
      <c r="G29" s="805">
        <f>G12/G10</f>
        <v>7.5637771993680825E-2</v>
      </c>
      <c r="H29" s="804"/>
      <c r="I29" s="804" t="e">
        <f>I12/I10</f>
        <v>#DIV/0!</v>
      </c>
      <c r="J29" s="804">
        <f>J12/J10</f>
        <v>5.7531660677483061E-2</v>
      </c>
      <c r="K29" s="804">
        <f>K12/K10</f>
        <v>-9.0381564653287498E-3</v>
      </c>
      <c r="L29" s="804">
        <f>L12/L10</f>
        <v>0.44205277015034117</v>
      </c>
      <c r="M29" s="804"/>
      <c r="N29" s="804">
        <f>N12/N10</f>
        <v>9.6314460966886076E-2</v>
      </c>
      <c r="O29" s="804">
        <f>O12/O10</f>
        <v>0.13427387801553226</v>
      </c>
      <c r="P29" s="804">
        <f>P12/P10</f>
        <v>6.0256070984976109E-2</v>
      </c>
      <c r="Q29" s="804">
        <f>Q12/Q10</f>
        <v>7.6508528851785577E-3</v>
      </c>
      <c r="R29" s="804"/>
      <c r="S29" s="804">
        <f>S12/S10</f>
        <v>1.7722835591612581E-2</v>
      </c>
      <c r="T29" s="804">
        <f>T12/T10</f>
        <v>4.7814630440387071E-2</v>
      </c>
      <c r="U29" s="804">
        <f>U12/U10</f>
        <v>1.7378003566372025E-2</v>
      </c>
      <c r="V29" s="804">
        <f>V12/V10</f>
        <v>1.6340305894887018E-2</v>
      </c>
      <c r="W29" s="804"/>
      <c r="X29" s="804" t="e">
        <f>X12/X10</f>
        <v>#DIV/0!</v>
      </c>
      <c r="Y29" s="804" t="e">
        <f>Y12/Y10</f>
        <v>#DIV/0!</v>
      </c>
      <c r="Z29" s="804" t="e">
        <f>Z12/Z10</f>
        <v>#DIV/0!</v>
      </c>
      <c r="AA29" s="804" t="e">
        <f>AA12/AA10</f>
        <v>#DIV/0!</v>
      </c>
      <c r="AB29" s="804"/>
      <c r="AC29" s="804" t="e">
        <f>AC12/AC10</f>
        <v>#DIV/0!</v>
      </c>
      <c r="AD29" s="804" t="e">
        <f>AD12/AD10</f>
        <v>#DIV/0!</v>
      </c>
      <c r="AE29" s="804" t="e">
        <f>AE12/AE10</f>
        <v>#DIV/0!</v>
      </c>
      <c r="AF29" s="804" t="e">
        <f>AF12/AF10</f>
        <v>#DIV/0!</v>
      </c>
      <c r="AH29" s="804"/>
      <c r="AI29" s="804"/>
      <c r="AJ29" s="804"/>
      <c r="AK29" s="804"/>
      <c r="AL29" s="804"/>
      <c r="AM29" s="804"/>
      <c r="AN29" s="804"/>
      <c r="AO29" s="804"/>
      <c r="AP29" s="804"/>
      <c r="AQ29" s="804"/>
      <c r="AR29" s="804"/>
      <c r="AS29" s="804"/>
      <c r="AT29" s="804"/>
      <c r="AU29" s="804"/>
      <c r="AV29" s="804"/>
      <c r="AW29" s="804"/>
      <c r="AX29" s="804"/>
      <c r="AY29" s="804"/>
      <c r="AZ29" s="804"/>
      <c r="BA29" s="804"/>
      <c r="BB29" s="804"/>
      <c r="BC29" s="804"/>
      <c r="BD29" s="804"/>
      <c r="BE29" s="804"/>
      <c r="BF29" s="804"/>
      <c r="BG29" s="804"/>
      <c r="BH29" s="804"/>
      <c r="BI29" s="804"/>
      <c r="BJ29" s="804"/>
      <c r="BL29" s="804">
        <f>BL12/BL10</f>
        <v>5.2257379274866581E-2</v>
      </c>
      <c r="BM29" s="804">
        <f>BM12/BM10</f>
        <v>4.6407260673446533E-2</v>
      </c>
      <c r="BN29" s="804">
        <f>BN12/BN10</f>
        <v>2.6599681924433481E-2</v>
      </c>
      <c r="BO29" s="804">
        <f>BO12/BO10</f>
        <v>7.320519399928134E-2</v>
      </c>
      <c r="BP29" s="804"/>
      <c r="BQ29" s="804" t="e">
        <f>BQ12/BQ10</f>
        <v>#DIV/0!</v>
      </c>
      <c r="BR29" s="804">
        <f>BR12/BR10</f>
        <v>5.7531660677483061E-2</v>
      </c>
      <c r="BS29" s="804">
        <f>BS12/BS10</f>
        <v>-9.0381564653287498E-3</v>
      </c>
      <c r="BT29" s="804">
        <f>BT12/BT10</f>
        <v>0.44205277015034117</v>
      </c>
      <c r="BU29" s="804"/>
      <c r="BV29" s="804">
        <f>BV12/BV10</f>
        <v>9.6314460966886076E-2</v>
      </c>
      <c r="BW29" s="804">
        <f>BW12/BW10</f>
        <v>0.13427387801553226</v>
      </c>
      <c r="BX29" s="804">
        <f>BX12/BX10</f>
        <v>6.0256070984976109E-2</v>
      </c>
      <c r="BY29" s="804">
        <f>BY12/BY10</f>
        <v>7.6508528851785577E-3</v>
      </c>
      <c r="BZ29" s="806"/>
      <c r="CA29" s="804">
        <f>CA12/CA10</f>
        <v>1.7722835591612581E-2</v>
      </c>
      <c r="CB29" s="804">
        <f>CB12/CB10</f>
        <v>4.7814630440387071E-2</v>
      </c>
      <c r="CC29" s="804">
        <f>CC12/CC10</f>
        <v>1.7378003566372025E-2</v>
      </c>
      <c r="CD29" s="804">
        <f>CD12/CD10</f>
        <v>1.6340305894887018E-2</v>
      </c>
      <c r="CE29" s="804"/>
      <c r="CF29" s="804"/>
      <c r="CG29" s="804"/>
      <c r="CH29" s="804"/>
      <c r="CI29" s="804"/>
      <c r="CJ29" s="804"/>
      <c r="CK29" s="804"/>
      <c r="CL29" s="804"/>
      <c r="CM29" s="804"/>
      <c r="CN29" s="804"/>
      <c r="CP29" s="804">
        <f>CP12/CP10</f>
        <v>5.7663286015398559E-2</v>
      </c>
      <c r="CQ29" s="804">
        <f>CQ12/CQ10</f>
        <v>5.707020597386725E-2</v>
      </c>
      <c r="CR29" s="804">
        <f>CR12/CR10</f>
        <v>2.5351384035551108E-2</v>
      </c>
      <c r="CS29" s="804">
        <f>CS12/CS10</f>
        <v>0.10757616090725013</v>
      </c>
      <c r="CT29" s="440"/>
      <c r="CU29" s="804" t="e">
        <f>CU12/CU10</f>
        <v>#DIV/0!</v>
      </c>
      <c r="CV29" s="804" t="e">
        <f>CV12/CV10</f>
        <v>#DIV/0!</v>
      </c>
      <c r="CW29" s="804">
        <f>CW12/CW10</f>
        <v>0</v>
      </c>
      <c r="CX29" s="804">
        <f>CX12/CX10</f>
        <v>0</v>
      </c>
      <c r="CY29" s="440"/>
      <c r="CZ29" s="804">
        <f>CZ12/CZ10</f>
        <v>5.7663286015398559E-2</v>
      </c>
      <c r="DA29" s="804">
        <f>DA12/DA10</f>
        <v>5.707020597386725E-2</v>
      </c>
      <c r="DB29" s="804">
        <f>DB12/DB10</f>
        <v>3.0237704808173487E-2</v>
      </c>
      <c r="DC29" s="804"/>
      <c r="DG29" s="440"/>
    </row>
    <row r="30" spans="2:111" s="441" customFormat="1" ht="15.75" x14ac:dyDescent="0.25">
      <c r="B30" s="438" t="s">
        <v>238</v>
      </c>
      <c r="C30" s="771"/>
      <c r="D30" s="804">
        <f>D26/D10</f>
        <v>2.3423136100757868E-4</v>
      </c>
      <c r="E30" s="804">
        <f>E26/E10</f>
        <v>3.7844629673586901E-4</v>
      </c>
      <c r="F30" s="804">
        <f>F26/F10</f>
        <v>1.9110509432832682E-3</v>
      </c>
      <c r="G30" s="805">
        <f>G26/G10</f>
        <v>1.6768116503131248E-2</v>
      </c>
      <c r="H30" s="774"/>
      <c r="I30" s="804" t="e">
        <f>I26/I10</f>
        <v>#DIV/0!</v>
      </c>
      <c r="J30" s="804">
        <f>J26/J10</f>
        <v>5.0474865888845309E-3</v>
      </c>
      <c r="K30" s="804">
        <f>K26/K10</f>
        <v>-7.5644487689513054E-2</v>
      </c>
      <c r="L30" s="804">
        <f>L26/L10</f>
        <v>0.32611195819582756</v>
      </c>
      <c r="M30" s="774"/>
      <c r="N30" s="804">
        <f>N26/N10</f>
        <v>2.6972613948928359E-4</v>
      </c>
      <c r="O30" s="804">
        <f>O26/O10</f>
        <v>1.2070979711891001E-3</v>
      </c>
      <c r="P30" s="804">
        <f>P26/P10</f>
        <v>4.5536508050575121E-4</v>
      </c>
      <c r="Q30" s="804">
        <f>Q26/Q10</f>
        <v>-5.8997505890878335E-2</v>
      </c>
      <c r="R30" s="774"/>
      <c r="S30" s="804">
        <f>S26/S10</f>
        <v>-1.478111498758399E-2</v>
      </c>
      <c r="T30" s="804">
        <f>T26/T10</f>
        <v>4.7641885140728006E-4</v>
      </c>
      <c r="U30" s="804">
        <f>U26/U10</f>
        <v>-4.2579956465605751E-2</v>
      </c>
      <c r="V30" s="804">
        <f>V26/V10</f>
        <v>-4.5920385303226084E-2</v>
      </c>
      <c r="W30" s="774"/>
      <c r="X30" s="804" t="e">
        <f>X26/X10</f>
        <v>#DIV/0!</v>
      </c>
      <c r="Y30" s="804" t="e">
        <f>Y26/Y10</f>
        <v>#DIV/0!</v>
      </c>
      <c r="Z30" s="804" t="e">
        <f>Z26/Z10</f>
        <v>#DIV/0!</v>
      </c>
      <c r="AA30" s="804" t="e">
        <f>AA26/AA10</f>
        <v>#DIV/0!</v>
      </c>
      <c r="AB30" s="774"/>
      <c r="AC30" s="804" t="e">
        <f>AC26/AC10</f>
        <v>#DIV/0!</v>
      </c>
      <c r="AD30" s="804" t="e">
        <f>AD26/AD10</f>
        <v>#DIV/0!</v>
      </c>
      <c r="AE30" s="804" t="e">
        <f>AE26/AE10</f>
        <v>#DIV/0!</v>
      </c>
      <c r="AF30" s="804" t="e">
        <f>AF26/AF10</f>
        <v>#DIV/0!</v>
      </c>
      <c r="AH30" s="804"/>
      <c r="AI30" s="804"/>
      <c r="AJ30" s="804"/>
      <c r="AK30" s="804"/>
      <c r="AL30" s="774"/>
      <c r="AM30" s="804"/>
      <c r="AN30" s="804"/>
      <c r="AO30" s="804"/>
      <c r="AP30" s="804"/>
      <c r="AQ30" s="774"/>
      <c r="AR30" s="804"/>
      <c r="AS30" s="804"/>
      <c r="AT30" s="804"/>
      <c r="AU30" s="804"/>
      <c r="AV30" s="774"/>
      <c r="AW30" s="804"/>
      <c r="AX30" s="804"/>
      <c r="AY30" s="804"/>
      <c r="AZ30" s="804"/>
      <c r="BA30" s="774"/>
      <c r="BB30" s="804"/>
      <c r="BC30" s="804"/>
      <c r="BD30" s="804"/>
      <c r="BE30" s="804"/>
      <c r="BF30" s="774"/>
      <c r="BG30" s="804"/>
      <c r="BH30" s="804"/>
      <c r="BI30" s="804"/>
      <c r="BJ30" s="804"/>
      <c r="BL30" s="804">
        <f>BL26/BL10</f>
        <v>2.3423136100757868E-4</v>
      </c>
      <c r="BM30" s="804">
        <f>BM26/BM10</f>
        <v>3.7844629673586901E-4</v>
      </c>
      <c r="BN30" s="804">
        <f>BN26/BN10</f>
        <v>-2.3442570566312545E-2</v>
      </c>
      <c r="BO30" s="804">
        <f>BO26/BO10</f>
        <v>6.2919276605954378E-3</v>
      </c>
      <c r="BP30" s="774"/>
      <c r="BQ30" s="804" t="e">
        <f>BQ26/BQ10</f>
        <v>#DIV/0!</v>
      </c>
      <c r="BR30" s="804">
        <f>BR26/BR10</f>
        <v>5.0474865888845309E-3</v>
      </c>
      <c r="BS30" s="804">
        <f>BS26/BS10</f>
        <v>-8.6266507085622418E-2</v>
      </c>
      <c r="BT30" s="804">
        <f>BT26/BT10</f>
        <v>0.32611195819582756</v>
      </c>
      <c r="BU30" s="807"/>
      <c r="BV30" s="804">
        <f>BV26/BV10</f>
        <v>2.6972613948928359E-4</v>
      </c>
      <c r="BW30" s="804">
        <f>BW26/BW10</f>
        <v>1.2070979711891001E-3</v>
      </c>
      <c r="BX30" s="804">
        <f>BX26/BX10</f>
        <v>4.5536508050575121E-4</v>
      </c>
      <c r="BY30" s="804">
        <f>BY26/BY10</f>
        <v>-0.14316725416108331</v>
      </c>
      <c r="BZ30" s="806"/>
      <c r="CA30" s="804">
        <f>CA26/CA10</f>
        <v>-1.478111498758399E-2</v>
      </c>
      <c r="CB30" s="804">
        <f>CB26/CB10</f>
        <v>4.7641885140728006E-4</v>
      </c>
      <c r="CC30" s="804">
        <f>CC26/CC10</f>
        <v>-7.0331896307945105E-2</v>
      </c>
      <c r="CD30" s="804">
        <f>CD26/CD10</f>
        <v>-0.16192884623461748</v>
      </c>
      <c r="CE30" s="807"/>
      <c r="CF30" s="804"/>
      <c r="CG30" s="804"/>
      <c r="CH30" s="804"/>
      <c r="CI30" s="804"/>
      <c r="CJ30" s="807"/>
      <c r="CK30" s="804"/>
      <c r="CL30" s="804"/>
      <c r="CM30" s="804"/>
      <c r="CN30" s="804"/>
      <c r="CP30" s="804">
        <f>CP26/CP10</f>
        <v>-6.4302472073327099E-4</v>
      </c>
      <c r="CQ30" s="804">
        <f>CQ26/CQ10</f>
        <v>8.6370672087375273E-4</v>
      </c>
      <c r="CR30" s="804">
        <f>CR26/CR10</f>
        <v>-3.1712139048731415E-2</v>
      </c>
      <c r="CS30" s="804">
        <f>CS26/CS10</f>
        <v>1.8985443443281239E-2</v>
      </c>
      <c r="CT30" s="440"/>
      <c r="CU30" s="804" t="e">
        <f>CU26/CU10</f>
        <v>#DIV/0!</v>
      </c>
      <c r="CV30" s="804" t="e">
        <f>CV26/CV10</f>
        <v>#DIV/0!</v>
      </c>
      <c r="CW30" s="804">
        <f>CW26/CW10</f>
        <v>0</v>
      </c>
      <c r="CX30" s="804">
        <f>CX13/CX11</f>
        <v>0</v>
      </c>
      <c r="CY30" s="440"/>
      <c r="CZ30" s="804">
        <f>CZ26/CZ10</f>
        <v>-6.4302472073327099E-4</v>
      </c>
      <c r="DA30" s="804">
        <f>DA26/DA10</f>
        <v>8.6370672087375273E-4</v>
      </c>
      <c r="DB30" s="804">
        <f>DB26/DB10</f>
        <v>-3.7824455581856625E-2</v>
      </c>
      <c r="DC30" s="804"/>
      <c r="DG30" s="440"/>
    </row>
  </sheetData>
  <mergeCells count="31">
    <mergeCell ref="AC5:AF5"/>
    <mergeCell ref="BV5:BY5"/>
    <mergeCell ref="D5:G5"/>
    <mergeCell ref="I5:L5"/>
    <mergeCell ref="N5:Q5"/>
    <mergeCell ref="S5:V5"/>
    <mergeCell ref="X5:AA5"/>
    <mergeCell ref="AH5:AK5"/>
    <mergeCell ref="AM5:AP5"/>
    <mergeCell ref="CZ5:DC5"/>
    <mergeCell ref="N7:P7"/>
    <mergeCell ref="AC7:AE7"/>
    <mergeCell ref="AR7:AT7"/>
    <mergeCell ref="AW7:AY7"/>
    <mergeCell ref="BB7:BD7"/>
    <mergeCell ref="BG7:BI7"/>
    <mergeCell ref="BV7:BX7"/>
    <mergeCell ref="BL5:BO5"/>
    <mergeCell ref="BQ5:BT5"/>
    <mergeCell ref="AR5:AU5"/>
    <mergeCell ref="AW5:AZ5"/>
    <mergeCell ref="BB5:BE5"/>
    <mergeCell ref="BG5:BJ5"/>
    <mergeCell ref="CA7:CC7"/>
    <mergeCell ref="CF7:CH7"/>
    <mergeCell ref="CK7:CM7"/>
    <mergeCell ref="CP5:CS5"/>
    <mergeCell ref="CU5:CX5"/>
    <mergeCell ref="CA5:CD5"/>
    <mergeCell ref="CF5:CI5"/>
    <mergeCell ref="CK5:CN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H136"/>
  <sheetViews>
    <sheetView showGridLines="0" zoomScale="55" zoomScaleNormal="55" workbookViewId="0">
      <pane xSplit="4" ySplit="7" topLeftCell="BH74" activePane="bottomRight" state="frozen"/>
      <selection pane="topRight" activeCell="E1" sqref="E1"/>
      <selection pane="bottomLeft" activeCell="A8" sqref="A8"/>
      <selection pane="bottomRight" activeCell="AZ98" sqref="AZ98:DG98"/>
    </sheetView>
  </sheetViews>
  <sheetFormatPr defaultColWidth="8.7109375" defaultRowHeight="15.75" outlineLevelCol="1" x14ac:dyDescent="0.25"/>
  <cols>
    <col min="1" max="1" width="3.7109375" style="213" customWidth="1"/>
    <col min="2" max="2" width="1.5703125" style="213" customWidth="1"/>
    <col min="3" max="3" width="46.7109375" style="226" customWidth="1"/>
    <col min="4" max="4" width="5.7109375" style="226" customWidth="1"/>
    <col min="5" max="6" width="19.140625" style="734" customWidth="1" outlineLevel="1"/>
    <col min="7" max="7" width="21.140625" style="734" customWidth="1" outlineLevel="1"/>
    <col min="8" max="8" width="19.7109375" style="713" customWidth="1" outlineLevel="1"/>
    <col min="9" max="9" width="5.7109375" style="213" customWidth="1" outlineLevel="1"/>
    <col min="10" max="10" width="19.28515625" style="161" customWidth="1" outlineLevel="1"/>
    <col min="11" max="11" width="20.5703125" style="161" customWidth="1" outlineLevel="1"/>
    <col min="12" max="12" width="19.140625" style="161" customWidth="1" outlineLevel="1"/>
    <col min="13" max="13" width="20.28515625" style="212" customWidth="1" outlineLevel="1"/>
    <col min="14" max="14" width="1.5703125" style="213" customWidth="1" outlineLevel="1"/>
    <col min="15" max="15" width="17.7109375" style="161" customWidth="1" outlineLevel="1"/>
    <col min="16" max="17" width="17.42578125" style="161" customWidth="1" outlineLevel="1"/>
    <col min="18" max="18" width="17.7109375" style="213" customWidth="1" outlineLevel="1"/>
    <col min="19" max="19" width="1.5703125" style="213" customWidth="1" outlineLevel="1"/>
    <col min="20" max="20" width="18" style="161" customWidth="1" outlineLevel="1"/>
    <col min="21" max="21" width="19.42578125" style="161" customWidth="1" outlineLevel="1"/>
    <col min="22" max="22" width="20.28515625" style="161" customWidth="1" outlineLevel="1"/>
    <col min="23" max="23" width="18.28515625" style="213" customWidth="1" outlineLevel="1"/>
    <col min="24" max="24" width="1.5703125" style="213" customWidth="1"/>
    <col min="25" max="25" width="18" style="161" hidden="1" customWidth="1" outlineLevel="1"/>
    <col min="26" max="26" width="19.42578125" style="161" hidden="1" customWidth="1" outlineLevel="1"/>
    <col min="27" max="27" width="20.28515625" style="161" hidden="1" customWidth="1" outlineLevel="1"/>
    <col min="28" max="28" width="18.28515625" style="213" hidden="1" customWidth="1" outlineLevel="1"/>
    <col min="29" max="29" width="1.5703125" style="213" hidden="1" customWidth="1" outlineLevel="1"/>
    <col min="30" max="30" width="19.28515625" style="161" hidden="1" customWidth="1" outlineLevel="1"/>
    <col min="31" max="31" width="19.42578125" style="161" hidden="1" customWidth="1" outlineLevel="1"/>
    <col min="32" max="32" width="20.28515625" style="161" hidden="1" customWidth="1" outlineLevel="1"/>
    <col min="33" max="33" width="19.7109375" style="213" hidden="1" customWidth="1" outlineLevel="1"/>
    <col min="34" max="34" width="4.28515625" style="183" customWidth="1" collapsed="1"/>
    <col min="35" max="35" width="16.5703125" style="213" customWidth="1" outlineLevel="1"/>
    <col min="36" max="38" width="21.85546875" style="213" customWidth="1" outlineLevel="1"/>
    <col min="39" max="39" width="4.28515625" style="213" customWidth="1" outlineLevel="1"/>
    <col min="40" max="40" width="13.28515625" style="161" customWidth="1" outlineLevel="1"/>
    <col min="41" max="41" width="24.7109375" style="161" customWidth="1" outlineLevel="1"/>
    <col min="42" max="42" width="22.140625" style="161" customWidth="1" outlineLevel="1"/>
    <col min="43" max="43" width="21.7109375" style="213" customWidth="1" outlineLevel="1"/>
    <col min="44" max="44" width="4.28515625" style="213" customWidth="1" outlineLevel="1"/>
    <col min="45" max="45" width="22.140625" style="161" customWidth="1" outlineLevel="1"/>
    <col min="46" max="46" width="14.28515625" style="161" customWidth="1" outlineLevel="1"/>
    <col min="47" max="47" width="21" style="161" customWidth="1" outlineLevel="1"/>
    <col min="48" max="48" width="17" style="213" customWidth="1" outlineLevel="1"/>
    <col min="49" max="49" width="4.28515625" style="213" customWidth="1" outlineLevel="1"/>
    <col min="50" max="51" width="10.42578125" style="213" customWidth="1" outlineLevel="1"/>
    <col min="52" max="52" width="32.42578125" style="213" bestFit="1" customWidth="1" outlineLevel="1"/>
    <col min="53" max="53" width="18.28515625" style="213" customWidth="1" outlineLevel="1"/>
    <col min="54" max="54" width="4.28515625" style="213" customWidth="1" outlineLevel="1"/>
    <col min="55" max="58" width="10.42578125" style="213" customWidth="1" outlineLevel="1"/>
    <col min="59" max="59" width="4.28515625" style="213" customWidth="1" outlineLevel="1"/>
    <col min="60" max="62" width="10.42578125" style="161" customWidth="1" outlineLevel="1"/>
    <col min="63" max="63" width="10.42578125" style="213" customWidth="1" outlineLevel="1"/>
    <col min="64" max="64" width="3.5703125" style="213" customWidth="1"/>
    <col min="65" max="66" width="19.28515625" style="161" hidden="1" customWidth="1" outlineLevel="1"/>
    <col min="67" max="67" width="19.42578125" style="161" hidden="1" customWidth="1" outlineLevel="1"/>
    <col min="68" max="68" width="20.42578125" style="213" hidden="1" customWidth="1" outlineLevel="1"/>
    <col min="69" max="69" width="5.28515625" style="213" hidden="1" customWidth="1" outlineLevel="1"/>
    <col min="70" max="72" width="19.28515625" style="161" hidden="1" customWidth="1" outlineLevel="1"/>
    <col min="73" max="73" width="20.42578125" style="213" hidden="1" customWidth="1" outlineLevel="1"/>
    <col min="74" max="74" width="5.28515625" style="213" hidden="1" customWidth="1" outlineLevel="1"/>
    <col min="75" max="75" width="18" style="161" hidden="1" customWidth="1" outlineLevel="1"/>
    <col min="76" max="76" width="19.42578125" style="161" hidden="1" customWidth="1" outlineLevel="1"/>
    <col min="77" max="77" width="20.28515625" style="161" hidden="1" customWidth="1" outlineLevel="1"/>
    <col min="78" max="78" width="20.42578125" style="213" hidden="1" customWidth="1" outlineLevel="1"/>
    <col min="79" max="79" width="5.28515625" style="213" hidden="1" customWidth="1" outlineLevel="1"/>
    <col min="80" max="80" width="18" style="161" hidden="1" customWidth="1" outlineLevel="1"/>
    <col min="81" max="81" width="19.42578125" style="161" hidden="1" customWidth="1" outlineLevel="1"/>
    <col min="82" max="82" width="20.28515625" style="161" hidden="1" customWidth="1" outlineLevel="1"/>
    <col min="83" max="83" width="20.42578125" style="213" hidden="1" customWidth="1" outlineLevel="1"/>
    <col min="84" max="84" width="5.28515625" style="213" hidden="1" customWidth="1" outlineLevel="1"/>
    <col min="85" max="85" width="18" style="161" hidden="1" customWidth="1" outlineLevel="1"/>
    <col min="86" max="86" width="19.42578125" style="161" hidden="1" customWidth="1" outlineLevel="1"/>
    <col min="87" max="87" width="20.28515625" style="161" hidden="1" customWidth="1" outlineLevel="1"/>
    <col min="88" max="88" width="20.42578125" style="213" hidden="1" customWidth="1" outlineLevel="1"/>
    <col min="89" max="89" width="5.28515625" style="213" hidden="1" customWidth="1" outlineLevel="1"/>
    <col min="90" max="92" width="17.7109375" style="161" hidden="1" customWidth="1" outlineLevel="1"/>
    <col min="93" max="93" width="20.42578125" style="213" hidden="1" customWidth="1" outlineLevel="1"/>
    <col min="94" max="94" width="2.7109375" style="213" customWidth="1" collapsed="1"/>
    <col min="95" max="97" width="19.42578125" style="161" customWidth="1" outlineLevel="1"/>
    <col min="98" max="98" width="19.42578125" style="161" bestFit="1" customWidth="1" outlineLevel="1"/>
    <col min="99" max="99" width="6.5703125" style="213" customWidth="1"/>
    <col min="100" max="100" width="14.7109375" style="161" customWidth="1"/>
    <col min="101" max="102" width="19.42578125" style="161" customWidth="1"/>
    <col min="103" max="103" width="18" style="161" customWidth="1"/>
    <col min="104" max="104" width="4.28515625" style="213" customWidth="1"/>
    <col min="105" max="106" width="19.42578125" style="161" customWidth="1" outlineLevel="1"/>
    <col min="107" max="107" width="24.7109375" style="161" bestFit="1" customWidth="1" outlineLevel="1"/>
    <col min="108" max="108" width="19.42578125" style="161" bestFit="1" customWidth="1" outlineLevel="1"/>
    <col min="109" max="16384" width="8.7109375" style="213"/>
  </cols>
  <sheetData>
    <row r="1" spans="1:112" x14ac:dyDescent="0.25">
      <c r="C1" s="208"/>
      <c r="D1" s="209"/>
      <c r="E1" s="712"/>
      <c r="F1" s="712"/>
      <c r="G1" s="712"/>
      <c r="I1" s="211"/>
      <c r="N1" s="211"/>
      <c r="R1" s="210"/>
      <c r="S1" s="211"/>
      <c r="W1" s="210"/>
      <c r="X1" s="211"/>
      <c r="AB1" s="210"/>
      <c r="AC1" s="211"/>
      <c r="AG1" s="210"/>
      <c r="AH1" s="213"/>
      <c r="AI1" s="214"/>
      <c r="AJ1" s="210"/>
      <c r="AK1" s="210"/>
      <c r="AL1" s="210"/>
      <c r="AM1" s="211"/>
      <c r="AQ1" s="210"/>
      <c r="AR1" s="211"/>
      <c r="AV1" s="210"/>
      <c r="AW1" s="211"/>
      <c r="AX1" s="210"/>
      <c r="AY1" s="210"/>
      <c r="AZ1" s="210"/>
      <c r="BA1" s="210"/>
      <c r="BB1" s="211"/>
      <c r="BC1" s="210"/>
      <c r="BD1" s="210"/>
      <c r="BE1" s="210"/>
      <c r="BF1" s="210"/>
      <c r="BG1" s="211"/>
      <c r="BK1" s="210"/>
      <c r="BP1" s="210"/>
      <c r="BQ1" s="211"/>
      <c r="BU1" s="210"/>
      <c r="BV1" s="211"/>
      <c r="BZ1" s="210"/>
      <c r="CA1" s="211"/>
      <c r="CE1" s="210"/>
      <c r="CF1" s="211"/>
      <c r="CJ1" s="210"/>
      <c r="CK1" s="211"/>
      <c r="CO1" s="210"/>
    </row>
    <row r="2" spans="1:112" x14ac:dyDescent="0.25">
      <c r="C2" s="254"/>
      <c r="D2" s="254"/>
      <c r="E2" s="714"/>
      <c r="F2" s="714"/>
      <c r="G2" s="714"/>
      <c r="H2" s="714"/>
      <c r="I2" s="211"/>
      <c r="J2" s="167"/>
      <c r="K2" s="167"/>
      <c r="L2" s="167"/>
      <c r="M2" s="255"/>
      <c r="N2" s="211"/>
      <c r="O2" s="167"/>
      <c r="P2" s="167"/>
      <c r="Q2" s="167"/>
      <c r="R2" s="167"/>
      <c r="S2" s="211"/>
      <c r="W2" s="161"/>
      <c r="X2" s="211"/>
      <c r="AB2" s="161"/>
      <c r="AC2" s="211"/>
      <c r="AG2" s="161"/>
      <c r="AH2" s="213"/>
      <c r="AI2" s="166"/>
      <c r="AJ2" s="166"/>
      <c r="AK2" s="166"/>
      <c r="AL2" s="166"/>
      <c r="AM2" s="211"/>
      <c r="AN2" s="167"/>
      <c r="AO2" s="167"/>
      <c r="AP2" s="167"/>
      <c r="AQ2" s="166"/>
      <c r="AR2" s="211"/>
      <c r="AS2" s="167"/>
      <c r="AT2" s="167"/>
      <c r="AU2" s="167"/>
      <c r="AV2" s="166"/>
      <c r="AW2" s="211"/>
      <c r="AX2" s="167"/>
      <c r="AY2" s="167"/>
      <c r="AZ2" s="167"/>
      <c r="BA2" s="166"/>
      <c r="BB2" s="211"/>
      <c r="BC2" s="167"/>
      <c r="BD2" s="167"/>
      <c r="BE2" s="167"/>
      <c r="BF2" s="166"/>
      <c r="BG2" s="211"/>
      <c r="BH2" s="167"/>
      <c r="BI2" s="167"/>
      <c r="BJ2" s="167"/>
      <c r="BK2" s="166"/>
      <c r="BM2" s="167"/>
      <c r="BN2" s="167"/>
      <c r="BO2" s="167"/>
      <c r="BP2" s="166"/>
      <c r="BQ2" s="211"/>
      <c r="BR2" s="167"/>
      <c r="BS2" s="167"/>
      <c r="BT2" s="167"/>
      <c r="BU2" s="166"/>
      <c r="BV2" s="167"/>
      <c r="BW2" s="167"/>
      <c r="BX2" s="167"/>
      <c r="BY2" s="167"/>
      <c r="BZ2" s="166"/>
      <c r="CA2" s="167"/>
      <c r="CB2" s="166"/>
      <c r="CC2" s="166"/>
      <c r="CD2" s="166"/>
      <c r="CE2" s="166"/>
      <c r="CF2" s="167"/>
      <c r="CG2" s="166"/>
      <c r="CH2" s="166"/>
      <c r="CI2" s="166"/>
      <c r="CJ2" s="166"/>
      <c r="CK2" s="167"/>
      <c r="CL2" s="167"/>
      <c r="CM2" s="167"/>
      <c r="CN2" s="167"/>
      <c r="CO2" s="166"/>
      <c r="CQ2" s="167"/>
      <c r="CR2" s="167"/>
      <c r="CS2" s="167"/>
      <c r="CT2" s="167"/>
      <c r="CV2" s="167"/>
      <c r="CW2" s="167"/>
      <c r="CX2" s="167"/>
      <c r="CY2" s="167"/>
      <c r="DA2" s="167"/>
      <c r="DB2" s="167"/>
      <c r="DC2" s="167"/>
      <c r="DD2" s="167"/>
      <c r="DH2" s="245"/>
    </row>
    <row r="3" spans="1:112" x14ac:dyDescent="0.25">
      <c r="C3" s="256" t="s">
        <v>4</v>
      </c>
      <c r="D3" s="257"/>
      <c r="E3" s="715"/>
      <c r="F3" s="716"/>
      <c r="G3" s="716" t="s">
        <v>619</v>
      </c>
      <c r="H3" s="717"/>
      <c r="I3" s="216"/>
      <c r="J3" s="216"/>
      <c r="K3" s="216" t="s">
        <v>619</v>
      </c>
      <c r="L3" s="216"/>
      <c r="M3" s="217"/>
      <c r="N3" s="216"/>
      <c r="O3" s="216"/>
      <c r="P3" s="216" t="s">
        <v>619</v>
      </c>
      <c r="Q3" s="216"/>
      <c r="R3" s="216"/>
      <c r="S3" s="216"/>
      <c r="T3" s="216"/>
      <c r="U3" s="216" t="s">
        <v>619</v>
      </c>
      <c r="V3" s="216"/>
      <c r="W3" s="216"/>
      <c r="X3" s="216"/>
      <c r="Y3" s="216"/>
      <c r="Z3" s="216" t="s">
        <v>619</v>
      </c>
      <c r="AA3" s="216"/>
      <c r="AB3" s="216"/>
      <c r="AC3" s="216"/>
      <c r="AD3" s="216"/>
      <c r="AE3" s="216" t="s">
        <v>619</v>
      </c>
      <c r="AF3" s="216"/>
      <c r="AG3" s="216"/>
      <c r="AH3" s="213"/>
      <c r="AI3" s="218"/>
      <c r="AJ3" s="218"/>
      <c r="AK3" s="219" t="s">
        <v>620</v>
      </c>
      <c r="AL3" s="218"/>
      <c r="AM3" s="218"/>
      <c r="AN3" s="220"/>
      <c r="AO3" s="220"/>
      <c r="AP3" s="219" t="s">
        <v>620</v>
      </c>
      <c r="AQ3" s="218"/>
      <c r="AR3" s="218"/>
      <c r="AS3" s="220"/>
      <c r="AT3" s="220"/>
      <c r="AU3" s="219" t="s">
        <v>620</v>
      </c>
      <c r="AV3" s="218"/>
      <c r="AW3" s="218"/>
      <c r="AX3" s="218"/>
      <c r="AY3" s="219" t="s">
        <v>620</v>
      </c>
      <c r="AZ3" s="218"/>
      <c r="BA3" s="218"/>
      <c r="BB3" s="218"/>
      <c r="BC3" s="218"/>
      <c r="BD3" s="219" t="s">
        <v>620</v>
      </c>
      <c r="BE3" s="218"/>
      <c r="BF3" s="218"/>
      <c r="BG3" s="218"/>
      <c r="BH3" s="220"/>
      <c r="BI3" s="220"/>
      <c r="BJ3" s="219" t="s">
        <v>620</v>
      </c>
      <c r="BK3" s="218"/>
      <c r="BM3" s="221"/>
      <c r="BN3" s="221"/>
      <c r="BO3" s="222" t="s">
        <v>621</v>
      </c>
      <c r="BP3" s="223"/>
      <c r="BQ3" s="224"/>
      <c r="BR3" s="221"/>
      <c r="BS3" s="221"/>
      <c r="BT3" s="222" t="s">
        <v>621</v>
      </c>
      <c r="BU3" s="223"/>
      <c r="BV3" s="224"/>
      <c r="BW3" s="221"/>
      <c r="BX3" s="221"/>
      <c r="BY3" s="222" t="s">
        <v>621</v>
      </c>
      <c r="BZ3" s="223"/>
      <c r="CA3" s="224"/>
      <c r="CB3" s="221"/>
      <c r="CC3" s="221"/>
      <c r="CD3" s="222"/>
      <c r="CE3" s="223"/>
      <c r="CF3" s="224"/>
      <c r="CG3" s="221"/>
      <c r="CH3" s="221"/>
      <c r="CI3" s="222"/>
      <c r="CJ3" s="223"/>
      <c r="CK3" s="224"/>
      <c r="CL3" s="221"/>
      <c r="CM3" s="221"/>
      <c r="CN3" s="222" t="s">
        <v>621</v>
      </c>
      <c r="CO3" s="223"/>
      <c r="CQ3" s="216"/>
      <c r="CR3" s="216"/>
      <c r="CS3" s="216" t="s">
        <v>621</v>
      </c>
      <c r="CT3" s="216"/>
      <c r="CV3" s="225"/>
      <c r="CW3" s="225"/>
      <c r="CX3" s="225" t="s">
        <v>622</v>
      </c>
      <c r="CY3" s="225"/>
      <c r="DA3" s="216"/>
      <c r="DB3" s="216"/>
      <c r="DC3" s="216" t="s">
        <v>685</v>
      </c>
      <c r="DD3" s="216"/>
      <c r="DH3" s="245"/>
    </row>
    <row r="4" spans="1:112" x14ac:dyDescent="0.25">
      <c r="C4" s="258"/>
      <c r="D4" s="257"/>
      <c r="E4" s="714"/>
      <c r="F4" s="714"/>
      <c r="G4" s="714"/>
      <c r="H4" s="714"/>
      <c r="I4" s="211"/>
      <c r="M4" s="255"/>
      <c r="N4" s="211"/>
      <c r="R4" s="161"/>
      <c r="S4" s="211"/>
      <c r="W4" s="161"/>
      <c r="X4" s="211"/>
      <c r="AB4" s="161"/>
      <c r="AC4" s="211"/>
      <c r="AG4" s="161"/>
      <c r="AH4" s="213"/>
      <c r="AI4" s="227" t="str">
        <f>$AI$5&amp;$AK$3&amp;AI6</f>
        <v>1.DV Quang PhátĐiều chỉnh 2020</v>
      </c>
      <c r="AJ4" s="227" t="str">
        <f>$AI$5&amp;AJ6</f>
        <v>1.DV Quang Phát2021</v>
      </c>
      <c r="AK4" s="227" t="str">
        <f>$AI$5&amp;$AK$3&amp;AK6</f>
        <v>1.DV Quang PhátĐiều chỉnh 2022</v>
      </c>
      <c r="AL4" s="227" t="str">
        <f>$AI$5&amp;$AK$3&amp;AL6</f>
        <v>1.DV Quang PhátĐiều chỉnh 2023</v>
      </c>
      <c r="AM4" s="211"/>
      <c r="AN4" s="161" t="str">
        <f>$AN5&amp;$AP$3&amp;AN6</f>
        <v>2.BT Quang PhátĐiều chỉnh 2020</v>
      </c>
      <c r="AO4" s="161" t="str">
        <f>$AN5&amp;$AP$3&amp;AO6</f>
        <v>2.BT Quang PhátĐiều chỉnh 2021</v>
      </c>
      <c r="AP4" s="161" t="str">
        <f>$AN5&amp;$AP$3&amp;AP6</f>
        <v>2.BT Quang PhátĐiều chỉnh 2022</v>
      </c>
      <c r="AQ4" s="161" t="str">
        <f>$AN5&amp;$AP$3&amp;AQ6</f>
        <v>2.BT Quang PhátĐiều chỉnh 2023</v>
      </c>
      <c r="AR4" s="211"/>
      <c r="AS4" s="161" t="str">
        <f>$AS$5&amp;$AU$3&amp;AS6</f>
        <v>3.Kim Quang PhátĐiều chỉnh 2020</v>
      </c>
      <c r="AT4" s="161" t="str">
        <f t="shared" ref="AT4:AV4" si="0">$AS$5&amp;$AU$3&amp;AT6</f>
        <v>3.Kim Quang PhátĐiều chỉnh 2021</v>
      </c>
      <c r="AU4" s="161" t="str">
        <f>$AS$5&amp;$AU$3&amp;AU6</f>
        <v>3.Kim Quang PhátĐiều chỉnh 2022</v>
      </c>
      <c r="AV4" s="161" t="str">
        <f t="shared" si="0"/>
        <v>3.Kim Quang PhátĐiều chỉnh 2023</v>
      </c>
      <c r="AW4" s="211"/>
      <c r="AX4" s="161" t="str">
        <f>$AX$5&amp;$AY$3&amp;AX6</f>
        <v>4.Kim Mỹ LinhĐiều chỉnh 2020</v>
      </c>
      <c r="AY4" s="161" t="str">
        <f>$AX$5&amp;$AY$3&amp;AY6</f>
        <v>4.Kim Mỹ LinhĐiều chỉnh 2021</v>
      </c>
      <c r="AZ4" s="161" t="str">
        <f>$AX$5&amp;$AY$3&amp;AZ6</f>
        <v>4.Kim Mỹ LinhĐiều chỉnh 2022</v>
      </c>
      <c r="BA4" s="161" t="str">
        <f>$AX$5&amp;$AY$3&amp;BA6</f>
        <v>4.Kim Mỹ LinhĐiều chỉnh 2023</v>
      </c>
      <c r="BB4" s="211"/>
      <c r="BC4" s="161" t="str">
        <f>$BC$5&amp;$BD$3&amp;BC6</f>
        <v>5.Vạn XuânĐiều chỉnh 2020</v>
      </c>
      <c r="BD4" s="161" t="str">
        <f>$BC$5&amp;$BD$3&amp;BD6</f>
        <v>5.Vạn XuânĐiều chỉnh 2021</v>
      </c>
      <c r="BE4" s="161" t="str">
        <f t="shared" ref="BE4:BF4" si="1">$BC$5&amp;$BD$3&amp;BE6</f>
        <v>5.Vạn XuânĐiều chỉnh 2022</v>
      </c>
      <c r="BF4" s="161" t="str">
        <f t="shared" si="1"/>
        <v>5.Vạn XuânĐiều chỉnh 2023</v>
      </c>
      <c r="BG4" s="211"/>
      <c r="BH4" s="161" t="str">
        <f>$BH5&amp;$BJ$3&amp;BH6</f>
        <v>6.Điều chỉnh 2020</v>
      </c>
      <c r="BI4" s="161" t="str">
        <f>$BH5&amp;$BJ$3&amp;BI6</f>
        <v>6.Điều chỉnh 2021</v>
      </c>
      <c r="BJ4" s="161" t="str">
        <f>$BH5&amp;$BJ$3&amp;BJ6</f>
        <v>6.Điều chỉnh 2022</v>
      </c>
      <c r="BK4" s="161" t="str">
        <f>$BH5&amp;$BJ$3&amp;BK6</f>
        <v>6.Điều chỉnh 2023</v>
      </c>
      <c r="BP4" s="166"/>
      <c r="BQ4" s="211"/>
      <c r="BU4" s="166"/>
      <c r="BV4" s="211"/>
      <c r="BZ4" s="166"/>
      <c r="CA4" s="211"/>
      <c r="CB4" s="166"/>
      <c r="CC4" s="166"/>
      <c r="CD4" s="166"/>
      <c r="CE4" s="166"/>
      <c r="CF4" s="211"/>
      <c r="CG4" s="166"/>
      <c r="CH4" s="166"/>
      <c r="CI4" s="166"/>
      <c r="CJ4" s="166"/>
      <c r="CK4" s="211"/>
      <c r="CO4" s="166"/>
      <c r="DH4" s="245"/>
    </row>
    <row r="5" spans="1:112" x14ac:dyDescent="0.25">
      <c r="C5" s="228" t="s">
        <v>142</v>
      </c>
      <c r="D5" s="229" t="s">
        <v>273</v>
      </c>
      <c r="E5" s="2186" t="str">
        <f>'TH1'!G4</f>
        <v>1.DV Quang Phát</v>
      </c>
      <c r="F5" s="2187"/>
      <c r="G5" s="2187"/>
      <c r="H5" s="2188"/>
      <c r="I5" s="230"/>
      <c r="J5" s="2184" t="str">
        <f>'TH1'!G5</f>
        <v>2.BT Quang Phát</v>
      </c>
      <c r="K5" s="2185"/>
      <c r="L5" s="2185"/>
      <c r="M5" s="2185"/>
      <c r="N5" s="230"/>
      <c r="O5" s="2184" t="str">
        <f>'TH1'!G6</f>
        <v>3.Kim Quang Phát</v>
      </c>
      <c r="P5" s="2185"/>
      <c r="Q5" s="2185"/>
      <c r="R5" s="2185"/>
      <c r="S5" s="230"/>
      <c r="T5" s="2184" t="str">
        <f>'TH1'!G7</f>
        <v>4.Kim Mỹ Linh</v>
      </c>
      <c r="U5" s="2185"/>
      <c r="V5" s="2185"/>
      <c r="W5" s="2185"/>
      <c r="X5" s="230"/>
      <c r="Y5" s="2184" t="str">
        <f>'TH1'!G8</f>
        <v>5.Vạn Xuân</v>
      </c>
      <c r="Z5" s="2185"/>
      <c r="AA5" s="2185"/>
      <c r="AB5" s="2185"/>
      <c r="AC5" s="230"/>
      <c r="AD5" s="2184" t="str">
        <f>'TH1'!G9</f>
        <v>6.</v>
      </c>
      <c r="AE5" s="2185"/>
      <c r="AF5" s="2185"/>
      <c r="AG5" s="2185"/>
      <c r="AH5" s="213"/>
      <c r="AI5" s="2186" t="str">
        <f>'TH1'!G4</f>
        <v>1.DV Quang Phát</v>
      </c>
      <c r="AJ5" s="2187"/>
      <c r="AK5" s="2187"/>
      <c r="AL5" s="2187"/>
      <c r="AM5" s="230"/>
      <c r="AN5" s="2184" t="str">
        <f>'TH1'!G5</f>
        <v>2.BT Quang Phát</v>
      </c>
      <c r="AO5" s="2185"/>
      <c r="AP5" s="2185"/>
      <c r="AQ5" s="2185"/>
      <c r="AR5" s="230"/>
      <c r="AS5" s="2184" t="str">
        <f>'TH1'!G6</f>
        <v>3.Kim Quang Phát</v>
      </c>
      <c r="AT5" s="2185"/>
      <c r="AU5" s="2185"/>
      <c r="AV5" s="2185"/>
      <c r="AW5" s="230"/>
      <c r="AX5" s="2184" t="str">
        <f>'TH1'!G7</f>
        <v>4.Kim Mỹ Linh</v>
      </c>
      <c r="AY5" s="2185"/>
      <c r="AZ5" s="2185"/>
      <c r="BA5" s="2185"/>
      <c r="BB5" s="230"/>
      <c r="BC5" s="2184" t="str">
        <f>'TH1'!G8</f>
        <v>5.Vạn Xuân</v>
      </c>
      <c r="BD5" s="2185"/>
      <c r="BE5" s="2185"/>
      <c r="BF5" s="2185"/>
      <c r="BG5" s="230"/>
      <c r="BH5" s="2184" t="str">
        <f>'TH1'!G9</f>
        <v>6.</v>
      </c>
      <c r="BI5" s="2185"/>
      <c r="BJ5" s="2185"/>
      <c r="BK5" s="2185"/>
      <c r="BM5" s="2184" t="str">
        <f>AI5</f>
        <v>1.DV Quang Phát</v>
      </c>
      <c r="BN5" s="2185"/>
      <c r="BO5" s="2185"/>
      <c r="BP5" s="2185"/>
      <c r="BQ5" s="230"/>
      <c r="BR5" s="2184" t="str">
        <f>'TH1'!G5</f>
        <v>2.BT Quang Phát</v>
      </c>
      <c r="BS5" s="2185"/>
      <c r="BT5" s="2185"/>
      <c r="BU5" s="2185"/>
      <c r="BV5" s="230"/>
      <c r="BW5" s="2184" t="str">
        <f>'TH1'!G6</f>
        <v>3.Kim Quang Phát</v>
      </c>
      <c r="BX5" s="2185"/>
      <c r="BY5" s="2185"/>
      <c r="BZ5" s="2185"/>
      <c r="CA5" s="230"/>
      <c r="CB5" s="2184" t="str">
        <f>'TH1'!G7</f>
        <v>4.Kim Mỹ Linh</v>
      </c>
      <c r="CC5" s="2185"/>
      <c r="CD5" s="2185"/>
      <c r="CE5" s="2185"/>
      <c r="CF5" s="230"/>
      <c r="CG5" s="2184" t="str">
        <f>'TH1'!G8</f>
        <v>5.Vạn Xuân</v>
      </c>
      <c r="CH5" s="2185"/>
      <c r="CI5" s="2185"/>
      <c r="CJ5" s="2185"/>
      <c r="CK5" s="231"/>
      <c r="CL5" s="2184" t="str">
        <f>'TH1'!G9</f>
        <v>6.</v>
      </c>
      <c r="CM5" s="2185"/>
      <c r="CN5" s="2185"/>
      <c r="CO5" s="2185"/>
      <c r="CQ5" s="2189" t="s">
        <v>615</v>
      </c>
      <c r="CR5" s="2190"/>
      <c r="CS5" s="2190"/>
      <c r="CT5" s="2190"/>
      <c r="CV5" s="2191" t="s">
        <v>615</v>
      </c>
      <c r="CW5" s="2192"/>
      <c r="CX5" s="2192"/>
      <c r="CY5" s="2192"/>
      <c r="DA5" s="2189" t="s">
        <v>615</v>
      </c>
      <c r="DB5" s="2190"/>
      <c r="DC5" s="2190"/>
      <c r="DD5" s="2190"/>
    </row>
    <row r="6" spans="1:112" s="397" customFormat="1" x14ac:dyDescent="0.25">
      <c r="C6" s="398">
        <v>1000000000</v>
      </c>
      <c r="D6" s="399"/>
      <c r="E6" s="233">
        <v>2020</v>
      </c>
      <c r="F6" s="233">
        <v>2021</v>
      </c>
      <c r="G6" s="718">
        <v>2022</v>
      </c>
      <c r="H6" s="718">
        <v>2023</v>
      </c>
      <c r="I6" s="402"/>
      <c r="J6" s="403">
        <v>2020</v>
      </c>
      <c r="K6" s="403">
        <v>2021</v>
      </c>
      <c r="L6" s="403">
        <v>2022</v>
      </c>
      <c r="M6" s="401">
        <v>2023</v>
      </c>
      <c r="N6" s="402"/>
      <c r="O6" s="403">
        <v>2020</v>
      </c>
      <c r="P6" s="403">
        <v>2021</v>
      </c>
      <c r="Q6" s="403">
        <v>2022</v>
      </c>
      <c r="R6" s="401">
        <v>2023</v>
      </c>
      <c r="S6" s="402"/>
      <c r="T6" s="400">
        <v>2020</v>
      </c>
      <c r="U6" s="400">
        <v>2021</v>
      </c>
      <c r="V6" s="401">
        <v>2022</v>
      </c>
      <c r="W6" s="401">
        <v>2023</v>
      </c>
      <c r="X6" s="402"/>
      <c r="Y6" s="403">
        <v>2020</v>
      </c>
      <c r="Z6" s="403">
        <v>2021</v>
      </c>
      <c r="AA6" s="403">
        <v>2022</v>
      </c>
      <c r="AB6" s="401">
        <v>2023</v>
      </c>
      <c r="AC6" s="402"/>
      <c r="AD6" s="403">
        <v>2020</v>
      </c>
      <c r="AE6" s="403">
        <v>2021</v>
      </c>
      <c r="AF6" s="403">
        <v>2022</v>
      </c>
      <c r="AG6" s="401">
        <v>2023</v>
      </c>
      <c r="AI6" s="400">
        <v>2020</v>
      </c>
      <c r="AJ6" s="400">
        <v>2021</v>
      </c>
      <c r="AK6" s="400">
        <v>2022</v>
      </c>
      <c r="AL6" s="401">
        <v>2023</v>
      </c>
      <c r="AM6" s="402"/>
      <c r="AN6" s="403">
        <v>2020</v>
      </c>
      <c r="AO6" s="403">
        <v>2021</v>
      </c>
      <c r="AP6" s="403">
        <v>2022</v>
      </c>
      <c r="AQ6" s="401">
        <v>2023</v>
      </c>
      <c r="AR6" s="402"/>
      <c r="AS6" s="403">
        <v>2020</v>
      </c>
      <c r="AT6" s="403">
        <v>2021</v>
      </c>
      <c r="AU6" s="403">
        <v>2022</v>
      </c>
      <c r="AV6" s="401">
        <v>2023</v>
      </c>
      <c r="AW6" s="402"/>
      <c r="AX6" s="403">
        <v>2020</v>
      </c>
      <c r="AY6" s="403">
        <v>2021</v>
      </c>
      <c r="AZ6" s="403">
        <v>2022</v>
      </c>
      <c r="BA6" s="401">
        <v>2023</v>
      </c>
      <c r="BB6" s="402"/>
      <c r="BC6" s="403">
        <v>2020</v>
      </c>
      <c r="BD6" s="403">
        <v>2021</v>
      </c>
      <c r="BE6" s="403">
        <v>2022</v>
      </c>
      <c r="BF6" s="401">
        <v>2023</v>
      </c>
      <c r="BG6" s="402"/>
      <c r="BH6" s="403">
        <v>2020</v>
      </c>
      <c r="BI6" s="403">
        <v>2021</v>
      </c>
      <c r="BJ6" s="403">
        <v>2022</v>
      </c>
      <c r="BK6" s="401">
        <v>2023</v>
      </c>
      <c r="BM6" s="403">
        <v>2020</v>
      </c>
      <c r="BN6" s="403">
        <v>2021</v>
      </c>
      <c r="BO6" s="403">
        <v>2022</v>
      </c>
      <c r="BP6" s="401">
        <v>2023</v>
      </c>
      <c r="BQ6" s="402"/>
      <c r="BR6" s="403">
        <v>2020</v>
      </c>
      <c r="BS6" s="403">
        <v>2021</v>
      </c>
      <c r="BT6" s="403">
        <v>2022</v>
      </c>
      <c r="BU6" s="401">
        <v>2023</v>
      </c>
      <c r="BV6" s="402"/>
      <c r="BW6" s="403">
        <v>2020</v>
      </c>
      <c r="BX6" s="403">
        <v>2021</v>
      </c>
      <c r="BY6" s="403">
        <v>2022</v>
      </c>
      <c r="BZ6" s="401">
        <v>2023</v>
      </c>
      <c r="CA6" s="402"/>
      <c r="CB6" s="403">
        <v>2020</v>
      </c>
      <c r="CC6" s="403">
        <v>2021</v>
      </c>
      <c r="CD6" s="403">
        <v>2022</v>
      </c>
      <c r="CE6" s="401">
        <v>2023</v>
      </c>
      <c r="CF6" s="402"/>
      <c r="CG6" s="403">
        <v>2020</v>
      </c>
      <c r="CH6" s="403">
        <v>2021</v>
      </c>
      <c r="CI6" s="403">
        <v>2022</v>
      </c>
      <c r="CJ6" s="401">
        <v>2023</v>
      </c>
      <c r="CK6" s="402"/>
      <c r="CL6" s="403">
        <v>2020</v>
      </c>
      <c r="CM6" s="403">
        <v>2021</v>
      </c>
      <c r="CN6" s="403">
        <v>2022</v>
      </c>
      <c r="CO6" s="401">
        <v>2023</v>
      </c>
      <c r="CQ6" s="404">
        <v>2020</v>
      </c>
      <c r="CR6" s="404">
        <v>2021</v>
      </c>
      <c r="CS6" s="404">
        <v>2022</v>
      </c>
      <c r="CT6" s="404">
        <v>2023</v>
      </c>
      <c r="CV6" s="405">
        <v>2020</v>
      </c>
      <c r="CW6" s="405">
        <v>2021</v>
      </c>
      <c r="CX6" s="405">
        <v>2022</v>
      </c>
      <c r="CY6" s="405">
        <v>2023</v>
      </c>
      <c r="DA6" s="404">
        <v>2020</v>
      </c>
      <c r="DB6" s="404">
        <v>2021</v>
      </c>
      <c r="DC6" s="404">
        <v>2022</v>
      </c>
      <c r="DD6" s="404">
        <v>2023</v>
      </c>
    </row>
    <row r="7" spans="1:112" x14ac:dyDescent="0.25">
      <c r="C7" s="390"/>
      <c r="D7" s="391"/>
      <c r="E7" s="392"/>
      <c r="F7" s="392"/>
      <c r="G7" s="393"/>
      <c r="H7" s="393"/>
      <c r="I7" s="234"/>
      <c r="J7" s="282"/>
      <c r="K7" s="282"/>
      <c r="L7" s="282"/>
      <c r="M7" s="394"/>
      <c r="N7" s="234"/>
      <c r="O7" s="282"/>
      <c r="P7" s="282"/>
      <c r="Q7" s="282"/>
      <c r="R7" s="392"/>
      <c r="S7" s="234"/>
      <c r="T7" s="392"/>
      <c r="U7" s="392"/>
      <c r="V7" s="393"/>
      <c r="W7" s="393"/>
      <c r="X7" s="234"/>
      <c r="Y7" s="282"/>
      <c r="Z7" s="282"/>
      <c r="AA7" s="282"/>
      <c r="AB7" s="392"/>
      <c r="AC7" s="234"/>
      <c r="AD7" s="282"/>
      <c r="AE7" s="282"/>
      <c r="AF7" s="282"/>
      <c r="AG7" s="392"/>
      <c r="AH7" s="213"/>
      <c r="AI7" s="392"/>
      <c r="AJ7" s="392"/>
      <c r="AK7" s="392"/>
      <c r="AL7" s="392"/>
      <c r="AM7" s="234"/>
      <c r="AN7" s="282"/>
      <c r="AO7" s="282"/>
      <c r="AP7" s="282"/>
      <c r="AQ7" s="392"/>
      <c r="AR7" s="234"/>
      <c r="AS7" s="282"/>
      <c r="AT7" s="282"/>
      <c r="AU7" s="282"/>
      <c r="AV7" s="392"/>
      <c r="AW7" s="234"/>
      <c r="AX7" s="282"/>
      <c r="AY7" s="282"/>
      <c r="AZ7" s="282"/>
      <c r="BA7" s="392"/>
      <c r="BB7" s="234"/>
      <c r="BC7" s="282"/>
      <c r="BD7" s="282"/>
      <c r="BE7" s="282"/>
      <c r="BF7" s="392"/>
      <c r="BG7" s="234"/>
      <c r="BH7" s="282"/>
      <c r="BI7" s="282"/>
      <c r="BJ7" s="282"/>
      <c r="BK7" s="392"/>
      <c r="BM7" s="282"/>
      <c r="BN7" s="282"/>
      <c r="BO7" s="282"/>
      <c r="BP7" s="392"/>
      <c r="BQ7" s="234"/>
      <c r="BR7" s="282"/>
      <c r="BS7" s="282"/>
      <c r="BT7" s="282"/>
      <c r="BU7" s="392"/>
      <c r="BV7" s="234"/>
      <c r="BW7" s="282"/>
      <c r="BX7" s="282"/>
      <c r="BY7" s="282"/>
      <c r="BZ7" s="392"/>
      <c r="CA7" s="234"/>
      <c r="CB7" s="282"/>
      <c r="CC7" s="282"/>
      <c r="CD7" s="282"/>
      <c r="CE7" s="392"/>
      <c r="CF7" s="234"/>
      <c r="CG7" s="282"/>
      <c r="CH7" s="282"/>
      <c r="CI7" s="282"/>
      <c r="CJ7" s="392"/>
      <c r="CK7" s="234"/>
      <c r="CL7" s="282"/>
      <c r="CM7" s="282"/>
      <c r="CN7" s="282"/>
      <c r="CO7" s="392"/>
      <c r="CQ7" s="395"/>
      <c r="CR7" s="395"/>
      <c r="CS7" s="395"/>
      <c r="CT7" s="395"/>
      <c r="CV7" s="396"/>
      <c r="CW7" s="396"/>
      <c r="CX7" s="396"/>
      <c r="CY7" s="396"/>
      <c r="DA7" s="395"/>
      <c r="DB7" s="395"/>
      <c r="DC7" s="395"/>
      <c r="DD7" s="395"/>
    </row>
    <row r="8" spans="1:112" s="248" customFormat="1" x14ac:dyDescent="0.25">
      <c r="A8" s="248">
        <f>IF(SUM(J8:AJ8)&lt;&gt;0,1,"hide")</f>
        <v>1</v>
      </c>
      <c r="C8" s="825" t="s">
        <v>578</v>
      </c>
      <c r="D8" s="826" t="s">
        <v>292</v>
      </c>
      <c r="E8" s="827">
        <f>E9+E12+E16+E25+E28</f>
        <v>175345220135</v>
      </c>
      <c r="F8" s="827">
        <f>F9+F12+F16+F25+F28</f>
        <v>135753562121</v>
      </c>
      <c r="G8" s="827">
        <f>G9+G12+G16+G25+G28</f>
        <v>141180974615</v>
      </c>
      <c r="H8" s="828">
        <f>H9+H12+H16+H25+H28</f>
        <v>282122408949</v>
      </c>
      <c r="I8" s="230"/>
      <c r="J8" s="824">
        <f>J9+J12+J16+J25+J28</f>
        <v>4059489151</v>
      </c>
      <c r="K8" s="824">
        <f>K9+K12+K16+K25+K28</f>
        <v>13701001543</v>
      </c>
      <c r="L8" s="824">
        <f>L9+L12+L16+L25+L28</f>
        <v>34984450561</v>
      </c>
      <c r="M8" s="824">
        <f>M9+M12+M16+M25+M28</f>
        <v>91016523059</v>
      </c>
      <c r="N8" s="230"/>
      <c r="O8" s="824">
        <f>O9+O12+O16+O25+O28</f>
        <v>43575171571</v>
      </c>
      <c r="P8" s="824">
        <f>P9+P12+P16+P25+P28</f>
        <v>21116038273</v>
      </c>
      <c r="Q8" s="824">
        <f>Q9+Q12+Q16+Q25+Q28</f>
        <v>57369669881</v>
      </c>
      <c r="R8" s="824">
        <f>R9+R12+R16+R25+R28</f>
        <v>49668844116</v>
      </c>
      <c r="S8" s="230"/>
      <c r="T8" s="824">
        <f>T9+T12+T16+T25+T28</f>
        <v>21489338773</v>
      </c>
      <c r="U8" s="824">
        <f>U9+U12+U16+U25+U28</f>
        <v>17609121050</v>
      </c>
      <c r="V8" s="824">
        <f>V9+V12+V16+V25+V28</f>
        <v>21098515573</v>
      </c>
      <c r="W8" s="824">
        <f>W9+W12+W16+W25+W28</f>
        <v>56370294152</v>
      </c>
      <c r="X8" s="230"/>
      <c r="Y8" s="241">
        <f>Y9+Y12+Y16+Y25+Y28</f>
        <v>0</v>
      </c>
      <c r="Z8" s="241">
        <f>Z9+Z12+Z16+Z25+Z28</f>
        <v>0</v>
      </c>
      <c r="AA8" s="241">
        <f>AA9+AA12+AA16+AA25+AA28</f>
        <v>0</v>
      </c>
      <c r="AB8" s="241">
        <f>AB9+AB12+AB16+AB25+AB28</f>
        <v>0</v>
      </c>
      <c r="AC8" s="230"/>
      <c r="AD8" s="241">
        <f>AD9+AD12+AD16+AD25+AD28</f>
        <v>0</v>
      </c>
      <c r="AE8" s="241">
        <f>AE9+AE12+AE16+AE25+AE28</f>
        <v>0</v>
      </c>
      <c r="AF8" s="241">
        <f>AF9+AF12+AF16+AF25+AF28</f>
        <v>0</v>
      </c>
      <c r="AG8" s="241">
        <f>AG9+AG12+AG16+AG25+AG28</f>
        <v>0</v>
      </c>
      <c r="AI8" s="249">
        <f>AI9+AI12+AI16+AI25+AI28</f>
        <v>0</v>
      </c>
      <c r="AJ8" s="249">
        <f>AJ9+AJ12+AJ16+AJ25+AJ28</f>
        <v>0</v>
      </c>
      <c r="AK8" s="249">
        <f>AK9+AK12+AK16+AK25+AK28</f>
        <v>0</v>
      </c>
      <c r="AL8" s="249">
        <f t="shared" ref="AL8" si="2">AL9+AL12+AL16+AL25+AL28</f>
        <v>-3550000000</v>
      </c>
      <c r="AM8" s="230"/>
      <c r="AN8" s="249">
        <f>AN9+AN12+AN16+AN25+AN28</f>
        <v>0</v>
      </c>
      <c r="AO8" s="249">
        <f>AO9+AO12+AO16+AO25+AO28</f>
        <v>0</v>
      </c>
      <c r="AP8" s="249">
        <f>AP9+AP12+AP16+AP25+AP28</f>
        <v>-741540549</v>
      </c>
      <c r="AQ8" s="249">
        <f t="shared" ref="AQ8" si="3">AQ9+AQ12+AQ16+AQ25+AQ28</f>
        <v>0</v>
      </c>
      <c r="AR8" s="230"/>
      <c r="AS8" s="249">
        <f>AS9+AS12+AS16+AS25+AS28</f>
        <v>0</v>
      </c>
      <c r="AT8" s="249">
        <f>AT9+AT12+AT16+AT25+AT28</f>
        <v>0</v>
      </c>
      <c r="AU8" s="249">
        <f>AU9+AU12+AU16+AU25+AU28</f>
        <v>0</v>
      </c>
      <c r="AV8" s="249">
        <f>AV9+AV12+AV16+AV25+AV28</f>
        <v>-4950000000</v>
      </c>
      <c r="AW8" s="230"/>
      <c r="AX8" s="249">
        <f>AX9+AX12+AX16+AX25+AX28</f>
        <v>0</v>
      </c>
      <c r="AY8" s="249">
        <f>AY9+AY12+AY16+AY25+AY28</f>
        <v>0</v>
      </c>
      <c r="AZ8" s="249">
        <f>AZ9+AZ12+AZ16+AZ25+AZ28</f>
        <v>0</v>
      </c>
      <c r="BA8" s="249">
        <f>BA9+BA12+BA16+BA25+BA28</f>
        <v>-5000000000</v>
      </c>
      <c r="BB8" s="230"/>
      <c r="BC8" s="249">
        <f>BC9+BC12+BC16+BC25+BC28</f>
        <v>0</v>
      </c>
      <c r="BD8" s="249">
        <f>BD9+BD12+BD16+BD25+BD28</f>
        <v>0</v>
      </c>
      <c r="BE8" s="249">
        <f>BE9+BE12+BE16+BE25+BE28</f>
        <v>0</v>
      </c>
      <c r="BF8" s="249">
        <f>BF9+BF12+BF16+BF25+BF28</f>
        <v>0</v>
      </c>
      <c r="BG8" s="230"/>
      <c r="BH8" s="249">
        <f>BH9+BH12+BH16+BH25+BH28</f>
        <v>0</v>
      </c>
      <c r="BI8" s="249">
        <f>BI9+BI12+BI16+BI25+BI28</f>
        <v>0</v>
      </c>
      <c r="BJ8" s="249">
        <f>BJ9+BJ12+BJ16+BJ25+BJ28</f>
        <v>0</v>
      </c>
      <c r="BK8" s="249">
        <f t="shared" ref="BK8" si="4">BK9+BK12+BK16+BK25+BK28</f>
        <v>0</v>
      </c>
      <c r="BM8" s="241">
        <f t="shared" ref="BM8:BM39" si="5">E8+AI8</f>
        <v>175345220135</v>
      </c>
      <c r="BN8" s="241">
        <f t="shared" ref="BN8:BN39" si="6">F8+AJ8</f>
        <v>135753562121</v>
      </c>
      <c r="BO8" s="241">
        <f t="shared" ref="BO8:BO39" si="7">G8+AK8</f>
        <v>141180974615</v>
      </c>
      <c r="BP8" s="241">
        <f t="shared" ref="BP8:BP39" si="8">H8+AL8</f>
        <v>278572408949</v>
      </c>
      <c r="BQ8" s="230"/>
      <c r="BR8" s="241">
        <f t="shared" ref="BR8:BR39" si="9">J8+AN8</f>
        <v>4059489151</v>
      </c>
      <c r="BS8" s="241">
        <f t="shared" ref="BS8:BS39" si="10">K8+AO8</f>
        <v>13701001543</v>
      </c>
      <c r="BT8" s="241">
        <f t="shared" ref="BT8:BT39" si="11">L8+AP8</f>
        <v>34242910012</v>
      </c>
      <c r="BU8" s="241">
        <f t="shared" ref="BU8:BU39" si="12">M8+AQ8</f>
        <v>91016523059</v>
      </c>
      <c r="BV8" s="230"/>
      <c r="BW8" s="241">
        <f t="shared" ref="BW8:BW39" si="13">O8+AS8</f>
        <v>43575171571</v>
      </c>
      <c r="BX8" s="241">
        <f t="shared" ref="BX8:BX39" si="14">P8+AT8</f>
        <v>21116038273</v>
      </c>
      <c r="BY8" s="241">
        <f t="shared" ref="BY8:BY39" si="15">Q8+AU8</f>
        <v>57369669881</v>
      </c>
      <c r="BZ8" s="241">
        <f t="shared" ref="BZ8:BZ39" si="16">R8+AV8</f>
        <v>44718844116</v>
      </c>
      <c r="CA8" s="230"/>
      <c r="CB8" s="241">
        <f t="shared" ref="CB8:CB39" si="17">T8+AX8</f>
        <v>21489338773</v>
      </c>
      <c r="CC8" s="241">
        <f t="shared" ref="CC8:CC39" si="18">U8+AY8</f>
        <v>17609121050</v>
      </c>
      <c r="CD8" s="241">
        <f t="shared" ref="CD8:CD39" si="19">V8+AZ8</f>
        <v>21098515573</v>
      </c>
      <c r="CE8" s="241">
        <f t="shared" ref="CE8:CE39" si="20">W8+BA8</f>
        <v>51370294152</v>
      </c>
      <c r="CF8" s="230"/>
      <c r="CG8" s="241">
        <f t="shared" ref="CG8:CG39" si="21">Y8+BC8</f>
        <v>0</v>
      </c>
      <c r="CH8" s="241">
        <f t="shared" ref="CH8:CH39" si="22">Z8+BD8</f>
        <v>0</v>
      </c>
      <c r="CI8" s="241">
        <f t="shared" ref="CI8:CI39" si="23">AA8+BE8</f>
        <v>0</v>
      </c>
      <c r="CJ8" s="241">
        <f t="shared" ref="CJ8:CJ39" si="24">AB8+BF8</f>
        <v>0</v>
      </c>
      <c r="CK8" s="230"/>
      <c r="CL8" s="241">
        <f t="shared" ref="CL8:CL39" si="25">AD8+BH8</f>
        <v>0</v>
      </c>
      <c r="CM8" s="241">
        <f t="shared" ref="CM8:CM39" si="26">AE8+BI8</f>
        <v>0</v>
      </c>
      <c r="CN8" s="241">
        <f t="shared" ref="CN8:CN39" si="27">AF8+BJ8</f>
        <v>0</v>
      </c>
      <c r="CO8" s="241">
        <f t="shared" ref="CO8:CO39" si="28">AG8+BK8</f>
        <v>0</v>
      </c>
      <c r="CQ8" s="253">
        <f>SUMIF('1.PL (VND) '!$BL$6:$CD$6,'1.PL (VND) '!CP$6,$BM8:$CE8)</f>
        <v>244469219630</v>
      </c>
      <c r="CR8" s="253">
        <f>SUMIF('1.PL (VND) '!$BL$6:$CD$6,'1.PL (VND) '!CQ$6,$BM8:$CE8)</f>
        <v>188179722987</v>
      </c>
      <c r="CS8" s="253">
        <f>SUMIF('1.PL (VND) '!$BL$6:$CD$6,'1.PL (VND) '!CR$6,$BM8:$CE8)</f>
        <v>253892070081</v>
      </c>
      <c r="CT8" s="253">
        <f>SUMIF('1.PL (VND) '!$BL$6:$CD$6,'1.PL (VND) '!CS$6,$BM8:$CE8)</f>
        <v>465678070276</v>
      </c>
      <c r="CV8" s="251">
        <f>CV9+CV12+CV16+CV25+CV28</f>
        <v>0</v>
      </c>
      <c r="CW8" s="251">
        <f t="shared" ref="CW8:CY8" si="29">CW9+CW12+CW16+CW25+CW28</f>
        <v>0</v>
      </c>
      <c r="CX8" s="251">
        <f t="shared" si="29"/>
        <v>0</v>
      </c>
      <c r="CY8" s="251">
        <f t="shared" si="29"/>
        <v>0</v>
      </c>
      <c r="DA8" s="253">
        <f t="shared" ref="DA8:DA39" si="30">CQ8+CV8</f>
        <v>244469219630</v>
      </c>
      <c r="DB8" s="253">
        <f t="shared" ref="DB8:DB39" si="31">CR8+CW8</f>
        <v>188179722987</v>
      </c>
      <c r="DC8" s="253">
        <f t="shared" ref="DC8:DC39" si="32">CS8+CX8</f>
        <v>253892070081</v>
      </c>
      <c r="DD8" s="253">
        <f t="shared" ref="DD8:DD39" si="33">CT8+CY8</f>
        <v>465678070276</v>
      </c>
      <c r="DH8" s="245"/>
    </row>
    <row r="9" spans="1:112" s="248" customFormat="1" ht="14.1" customHeight="1" x14ac:dyDescent="0.25">
      <c r="A9" s="248">
        <f>IF(SUM(J9:AJ9)&lt;&gt;0,1,"hide")</f>
        <v>1</v>
      </c>
      <c r="C9" s="259" t="s">
        <v>293</v>
      </c>
      <c r="D9" s="260" t="s">
        <v>294</v>
      </c>
      <c r="E9" s="719">
        <f t="shared" ref="E9:H9" si="34">E10+E11</f>
        <v>1863564686</v>
      </c>
      <c r="F9" s="719">
        <f t="shared" si="34"/>
        <v>1839270717</v>
      </c>
      <c r="G9" s="719">
        <f t="shared" si="34"/>
        <v>10212877174</v>
      </c>
      <c r="H9" s="720">
        <f t="shared" si="34"/>
        <v>25094023905</v>
      </c>
      <c r="I9" s="230"/>
      <c r="J9" s="241">
        <f>J10+J11</f>
        <v>4056409151</v>
      </c>
      <c r="K9" s="241">
        <f>K10+K11</f>
        <v>959826685</v>
      </c>
      <c r="L9" s="241">
        <f>L10+L11</f>
        <v>10758610238</v>
      </c>
      <c r="M9" s="241">
        <f>M10+M11</f>
        <v>16482060872</v>
      </c>
      <c r="N9" s="230"/>
      <c r="O9" s="241">
        <f>O10+O11</f>
        <v>256675949</v>
      </c>
      <c r="P9" s="241">
        <f>P10+P11</f>
        <v>490654595</v>
      </c>
      <c r="Q9" s="241">
        <f>Q10+Q11</f>
        <v>11130311158</v>
      </c>
      <c r="R9" s="241">
        <f>R10+R11</f>
        <v>1963401127</v>
      </c>
      <c r="S9" s="230"/>
      <c r="T9" s="241">
        <f>T10+T11</f>
        <v>1748942200</v>
      </c>
      <c r="U9" s="241">
        <f>U10+U11</f>
        <v>760026044</v>
      </c>
      <c r="V9" s="241">
        <f>V10+V11</f>
        <v>454988514</v>
      </c>
      <c r="W9" s="241">
        <f>W10+W11</f>
        <v>247864074</v>
      </c>
      <c r="X9" s="230"/>
      <c r="Y9" s="241">
        <f>Y10+Y11</f>
        <v>0</v>
      </c>
      <c r="Z9" s="241">
        <f>Z10+Z11</f>
        <v>0</v>
      </c>
      <c r="AA9" s="241">
        <f>AA10+AA11</f>
        <v>0</v>
      </c>
      <c r="AB9" s="241">
        <f>AB10+AB11</f>
        <v>0</v>
      </c>
      <c r="AC9" s="230"/>
      <c r="AD9" s="241">
        <f>AD10+AD11</f>
        <v>0</v>
      </c>
      <c r="AE9" s="241">
        <f>AE10+AE11</f>
        <v>0</v>
      </c>
      <c r="AF9" s="241">
        <f>AF10+AF11</f>
        <v>0</v>
      </c>
      <c r="AG9" s="241">
        <f>AG10+AG11</f>
        <v>0</v>
      </c>
      <c r="AI9" s="249">
        <f>AI10+AI11</f>
        <v>0</v>
      </c>
      <c r="AJ9" s="249">
        <f>AJ10+AJ11</f>
        <v>0</v>
      </c>
      <c r="AK9" s="249">
        <f>AK10+AK11</f>
        <v>0</v>
      </c>
      <c r="AL9" s="249">
        <f t="shared" ref="AL9" si="35">AL10+AL11</f>
        <v>0</v>
      </c>
      <c r="AM9" s="230"/>
      <c r="AN9" s="249">
        <f>AN10+AN11</f>
        <v>0</v>
      </c>
      <c r="AO9" s="249">
        <f>AO10+AO11</f>
        <v>0</v>
      </c>
      <c r="AP9" s="249">
        <f>AP10+AP11</f>
        <v>0</v>
      </c>
      <c r="AQ9" s="249">
        <f t="shared" ref="AQ9" si="36">AQ10+AQ11</f>
        <v>0</v>
      </c>
      <c r="AR9" s="230"/>
      <c r="AS9" s="249">
        <f>AS10+AS11</f>
        <v>0</v>
      </c>
      <c r="AT9" s="249">
        <f>AT10+AT11</f>
        <v>0</v>
      </c>
      <c r="AU9" s="249">
        <f>AU10+AU11</f>
        <v>0</v>
      </c>
      <c r="AV9" s="249">
        <f t="shared" ref="AV9" si="37">AV10+AV11</f>
        <v>0</v>
      </c>
      <c r="AW9" s="230"/>
      <c r="AX9" s="249">
        <f>AX10+AX11</f>
        <v>0</v>
      </c>
      <c r="AY9" s="249">
        <f>AY10+AY11</f>
        <v>0</v>
      </c>
      <c r="AZ9" s="249">
        <f>AZ10+AZ11</f>
        <v>0</v>
      </c>
      <c r="BA9" s="249">
        <f>BA10+BA11</f>
        <v>0</v>
      </c>
      <c r="BB9" s="230"/>
      <c r="BC9" s="249">
        <f>BC10+BC11</f>
        <v>0</v>
      </c>
      <c r="BD9" s="249">
        <f>BD10+BD11</f>
        <v>0</v>
      </c>
      <c r="BE9" s="249">
        <f>BE10+BE11</f>
        <v>0</v>
      </c>
      <c r="BF9" s="249">
        <f>BF10+BF11</f>
        <v>0</v>
      </c>
      <c r="BG9" s="230"/>
      <c r="BH9" s="249">
        <f>BH10+BH11</f>
        <v>0</v>
      </c>
      <c r="BI9" s="249">
        <f>BI10+BI11</f>
        <v>0</v>
      </c>
      <c r="BJ9" s="249">
        <f>BJ10+BJ11</f>
        <v>0</v>
      </c>
      <c r="BK9" s="249">
        <f t="shared" ref="BK9" si="38">BK10+BK11</f>
        <v>0</v>
      </c>
      <c r="BM9" s="241">
        <f t="shared" si="5"/>
        <v>1863564686</v>
      </c>
      <c r="BN9" s="241">
        <f t="shared" si="6"/>
        <v>1839270717</v>
      </c>
      <c r="BO9" s="241">
        <f t="shared" si="7"/>
        <v>10212877174</v>
      </c>
      <c r="BP9" s="241">
        <f t="shared" si="8"/>
        <v>25094023905</v>
      </c>
      <c r="BQ9" s="230"/>
      <c r="BR9" s="241">
        <f t="shared" si="9"/>
        <v>4056409151</v>
      </c>
      <c r="BS9" s="241">
        <f t="shared" si="10"/>
        <v>959826685</v>
      </c>
      <c r="BT9" s="241">
        <f t="shared" si="11"/>
        <v>10758610238</v>
      </c>
      <c r="BU9" s="241">
        <f t="shared" si="12"/>
        <v>16482060872</v>
      </c>
      <c r="BV9" s="230"/>
      <c r="BW9" s="241">
        <f t="shared" si="13"/>
        <v>256675949</v>
      </c>
      <c r="BX9" s="241">
        <f t="shared" si="14"/>
        <v>490654595</v>
      </c>
      <c r="BY9" s="241">
        <f t="shared" si="15"/>
        <v>11130311158</v>
      </c>
      <c r="BZ9" s="241">
        <f t="shared" si="16"/>
        <v>1963401127</v>
      </c>
      <c r="CA9" s="230"/>
      <c r="CB9" s="241">
        <f t="shared" si="17"/>
        <v>1748942200</v>
      </c>
      <c r="CC9" s="241">
        <f t="shared" si="18"/>
        <v>760026044</v>
      </c>
      <c r="CD9" s="241">
        <f t="shared" si="19"/>
        <v>454988514</v>
      </c>
      <c r="CE9" s="241">
        <f t="shared" si="20"/>
        <v>247864074</v>
      </c>
      <c r="CF9" s="230"/>
      <c r="CG9" s="241">
        <f t="shared" si="21"/>
        <v>0</v>
      </c>
      <c r="CH9" s="241">
        <f t="shared" si="22"/>
        <v>0</v>
      </c>
      <c r="CI9" s="241">
        <f t="shared" si="23"/>
        <v>0</v>
      </c>
      <c r="CJ9" s="241">
        <f t="shared" si="24"/>
        <v>0</v>
      </c>
      <c r="CK9" s="230"/>
      <c r="CL9" s="241">
        <f t="shared" si="25"/>
        <v>0</v>
      </c>
      <c r="CM9" s="241">
        <f t="shared" si="26"/>
        <v>0</v>
      </c>
      <c r="CN9" s="241">
        <f t="shared" si="27"/>
        <v>0</v>
      </c>
      <c r="CO9" s="241">
        <f t="shared" si="28"/>
        <v>0</v>
      </c>
      <c r="CQ9" s="241">
        <f>SUMIF('1.PL (VND) '!$BL$6:$CD$6,'1.PL (VND) '!CP$6,$BM9:$CE9)</f>
        <v>7925591986</v>
      </c>
      <c r="CR9" s="241">
        <f>SUMIF('1.PL (VND) '!$BL$6:$CD$6,'1.PL (VND) '!CQ$6,$BM9:$CE9)</f>
        <v>4049778041</v>
      </c>
      <c r="CS9" s="241">
        <f>SUMIF('1.PL (VND) '!$BL$6:$CD$6,'1.PL (VND) '!CR$6,$BM9:$CE9)</f>
        <v>32556787084</v>
      </c>
      <c r="CT9" s="241">
        <f>SUMIF('1.PL (VND) '!$BL$6:$CD$6,'1.PL (VND) '!CS$6,$BM9:$CE9)</f>
        <v>43787349978</v>
      </c>
      <c r="CV9" s="251">
        <f>CV10+CV11</f>
        <v>0</v>
      </c>
      <c r="CW9" s="251">
        <f t="shared" ref="CW9:CY9" si="39">CW10+CW11</f>
        <v>0</v>
      </c>
      <c r="CX9" s="251">
        <f t="shared" si="39"/>
        <v>0</v>
      </c>
      <c r="CY9" s="251">
        <f t="shared" si="39"/>
        <v>0</v>
      </c>
      <c r="DA9" s="241">
        <f t="shared" si="30"/>
        <v>7925591986</v>
      </c>
      <c r="DB9" s="241">
        <f t="shared" si="31"/>
        <v>4049778041</v>
      </c>
      <c r="DC9" s="241">
        <f t="shared" si="32"/>
        <v>32556787084</v>
      </c>
      <c r="DD9" s="241">
        <f t="shared" si="33"/>
        <v>43787349978</v>
      </c>
      <c r="DH9" s="245"/>
    </row>
    <row r="10" spans="1:112" s="700" customFormat="1" ht="17.100000000000001" customHeight="1" x14ac:dyDescent="0.25">
      <c r="A10" s="248">
        <f>IF(SUM(E10:DD10)&lt;&gt;0,1,"hide")</f>
        <v>1</v>
      </c>
      <c r="C10" s="703" t="s">
        <v>295</v>
      </c>
      <c r="D10" s="704" t="s">
        <v>296</v>
      </c>
      <c r="E10" s="721">
        <v>1863564686</v>
      </c>
      <c r="F10" s="721">
        <v>1839270717</v>
      </c>
      <c r="G10" s="721">
        <v>10212877174</v>
      </c>
      <c r="H10" s="722">
        <v>25094023905</v>
      </c>
      <c r="I10" s="699"/>
      <c r="J10" s="698">
        <v>4056409151</v>
      </c>
      <c r="K10" s="698">
        <v>959826685</v>
      </c>
      <c r="L10" s="698">
        <v>10758610238</v>
      </c>
      <c r="M10" s="241">
        <v>16482060872</v>
      </c>
      <c r="N10" s="699"/>
      <c r="O10" s="698">
        <v>256675949</v>
      </c>
      <c r="P10" s="698">
        <v>490654595</v>
      </c>
      <c r="Q10" s="698">
        <v>11130311158</v>
      </c>
      <c r="R10" s="698">
        <v>1963401127</v>
      </c>
      <c r="S10" s="699"/>
      <c r="T10" s="698">
        <v>1748942200</v>
      </c>
      <c r="U10" s="698">
        <v>760026044</v>
      </c>
      <c r="V10" s="698">
        <v>454988514</v>
      </c>
      <c r="W10" s="698">
        <v>247864074</v>
      </c>
      <c r="X10" s="699"/>
      <c r="Y10" s="698"/>
      <c r="Z10" s="698"/>
      <c r="AA10" s="698"/>
      <c r="AB10" s="698"/>
      <c r="AC10" s="699"/>
      <c r="AD10" s="698"/>
      <c r="AE10" s="698"/>
      <c r="AF10" s="698"/>
      <c r="AG10" s="698"/>
      <c r="AI10" s="698">
        <f>SUMIFS('1.DC_Ra soat'!$L:$L,'1.DC_Ra soat'!$F:$F,AI$4,'1.DC_Ra soat'!$H:$H,'1.BS (VND)'!$D10)-SUMIFS('1.DC_Ra soat'!$L:$L,'1.DC_Ra soat'!$F:$F,AI$4,'1.DC_Ra soat'!$I:$I,'1.BS (VND)'!$D10)</f>
        <v>0</v>
      </c>
      <c r="AJ10" s="698">
        <f>SUMIFS('1.DC_Ra soat'!$L:$L,'1.DC_Ra soat'!$F:$F,AJ$4,'1.DC_Ra soat'!$H:$H,'1.BS (VND)'!$D10)-SUMIFS('1.DC_Ra soat'!$L:$L,'1.DC_Ra soat'!$F:$F,AJ$4,'1.DC_Ra soat'!$I:$I,'1.BS (VND)'!$D10)</f>
        <v>0</v>
      </c>
      <c r="AK10" s="698">
        <f>SUMIFS('1.DC_Ra soat'!$L:$L,'1.DC_Ra soat'!$F:$F,AK$4,'1.DC_Ra soat'!$H:$H,'1.BS (VND)'!$D10)-SUMIFS('1.DC_Ra soat'!$L:$L,'1.DC_Ra soat'!$F:$F,AK$4,'1.DC_Ra soat'!$I:$I,'1.BS (VND)'!$D10)</f>
        <v>0</v>
      </c>
      <c r="AL10" s="698">
        <f>SUMIFS('1.DC_Ra soat'!$L:$L,'1.DC_Ra soat'!$F:$F,AL$4,'1.DC_Ra soat'!$H:$H,'1.BS (VND)'!$D10)-SUMIFS('1.DC_Ra soat'!$L:$L,'1.DC_Ra soat'!$F:$F,AL$4,'1.DC_Ra soat'!$I:$I,'1.BS (VND)'!$D10)</f>
        <v>0</v>
      </c>
      <c r="AM10" s="699"/>
      <c r="AN10" s="698">
        <f>SUMIFS('1.DC_Ra soat'!$L:$L,'1.DC_Ra soat'!$F:$F,AN$4,'1.DC_Ra soat'!$H:$H,'1.BS (VND)'!$D10)-SUMIFS('1.DC_Ra soat'!$L:$L,'1.DC_Ra soat'!$F:$F,AN$4,'1.DC_Ra soat'!$I:$I,'1.BS (VND)'!$D10)</f>
        <v>0</v>
      </c>
      <c r="AO10" s="698">
        <f>SUMIFS('1.DC_Ra soat'!$L:$L,'1.DC_Ra soat'!$F:$F,AO$4,'1.DC_Ra soat'!$H:$H,'1.BS (VND)'!$D10)-SUMIFS('1.DC_Ra soat'!$L:$L,'1.DC_Ra soat'!$F:$F,AO$4,'1.DC_Ra soat'!$I:$I,'1.BS (VND)'!$D10)</f>
        <v>0</v>
      </c>
      <c r="AP10" s="698">
        <f>SUMIFS('1.DC_Ra soat'!$L:$L,'1.DC_Ra soat'!$F:$F,AP$4,'1.DC_Ra soat'!$H:$H,'1.BS (VND)'!$D10)-SUMIFS('1.DC_Ra soat'!$L:$L,'1.DC_Ra soat'!$F:$F,AP$4,'1.DC_Ra soat'!$I:$I,'1.BS (VND)'!$D10)</f>
        <v>0</v>
      </c>
      <c r="AQ10" s="698">
        <f>SUMIFS('1.DC_Ra soat'!$L:$L,'1.DC_Ra soat'!$F:$F,AQ$4,'1.DC_Ra soat'!$H:$H,'1.BS (VND)'!$D10)-SUMIFS('1.DC_Ra soat'!$L:$L,'1.DC_Ra soat'!$F:$F,AQ$4,'1.DC_Ra soat'!$I:$I,'1.BS (VND)'!$D10)</f>
        <v>0</v>
      </c>
      <c r="AR10" s="699"/>
      <c r="AS10" s="698">
        <f>SUMIFS('1.DC_Ra soat'!$L:$L,'1.DC_Ra soat'!$F:$F,AS$4,'1.DC_Ra soat'!$H:$H,'1.BS (VND)'!$D10)-SUMIFS('1.DC_Ra soat'!$L:$L,'1.DC_Ra soat'!$F:$F,AS$4,'1.DC_Ra soat'!$I:$I,'1.BS (VND)'!$D10)</f>
        <v>0</v>
      </c>
      <c r="AT10" s="698">
        <f>SUMIFS('1.DC_Ra soat'!$L:$L,'1.DC_Ra soat'!$F:$F,AT$4,'1.DC_Ra soat'!$H:$H,'1.BS (VND)'!$D10)-SUMIFS('1.DC_Ra soat'!$L:$L,'1.DC_Ra soat'!$F:$F,AT$4,'1.DC_Ra soat'!$I:$I,'1.BS (VND)'!$D10)</f>
        <v>0</v>
      </c>
      <c r="AU10" s="698">
        <f>SUMIFS('1.DC_Ra soat'!$L:$L,'1.DC_Ra soat'!$F:$F,AU$4,'1.DC_Ra soat'!$H:$H,'1.BS (VND)'!$D10)-SUMIFS('1.DC_Ra soat'!$L:$L,'1.DC_Ra soat'!$F:$F,AU$4,'1.DC_Ra soat'!$I:$I,'1.BS (VND)'!$D10)</f>
        <v>0</v>
      </c>
      <c r="AV10" s="698">
        <f>SUMIFS('1.DC_Ra soat'!$L:$L,'1.DC_Ra soat'!$F:$F,AV$4,'1.DC_Ra soat'!$H:$H,'1.BS (VND)'!$D10)-SUMIFS('1.DC_Ra soat'!$L:$L,'1.DC_Ra soat'!$F:$F,AV$4,'1.DC_Ra soat'!$I:$I,'1.BS (VND)'!$D10)</f>
        <v>0</v>
      </c>
      <c r="AW10" s="699"/>
      <c r="AX10" s="698">
        <f>SUMIFS('1.DC_Ra soat'!$L:$L,'1.DC_Ra soat'!$F:$F,AX$4,'1.DC_Ra soat'!$H:$H,'1.BS (VND)'!$D10)-SUMIFS('1.DC_Ra soat'!$L:$L,'1.DC_Ra soat'!$F:$F,AX$4,'1.DC_Ra soat'!$I:$I,'1.BS (VND)'!$D10)</f>
        <v>0</v>
      </c>
      <c r="AY10" s="698">
        <f>SUMIFS('1.DC_Ra soat'!$L:$L,'1.DC_Ra soat'!$F:$F,AY$4,'1.DC_Ra soat'!$H:$H,'1.BS (VND)'!$D10)-SUMIFS('1.DC_Ra soat'!$L:$L,'1.DC_Ra soat'!$F:$F,AY$4,'1.DC_Ra soat'!$I:$I,'1.BS (VND)'!$D10)</f>
        <v>0</v>
      </c>
      <c r="AZ10" s="698">
        <f>SUMIFS('1.DC_Ra soat'!$L:$L,'1.DC_Ra soat'!$F:$F,AZ$4,'1.DC_Ra soat'!$H:$H,'1.BS (VND)'!$D10)-SUMIFS('1.DC_Ra soat'!$L:$L,'1.DC_Ra soat'!$F:$F,AZ$4,'1.DC_Ra soat'!$I:$I,'1.BS (VND)'!$D10)</f>
        <v>0</v>
      </c>
      <c r="BA10" s="698">
        <f>SUMIFS('1.DC_Ra soat'!$L:$L,'1.DC_Ra soat'!$F:$F,BA$4,'1.DC_Ra soat'!$H:$H,'1.BS (VND)'!$D10)-SUMIFS('1.DC_Ra soat'!$L:$L,'1.DC_Ra soat'!$F:$F,BA$4,'1.DC_Ra soat'!$I:$I,'1.BS (VND)'!$D10)</f>
        <v>0</v>
      </c>
      <c r="BB10" s="699"/>
      <c r="BC10" s="698">
        <f>SUMIFS('1.DC_Ra soat'!$L:$L,'1.DC_Ra soat'!$F:$F,'1.PL (VND) '!BI$4,'1.DC_Ra soat'!$H:$H,'1.BS (VND)'!$D10)-SUMIFS('1.DC_Ra soat'!$L:$L,'1.DC_Ra soat'!$F:$F,'1.PL (VND) '!BI$4,'1.DC_Ra soat'!$I:$I,'1.BS (VND)'!$D10)</f>
        <v>0</v>
      </c>
      <c r="BD10" s="698">
        <f>SUMIFS('1.DC_Ra soat'!$L:$L,'1.DC_Ra soat'!$F:$F,'1.PL (VND) '!BJ$4,'1.DC_Ra soat'!$H:$H,'1.BS (VND)'!$D10)-SUMIFS('1.DC_Ra soat'!$L:$L,'1.DC_Ra soat'!$F:$F,'1.PL (VND) '!BJ$4,'1.DC_Ra soat'!$I:$I,'1.BS (VND)'!$D10)</f>
        <v>0</v>
      </c>
      <c r="BE10" s="698">
        <f>SUMIFS('1.DC_Ra soat'!$L:$L,'1.DC_Ra soat'!$F:$F,'1.PL (VND) '!BK$4,'1.DC_Ra soat'!$H:$H,'1.BS (VND)'!$D10)-SUMIFS('1.DC_Ra soat'!$L:$L,'1.DC_Ra soat'!$F:$F,'1.PL (VND) '!BK$4,'1.DC_Ra soat'!$I:$I,'1.BS (VND)'!$D10)</f>
        <v>0</v>
      </c>
      <c r="BF10" s="698">
        <f>SUMIFS('1.DC_Ra soat'!$L:$L,'1.DC_Ra soat'!$F:$F,'1.PL (VND) '!BL$4,'1.DC_Ra soat'!$H:$H,'1.BS (VND)'!$D10)-SUMIFS('1.DC_Ra soat'!$L:$L,'1.DC_Ra soat'!$F:$F,'1.PL (VND) '!BL$4,'1.DC_Ra soat'!$I:$I,'1.BS (VND)'!$D10)</f>
        <v>0</v>
      </c>
      <c r="BG10" s="699"/>
      <c r="BH10" s="698">
        <f>SUMIFS('1.DC_Ra soat'!$L:$L,'1.DC_Ra soat'!$F:$F,'1.PL (VND) '!BO$4,'1.DC_Ra soat'!$H:$H,'1.BS (VND)'!$D10)-SUMIFS('1.DC_Ra soat'!$L:$L,'1.DC_Ra soat'!$F:$F,'1.PL (VND) '!BO$4,'1.DC_Ra soat'!$I:$I,'1.BS (VND)'!$D10)</f>
        <v>0</v>
      </c>
      <c r="BI10" s="698">
        <f>SUMIFS('1.DC_Ra soat'!$L:$L,'1.DC_Ra soat'!$F:$F,'1.PL (VND) '!BP$4,'1.DC_Ra soat'!$H:$H,'1.BS (VND)'!$D10)-SUMIFS('1.DC_Ra soat'!$L:$L,'1.DC_Ra soat'!$F:$F,'1.PL (VND) '!BP$4,'1.DC_Ra soat'!$I:$I,'1.BS (VND)'!$D10)</f>
        <v>0</v>
      </c>
      <c r="BJ10" s="698">
        <f>SUMIFS('1.DC_Ra soat'!$L:$L,'1.DC_Ra soat'!$F:$F,'1.PL (VND) '!BQ$4,'1.DC_Ra soat'!$H:$H,'1.BS (VND)'!$D10)-SUMIFS('1.DC_Ra soat'!$L:$L,'1.DC_Ra soat'!$F:$F,'1.PL (VND) '!BQ$4,'1.DC_Ra soat'!$I:$I,'1.BS (VND)'!$D10)</f>
        <v>0</v>
      </c>
      <c r="BK10" s="698">
        <f>SUMIFS('1.DC_Ra soat'!$L:$L,'1.DC_Ra soat'!$F:$F,'1.PL (VND) '!BR$4,'1.DC_Ra soat'!$H:$H,'1.BS (VND)'!$D10)-SUMIFS('1.DC_Ra soat'!$L:$L,'1.DC_Ra soat'!$F:$F,'1.PL (VND) '!BR$4,'1.DC_Ra soat'!$I:$I,'1.BS (VND)'!$D10)</f>
        <v>0</v>
      </c>
      <c r="BM10" s="698">
        <f t="shared" si="5"/>
        <v>1863564686</v>
      </c>
      <c r="BN10" s="698">
        <f t="shared" si="6"/>
        <v>1839270717</v>
      </c>
      <c r="BO10" s="698">
        <f t="shared" si="7"/>
        <v>10212877174</v>
      </c>
      <c r="BP10" s="697">
        <f t="shared" si="8"/>
        <v>25094023905</v>
      </c>
      <c r="BQ10" s="699"/>
      <c r="BR10" s="698">
        <f t="shared" si="9"/>
        <v>4056409151</v>
      </c>
      <c r="BS10" s="698">
        <f t="shared" si="10"/>
        <v>959826685</v>
      </c>
      <c r="BT10" s="698">
        <f t="shared" si="11"/>
        <v>10758610238</v>
      </c>
      <c r="BU10" s="698">
        <f t="shared" si="12"/>
        <v>16482060872</v>
      </c>
      <c r="BV10" s="699"/>
      <c r="BW10" s="698">
        <f t="shared" si="13"/>
        <v>256675949</v>
      </c>
      <c r="BX10" s="698">
        <f t="shared" si="14"/>
        <v>490654595</v>
      </c>
      <c r="BY10" s="698">
        <f t="shared" si="15"/>
        <v>11130311158</v>
      </c>
      <c r="BZ10" s="697">
        <f t="shared" si="16"/>
        <v>1963401127</v>
      </c>
      <c r="CA10" s="699"/>
      <c r="CB10" s="697">
        <f t="shared" si="17"/>
        <v>1748942200</v>
      </c>
      <c r="CC10" s="697">
        <f t="shared" si="18"/>
        <v>760026044</v>
      </c>
      <c r="CD10" s="697">
        <f t="shared" si="19"/>
        <v>454988514</v>
      </c>
      <c r="CE10" s="697">
        <f t="shared" si="20"/>
        <v>247864074</v>
      </c>
      <c r="CF10" s="699"/>
      <c r="CG10" s="697">
        <f t="shared" si="21"/>
        <v>0</v>
      </c>
      <c r="CH10" s="697">
        <f t="shared" si="22"/>
        <v>0</v>
      </c>
      <c r="CI10" s="697">
        <f t="shared" si="23"/>
        <v>0</v>
      </c>
      <c r="CJ10" s="697">
        <f t="shared" si="24"/>
        <v>0</v>
      </c>
      <c r="CK10" s="699"/>
      <c r="CL10" s="698">
        <f t="shared" si="25"/>
        <v>0</v>
      </c>
      <c r="CM10" s="698">
        <f t="shared" si="26"/>
        <v>0</v>
      </c>
      <c r="CN10" s="698">
        <f t="shared" si="27"/>
        <v>0</v>
      </c>
      <c r="CO10" s="697">
        <f t="shared" si="28"/>
        <v>0</v>
      </c>
      <c r="CQ10" s="698">
        <f>SUMIF('1.PL (VND) '!$BL$6:$CD$6,'1.PL (VND) '!CP$6,$BM10:$CE10)</f>
        <v>7925591986</v>
      </c>
      <c r="CR10" s="698">
        <f>SUMIF('1.PL (VND) '!$BL$6:$CD$6,'1.PL (VND) '!CQ$6,$BM10:$CE10)</f>
        <v>4049778041</v>
      </c>
      <c r="CS10" s="698">
        <f>SUMIF('1.PL (VND) '!$BL$6:$CD$6,'1.PL (VND) '!CR$6,$BM10:$CE10)</f>
        <v>32556787084</v>
      </c>
      <c r="CT10" s="698">
        <f>SUMIF('1.PL (VND) '!$BL$6:$CD$6,'1.PL (VND) '!CS$6,$BM10:$CE10)</f>
        <v>43787349978</v>
      </c>
      <c r="CV10" s="702">
        <f>-SUMIFS('1.DC_Ra soat'!$L:$L,'1.DC_Ra soat'!$F:$F,'1.PL (VND) '!DK$4,'1.DC_Ra soat'!$H:$H,'1.BS (VND)'!$D10)+SUMIFS('1.DC_Ra soat'!$L:$L,'1.DC_Ra soat'!$F:$F,'1.PL (VND) '!DK$4,'1.DC_Ra soat'!$I:$I,'1.BS (VND)'!$D10)</f>
        <v>0</v>
      </c>
      <c r="CW10" s="702">
        <f>-SUMIFS('1.DC_Ra soat'!$L:$L,'1.DC_Ra soat'!$F:$F,'1.PL (VND) '!DL$4,'1.DC_Ra soat'!$H:$H,'1.BS (VND)'!$D10)+SUMIFS('1.DC_Ra soat'!$L:$L,'1.DC_Ra soat'!$F:$F,'1.PL (VND) '!DL$4,'1.DC_Ra soat'!$I:$I,'1.BS (VND)'!$D10)</f>
        <v>0</v>
      </c>
      <c r="CX10" s="702">
        <f>-SUMIFS('1.DC_Ra soat'!$L:$L,'1.DC_Ra soat'!$F:$F,'1.PL (VND) '!DM$4,'1.DC_Ra soat'!$H:$H,'1.BS (VND)'!$D10)+SUMIFS('1.DC_Ra soat'!$L:$L,'1.DC_Ra soat'!$F:$F,'1.PL (VND) '!DM$4,'1.DC_Ra soat'!$I:$I,'1.BS (VND)'!$D10)</f>
        <v>0</v>
      </c>
      <c r="CY10" s="702">
        <f>-SUMIFS('1.DC_Ra soat'!$L:$L,'1.DC_Ra soat'!$F:$F,'1.PL (VND) '!DN$4,'1.DC_Ra soat'!$H:$H,'1.BS (VND)'!$D10)+SUMIFS('1.DC_Ra soat'!$L:$L,'1.DC_Ra soat'!$F:$F,'1.PL (VND) '!DN$4,'1.DC_Ra soat'!$I:$I,'1.BS (VND)'!$D10)</f>
        <v>0</v>
      </c>
      <c r="DA10" s="698">
        <f t="shared" si="30"/>
        <v>7925591986</v>
      </c>
      <c r="DB10" s="698">
        <f t="shared" si="31"/>
        <v>4049778041</v>
      </c>
      <c r="DC10" s="698">
        <f t="shared" si="32"/>
        <v>32556787084</v>
      </c>
      <c r="DD10" s="698">
        <f t="shared" si="33"/>
        <v>43787349978</v>
      </c>
      <c r="DH10" s="701"/>
    </row>
    <row r="11" spans="1:112" s="705" customFormat="1" x14ac:dyDescent="0.25">
      <c r="A11" s="248" t="str">
        <f t="shared" ref="A11:A74" si="40">IF(SUM(E11:DD11)&lt;&gt;0,1,"hide")</f>
        <v>hide</v>
      </c>
      <c r="C11" s="703" t="s">
        <v>297</v>
      </c>
      <c r="D11" s="704" t="s">
        <v>298</v>
      </c>
      <c r="E11" s="723"/>
      <c r="F11" s="723"/>
      <c r="G11" s="723"/>
      <c r="H11" s="724"/>
      <c r="I11" s="707"/>
      <c r="J11" s="708"/>
      <c r="K11" s="708"/>
      <c r="L11" s="708"/>
      <c r="M11" s="241">
        <v>0</v>
      </c>
      <c r="N11" s="707"/>
      <c r="O11" s="708"/>
      <c r="P11" s="708"/>
      <c r="Q11" s="708"/>
      <c r="R11" s="708"/>
      <c r="S11" s="707"/>
      <c r="T11" s="708"/>
      <c r="U11" s="708"/>
      <c r="V11" s="708"/>
      <c r="W11" s="708"/>
      <c r="X11" s="707"/>
      <c r="Y11" s="708"/>
      <c r="Z11" s="708"/>
      <c r="AA11" s="708"/>
      <c r="AB11" s="708"/>
      <c r="AC11" s="707"/>
      <c r="AD11" s="708"/>
      <c r="AE11" s="708"/>
      <c r="AF11" s="708"/>
      <c r="AG11" s="708"/>
      <c r="AI11" s="708">
        <f>SUMIFS('1.DC_Ra soat'!$L:$L,'1.DC_Ra soat'!$F:$F,AI$4,'1.DC_Ra soat'!$H:$H,'1.BS (VND)'!$D11)-SUMIFS('1.DC_Ra soat'!$L:$L,'1.DC_Ra soat'!$F:$F,AI$4,'1.DC_Ra soat'!$I:$I,'1.BS (VND)'!$D11)</f>
        <v>0</v>
      </c>
      <c r="AJ11" s="708">
        <f>SUMIFS('1.DC_Ra soat'!$L:$L,'1.DC_Ra soat'!$F:$F,AJ$4,'1.DC_Ra soat'!$H:$H,'1.BS (VND)'!$D11)-SUMIFS('1.DC_Ra soat'!$L:$L,'1.DC_Ra soat'!$F:$F,AJ$4,'1.DC_Ra soat'!$I:$I,'1.BS (VND)'!$D11)</f>
        <v>0</v>
      </c>
      <c r="AK11" s="708">
        <f>SUMIFS('1.DC_Ra soat'!$L:$L,'1.DC_Ra soat'!$F:$F,AK$4,'1.DC_Ra soat'!$H:$H,'1.BS (VND)'!$D11)-SUMIFS('1.DC_Ra soat'!$L:$L,'1.DC_Ra soat'!$F:$F,AK$4,'1.DC_Ra soat'!$I:$I,'1.BS (VND)'!$D11)</f>
        <v>0</v>
      </c>
      <c r="AL11" s="708">
        <f>SUMIFS('1.DC_Ra soat'!$L:$L,'1.DC_Ra soat'!$F:$F,AL$4,'1.DC_Ra soat'!$H:$H,'1.BS (VND)'!$D11)-SUMIFS('1.DC_Ra soat'!$L:$L,'1.DC_Ra soat'!$F:$F,AL$4,'1.DC_Ra soat'!$I:$I,'1.BS (VND)'!$D11)</f>
        <v>0</v>
      </c>
      <c r="AM11" s="707"/>
      <c r="AN11" s="708">
        <f>SUMIFS('1.DC_Ra soat'!$L:$L,'1.DC_Ra soat'!$F:$F,AN$4,'1.DC_Ra soat'!$H:$H,'1.BS (VND)'!$D11)-SUMIFS('1.DC_Ra soat'!$L:$L,'1.DC_Ra soat'!$F:$F,AN$4,'1.DC_Ra soat'!$I:$I,'1.BS (VND)'!$D11)</f>
        <v>0</v>
      </c>
      <c r="AO11" s="708">
        <f>SUMIFS('1.DC_Ra soat'!$L:$L,'1.DC_Ra soat'!$F:$F,AO$4,'1.DC_Ra soat'!$H:$H,'1.BS (VND)'!$D11)-SUMIFS('1.DC_Ra soat'!$L:$L,'1.DC_Ra soat'!$F:$F,AO$4,'1.DC_Ra soat'!$I:$I,'1.BS (VND)'!$D11)</f>
        <v>0</v>
      </c>
      <c r="AP11" s="708">
        <f>SUMIFS('1.DC_Ra soat'!$L:$L,'1.DC_Ra soat'!$F:$F,AP$4,'1.DC_Ra soat'!$H:$H,'1.BS (VND)'!$D11)-SUMIFS('1.DC_Ra soat'!$L:$L,'1.DC_Ra soat'!$F:$F,AP$4,'1.DC_Ra soat'!$I:$I,'1.BS (VND)'!$D11)</f>
        <v>0</v>
      </c>
      <c r="AQ11" s="708">
        <f>SUMIFS('1.DC_Ra soat'!$L:$L,'1.DC_Ra soat'!$F:$F,AQ$4,'1.DC_Ra soat'!$H:$H,'1.BS (VND)'!$D11)-SUMIFS('1.DC_Ra soat'!$L:$L,'1.DC_Ra soat'!$F:$F,AQ$4,'1.DC_Ra soat'!$I:$I,'1.BS (VND)'!$D11)</f>
        <v>0</v>
      </c>
      <c r="AR11" s="707"/>
      <c r="AS11" s="708">
        <f>SUMIFS('1.DC_Ra soat'!$L:$L,'1.DC_Ra soat'!$F:$F,AS$4,'1.DC_Ra soat'!$H:$H,'1.BS (VND)'!$D11)-SUMIFS('1.DC_Ra soat'!$L:$L,'1.DC_Ra soat'!$F:$F,AS$4,'1.DC_Ra soat'!$I:$I,'1.BS (VND)'!$D11)</f>
        <v>0</v>
      </c>
      <c r="AT11" s="708">
        <f>SUMIFS('1.DC_Ra soat'!$L:$L,'1.DC_Ra soat'!$F:$F,AT$4,'1.DC_Ra soat'!$H:$H,'1.BS (VND)'!$D11)-SUMIFS('1.DC_Ra soat'!$L:$L,'1.DC_Ra soat'!$F:$F,AT$4,'1.DC_Ra soat'!$I:$I,'1.BS (VND)'!$D11)</f>
        <v>0</v>
      </c>
      <c r="AU11" s="708">
        <f>SUMIFS('1.DC_Ra soat'!$L:$L,'1.DC_Ra soat'!$F:$F,AU$4,'1.DC_Ra soat'!$H:$H,'1.BS (VND)'!$D11)-SUMIFS('1.DC_Ra soat'!$L:$L,'1.DC_Ra soat'!$F:$F,AU$4,'1.DC_Ra soat'!$I:$I,'1.BS (VND)'!$D11)</f>
        <v>0</v>
      </c>
      <c r="AV11" s="708">
        <f>SUMIFS('1.DC_Ra soat'!$L:$L,'1.DC_Ra soat'!$F:$F,AV$4,'1.DC_Ra soat'!$H:$H,'1.BS (VND)'!$D11)-SUMIFS('1.DC_Ra soat'!$L:$L,'1.DC_Ra soat'!$F:$F,AV$4,'1.DC_Ra soat'!$I:$I,'1.BS (VND)'!$D11)</f>
        <v>0</v>
      </c>
      <c r="AW11" s="707"/>
      <c r="AX11" s="698">
        <f>SUMIFS('1.DC_Ra soat'!$L:$L,'1.DC_Ra soat'!$F:$F,AX$4,'1.DC_Ra soat'!$H:$H,'1.BS (VND)'!$D11)-SUMIFS('1.DC_Ra soat'!$L:$L,'1.DC_Ra soat'!$F:$F,AX$4,'1.DC_Ra soat'!$I:$I,'1.BS (VND)'!$D11)</f>
        <v>0</v>
      </c>
      <c r="AY11" s="698">
        <f>SUMIFS('1.DC_Ra soat'!$L:$L,'1.DC_Ra soat'!$F:$F,AY$4,'1.DC_Ra soat'!$H:$H,'1.BS (VND)'!$D11)-SUMIFS('1.DC_Ra soat'!$L:$L,'1.DC_Ra soat'!$F:$F,AY$4,'1.DC_Ra soat'!$I:$I,'1.BS (VND)'!$D11)</f>
        <v>0</v>
      </c>
      <c r="AZ11" s="698">
        <f>SUMIFS('1.DC_Ra soat'!$L:$L,'1.DC_Ra soat'!$F:$F,AZ$4,'1.DC_Ra soat'!$H:$H,'1.BS (VND)'!$D11)-SUMIFS('1.DC_Ra soat'!$L:$L,'1.DC_Ra soat'!$F:$F,AZ$4,'1.DC_Ra soat'!$I:$I,'1.BS (VND)'!$D11)</f>
        <v>0</v>
      </c>
      <c r="BA11" s="698">
        <f>SUMIFS('1.DC_Ra soat'!$L:$L,'1.DC_Ra soat'!$F:$F,BA$4,'1.DC_Ra soat'!$H:$H,'1.BS (VND)'!$D11)-SUMIFS('1.DC_Ra soat'!$L:$L,'1.DC_Ra soat'!$F:$F,BA$4,'1.DC_Ra soat'!$I:$I,'1.BS (VND)'!$D11)</f>
        <v>0</v>
      </c>
      <c r="BB11" s="707"/>
      <c r="BC11" s="708">
        <f>SUMIFS('1.DC_Ra soat'!$L:$L,'1.DC_Ra soat'!$F:$F,'1.PL (VND) '!BI$4,'1.DC_Ra soat'!$H:$H,'1.BS (VND)'!$D11)-SUMIFS('1.DC_Ra soat'!$L:$L,'1.DC_Ra soat'!$F:$F,'1.PL (VND) '!BI$4,'1.DC_Ra soat'!$I:$I,'1.BS (VND)'!$D11)</f>
        <v>0</v>
      </c>
      <c r="BD11" s="708">
        <f>SUMIFS('1.DC_Ra soat'!$L:$L,'1.DC_Ra soat'!$F:$F,'1.PL (VND) '!BJ$4,'1.DC_Ra soat'!$H:$H,'1.BS (VND)'!$D11)-SUMIFS('1.DC_Ra soat'!$L:$L,'1.DC_Ra soat'!$F:$F,'1.PL (VND) '!BJ$4,'1.DC_Ra soat'!$I:$I,'1.BS (VND)'!$D11)</f>
        <v>0</v>
      </c>
      <c r="BE11" s="708">
        <f>SUMIFS('1.DC_Ra soat'!$L:$L,'1.DC_Ra soat'!$F:$F,'1.PL (VND) '!BK$4,'1.DC_Ra soat'!$H:$H,'1.BS (VND)'!$D11)-SUMIFS('1.DC_Ra soat'!$L:$L,'1.DC_Ra soat'!$F:$F,'1.PL (VND) '!BK$4,'1.DC_Ra soat'!$I:$I,'1.BS (VND)'!$D11)</f>
        <v>0</v>
      </c>
      <c r="BF11" s="708">
        <f>SUMIFS('1.DC_Ra soat'!$L:$L,'1.DC_Ra soat'!$F:$F,'1.PL (VND) '!BL$4,'1.DC_Ra soat'!$H:$H,'1.BS (VND)'!$D11)-SUMIFS('1.DC_Ra soat'!$L:$L,'1.DC_Ra soat'!$F:$F,'1.PL (VND) '!BL$4,'1.DC_Ra soat'!$I:$I,'1.BS (VND)'!$D11)</f>
        <v>0</v>
      </c>
      <c r="BG11" s="707"/>
      <c r="BH11" s="708">
        <f>SUMIFS('1.DC_Ra soat'!$L:$L,'1.DC_Ra soat'!$F:$F,'1.PL (VND) '!BO$4,'1.DC_Ra soat'!$H:$H,'1.BS (VND)'!$D11)-SUMIFS('1.DC_Ra soat'!$L:$L,'1.DC_Ra soat'!$F:$F,'1.PL (VND) '!BO$4,'1.DC_Ra soat'!$I:$I,'1.BS (VND)'!$D11)</f>
        <v>0</v>
      </c>
      <c r="BI11" s="708">
        <f>SUMIFS('1.DC_Ra soat'!$L:$L,'1.DC_Ra soat'!$F:$F,'1.PL (VND) '!BP$4,'1.DC_Ra soat'!$H:$H,'1.BS (VND)'!$D11)-SUMIFS('1.DC_Ra soat'!$L:$L,'1.DC_Ra soat'!$F:$F,'1.PL (VND) '!BP$4,'1.DC_Ra soat'!$I:$I,'1.BS (VND)'!$D11)</f>
        <v>0</v>
      </c>
      <c r="BJ11" s="708">
        <f>SUMIFS('1.DC_Ra soat'!$L:$L,'1.DC_Ra soat'!$F:$F,'1.PL (VND) '!BQ$4,'1.DC_Ra soat'!$H:$H,'1.BS (VND)'!$D11)-SUMIFS('1.DC_Ra soat'!$L:$L,'1.DC_Ra soat'!$F:$F,'1.PL (VND) '!BQ$4,'1.DC_Ra soat'!$I:$I,'1.BS (VND)'!$D11)</f>
        <v>0</v>
      </c>
      <c r="BK11" s="708">
        <f>SUMIFS('1.DC_Ra soat'!$L:$L,'1.DC_Ra soat'!$F:$F,'1.PL (VND) '!BR$4,'1.DC_Ra soat'!$H:$H,'1.BS (VND)'!$D11)-SUMIFS('1.DC_Ra soat'!$L:$L,'1.DC_Ra soat'!$F:$F,'1.PL (VND) '!BR$4,'1.DC_Ra soat'!$I:$I,'1.BS (VND)'!$D11)</f>
        <v>0</v>
      </c>
      <c r="BM11" s="708">
        <f t="shared" si="5"/>
        <v>0</v>
      </c>
      <c r="BN11" s="708">
        <f t="shared" si="6"/>
        <v>0</v>
      </c>
      <c r="BO11" s="708">
        <f t="shared" si="7"/>
        <v>0</v>
      </c>
      <c r="BP11" s="706">
        <f t="shared" si="8"/>
        <v>0</v>
      </c>
      <c r="BQ11" s="707"/>
      <c r="BR11" s="708">
        <f t="shared" si="9"/>
        <v>0</v>
      </c>
      <c r="BS11" s="708">
        <f t="shared" si="10"/>
        <v>0</v>
      </c>
      <c r="BT11" s="708">
        <f t="shared" si="11"/>
        <v>0</v>
      </c>
      <c r="BU11" s="708">
        <f t="shared" si="12"/>
        <v>0</v>
      </c>
      <c r="BV11" s="707"/>
      <c r="BW11" s="708">
        <f t="shared" si="13"/>
        <v>0</v>
      </c>
      <c r="BX11" s="708">
        <f t="shared" si="14"/>
        <v>0</v>
      </c>
      <c r="BY11" s="708">
        <f t="shared" si="15"/>
        <v>0</v>
      </c>
      <c r="BZ11" s="706">
        <f t="shared" si="16"/>
        <v>0</v>
      </c>
      <c r="CA11" s="707"/>
      <c r="CB11" s="706">
        <f t="shared" si="17"/>
        <v>0</v>
      </c>
      <c r="CC11" s="706">
        <f t="shared" si="18"/>
        <v>0</v>
      </c>
      <c r="CD11" s="706">
        <f t="shared" si="19"/>
        <v>0</v>
      </c>
      <c r="CE11" s="706">
        <f t="shared" si="20"/>
        <v>0</v>
      </c>
      <c r="CF11" s="707"/>
      <c r="CG11" s="706">
        <f t="shared" si="21"/>
        <v>0</v>
      </c>
      <c r="CH11" s="706">
        <f t="shared" si="22"/>
        <v>0</v>
      </c>
      <c r="CI11" s="706">
        <f t="shared" si="23"/>
        <v>0</v>
      </c>
      <c r="CJ11" s="706">
        <f t="shared" si="24"/>
        <v>0</v>
      </c>
      <c r="CK11" s="707"/>
      <c r="CL11" s="708">
        <f t="shared" si="25"/>
        <v>0</v>
      </c>
      <c r="CM11" s="708">
        <f t="shared" si="26"/>
        <v>0</v>
      </c>
      <c r="CN11" s="708">
        <f t="shared" si="27"/>
        <v>0</v>
      </c>
      <c r="CO11" s="706">
        <f t="shared" si="28"/>
        <v>0</v>
      </c>
      <c r="CQ11" s="708">
        <f>SUMIF('1.PL (VND) '!$BL$6:$CD$6,'1.PL (VND) '!CP$6,$BM11:$CE11)</f>
        <v>0</v>
      </c>
      <c r="CR11" s="708">
        <f>SUMIF('1.PL (VND) '!$BL$6:$CD$6,'1.PL (VND) '!CQ$6,$BM11:$CE11)</f>
        <v>0</v>
      </c>
      <c r="CS11" s="708">
        <f>SUMIF('1.PL (VND) '!$BL$6:$CD$6,'1.PL (VND) '!CR$6,$BM11:$CE11)</f>
        <v>0</v>
      </c>
      <c r="CT11" s="708">
        <f>SUMIF('1.PL (VND) '!$BL$6:$CD$6,'1.PL (VND) '!CS$6,$BM11:$CE11)</f>
        <v>0</v>
      </c>
      <c r="CV11" s="709">
        <f>-SUMIFS('1.DC_Ra soat'!$L:$L,'1.DC_Ra soat'!$F:$F,'1.PL (VND) '!DK$4,'1.DC_Ra soat'!$H:$H,'1.BS (VND)'!$D11)+SUMIFS('1.DC_Ra soat'!$L:$L,'1.DC_Ra soat'!$F:$F,'1.PL (VND) '!DK$4,'1.DC_Ra soat'!$I:$I,'1.BS (VND)'!$D11)</f>
        <v>0</v>
      </c>
      <c r="CW11" s="709">
        <f>-SUMIFS('1.DC_Ra soat'!$L:$L,'1.DC_Ra soat'!$F:$F,'1.PL (VND) '!DL$4,'1.DC_Ra soat'!$H:$H,'1.BS (VND)'!$D11)+SUMIFS('1.DC_Ra soat'!$L:$L,'1.DC_Ra soat'!$F:$F,'1.PL (VND) '!DL$4,'1.DC_Ra soat'!$I:$I,'1.BS (VND)'!$D11)</f>
        <v>0</v>
      </c>
      <c r="CX11" s="709">
        <f>-SUMIFS('1.DC_Ra soat'!$L:$L,'1.DC_Ra soat'!$F:$F,'1.PL (VND) '!DM$4,'1.DC_Ra soat'!$H:$H,'1.BS (VND)'!$D11)+SUMIFS('1.DC_Ra soat'!$L:$L,'1.DC_Ra soat'!$F:$F,'1.PL (VND) '!DM$4,'1.DC_Ra soat'!$I:$I,'1.BS (VND)'!$D11)</f>
        <v>0</v>
      </c>
      <c r="CY11" s="709">
        <f>-SUMIFS('1.DC_Ra soat'!$L:$L,'1.DC_Ra soat'!$F:$F,'1.PL (VND) '!DN$4,'1.DC_Ra soat'!$H:$H,'1.BS (VND)'!$D11)+SUMIFS('1.DC_Ra soat'!$L:$L,'1.DC_Ra soat'!$F:$F,'1.PL (VND) '!DN$4,'1.DC_Ra soat'!$I:$I,'1.BS (VND)'!$D11)</f>
        <v>0</v>
      </c>
      <c r="DA11" s="708">
        <f t="shared" si="30"/>
        <v>0</v>
      </c>
      <c r="DB11" s="708">
        <f t="shared" si="31"/>
        <v>0</v>
      </c>
      <c r="DC11" s="708">
        <f t="shared" si="32"/>
        <v>0</v>
      </c>
      <c r="DD11" s="708">
        <f t="shared" si="33"/>
        <v>0</v>
      </c>
    </row>
    <row r="12" spans="1:112" s="248" customFormat="1" x14ac:dyDescent="0.25">
      <c r="A12" s="248" t="str">
        <f t="shared" si="40"/>
        <v>hide</v>
      </c>
      <c r="C12" s="259" t="s">
        <v>299</v>
      </c>
      <c r="D12" s="260" t="s">
        <v>300</v>
      </c>
      <c r="E12" s="725">
        <f>SUM(E13:E15)</f>
        <v>0</v>
      </c>
      <c r="F12" s="725">
        <f>SUM(F13:F15)</f>
        <v>0</v>
      </c>
      <c r="G12" s="725">
        <f>SUM(G13:G15)</f>
        <v>0</v>
      </c>
      <c r="H12" s="726">
        <f>SUM(H13:H15)</f>
        <v>0</v>
      </c>
      <c r="I12" s="230"/>
      <c r="J12" s="241"/>
      <c r="K12" s="241"/>
      <c r="L12" s="241"/>
      <c r="M12" s="241">
        <v>0</v>
      </c>
      <c r="N12" s="230"/>
      <c r="O12" s="241"/>
      <c r="P12" s="241"/>
      <c r="Q12" s="241"/>
      <c r="R12" s="241"/>
      <c r="S12" s="230"/>
      <c r="T12" s="241">
        <f>SUM(T13:T15)</f>
        <v>0</v>
      </c>
      <c r="U12" s="241">
        <f>SUM(U13:U15)</f>
        <v>0</v>
      </c>
      <c r="V12" s="241">
        <f>SUM(V13:V15)</f>
        <v>0</v>
      </c>
      <c r="W12" s="241">
        <f>SUM(W13:W15)</f>
        <v>0</v>
      </c>
      <c r="X12" s="230"/>
      <c r="Y12" s="241"/>
      <c r="Z12" s="241"/>
      <c r="AA12" s="241"/>
      <c r="AB12" s="241"/>
      <c r="AC12" s="230"/>
      <c r="AD12" s="241"/>
      <c r="AE12" s="241"/>
      <c r="AF12" s="241"/>
      <c r="AG12" s="241"/>
      <c r="AI12" s="829">
        <f>SUM(AI13:AI15)</f>
        <v>0</v>
      </c>
      <c r="AJ12" s="829">
        <f>SUM(AJ13:AJ15)</f>
        <v>0</v>
      </c>
      <c r="AK12" s="829">
        <f>SUM(AK13:AK15)</f>
        <v>0</v>
      </c>
      <c r="AL12" s="829">
        <f t="shared" ref="AL12:AQ12" si="41">SUM(AL13:AL15)</f>
        <v>0</v>
      </c>
      <c r="AM12" s="230"/>
      <c r="AN12" s="829">
        <f t="shared" si="41"/>
        <v>0</v>
      </c>
      <c r="AO12" s="829">
        <f t="shared" si="41"/>
        <v>0</v>
      </c>
      <c r="AP12" s="829">
        <f t="shared" si="41"/>
        <v>0</v>
      </c>
      <c r="AQ12" s="829">
        <f t="shared" si="41"/>
        <v>0</v>
      </c>
      <c r="AR12" s="230"/>
      <c r="AS12" s="830">
        <f>SUMIFS('1.DC_Ra soat'!$L:$L,'1.DC_Ra soat'!$F:$F,AS$4,'1.DC_Ra soat'!$H:$H,'1.BS (VND)'!$D12)-SUMIFS('1.DC_Ra soat'!$L:$L,'1.DC_Ra soat'!$F:$F,AS$4,'1.DC_Ra soat'!$I:$I,'1.BS (VND)'!$D12)</f>
        <v>0</v>
      </c>
      <c r="AT12" s="830">
        <f>SUMIFS('1.DC_Ra soat'!$L:$L,'1.DC_Ra soat'!$F:$F,AT$4,'1.DC_Ra soat'!$H:$H,'1.BS (VND)'!$D12)-SUMIFS('1.DC_Ra soat'!$L:$L,'1.DC_Ra soat'!$F:$F,AT$4,'1.DC_Ra soat'!$I:$I,'1.BS (VND)'!$D12)</f>
        <v>0</v>
      </c>
      <c r="AU12" s="830">
        <f>SUMIFS('1.DC_Ra soat'!$L:$L,'1.DC_Ra soat'!$F:$F,AU$4,'1.DC_Ra soat'!$H:$H,'1.BS (VND)'!$D12)-SUMIFS('1.DC_Ra soat'!$L:$L,'1.DC_Ra soat'!$F:$F,AU$4,'1.DC_Ra soat'!$I:$I,'1.BS (VND)'!$D12)</f>
        <v>0</v>
      </c>
      <c r="AV12" s="830">
        <f>SUMIFS('1.DC_Ra soat'!$L:$L,'1.DC_Ra soat'!$F:$F,AV$4,'1.DC_Ra soat'!$H:$H,'1.BS (VND)'!$D12)-SUMIFS('1.DC_Ra soat'!$L:$L,'1.DC_Ra soat'!$F:$F,AV$4,'1.DC_Ra soat'!$I:$I,'1.BS (VND)'!$D12)</f>
        <v>0</v>
      </c>
      <c r="AW12" s="230"/>
      <c r="AX12" s="830"/>
      <c r="AY12" s="830"/>
      <c r="AZ12" s="830"/>
      <c r="BA12" s="830"/>
      <c r="BB12" s="230"/>
      <c r="BC12" s="241"/>
      <c r="BD12" s="241"/>
      <c r="BE12" s="241"/>
      <c r="BF12" s="241"/>
      <c r="BG12" s="230"/>
      <c r="BH12" s="241"/>
      <c r="BI12" s="241"/>
      <c r="BJ12" s="241"/>
      <c r="BK12" s="241"/>
      <c r="BM12" s="241">
        <f t="shared" si="5"/>
        <v>0</v>
      </c>
      <c r="BN12" s="241">
        <f t="shared" si="6"/>
        <v>0</v>
      </c>
      <c r="BO12" s="241">
        <f t="shared" si="7"/>
        <v>0</v>
      </c>
      <c r="BP12" s="247">
        <f t="shared" si="8"/>
        <v>0</v>
      </c>
      <c r="BQ12" s="230"/>
      <c r="BR12" s="241">
        <f t="shared" si="9"/>
        <v>0</v>
      </c>
      <c r="BS12" s="241">
        <f t="shared" si="10"/>
        <v>0</v>
      </c>
      <c r="BT12" s="241">
        <f t="shared" si="11"/>
        <v>0</v>
      </c>
      <c r="BU12" s="241">
        <f t="shared" si="12"/>
        <v>0</v>
      </c>
      <c r="BV12" s="230"/>
      <c r="BW12" s="241">
        <f t="shared" si="13"/>
        <v>0</v>
      </c>
      <c r="BX12" s="241">
        <f t="shared" si="14"/>
        <v>0</v>
      </c>
      <c r="BY12" s="241">
        <f t="shared" si="15"/>
        <v>0</v>
      </c>
      <c r="BZ12" s="247">
        <f t="shared" si="16"/>
        <v>0</v>
      </c>
      <c r="CA12" s="230"/>
      <c r="CB12" s="247">
        <f t="shared" si="17"/>
        <v>0</v>
      </c>
      <c r="CC12" s="247">
        <f t="shared" si="18"/>
        <v>0</v>
      </c>
      <c r="CD12" s="247">
        <f t="shared" si="19"/>
        <v>0</v>
      </c>
      <c r="CE12" s="247">
        <f t="shared" si="20"/>
        <v>0</v>
      </c>
      <c r="CF12" s="230"/>
      <c r="CG12" s="247">
        <f t="shared" si="21"/>
        <v>0</v>
      </c>
      <c r="CH12" s="247">
        <f t="shared" si="22"/>
        <v>0</v>
      </c>
      <c r="CI12" s="247">
        <f t="shared" si="23"/>
        <v>0</v>
      </c>
      <c r="CJ12" s="247">
        <f t="shared" si="24"/>
        <v>0</v>
      </c>
      <c r="CK12" s="230"/>
      <c r="CL12" s="241">
        <f t="shared" si="25"/>
        <v>0</v>
      </c>
      <c r="CM12" s="241">
        <f t="shared" si="26"/>
        <v>0</v>
      </c>
      <c r="CN12" s="241">
        <f t="shared" si="27"/>
        <v>0</v>
      </c>
      <c r="CO12" s="247">
        <f t="shared" si="28"/>
        <v>0</v>
      </c>
      <c r="CQ12" s="241">
        <f>SUMIF('1.PL (VND) '!$BL$6:$CD$6,'1.PL (VND) '!CP$6,$BM12:$CE12)</f>
        <v>0</v>
      </c>
      <c r="CR12" s="241">
        <f>SUMIF('1.PL (VND) '!$BL$6:$CD$6,'1.PL (VND) '!CQ$6,$BM12:$CE12)</f>
        <v>0</v>
      </c>
      <c r="CS12" s="241">
        <f>SUMIF('1.PL (VND) '!$BL$6:$CD$6,'1.PL (VND) '!CR$6,$BM12:$CE12)</f>
        <v>0</v>
      </c>
      <c r="CT12" s="241">
        <f>SUMIF('1.PL (VND) '!$BL$6:$CD$6,'1.PL (VND) '!CS$6,$BM12:$CE12)</f>
        <v>0</v>
      </c>
      <c r="CV12" s="251">
        <f>-SUMIFS('1.DC_Ra soat'!$L:$L,'1.DC_Ra soat'!$F:$F,'1.PL (VND) '!DK$4,'1.DC_Ra soat'!$H:$H,'1.BS (VND)'!$D12)+SUMIFS('1.DC_Ra soat'!$L:$L,'1.DC_Ra soat'!$F:$F,'1.PL (VND) '!DK$4,'1.DC_Ra soat'!$I:$I,'1.BS (VND)'!$D12)</f>
        <v>0</v>
      </c>
      <c r="CW12" s="251">
        <f>-SUMIFS('1.DC_Ra soat'!$L:$L,'1.DC_Ra soat'!$F:$F,'1.PL (VND) '!DL$4,'1.DC_Ra soat'!$H:$H,'1.BS (VND)'!$D12)+SUMIFS('1.DC_Ra soat'!$L:$L,'1.DC_Ra soat'!$F:$F,'1.PL (VND) '!DL$4,'1.DC_Ra soat'!$I:$I,'1.BS (VND)'!$D12)</f>
        <v>0</v>
      </c>
      <c r="CX12" s="251">
        <f>-SUMIFS('1.DC_Ra soat'!$L:$L,'1.DC_Ra soat'!$F:$F,'1.PL (VND) '!DM$4,'1.DC_Ra soat'!$H:$H,'1.BS (VND)'!$D12)+SUMIFS('1.DC_Ra soat'!$L:$L,'1.DC_Ra soat'!$F:$F,'1.PL (VND) '!DM$4,'1.DC_Ra soat'!$I:$I,'1.BS (VND)'!$D12)</f>
        <v>0</v>
      </c>
      <c r="CY12" s="251">
        <f>-SUMIFS('1.DC_Ra soat'!$L:$L,'1.DC_Ra soat'!$F:$F,'1.PL (VND) '!DN$4,'1.DC_Ra soat'!$H:$H,'1.BS (VND)'!$D12)+SUMIFS('1.DC_Ra soat'!$L:$L,'1.DC_Ra soat'!$F:$F,'1.PL (VND) '!DN$4,'1.DC_Ra soat'!$I:$I,'1.BS (VND)'!$D12)</f>
        <v>0</v>
      </c>
      <c r="DA12" s="241">
        <f t="shared" si="30"/>
        <v>0</v>
      </c>
      <c r="DB12" s="241">
        <f t="shared" si="31"/>
        <v>0</v>
      </c>
      <c r="DC12" s="241">
        <f t="shared" si="32"/>
        <v>0</v>
      </c>
      <c r="DD12" s="241">
        <f t="shared" si="33"/>
        <v>0</v>
      </c>
      <c r="DH12" s="267"/>
    </row>
    <row r="13" spans="1:112" s="700" customFormat="1" x14ac:dyDescent="0.25">
      <c r="A13" s="248" t="str">
        <f t="shared" si="40"/>
        <v>hide</v>
      </c>
      <c r="C13" s="703" t="s">
        <v>301</v>
      </c>
      <c r="D13" s="704" t="s">
        <v>302</v>
      </c>
      <c r="E13" s="721"/>
      <c r="F13" s="721"/>
      <c r="G13" s="721"/>
      <c r="H13" s="722"/>
      <c r="I13" s="699"/>
      <c r="J13" s="698"/>
      <c r="K13" s="698"/>
      <c r="L13" s="698"/>
      <c r="M13" s="241">
        <v>0</v>
      </c>
      <c r="N13" s="699"/>
      <c r="O13" s="698"/>
      <c r="P13" s="698"/>
      <c r="Q13" s="698"/>
      <c r="R13" s="698"/>
      <c r="S13" s="699"/>
      <c r="T13" s="698"/>
      <c r="U13" s="698"/>
      <c r="V13" s="698"/>
      <c r="W13" s="698"/>
      <c r="X13" s="699"/>
      <c r="Y13" s="698"/>
      <c r="Z13" s="698"/>
      <c r="AA13" s="698"/>
      <c r="AB13" s="698"/>
      <c r="AC13" s="699"/>
      <c r="AD13" s="698"/>
      <c r="AE13" s="698"/>
      <c r="AF13" s="698"/>
      <c r="AG13" s="698"/>
      <c r="AI13" s="698">
        <f>SUMIFS('1.DC_Ra soat'!$L:$L,'1.DC_Ra soat'!$F:$F,AI$4,'1.DC_Ra soat'!$H:$H,'1.BS (VND)'!$D13)-SUMIFS('1.DC_Ra soat'!$L:$L,'1.DC_Ra soat'!$F:$F,AI$4,'1.DC_Ra soat'!$I:$I,'1.BS (VND)'!$D13)</f>
        <v>0</v>
      </c>
      <c r="AJ13" s="698">
        <f>SUMIFS('1.DC_Ra soat'!$L:$L,'1.DC_Ra soat'!$F:$F,AJ$4,'1.DC_Ra soat'!$H:$H,'1.BS (VND)'!$D13)-SUMIFS('1.DC_Ra soat'!$L:$L,'1.DC_Ra soat'!$F:$F,AJ$4,'1.DC_Ra soat'!$I:$I,'1.BS (VND)'!$D13)</f>
        <v>0</v>
      </c>
      <c r="AK13" s="698">
        <f>SUMIFS('1.DC_Ra soat'!$L:$L,'1.DC_Ra soat'!$F:$F,AK$4,'1.DC_Ra soat'!$H:$H,'1.BS (VND)'!$D13)-SUMIFS('1.DC_Ra soat'!$L:$L,'1.DC_Ra soat'!$F:$F,AK$4,'1.DC_Ra soat'!$I:$I,'1.BS (VND)'!$D13)</f>
        <v>0</v>
      </c>
      <c r="AL13" s="698">
        <f>SUMIFS('1.DC_Ra soat'!$L:$L,'1.DC_Ra soat'!$F:$F,AL$4,'1.DC_Ra soat'!$H:$H,'1.BS (VND)'!$D13)-SUMIFS('1.DC_Ra soat'!$L:$L,'1.DC_Ra soat'!$F:$F,AL$4,'1.DC_Ra soat'!$I:$I,'1.BS (VND)'!$D13)</f>
        <v>0</v>
      </c>
      <c r="AM13" s="699"/>
      <c r="AN13" s="698">
        <f>SUMIFS('1.DC_Ra soat'!$L:$L,'1.DC_Ra soat'!$F:$F,AN$4,'1.DC_Ra soat'!$H:$H,'1.BS (VND)'!$D13)-SUMIFS('1.DC_Ra soat'!$L:$L,'1.DC_Ra soat'!$F:$F,AN$4,'1.DC_Ra soat'!$I:$I,'1.BS (VND)'!$D13)</f>
        <v>0</v>
      </c>
      <c r="AO13" s="698">
        <f>SUMIFS('1.DC_Ra soat'!$L:$L,'1.DC_Ra soat'!$F:$F,AO$4,'1.DC_Ra soat'!$H:$H,'1.BS (VND)'!$D13)-SUMIFS('1.DC_Ra soat'!$L:$L,'1.DC_Ra soat'!$F:$F,AO$4,'1.DC_Ra soat'!$I:$I,'1.BS (VND)'!$D13)</f>
        <v>0</v>
      </c>
      <c r="AP13" s="698">
        <f>SUMIFS('1.DC_Ra soat'!$L:$L,'1.DC_Ra soat'!$F:$F,AP$4,'1.DC_Ra soat'!$H:$H,'1.BS (VND)'!$D13)-SUMIFS('1.DC_Ra soat'!$L:$L,'1.DC_Ra soat'!$F:$F,AP$4,'1.DC_Ra soat'!$I:$I,'1.BS (VND)'!$D13)</f>
        <v>0</v>
      </c>
      <c r="AQ13" s="698">
        <f>SUMIFS('1.DC_Ra soat'!$L:$L,'1.DC_Ra soat'!$F:$F,AQ$4,'1.DC_Ra soat'!$H:$H,'1.BS (VND)'!$D13)-SUMIFS('1.DC_Ra soat'!$L:$L,'1.DC_Ra soat'!$F:$F,AQ$4,'1.DC_Ra soat'!$I:$I,'1.BS (VND)'!$D13)</f>
        <v>0</v>
      </c>
      <c r="AR13" s="699"/>
      <c r="AS13" s="698">
        <f>SUMIFS('1.DC_Ra soat'!$L:$L,'1.DC_Ra soat'!$F:$F,AS$4,'1.DC_Ra soat'!$H:$H,'1.BS (VND)'!$D13)-SUMIFS('1.DC_Ra soat'!$L:$L,'1.DC_Ra soat'!$F:$F,AS$4,'1.DC_Ra soat'!$I:$I,'1.BS (VND)'!$D13)</f>
        <v>0</v>
      </c>
      <c r="AT13" s="698">
        <f>SUMIFS('1.DC_Ra soat'!$L:$L,'1.DC_Ra soat'!$F:$F,AT$4,'1.DC_Ra soat'!$H:$H,'1.BS (VND)'!$D13)-SUMIFS('1.DC_Ra soat'!$L:$L,'1.DC_Ra soat'!$F:$F,AT$4,'1.DC_Ra soat'!$I:$I,'1.BS (VND)'!$D13)</f>
        <v>0</v>
      </c>
      <c r="AU13" s="698">
        <f>SUMIFS('1.DC_Ra soat'!$L:$L,'1.DC_Ra soat'!$F:$F,AU$4,'1.DC_Ra soat'!$H:$H,'1.BS (VND)'!$D13)-SUMIFS('1.DC_Ra soat'!$L:$L,'1.DC_Ra soat'!$F:$F,AU$4,'1.DC_Ra soat'!$I:$I,'1.BS (VND)'!$D13)</f>
        <v>0</v>
      </c>
      <c r="AV13" s="698">
        <f>SUMIFS('1.DC_Ra soat'!$L:$L,'1.DC_Ra soat'!$F:$F,AV$4,'1.DC_Ra soat'!$H:$H,'1.BS (VND)'!$D13)-SUMIFS('1.DC_Ra soat'!$L:$L,'1.DC_Ra soat'!$F:$F,AV$4,'1.DC_Ra soat'!$I:$I,'1.BS (VND)'!$D13)</f>
        <v>0</v>
      </c>
      <c r="AW13" s="699"/>
      <c r="AX13" s="698">
        <f>SUMIFS('1.DC_Ra soat'!$L:$L,'1.DC_Ra soat'!$F:$F,AX$4,'1.DC_Ra soat'!$H:$H,'1.BS (VND)'!$D13)-SUMIFS('1.DC_Ra soat'!$L:$L,'1.DC_Ra soat'!$F:$F,AX$4,'1.DC_Ra soat'!$I:$I,'1.BS (VND)'!$D13)</f>
        <v>0</v>
      </c>
      <c r="AY13" s="708">
        <f>SUMIFS('1.DC_Ra soat'!$L:$L,'1.DC_Ra soat'!$F:$F,'1.PL (VND) '!BD$4,'1.DC_Ra soat'!$H:$H,'1.BS (VND)'!$D13)-SUMIFS('1.DC_Ra soat'!$L:$L,'1.DC_Ra soat'!$F:$F,'1.PL (VND) '!BD$4,'1.DC_Ra soat'!$I:$I,'1.BS (VND)'!$D13)</f>
        <v>0</v>
      </c>
      <c r="AZ13" s="708">
        <f>SUMIFS('1.DC_Ra soat'!$L:$L,'1.DC_Ra soat'!$F:$F,'1.PL (VND) '!BE$4,'1.DC_Ra soat'!$H:$H,'1.BS (VND)'!$D13)-SUMIFS('1.DC_Ra soat'!$L:$L,'1.DC_Ra soat'!$F:$F,'1.PL (VND) '!BE$4,'1.DC_Ra soat'!$I:$I,'1.BS (VND)'!$D13)</f>
        <v>0</v>
      </c>
      <c r="BA13" s="708">
        <f>SUMIFS('1.DC_Ra soat'!$L:$L,'1.DC_Ra soat'!$F:$F,'1.PL (VND) '!BF$4,'1.DC_Ra soat'!$H:$H,'1.BS (VND)'!$D13)-SUMIFS('1.DC_Ra soat'!$L:$L,'1.DC_Ra soat'!$F:$F,'1.PL (VND) '!BF$4,'1.DC_Ra soat'!$I:$I,'1.BS (VND)'!$D13)</f>
        <v>0</v>
      </c>
      <c r="BB13" s="699"/>
      <c r="BC13" s="698">
        <f>SUMIFS('1.DC_Ra soat'!$L:$L,'1.DC_Ra soat'!$F:$F,'1.PL (VND) '!BI$4,'1.DC_Ra soat'!$H:$H,'1.BS (VND)'!$D13)-SUMIFS('1.DC_Ra soat'!$L:$L,'1.DC_Ra soat'!$F:$F,'1.PL (VND) '!BI$4,'1.DC_Ra soat'!$I:$I,'1.BS (VND)'!$D13)</f>
        <v>0</v>
      </c>
      <c r="BD13" s="698">
        <f>SUMIFS('1.DC_Ra soat'!$L:$L,'1.DC_Ra soat'!$F:$F,'1.PL (VND) '!BJ$4,'1.DC_Ra soat'!$H:$H,'1.BS (VND)'!$D13)-SUMIFS('1.DC_Ra soat'!$L:$L,'1.DC_Ra soat'!$F:$F,'1.PL (VND) '!BJ$4,'1.DC_Ra soat'!$I:$I,'1.BS (VND)'!$D13)</f>
        <v>0</v>
      </c>
      <c r="BE13" s="698">
        <f>SUMIFS('1.DC_Ra soat'!$L:$L,'1.DC_Ra soat'!$F:$F,'1.PL (VND) '!BK$4,'1.DC_Ra soat'!$H:$H,'1.BS (VND)'!$D13)-SUMIFS('1.DC_Ra soat'!$L:$L,'1.DC_Ra soat'!$F:$F,'1.PL (VND) '!BK$4,'1.DC_Ra soat'!$I:$I,'1.BS (VND)'!$D13)</f>
        <v>0</v>
      </c>
      <c r="BF13" s="698">
        <f>SUMIFS('1.DC_Ra soat'!$L:$L,'1.DC_Ra soat'!$F:$F,'1.PL (VND) '!BL$4,'1.DC_Ra soat'!$H:$H,'1.BS (VND)'!$D13)-SUMIFS('1.DC_Ra soat'!$L:$L,'1.DC_Ra soat'!$F:$F,'1.PL (VND) '!BL$4,'1.DC_Ra soat'!$I:$I,'1.BS (VND)'!$D13)</f>
        <v>0</v>
      </c>
      <c r="BG13" s="699"/>
      <c r="BH13" s="698">
        <f>SUMIFS('1.DC_Ra soat'!$L:$L,'1.DC_Ra soat'!$F:$F,'1.PL (VND) '!BO$4,'1.DC_Ra soat'!$H:$H,'1.BS (VND)'!$D13)-SUMIFS('1.DC_Ra soat'!$L:$L,'1.DC_Ra soat'!$F:$F,'1.PL (VND) '!BO$4,'1.DC_Ra soat'!$I:$I,'1.BS (VND)'!$D13)</f>
        <v>0</v>
      </c>
      <c r="BI13" s="698">
        <f>SUMIFS('1.DC_Ra soat'!$L:$L,'1.DC_Ra soat'!$F:$F,'1.PL (VND) '!BP$4,'1.DC_Ra soat'!$H:$H,'1.BS (VND)'!$D13)-SUMIFS('1.DC_Ra soat'!$L:$L,'1.DC_Ra soat'!$F:$F,'1.PL (VND) '!BP$4,'1.DC_Ra soat'!$I:$I,'1.BS (VND)'!$D13)</f>
        <v>0</v>
      </c>
      <c r="BJ13" s="698">
        <f>SUMIFS('1.DC_Ra soat'!$L:$L,'1.DC_Ra soat'!$F:$F,'1.PL (VND) '!BQ$4,'1.DC_Ra soat'!$H:$H,'1.BS (VND)'!$D13)-SUMIFS('1.DC_Ra soat'!$L:$L,'1.DC_Ra soat'!$F:$F,'1.PL (VND) '!BQ$4,'1.DC_Ra soat'!$I:$I,'1.BS (VND)'!$D13)</f>
        <v>0</v>
      </c>
      <c r="BK13" s="698">
        <f>SUMIFS('1.DC_Ra soat'!$L:$L,'1.DC_Ra soat'!$F:$F,'1.PL (VND) '!BR$4,'1.DC_Ra soat'!$H:$H,'1.BS (VND)'!$D13)-SUMIFS('1.DC_Ra soat'!$L:$L,'1.DC_Ra soat'!$F:$F,'1.PL (VND) '!BR$4,'1.DC_Ra soat'!$I:$I,'1.BS (VND)'!$D13)</f>
        <v>0</v>
      </c>
      <c r="BM13" s="698">
        <f t="shared" si="5"/>
        <v>0</v>
      </c>
      <c r="BN13" s="698">
        <f t="shared" si="6"/>
        <v>0</v>
      </c>
      <c r="BO13" s="698">
        <f t="shared" si="7"/>
        <v>0</v>
      </c>
      <c r="BP13" s="697">
        <f t="shared" si="8"/>
        <v>0</v>
      </c>
      <c r="BQ13" s="699"/>
      <c r="BR13" s="698">
        <f t="shared" si="9"/>
        <v>0</v>
      </c>
      <c r="BS13" s="698">
        <f t="shared" si="10"/>
        <v>0</v>
      </c>
      <c r="BT13" s="698">
        <f t="shared" si="11"/>
        <v>0</v>
      </c>
      <c r="BU13" s="698">
        <f t="shared" si="12"/>
        <v>0</v>
      </c>
      <c r="BV13" s="699"/>
      <c r="BW13" s="698">
        <f t="shared" si="13"/>
        <v>0</v>
      </c>
      <c r="BX13" s="698">
        <f t="shared" si="14"/>
        <v>0</v>
      </c>
      <c r="BY13" s="698">
        <f t="shared" si="15"/>
        <v>0</v>
      </c>
      <c r="BZ13" s="697">
        <f t="shared" si="16"/>
        <v>0</v>
      </c>
      <c r="CA13" s="699"/>
      <c r="CB13" s="697">
        <f t="shared" si="17"/>
        <v>0</v>
      </c>
      <c r="CC13" s="697">
        <f t="shared" si="18"/>
        <v>0</v>
      </c>
      <c r="CD13" s="697">
        <f t="shared" si="19"/>
        <v>0</v>
      </c>
      <c r="CE13" s="697">
        <f t="shared" si="20"/>
        <v>0</v>
      </c>
      <c r="CF13" s="699"/>
      <c r="CG13" s="697">
        <f t="shared" si="21"/>
        <v>0</v>
      </c>
      <c r="CH13" s="697">
        <f t="shared" si="22"/>
        <v>0</v>
      </c>
      <c r="CI13" s="697">
        <f t="shared" si="23"/>
        <v>0</v>
      </c>
      <c r="CJ13" s="697">
        <f t="shared" si="24"/>
        <v>0</v>
      </c>
      <c r="CK13" s="699"/>
      <c r="CL13" s="698">
        <f t="shared" si="25"/>
        <v>0</v>
      </c>
      <c r="CM13" s="698">
        <f t="shared" si="26"/>
        <v>0</v>
      </c>
      <c r="CN13" s="698">
        <f t="shared" si="27"/>
        <v>0</v>
      </c>
      <c r="CO13" s="697">
        <f t="shared" si="28"/>
        <v>0</v>
      </c>
      <c r="CQ13" s="698">
        <f>SUMIF('1.PL (VND) '!$BL$6:$CD$6,'1.PL (VND) '!CP$6,$BM13:$CE13)</f>
        <v>0</v>
      </c>
      <c r="CR13" s="698">
        <f>SUMIF('1.PL (VND) '!$BL$6:$CD$6,'1.PL (VND) '!CQ$6,$BM13:$CE13)</f>
        <v>0</v>
      </c>
      <c r="CS13" s="698">
        <f>SUMIF('1.PL (VND) '!$BL$6:$CD$6,'1.PL (VND) '!CR$6,$BM13:$CE13)</f>
        <v>0</v>
      </c>
      <c r="CT13" s="698">
        <f>SUMIF('1.PL (VND) '!$BL$6:$CD$6,'1.PL (VND) '!CS$6,$BM13:$CE13)</f>
        <v>0</v>
      </c>
      <c r="CV13" s="702">
        <f>-SUMIFS('1.DC_Ra soat'!$L:$L,'1.DC_Ra soat'!$F:$F,'1.PL (VND) '!DK$4,'1.DC_Ra soat'!$H:$H,'1.BS (VND)'!$D13)+SUMIFS('1.DC_Ra soat'!$L:$L,'1.DC_Ra soat'!$F:$F,'1.PL (VND) '!DK$4,'1.DC_Ra soat'!$I:$I,'1.BS (VND)'!$D13)</f>
        <v>0</v>
      </c>
      <c r="CW13" s="702">
        <f>-SUMIFS('1.DC_Ra soat'!$L:$L,'1.DC_Ra soat'!$F:$F,'1.PL (VND) '!DL$4,'1.DC_Ra soat'!$H:$H,'1.BS (VND)'!$D13)+SUMIFS('1.DC_Ra soat'!$L:$L,'1.DC_Ra soat'!$F:$F,'1.PL (VND) '!DL$4,'1.DC_Ra soat'!$I:$I,'1.BS (VND)'!$D13)</f>
        <v>0</v>
      </c>
      <c r="CX13" s="702">
        <f>-SUMIFS('1.DC_Ra soat'!$L:$L,'1.DC_Ra soat'!$F:$F,'1.PL (VND) '!DM$4,'1.DC_Ra soat'!$H:$H,'1.BS (VND)'!$D13)+SUMIFS('1.DC_Ra soat'!$L:$L,'1.DC_Ra soat'!$F:$F,'1.PL (VND) '!DM$4,'1.DC_Ra soat'!$I:$I,'1.BS (VND)'!$D13)</f>
        <v>0</v>
      </c>
      <c r="CY13" s="702">
        <f>-SUMIFS('1.DC_Ra soat'!$L:$L,'1.DC_Ra soat'!$F:$F,'1.PL (VND) '!DN$4,'1.DC_Ra soat'!$H:$H,'1.BS (VND)'!$D13)+SUMIFS('1.DC_Ra soat'!$L:$L,'1.DC_Ra soat'!$F:$F,'1.PL (VND) '!DN$4,'1.DC_Ra soat'!$I:$I,'1.BS (VND)'!$D13)</f>
        <v>0</v>
      </c>
      <c r="DA13" s="698">
        <f t="shared" si="30"/>
        <v>0</v>
      </c>
      <c r="DB13" s="698">
        <f t="shared" si="31"/>
        <v>0</v>
      </c>
      <c r="DC13" s="698">
        <f t="shared" si="32"/>
        <v>0</v>
      </c>
      <c r="DD13" s="698">
        <f t="shared" si="33"/>
        <v>0</v>
      </c>
      <c r="DH13" s="701"/>
    </row>
    <row r="14" spans="1:112" s="700" customFormat="1" x14ac:dyDescent="0.25">
      <c r="A14" s="248" t="str">
        <f t="shared" si="40"/>
        <v>hide</v>
      </c>
      <c r="C14" s="703" t="s">
        <v>303</v>
      </c>
      <c r="D14" s="704" t="s">
        <v>304</v>
      </c>
      <c r="E14" s="721"/>
      <c r="F14" s="721"/>
      <c r="G14" s="721"/>
      <c r="H14" s="722"/>
      <c r="I14" s="699"/>
      <c r="J14" s="698"/>
      <c r="K14" s="698"/>
      <c r="L14" s="698"/>
      <c r="M14" s="241">
        <v>0</v>
      </c>
      <c r="N14" s="699"/>
      <c r="O14" s="698"/>
      <c r="P14" s="698"/>
      <c r="Q14" s="698"/>
      <c r="R14" s="698"/>
      <c r="S14" s="699"/>
      <c r="T14" s="698"/>
      <c r="U14" s="698"/>
      <c r="V14" s="698"/>
      <c r="W14" s="698"/>
      <c r="X14" s="699"/>
      <c r="Y14" s="698"/>
      <c r="Z14" s="698"/>
      <c r="AA14" s="698"/>
      <c r="AB14" s="698"/>
      <c r="AC14" s="699"/>
      <c r="AD14" s="698"/>
      <c r="AE14" s="698"/>
      <c r="AF14" s="698"/>
      <c r="AG14" s="698"/>
      <c r="AI14" s="698">
        <f>SUMIFS('1.DC_Ra soat'!$L:$L,'1.DC_Ra soat'!$F:$F,AI$4,'1.DC_Ra soat'!$H:$H,'1.BS (VND)'!$D14)-SUMIFS('1.DC_Ra soat'!$L:$L,'1.DC_Ra soat'!$F:$F,AI$4,'1.DC_Ra soat'!$I:$I,'1.BS (VND)'!$D14)</f>
        <v>0</v>
      </c>
      <c r="AJ14" s="698">
        <f>SUMIFS('1.DC_Ra soat'!$L:$L,'1.DC_Ra soat'!$F:$F,AJ$4,'1.DC_Ra soat'!$H:$H,'1.BS (VND)'!$D14)-SUMIFS('1.DC_Ra soat'!$L:$L,'1.DC_Ra soat'!$F:$F,AJ$4,'1.DC_Ra soat'!$I:$I,'1.BS (VND)'!$D14)</f>
        <v>0</v>
      </c>
      <c r="AK14" s="698">
        <f>SUMIFS('1.DC_Ra soat'!$L:$L,'1.DC_Ra soat'!$F:$F,AK$4,'1.DC_Ra soat'!$H:$H,'1.BS (VND)'!$D14)-SUMIFS('1.DC_Ra soat'!$L:$L,'1.DC_Ra soat'!$F:$F,AK$4,'1.DC_Ra soat'!$I:$I,'1.BS (VND)'!$D14)</f>
        <v>0</v>
      </c>
      <c r="AL14" s="698">
        <f>SUMIFS('1.DC_Ra soat'!$L:$L,'1.DC_Ra soat'!$F:$F,AL$4,'1.DC_Ra soat'!$H:$H,'1.BS (VND)'!$D14)-SUMIFS('1.DC_Ra soat'!$L:$L,'1.DC_Ra soat'!$F:$F,AL$4,'1.DC_Ra soat'!$I:$I,'1.BS (VND)'!$D14)</f>
        <v>0</v>
      </c>
      <c r="AM14" s="699"/>
      <c r="AN14" s="698">
        <f>SUMIFS('1.DC_Ra soat'!$L:$L,'1.DC_Ra soat'!$F:$F,AN$4,'1.DC_Ra soat'!$H:$H,'1.BS (VND)'!$D14)-SUMIFS('1.DC_Ra soat'!$L:$L,'1.DC_Ra soat'!$F:$F,AN$4,'1.DC_Ra soat'!$I:$I,'1.BS (VND)'!$D14)</f>
        <v>0</v>
      </c>
      <c r="AO14" s="698">
        <f>SUMIFS('1.DC_Ra soat'!$L:$L,'1.DC_Ra soat'!$F:$F,AO$4,'1.DC_Ra soat'!$H:$H,'1.BS (VND)'!$D14)-SUMIFS('1.DC_Ra soat'!$L:$L,'1.DC_Ra soat'!$F:$F,AO$4,'1.DC_Ra soat'!$I:$I,'1.BS (VND)'!$D14)</f>
        <v>0</v>
      </c>
      <c r="AP14" s="698">
        <f>SUMIFS('1.DC_Ra soat'!$L:$L,'1.DC_Ra soat'!$F:$F,AP$4,'1.DC_Ra soat'!$H:$H,'1.BS (VND)'!$D14)-SUMIFS('1.DC_Ra soat'!$L:$L,'1.DC_Ra soat'!$F:$F,AP$4,'1.DC_Ra soat'!$I:$I,'1.BS (VND)'!$D14)</f>
        <v>0</v>
      </c>
      <c r="AQ14" s="698">
        <f>SUMIFS('1.DC_Ra soat'!$L:$L,'1.DC_Ra soat'!$F:$F,AQ$4,'1.DC_Ra soat'!$H:$H,'1.BS (VND)'!$D14)-SUMIFS('1.DC_Ra soat'!$L:$L,'1.DC_Ra soat'!$F:$F,AQ$4,'1.DC_Ra soat'!$I:$I,'1.BS (VND)'!$D14)</f>
        <v>0</v>
      </c>
      <c r="AR14" s="699"/>
      <c r="AS14" s="698">
        <f>SUMIFS('1.DC_Ra soat'!$L:$L,'1.DC_Ra soat'!$F:$F,AS$4,'1.DC_Ra soat'!$H:$H,'1.BS (VND)'!$D14)-SUMIFS('1.DC_Ra soat'!$L:$L,'1.DC_Ra soat'!$F:$F,AS$4,'1.DC_Ra soat'!$I:$I,'1.BS (VND)'!$D14)</f>
        <v>0</v>
      </c>
      <c r="AT14" s="698">
        <f>SUMIFS('1.DC_Ra soat'!$L:$L,'1.DC_Ra soat'!$F:$F,AT$4,'1.DC_Ra soat'!$H:$H,'1.BS (VND)'!$D14)-SUMIFS('1.DC_Ra soat'!$L:$L,'1.DC_Ra soat'!$F:$F,AT$4,'1.DC_Ra soat'!$I:$I,'1.BS (VND)'!$D14)</f>
        <v>0</v>
      </c>
      <c r="AU14" s="698">
        <f>SUMIFS('1.DC_Ra soat'!$L:$L,'1.DC_Ra soat'!$F:$F,AU$4,'1.DC_Ra soat'!$H:$H,'1.BS (VND)'!$D14)-SUMIFS('1.DC_Ra soat'!$L:$L,'1.DC_Ra soat'!$F:$F,AU$4,'1.DC_Ra soat'!$I:$I,'1.BS (VND)'!$D14)</f>
        <v>0</v>
      </c>
      <c r="AV14" s="698">
        <f>SUMIFS('1.DC_Ra soat'!$L:$L,'1.DC_Ra soat'!$F:$F,AV$4,'1.DC_Ra soat'!$H:$H,'1.BS (VND)'!$D14)-SUMIFS('1.DC_Ra soat'!$L:$L,'1.DC_Ra soat'!$F:$F,AV$4,'1.DC_Ra soat'!$I:$I,'1.BS (VND)'!$D14)</f>
        <v>0</v>
      </c>
      <c r="AW14" s="699"/>
      <c r="AX14" s="698">
        <f>SUMIFS('1.DC_Ra soat'!$L:$L,'1.DC_Ra soat'!$F:$F,AX$4,'1.DC_Ra soat'!$H:$H,'1.BS (VND)'!$D14)-SUMIFS('1.DC_Ra soat'!$L:$L,'1.DC_Ra soat'!$F:$F,AX$4,'1.DC_Ra soat'!$I:$I,'1.BS (VND)'!$D14)</f>
        <v>0</v>
      </c>
      <c r="AY14" s="698">
        <f>SUMIFS('1.DC_Ra soat'!$L:$L,'1.DC_Ra soat'!$F:$F,'1.PL (VND) '!BD$4,'1.DC_Ra soat'!$H:$H,'1.BS (VND)'!$D14)-SUMIFS('1.DC_Ra soat'!$L:$L,'1.DC_Ra soat'!$F:$F,'1.PL (VND) '!BD$4,'1.DC_Ra soat'!$I:$I,'1.BS (VND)'!$D14)</f>
        <v>0</v>
      </c>
      <c r="AZ14" s="698">
        <f>SUMIFS('1.DC_Ra soat'!$L:$L,'1.DC_Ra soat'!$F:$F,'1.PL (VND) '!BE$4,'1.DC_Ra soat'!$H:$H,'1.BS (VND)'!$D14)-SUMIFS('1.DC_Ra soat'!$L:$L,'1.DC_Ra soat'!$F:$F,'1.PL (VND) '!BE$4,'1.DC_Ra soat'!$I:$I,'1.BS (VND)'!$D14)</f>
        <v>0</v>
      </c>
      <c r="BA14" s="698">
        <f>SUMIFS('1.DC_Ra soat'!$L:$L,'1.DC_Ra soat'!$F:$F,'1.PL (VND) '!BF$4,'1.DC_Ra soat'!$H:$H,'1.BS (VND)'!$D14)-SUMIFS('1.DC_Ra soat'!$L:$L,'1.DC_Ra soat'!$F:$F,'1.PL (VND) '!BF$4,'1.DC_Ra soat'!$I:$I,'1.BS (VND)'!$D14)</f>
        <v>0</v>
      </c>
      <c r="BB14" s="699"/>
      <c r="BC14" s="698">
        <f>SUMIFS('1.DC_Ra soat'!$L:$L,'1.DC_Ra soat'!$F:$F,'1.PL (VND) '!BI$4,'1.DC_Ra soat'!$H:$H,'1.BS (VND)'!$D14)-SUMIFS('1.DC_Ra soat'!$L:$L,'1.DC_Ra soat'!$F:$F,'1.PL (VND) '!BI$4,'1.DC_Ra soat'!$I:$I,'1.BS (VND)'!$D14)</f>
        <v>0</v>
      </c>
      <c r="BD14" s="698">
        <f>SUMIFS('1.DC_Ra soat'!$L:$L,'1.DC_Ra soat'!$F:$F,'1.PL (VND) '!BJ$4,'1.DC_Ra soat'!$H:$H,'1.BS (VND)'!$D14)-SUMIFS('1.DC_Ra soat'!$L:$L,'1.DC_Ra soat'!$F:$F,'1.PL (VND) '!BJ$4,'1.DC_Ra soat'!$I:$I,'1.BS (VND)'!$D14)</f>
        <v>0</v>
      </c>
      <c r="BE14" s="698">
        <f>SUMIFS('1.DC_Ra soat'!$L:$L,'1.DC_Ra soat'!$F:$F,'1.PL (VND) '!BK$4,'1.DC_Ra soat'!$H:$H,'1.BS (VND)'!$D14)-SUMIFS('1.DC_Ra soat'!$L:$L,'1.DC_Ra soat'!$F:$F,'1.PL (VND) '!BK$4,'1.DC_Ra soat'!$I:$I,'1.BS (VND)'!$D14)</f>
        <v>0</v>
      </c>
      <c r="BF14" s="698">
        <f>SUMIFS('1.DC_Ra soat'!$L:$L,'1.DC_Ra soat'!$F:$F,'1.PL (VND) '!BL$4,'1.DC_Ra soat'!$H:$H,'1.BS (VND)'!$D14)-SUMIFS('1.DC_Ra soat'!$L:$L,'1.DC_Ra soat'!$F:$F,'1.PL (VND) '!BL$4,'1.DC_Ra soat'!$I:$I,'1.BS (VND)'!$D14)</f>
        <v>0</v>
      </c>
      <c r="BG14" s="699"/>
      <c r="BH14" s="698">
        <f>SUMIFS('1.DC_Ra soat'!$L:$L,'1.DC_Ra soat'!$F:$F,'1.PL (VND) '!BO$4,'1.DC_Ra soat'!$H:$H,'1.BS (VND)'!$D14)-SUMIFS('1.DC_Ra soat'!$L:$L,'1.DC_Ra soat'!$F:$F,'1.PL (VND) '!BO$4,'1.DC_Ra soat'!$I:$I,'1.BS (VND)'!$D14)</f>
        <v>0</v>
      </c>
      <c r="BI14" s="698">
        <f>SUMIFS('1.DC_Ra soat'!$L:$L,'1.DC_Ra soat'!$F:$F,'1.PL (VND) '!BP$4,'1.DC_Ra soat'!$H:$H,'1.BS (VND)'!$D14)-SUMIFS('1.DC_Ra soat'!$L:$L,'1.DC_Ra soat'!$F:$F,'1.PL (VND) '!BP$4,'1.DC_Ra soat'!$I:$I,'1.BS (VND)'!$D14)</f>
        <v>0</v>
      </c>
      <c r="BJ14" s="698">
        <f>SUMIFS('1.DC_Ra soat'!$L:$L,'1.DC_Ra soat'!$F:$F,'1.PL (VND) '!BQ$4,'1.DC_Ra soat'!$H:$H,'1.BS (VND)'!$D14)-SUMIFS('1.DC_Ra soat'!$L:$L,'1.DC_Ra soat'!$F:$F,'1.PL (VND) '!BQ$4,'1.DC_Ra soat'!$I:$I,'1.BS (VND)'!$D14)</f>
        <v>0</v>
      </c>
      <c r="BK14" s="698">
        <f>SUMIFS('1.DC_Ra soat'!$L:$L,'1.DC_Ra soat'!$F:$F,'1.PL (VND) '!BR$4,'1.DC_Ra soat'!$H:$H,'1.BS (VND)'!$D14)-SUMIFS('1.DC_Ra soat'!$L:$L,'1.DC_Ra soat'!$F:$F,'1.PL (VND) '!BR$4,'1.DC_Ra soat'!$I:$I,'1.BS (VND)'!$D14)</f>
        <v>0</v>
      </c>
      <c r="BM14" s="698">
        <f t="shared" si="5"/>
        <v>0</v>
      </c>
      <c r="BN14" s="698">
        <f t="shared" si="6"/>
        <v>0</v>
      </c>
      <c r="BO14" s="698">
        <f t="shared" si="7"/>
        <v>0</v>
      </c>
      <c r="BP14" s="697">
        <f t="shared" si="8"/>
        <v>0</v>
      </c>
      <c r="BQ14" s="699"/>
      <c r="BR14" s="698">
        <f t="shared" si="9"/>
        <v>0</v>
      </c>
      <c r="BS14" s="698">
        <f t="shared" si="10"/>
        <v>0</v>
      </c>
      <c r="BT14" s="698">
        <f t="shared" si="11"/>
        <v>0</v>
      </c>
      <c r="BU14" s="698">
        <f t="shared" si="12"/>
        <v>0</v>
      </c>
      <c r="BV14" s="699"/>
      <c r="BW14" s="698">
        <f t="shared" si="13"/>
        <v>0</v>
      </c>
      <c r="BX14" s="698">
        <f t="shared" si="14"/>
        <v>0</v>
      </c>
      <c r="BY14" s="698">
        <f t="shared" si="15"/>
        <v>0</v>
      </c>
      <c r="BZ14" s="697">
        <f t="shared" si="16"/>
        <v>0</v>
      </c>
      <c r="CA14" s="699"/>
      <c r="CB14" s="697">
        <f t="shared" si="17"/>
        <v>0</v>
      </c>
      <c r="CC14" s="697">
        <f t="shared" si="18"/>
        <v>0</v>
      </c>
      <c r="CD14" s="697">
        <f t="shared" si="19"/>
        <v>0</v>
      </c>
      <c r="CE14" s="697">
        <f t="shared" si="20"/>
        <v>0</v>
      </c>
      <c r="CF14" s="699"/>
      <c r="CG14" s="697">
        <f t="shared" si="21"/>
        <v>0</v>
      </c>
      <c r="CH14" s="697">
        <f t="shared" si="22"/>
        <v>0</v>
      </c>
      <c r="CI14" s="697">
        <f t="shared" si="23"/>
        <v>0</v>
      </c>
      <c r="CJ14" s="697">
        <f t="shared" si="24"/>
        <v>0</v>
      </c>
      <c r="CK14" s="699"/>
      <c r="CL14" s="698">
        <f t="shared" si="25"/>
        <v>0</v>
      </c>
      <c r="CM14" s="698">
        <f t="shared" si="26"/>
        <v>0</v>
      </c>
      <c r="CN14" s="698">
        <f t="shared" si="27"/>
        <v>0</v>
      </c>
      <c r="CO14" s="697">
        <f t="shared" si="28"/>
        <v>0</v>
      </c>
      <c r="CQ14" s="698">
        <f>SUMIF('1.PL (VND) '!$BL$6:$CD$6,'1.PL (VND) '!CP$6,$BM14:$CE14)</f>
        <v>0</v>
      </c>
      <c r="CR14" s="698">
        <f>SUMIF('1.PL (VND) '!$BL$6:$CD$6,'1.PL (VND) '!CQ$6,$BM14:$CE14)</f>
        <v>0</v>
      </c>
      <c r="CS14" s="698">
        <f>SUMIF('1.PL (VND) '!$BL$6:$CD$6,'1.PL (VND) '!CR$6,$BM14:$CE14)</f>
        <v>0</v>
      </c>
      <c r="CT14" s="698">
        <f>SUMIF('1.PL (VND) '!$BL$6:$CD$6,'1.PL (VND) '!CS$6,$BM14:$CE14)</f>
        <v>0</v>
      </c>
      <c r="CV14" s="702">
        <f>-SUMIFS('1.DC_Ra soat'!$L:$L,'1.DC_Ra soat'!$F:$F,'1.PL (VND) '!DK$4,'1.DC_Ra soat'!$H:$H,'1.BS (VND)'!$D14)+SUMIFS('1.DC_Ra soat'!$L:$L,'1.DC_Ra soat'!$F:$F,'1.PL (VND) '!DK$4,'1.DC_Ra soat'!$I:$I,'1.BS (VND)'!$D14)</f>
        <v>0</v>
      </c>
      <c r="CW14" s="702">
        <f>-SUMIFS('1.DC_Ra soat'!$L:$L,'1.DC_Ra soat'!$F:$F,'1.PL (VND) '!DL$4,'1.DC_Ra soat'!$H:$H,'1.BS (VND)'!$D14)+SUMIFS('1.DC_Ra soat'!$L:$L,'1.DC_Ra soat'!$F:$F,'1.PL (VND) '!DL$4,'1.DC_Ra soat'!$I:$I,'1.BS (VND)'!$D14)</f>
        <v>0</v>
      </c>
      <c r="CX14" s="702">
        <f>-SUMIFS('1.DC_Ra soat'!$L:$L,'1.DC_Ra soat'!$F:$F,'1.PL (VND) '!DM$4,'1.DC_Ra soat'!$H:$H,'1.BS (VND)'!$D14)+SUMIFS('1.DC_Ra soat'!$L:$L,'1.DC_Ra soat'!$F:$F,'1.PL (VND) '!DM$4,'1.DC_Ra soat'!$I:$I,'1.BS (VND)'!$D14)</f>
        <v>0</v>
      </c>
      <c r="CY14" s="702">
        <f>-SUMIFS('1.DC_Ra soat'!$L:$L,'1.DC_Ra soat'!$F:$F,'1.PL (VND) '!DN$4,'1.DC_Ra soat'!$H:$H,'1.BS (VND)'!$D14)+SUMIFS('1.DC_Ra soat'!$L:$L,'1.DC_Ra soat'!$F:$F,'1.PL (VND) '!DN$4,'1.DC_Ra soat'!$I:$I,'1.BS (VND)'!$D14)</f>
        <v>0</v>
      </c>
      <c r="DA14" s="698">
        <f t="shared" si="30"/>
        <v>0</v>
      </c>
      <c r="DB14" s="698">
        <f t="shared" si="31"/>
        <v>0</v>
      </c>
      <c r="DC14" s="698">
        <f t="shared" si="32"/>
        <v>0</v>
      </c>
      <c r="DD14" s="698">
        <f t="shared" si="33"/>
        <v>0</v>
      </c>
    </row>
    <row r="15" spans="1:112" s="700" customFormat="1" x14ac:dyDescent="0.25">
      <c r="A15" s="248" t="str">
        <f t="shared" si="40"/>
        <v>hide</v>
      </c>
      <c r="C15" s="703" t="s">
        <v>305</v>
      </c>
      <c r="D15" s="704" t="s">
        <v>306</v>
      </c>
      <c r="E15" s="721"/>
      <c r="F15" s="721"/>
      <c r="G15" s="721"/>
      <c r="H15" s="722"/>
      <c r="I15" s="699"/>
      <c r="J15" s="698"/>
      <c r="K15" s="698"/>
      <c r="L15" s="698"/>
      <c r="M15" s="241">
        <v>0</v>
      </c>
      <c r="N15" s="699"/>
      <c r="O15" s="698"/>
      <c r="P15" s="698"/>
      <c r="Q15" s="698"/>
      <c r="R15" s="698"/>
      <c r="S15" s="699"/>
      <c r="T15" s="698"/>
      <c r="U15" s="698"/>
      <c r="V15" s="698"/>
      <c r="W15" s="698"/>
      <c r="X15" s="699"/>
      <c r="Y15" s="698"/>
      <c r="Z15" s="698"/>
      <c r="AA15" s="698"/>
      <c r="AB15" s="698"/>
      <c r="AC15" s="699"/>
      <c r="AD15" s="698"/>
      <c r="AE15" s="698"/>
      <c r="AF15" s="698"/>
      <c r="AG15" s="698"/>
      <c r="AI15" s="698">
        <f>SUMIFS('1.DC_Ra soat'!$L:$L,'1.DC_Ra soat'!$F:$F,AI$4,'1.DC_Ra soat'!$H:$H,'1.BS (VND)'!$D15)-SUMIFS('1.DC_Ra soat'!$L:$L,'1.DC_Ra soat'!$F:$F,AI$4,'1.DC_Ra soat'!$I:$I,'1.BS (VND)'!$D15)</f>
        <v>0</v>
      </c>
      <c r="AJ15" s="698">
        <f>SUMIFS('1.DC_Ra soat'!$L:$L,'1.DC_Ra soat'!$F:$F,AJ$4,'1.DC_Ra soat'!$H:$H,'1.BS (VND)'!$D15)-SUMIFS('1.DC_Ra soat'!$L:$L,'1.DC_Ra soat'!$F:$F,AJ$4,'1.DC_Ra soat'!$I:$I,'1.BS (VND)'!$D15)</f>
        <v>0</v>
      </c>
      <c r="AK15" s="698">
        <f>SUMIFS('1.DC_Ra soat'!$L:$L,'1.DC_Ra soat'!$F:$F,AK$4,'1.DC_Ra soat'!$H:$H,'1.BS (VND)'!$D15)-SUMIFS('1.DC_Ra soat'!$L:$L,'1.DC_Ra soat'!$F:$F,AK$4,'1.DC_Ra soat'!$I:$I,'1.BS (VND)'!$D15)</f>
        <v>0</v>
      </c>
      <c r="AL15" s="698">
        <f>SUMIFS('1.DC_Ra soat'!$L:$L,'1.DC_Ra soat'!$F:$F,AL$4,'1.DC_Ra soat'!$H:$H,'1.BS (VND)'!$D15)-SUMIFS('1.DC_Ra soat'!$L:$L,'1.DC_Ra soat'!$F:$F,AL$4,'1.DC_Ra soat'!$I:$I,'1.BS (VND)'!$D15)</f>
        <v>0</v>
      </c>
      <c r="AM15" s="699"/>
      <c r="AN15" s="698">
        <f>SUMIFS('1.DC_Ra soat'!$L:$L,'1.DC_Ra soat'!$F:$F,AN$4,'1.DC_Ra soat'!$H:$H,'1.BS (VND)'!$D15)-SUMIFS('1.DC_Ra soat'!$L:$L,'1.DC_Ra soat'!$F:$F,AN$4,'1.DC_Ra soat'!$I:$I,'1.BS (VND)'!$D15)</f>
        <v>0</v>
      </c>
      <c r="AO15" s="698">
        <f>SUMIFS('1.DC_Ra soat'!$L:$L,'1.DC_Ra soat'!$F:$F,AO$4,'1.DC_Ra soat'!$H:$H,'1.BS (VND)'!$D15)-SUMIFS('1.DC_Ra soat'!$L:$L,'1.DC_Ra soat'!$F:$F,AO$4,'1.DC_Ra soat'!$I:$I,'1.BS (VND)'!$D15)</f>
        <v>0</v>
      </c>
      <c r="AP15" s="698">
        <f>SUMIFS('1.DC_Ra soat'!$L:$L,'1.DC_Ra soat'!$F:$F,AP$4,'1.DC_Ra soat'!$H:$H,'1.BS (VND)'!$D15)-SUMIFS('1.DC_Ra soat'!$L:$L,'1.DC_Ra soat'!$F:$F,AP$4,'1.DC_Ra soat'!$I:$I,'1.BS (VND)'!$D15)</f>
        <v>0</v>
      </c>
      <c r="AQ15" s="698">
        <f>SUMIFS('1.DC_Ra soat'!$L:$L,'1.DC_Ra soat'!$F:$F,AQ$4,'1.DC_Ra soat'!$H:$H,'1.BS (VND)'!$D15)-SUMIFS('1.DC_Ra soat'!$L:$L,'1.DC_Ra soat'!$F:$F,AQ$4,'1.DC_Ra soat'!$I:$I,'1.BS (VND)'!$D15)</f>
        <v>0</v>
      </c>
      <c r="AR15" s="699"/>
      <c r="AS15" s="698">
        <f>SUMIFS('1.DC_Ra soat'!$L:$L,'1.DC_Ra soat'!$F:$F,AS$4,'1.DC_Ra soat'!$H:$H,'1.BS (VND)'!$D15)-SUMIFS('1.DC_Ra soat'!$L:$L,'1.DC_Ra soat'!$F:$F,AS$4,'1.DC_Ra soat'!$I:$I,'1.BS (VND)'!$D15)</f>
        <v>0</v>
      </c>
      <c r="AT15" s="698">
        <f>SUMIFS('1.DC_Ra soat'!$L:$L,'1.DC_Ra soat'!$F:$F,AT$4,'1.DC_Ra soat'!$H:$H,'1.BS (VND)'!$D15)-SUMIFS('1.DC_Ra soat'!$L:$L,'1.DC_Ra soat'!$F:$F,AT$4,'1.DC_Ra soat'!$I:$I,'1.BS (VND)'!$D15)</f>
        <v>0</v>
      </c>
      <c r="AU15" s="698">
        <f>SUMIFS('1.DC_Ra soat'!$L:$L,'1.DC_Ra soat'!$F:$F,AU$4,'1.DC_Ra soat'!$H:$H,'1.BS (VND)'!$D15)-SUMIFS('1.DC_Ra soat'!$L:$L,'1.DC_Ra soat'!$F:$F,AU$4,'1.DC_Ra soat'!$I:$I,'1.BS (VND)'!$D15)</f>
        <v>0</v>
      </c>
      <c r="AV15" s="698">
        <f>SUMIFS('1.DC_Ra soat'!$L:$L,'1.DC_Ra soat'!$F:$F,AV$4,'1.DC_Ra soat'!$H:$H,'1.BS (VND)'!$D15)-SUMIFS('1.DC_Ra soat'!$L:$L,'1.DC_Ra soat'!$F:$F,AV$4,'1.DC_Ra soat'!$I:$I,'1.BS (VND)'!$D15)</f>
        <v>0</v>
      </c>
      <c r="AW15" s="699"/>
      <c r="AX15" s="698">
        <f>SUMIFS('1.DC_Ra soat'!$L:$L,'1.DC_Ra soat'!$F:$F,AX$4,'1.DC_Ra soat'!$H:$H,'1.BS (VND)'!$D15)-SUMIFS('1.DC_Ra soat'!$L:$L,'1.DC_Ra soat'!$F:$F,AX$4,'1.DC_Ra soat'!$I:$I,'1.BS (VND)'!$D15)</f>
        <v>0</v>
      </c>
      <c r="AY15" s="698">
        <f>SUMIFS('1.DC_Ra soat'!$L:$L,'1.DC_Ra soat'!$F:$F,'1.PL (VND) '!BD$4,'1.DC_Ra soat'!$H:$H,'1.BS (VND)'!$D15)-SUMIFS('1.DC_Ra soat'!$L:$L,'1.DC_Ra soat'!$F:$F,'1.PL (VND) '!BD$4,'1.DC_Ra soat'!$I:$I,'1.BS (VND)'!$D15)</f>
        <v>0</v>
      </c>
      <c r="AZ15" s="698">
        <f>SUMIFS('1.DC_Ra soat'!$L:$L,'1.DC_Ra soat'!$F:$F,'1.PL (VND) '!BE$4,'1.DC_Ra soat'!$H:$H,'1.BS (VND)'!$D15)-SUMIFS('1.DC_Ra soat'!$L:$L,'1.DC_Ra soat'!$F:$F,'1.PL (VND) '!BE$4,'1.DC_Ra soat'!$I:$I,'1.BS (VND)'!$D15)</f>
        <v>0</v>
      </c>
      <c r="BA15" s="698">
        <f>SUMIFS('1.DC_Ra soat'!$L:$L,'1.DC_Ra soat'!$F:$F,'1.PL (VND) '!BF$4,'1.DC_Ra soat'!$H:$H,'1.BS (VND)'!$D15)-SUMIFS('1.DC_Ra soat'!$L:$L,'1.DC_Ra soat'!$F:$F,'1.PL (VND) '!BF$4,'1.DC_Ra soat'!$I:$I,'1.BS (VND)'!$D15)</f>
        <v>0</v>
      </c>
      <c r="BB15" s="699"/>
      <c r="BC15" s="698">
        <f>SUMIFS('1.DC_Ra soat'!$L:$L,'1.DC_Ra soat'!$F:$F,'1.PL (VND) '!BI$4,'1.DC_Ra soat'!$H:$H,'1.BS (VND)'!$D15)-SUMIFS('1.DC_Ra soat'!$L:$L,'1.DC_Ra soat'!$F:$F,'1.PL (VND) '!BI$4,'1.DC_Ra soat'!$I:$I,'1.BS (VND)'!$D15)</f>
        <v>0</v>
      </c>
      <c r="BD15" s="698">
        <f>SUMIFS('1.DC_Ra soat'!$L:$L,'1.DC_Ra soat'!$F:$F,'1.PL (VND) '!BJ$4,'1.DC_Ra soat'!$H:$H,'1.BS (VND)'!$D15)-SUMIFS('1.DC_Ra soat'!$L:$L,'1.DC_Ra soat'!$F:$F,'1.PL (VND) '!BJ$4,'1.DC_Ra soat'!$I:$I,'1.BS (VND)'!$D15)</f>
        <v>0</v>
      </c>
      <c r="BE15" s="698">
        <f>SUMIFS('1.DC_Ra soat'!$L:$L,'1.DC_Ra soat'!$F:$F,'1.PL (VND) '!BK$4,'1.DC_Ra soat'!$H:$H,'1.BS (VND)'!$D15)-SUMIFS('1.DC_Ra soat'!$L:$L,'1.DC_Ra soat'!$F:$F,'1.PL (VND) '!BK$4,'1.DC_Ra soat'!$I:$I,'1.BS (VND)'!$D15)</f>
        <v>0</v>
      </c>
      <c r="BF15" s="698">
        <f>SUMIFS('1.DC_Ra soat'!$L:$L,'1.DC_Ra soat'!$F:$F,'1.PL (VND) '!BL$4,'1.DC_Ra soat'!$H:$H,'1.BS (VND)'!$D15)-SUMIFS('1.DC_Ra soat'!$L:$L,'1.DC_Ra soat'!$F:$F,'1.PL (VND) '!BL$4,'1.DC_Ra soat'!$I:$I,'1.BS (VND)'!$D15)</f>
        <v>0</v>
      </c>
      <c r="BG15" s="699"/>
      <c r="BH15" s="698">
        <f>SUMIFS('1.DC_Ra soat'!$L:$L,'1.DC_Ra soat'!$F:$F,'1.PL (VND) '!BO$4,'1.DC_Ra soat'!$H:$H,'1.BS (VND)'!$D15)-SUMIFS('1.DC_Ra soat'!$L:$L,'1.DC_Ra soat'!$F:$F,'1.PL (VND) '!BO$4,'1.DC_Ra soat'!$I:$I,'1.BS (VND)'!$D15)</f>
        <v>0</v>
      </c>
      <c r="BI15" s="698">
        <f>SUMIFS('1.DC_Ra soat'!$L:$L,'1.DC_Ra soat'!$F:$F,'1.PL (VND) '!BP$4,'1.DC_Ra soat'!$H:$H,'1.BS (VND)'!$D15)-SUMIFS('1.DC_Ra soat'!$L:$L,'1.DC_Ra soat'!$F:$F,'1.PL (VND) '!BP$4,'1.DC_Ra soat'!$I:$I,'1.BS (VND)'!$D15)</f>
        <v>0</v>
      </c>
      <c r="BJ15" s="698">
        <f>SUMIFS('1.DC_Ra soat'!$L:$L,'1.DC_Ra soat'!$F:$F,'1.PL (VND) '!BQ$4,'1.DC_Ra soat'!$H:$H,'1.BS (VND)'!$D15)-SUMIFS('1.DC_Ra soat'!$L:$L,'1.DC_Ra soat'!$F:$F,'1.PL (VND) '!BQ$4,'1.DC_Ra soat'!$I:$I,'1.BS (VND)'!$D15)</f>
        <v>0</v>
      </c>
      <c r="BK15" s="698">
        <f>SUMIFS('1.DC_Ra soat'!$L:$L,'1.DC_Ra soat'!$F:$F,'1.PL (VND) '!BR$4,'1.DC_Ra soat'!$H:$H,'1.BS (VND)'!$D15)-SUMIFS('1.DC_Ra soat'!$L:$L,'1.DC_Ra soat'!$F:$F,'1.PL (VND) '!BR$4,'1.DC_Ra soat'!$I:$I,'1.BS (VND)'!$D15)</f>
        <v>0</v>
      </c>
      <c r="BM15" s="698">
        <f t="shared" si="5"/>
        <v>0</v>
      </c>
      <c r="BN15" s="698">
        <f t="shared" si="6"/>
        <v>0</v>
      </c>
      <c r="BO15" s="698">
        <f t="shared" si="7"/>
        <v>0</v>
      </c>
      <c r="BP15" s="697">
        <f t="shared" si="8"/>
        <v>0</v>
      </c>
      <c r="BQ15" s="699"/>
      <c r="BR15" s="698">
        <f t="shared" si="9"/>
        <v>0</v>
      </c>
      <c r="BS15" s="698">
        <f t="shared" si="10"/>
        <v>0</v>
      </c>
      <c r="BT15" s="698">
        <f t="shared" si="11"/>
        <v>0</v>
      </c>
      <c r="BU15" s="698">
        <f t="shared" si="12"/>
        <v>0</v>
      </c>
      <c r="BV15" s="699"/>
      <c r="BW15" s="698">
        <f t="shared" si="13"/>
        <v>0</v>
      </c>
      <c r="BX15" s="698">
        <f t="shared" si="14"/>
        <v>0</v>
      </c>
      <c r="BY15" s="698">
        <f t="shared" si="15"/>
        <v>0</v>
      </c>
      <c r="BZ15" s="697">
        <f t="shared" si="16"/>
        <v>0</v>
      </c>
      <c r="CA15" s="699"/>
      <c r="CB15" s="697">
        <f t="shared" si="17"/>
        <v>0</v>
      </c>
      <c r="CC15" s="697">
        <f t="shared" si="18"/>
        <v>0</v>
      </c>
      <c r="CD15" s="697">
        <f t="shared" si="19"/>
        <v>0</v>
      </c>
      <c r="CE15" s="697">
        <f t="shared" si="20"/>
        <v>0</v>
      </c>
      <c r="CF15" s="699"/>
      <c r="CG15" s="697">
        <f t="shared" si="21"/>
        <v>0</v>
      </c>
      <c r="CH15" s="697">
        <f t="shared" si="22"/>
        <v>0</v>
      </c>
      <c r="CI15" s="697">
        <f t="shared" si="23"/>
        <v>0</v>
      </c>
      <c r="CJ15" s="697">
        <f t="shared" si="24"/>
        <v>0</v>
      </c>
      <c r="CK15" s="699"/>
      <c r="CL15" s="698">
        <f t="shared" si="25"/>
        <v>0</v>
      </c>
      <c r="CM15" s="698">
        <f t="shared" si="26"/>
        <v>0</v>
      </c>
      <c r="CN15" s="698">
        <f t="shared" si="27"/>
        <v>0</v>
      </c>
      <c r="CO15" s="697">
        <f t="shared" si="28"/>
        <v>0</v>
      </c>
      <c r="CQ15" s="698">
        <f>SUMIF('1.PL (VND) '!$BL$6:$CD$6,'1.PL (VND) '!CP$6,$BM15:$CE15)</f>
        <v>0</v>
      </c>
      <c r="CR15" s="698">
        <f>SUMIF('1.PL (VND) '!$BL$6:$CD$6,'1.PL (VND) '!CQ$6,$BM15:$CE15)</f>
        <v>0</v>
      </c>
      <c r="CS15" s="698">
        <f>SUMIF('1.PL (VND) '!$BL$6:$CD$6,'1.PL (VND) '!CR$6,$BM15:$CE15)</f>
        <v>0</v>
      </c>
      <c r="CT15" s="698">
        <f>SUMIF('1.PL (VND) '!$BL$6:$CD$6,'1.PL (VND) '!CS$6,$BM15:$CE15)</f>
        <v>0</v>
      </c>
      <c r="CV15" s="702">
        <f>-SUMIFS('1.DC_Ra soat'!$L:$L,'1.DC_Ra soat'!$F:$F,'1.PL (VND) '!DK$4,'1.DC_Ra soat'!$H:$H,'1.BS (VND)'!$D15)+SUMIFS('1.DC_Ra soat'!$L:$L,'1.DC_Ra soat'!$F:$F,'1.PL (VND) '!DK$4,'1.DC_Ra soat'!$I:$I,'1.BS (VND)'!$D15)</f>
        <v>0</v>
      </c>
      <c r="CW15" s="702">
        <f>-SUMIFS('1.DC_Ra soat'!$L:$L,'1.DC_Ra soat'!$F:$F,'1.PL (VND) '!DL$4,'1.DC_Ra soat'!$H:$H,'1.BS (VND)'!$D15)+SUMIFS('1.DC_Ra soat'!$L:$L,'1.DC_Ra soat'!$F:$F,'1.PL (VND) '!DL$4,'1.DC_Ra soat'!$I:$I,'1.BS (VND)'!$D15)</f>
        <v>0</v>
      </c>
      <c r="CX15" s="702">
        <f>-SUMIFS('1.DC_Ra soat'!$L:$L,'1.DC_Ra soat'!$F:$F,'1.PL (VND) '!DM$4,'1.DC_Ra soat'!$H:$H,'1.BS (VND)'!$D15)+SUMIFS('1.DC_Ra soat'!$L:$L,'1.DC_Ra soat'!$F:$F,'1.PL (VND) '!DM$4,'1.DC_Ra soat'!$I:$I,'1.BS (VND)'!$D15)</f>
        <v>0</v>
      </c>
      <c r="CY15" s="702">
        <f>-SUMIFS('1.DC_Ra soat'!$L:$L,'1.DC_Ra soat'!$F:$F,'1.PL (VND) '!DN$4,'1.DC_Ra soat'!$H:$H,'1.BS (VND)'!$D15)+SUMIFS('1.DC_Ra soat'!$L:$L,'1.DC_Ra soat'!$F:$F,'1.PL (VND) '!DN$4,'1.DC_Ra soat'!$I:$I,'1.BS (VND)'!$D15)</f>
        <v>0</v>
      </c>
      <c r="DA15" s="698">
        <f t="shared" si="30"/>
        <v>0</v>
      </c>
      <c r="DB15" s="698">
        <f t="shared" si="31"/>
        <v>0</v>
      </c>
      <c r="DC15" s="698">
        <f t="shared" si="32"/>
        <v>0</v>
      </c>
      <c r="DD15" s="698">
        <f t="shared" si="33"/>
        <v>0</v>
      </c>
    </row>
    <row r="16" spans="1:112" s="248" customFormat="1" x14ac:dyDescent="0.25">
      <c r="A16" s="248">
        <f t="shared" si="40"/>
        <v>1</v>
      </c>
      <c r="C16" s="259" t="s">
        <v>307</v>
      </c>
      <c r="D16" s="260" t="s">
        <v>308</v>
      </c>
      <c r="E16" s="719">
        <f>SUM(E17:E24)</f>
        <v>97498763941</v>
      </c>
      <c r="F16" s="719">
        <f>SUM(F17:F24)</f>
        <v>33835444196</v>
      </c>
      <c r="G16" s="719">
        <f>SUM(G17:G24)</f>
        <v>36647695915</v>
      </c>
      <c r="H16" s="720">
        <f>H17+H18+H19+H20+H21+H22+H23+H24</f>
        <v>157234925762</v>
      </c>
      <c r="I16" s="230"/>
      <c r="J16" s="241">
        <f>SUM(J17:J24)</f>
        <v>280000</v>
      </c>
      <c r="K16" s="241">
        <f>SUM(K17:K24)</f>
        <v>7841603472</v>
      </c>
      <c r="L16" s="241">
        <f>SUM(L17:L24)</f>
        <v>13003454124</v>
      </c>
      <c r="M16" s="241">
        <f>SUM(M17:M24)</f>
        <v>50668668330</v>
      </c>
      <c r="N16" s="230"/>
      <c r="O16" s="241">
        <f>SUM(O17:O24)</f>
        <v>42594784969</v>
      </c>
      <c r="P16" s="241">
        <f>SUM(P17:P24)</f>
        <v>14981552601</v>
      </c>
      <c r="Q16" s="241">
        <f>SUM(Q17:Q24)</f>
        <v>29281648146</v>
      </c>
      <c r="R16" s="241">
        <f>SUM(R17:R24)</f>
        <v>33772683963</v>
      </c>
      <c r="S16" s="230"/>
      <c r="T16" s="241">
        <f>SUM(T17:T24)</f>
        <v>19088145881</v>
      </c>
      <c r="U16" s="241">
        <f>SUM(U17:U24)</f>
        <v>13200431075</v>
      </c>
      <c r="V16" s="241">
        <f>SUM(V17:V24)</f>
        <v>14547999516</v>
      </c>
      <c r="W16" s="241">
        <f>SUM(W17:W24)</f>
        <v>50012927700</v>
      </c>
      <c r="X16" s="230"/>
      <c r="Y16" s="241">
        <f>SUM(Y17:Y24)</f>
        <v>0</v>
      </c>
      <c r="Z16" s="241">
        <f>SUM(Z17:Z24)</f>
        <v>0</v>
      </c>
      <c r="AA16" s="241">
        <f>SUM(AA17:AA24)</f>
        <v>0</v>
      </c>
      <c r="AB16" s="241"/>
      <c r="AC16" s="230"/>
      <c r="AD16" s="241">
        <f>SUM(AD17:AD24)</f>
        <v>0</v>
      </c>
      <c r="AE16" s="241">
        <f>SUM(AE17:AE24)</f>
        <v>0</v>
      </c>
      <c r="AF16" s="241">
        <f>SUM(AF17:AF24)</f>
        <v>0</v>
      </c>
      <c r="AG16" s="241">
        <f>SUM(AG17:AG24)</f>
        <v>0</v>
      </c>
      <c r="AI16" s="249">
        <f>SUM(AI17:AI24)</f>
        <v>0</v>
      </c>
      <c r="AJ16" s="249">
        <f>SUM(AJ17:AJ24)</f>
        <v>0</v>
      </c>
      <c r="AK16" s="249">
        <f>SUM(AK17:AK24)</f>
        <v>0</v>
      </c>
      <c r="AL16" s="249">
        <f>SUM(AL17:AL24)</f>
        <v>-3550000000</v>
      </c>
      <c r="AM16" s="230"/>
      <c r="AN16" s="249">
        <f t="shared" ref="AN16:AQ16" si="42">SUM(AN17:AN24)</f>
        <v>0</v>
      </c>
      <c r="AO16" s="249">
        <f t="shared" si="42"/>
        <v>0</v>
      </c>
      <c r="AP16" s="249">
        <f t="shared" si="42"/>
        <v>0</v>
      </c>
      <c r="AQ16" s="249">
        <f t="shared" si="42"/>
        <v>0</v>
      </c>
      <c r="AR16" s="230"/>
      <c r="AS16" s="249">
        <f>SUM(AS17:AS24)</f>
        <v>0</v>
      </c>
      <c r="AT16" s="249">
        <f>SUM(AT17:AT24)</f>
        <v>0</v>
      </c>
      <c r="AU16" s="249">
        <f>SUM(AU17:AU24)</f>
        <v>0</v>
      </c>
      <c r="AV16" s="249">
        <f>SUM(AV17:AV24)</f>
        <v>-4950000000</v>
      </c>
      <c r="AW16" s="230"/>
      <c r="AX16" s="249">
        <f>SUM(AX17:AX24)</f>
        <v>0</v>
      </c>
      <c r="AY16" s="249">
        <f>SUM(AY17:AY24)</f>
        <v>0</v>
      </c>
      <c r="AZ16" s="249">
        <f>SUM(AZ17:AZ24)</f>
        <v>0</v>
      </c>
      <c r="BA16" s="249">
        <f>SUM(BA17:BA24)</f>
        <v>-5000000000</v>
      </c>
      <c r="BB16" s="230"/>
      <c r="BC16" s="249">
        <f>SUM(BC17:BC24)</f>
        <v>0</v>
      </c>
      <c r="BD16" s="249">
        <f>SUM(BD17:BD24)</f>
        <v>0</v>
      </c>
      <c r="BE16" s="249">
        <f>SUM(BE17:BE24)</f>
        <v>0</v>
      </c>
      <c r="BF16" s="249">
        <f>SUM(BF17:BF24)</f>
        <v>0</v>
      </c>
      <c r="BG16" s="230"/>
      <c r="BH16" s="249">
        <f>SUM(BH17:BH24)</f>
        <v>0</v>
      </c>
      <c r="BI16" s="249">
        <f>SUM(BI17:BI24)</f>
        <v>0</v>
      </c>
      <c r="BJ16" s="249">
        <f>SUM(BJ17:BJ24)</f>
        <v>0</v>
      </c>
      <c r="BK16" s="249">
        <f t="shared" ref="BK16" si="43">SUM(BK17:BK24)</f>
        <v>0</v>
      </c>
      <c r="BM16" s="241">
        <f t="shared" si="5"/>
        <v>97498763941</v>
      </c>
      <c r="BN16" s="241">
        <f t="shared" si="6"/>
        <v>33835444196</v>
      </c>
      <c r="BO16" s="241">
        <f t="shared" si="7"/>
        <v>36647695915</v>
      </c>
      <c r="BP16" s="241">
        <f t="shared" si="8"/>
        <v>153684925762</v>
      </c>
      <c r="BQ16" s="230"/>
      <c r="BR16" s="241">
        <f t="shared" si="9"/>
        <v>280000</v>
      </c>
      <c r="BS16" s="241">
        <f t="shared" si="10"/>
        <v>7841603472</v>
      </c>
      <c r="BT16" s="241">
        <f t="shared" si="11"/>
        <v>13003454124</v>
      </c>
      <c r="BU16" s="241">
        <f t="shared" si="12"/>
        <v>50668668330</v>
      </c>
      <c r="BV16" s="230"/>
      <c r="BW16" s="241">
        <f t="shared" si="13"/>
        <v>42594784969</v>
      </c>
      <c r="BX16" s="241">
        <f t="shared" si="14"/>
        <v>14981552601</v>
      </c>
      <c r="BY16" s="241">
        <f t="shared" si="15"/>
        <v>29281648146</v>
      </c>
      <c r="BZ16" s="241">
        <f t="shared" si="16"/>
        <v>28822683963</v>
      </c>
      <c r="CA16" s="230"/>
      <c r="CB16" s="241">
        <f t="shared" si="17"/>
        <v>19088145881</v>
      </c>
      <c r="CC16" s="241">
        <f t="shared" si="18"/>
        <v>13200431075</v>
      </c>
      <c r="CD16" s="241">
        <f t="shared" si="19"/>
        <v>14547999516</v>
      </c>
      <c r="CE16" s="241">
        <f t="shared" si="20"/>
        <v>45012927700</v>
      </c>
      <c r="CF16" s="230"/>
      <c r="CG16" s="241">
        <f t="shared" si="21"/>
        <v>0</v>
      </c>
      <c r="CH16" s="241">
        <f t="shared" si="22"/>
        <v>0</v>
      </c>
      <c r="CI16" s="241">
        <f t="shared" si="23"/>
        <v>0</v>
      </c>
      <c r="CJ16" s="241">
        <f t="shared" si="24"/>
        <v>0</v>
      </c>
      <c r="CK16" s="230"/>
      <c r="CL16" s="241">
        <f t="shared" si="25"/>
        <v>0</v>
      </c>
      <c r="CM16" s="241">
        <f t="shared" si="26"/>
        <v>0</v>
      </c>
      <c r="CN16" s="241">
        <f t="shared" si="27"/>
        <v>0</v>
      </c>
      <c r="CO16" s="241">
        <f t="shared" si="28"/>
        <v>0</v>
      </c>
      <c r="CQ16" s="241">
        <f>SUMIF('1.PL (VND) '!$BL$6:$CD$6,'1.PL (VND) '!CP$6,$BM16:$CE16)</f>
        <v>159181974791</v>
      </c>
      <c r="CR16" s="241">
        <f>SUMIF('1.PL (VND) '!$BL$6:$CD$6,'1.PL (VND) '!CQ$6,$BM16:$CE16)</f>
        <v>69859031344</v>
      </c>
      <c r="CS16" s="241">
        <f>SUMIF('1.PL (VND) '!$BL$6:$CD$6,'1.PL (VND) '!CR$6,$BM16:$CE16)</f>
        <v>93480797701</v>
      </c>
      <c r="CT16" s="241">
        <f>SUMIF('1.PL (VND) '!$BL$6:$CD$6,'1.PL (VND) '!CS$6,$BM16:$CE16)</f>
        <v>278189205755</v>
      </c>
      <c r="CV16" s="251">
        <f>SUM(CV17:CV24)</f>
        <v>0</v>
      </c>
      <c r="CW16" s="251">
        <f>SUM(CW17:CW24)</f>
        <v>0</v>
      </c>
      <c r="CX16" s="251">
        <f t="shared" ref="CX16:CY16" si="44">SUM(CX17:CX24)</f>
        <v>0</v>
      </c>
      <c r="CY16" s="251">
        <f t="shared" si="44"/>
        <v>0</v>
      </c>
      <c r="DA16" s="241">
        <f t="shared" si="30"/>
        <v>159181974791</v>
      </c>
      <c r="DB16" s="241">
        <f t="shared" si="31"/>
        <v>69859031344</v>
      </c>
      <c r="DC16" s="241">
        <f t="shared" si="32"/>
        <v>93480797701</v>
      </c>
      <c r="DD16" s="241">
        <f t="shared" si="33"/>
        <v>278189205755</v>
      </c>
      <c r="DH16" s="245"/>
    </row>
    <row r="17" spans="1:112" s="700" customFormat="1" x14ac:dyDescent="0.25">
      <c r="A17" s="248">
        <f t="shared" si="40"/>
        <v>1</v>
      </c>
      <c r="C17" s="703" t="s">
        <v>309</v>
      </c>
      <c r="D17" s="704" t="s">
        <v>310</v>
      </c>
      <c r="E17" s="721">
        <v>84240636025</v>
      </c>
      <c r="F17" s="721">
        <v>29286683582</v>
      </c>
      <c r="G17" s="721">
        <v>29625341610</v>
      </c>
      <c r="H17" s="722">
        <v>101833460095</v>
      </c>
      <c r="I17" s="699"/>
      <c r="J17" s="698"/>
      <c r="K17" s="698">
        <v>5268045366</v>
      </c>
      <c r="L17" s="698">
        <v>11812757297</v>
      </c>
      <c r="M17" s="241">
        <v>48957714647</v>
      </c>
      <c r="N17" s="699"/>
      <c r="O17" s="698">
        <v>36968498262</v>
      </c>
      <c r="P17" s="698">
        <v>14799733171</v>
      </c>
      <c r="Q17" s="698">
        <v>29280642158</v>
      </c>
      <c r="R17" s="698">
        <v>33772674580</v>
      </c>
      <c r="S17" s="699"/>
      <c r="T17" s="698">
        <v>17621052183</v>
      </c>
      <c r="U17" s="698">
        <v>13082433252</v>
      </c>
      <c r="V17" s="698">
        <v>14491580087</v>
      </c>
      <c r="W17" s="698">
        <v>33234622688</v>
      </c>
      <c r="X17" s="699"/>
      <c r="Y17" s="698"/>
      <c r="Z17" s="698"/>
      <c r="AA17" s="698"/>
      <c r="AB17" s="698"/>
      <c r="AC17" s="699"/>
      <c r="AD17" s="698"/>
      <c r="AE17" s="698"/>
      <c r="AF17" s="698"/>
      <c r="AG17" s="698"/>
      <c r="AI17" s="698">
        <f>SUMIFS('1.DC_Ra soat'!$L:$L,'1.DC_Ra soat'!$F:$F,AI$4,'1.DC_Ra soat'!$H:$H,'1.BS (VND)'!$D17)-SUMIFS('1.DC_Ra soat'!$L:$L,'1.DC_Ra soat'!$F:$F,AI$4,'1.DC_Ra soat'!$I:$I,'1.BS (VND)'!$D17)</f>
        <v>0</v>
      </c>
      <c r="AJ17" s="698">
        <f>SUMIFS('1.DC_Ra soat'!$L:$L,'1.DC_Ra soat'!$F:$F,AJ$4,'1.DC_Ra soat'!$H:$H,'1.BS (VND)'!$D17)-SUMIFS('1.DC_Ra soat'!$L:$L,'1.DC_Ra soat'!$F:$F,AJ$4,'1.DC_Ra soat'!$I:$I,'1.BS (VND)'!$D17)</f>
        <v>0</v>
      </c>
      <c r="AK17" s="698">
        <f>SUMIFS('1.DC_Ra soat'!$L:$L,'1.DC_Ra soat'!$F:$F,AK$4,'1.DC_Ra soat'!$H:$H,'1.BS (VND)'!$D17)-SUMIFS('1.DC_Ra soat'!$L:$L,'1.DC_Ra soat'!$F:$F,AK$4,'1.DC_Ra soat'!$I:$I,'1.BS (VND)'!$D17)</f>
        <v>0</v>
      </c>
      <c r="AL17" s="698">
        <f>SUMIFS('1.DC_Ra soat'!$L:$L,'1.DC_Ra soat'!$F:$F,AL$4,'1.DC_Ra soat'!$H:$H,'1.BS (VND)'!$D17)-SUMIFS('1.DC_Ra soat'!$L:$L,'1.DC_Ra soat'!$F:$F,AL$4,'1.DC_Ra soat'!$I:$I,'1.BS (VND)'!$D17)</f>
        <v>0</v>
      </c>
      <c r="AM17" s="699"/>
      <c r="AN17" s="698">
        <f>SUMIFS('1.DC_Ra soat'!$L:$L,'1.DC_Ra soat'!$F:$F,AN$4,'1.DC_Ra soat'!$H:$H,'1.BS (VND)'!$D17)-SUMIFS('1.DC_Ra soat'!$L:$L,'1.DC_Ra soat'!$F:$F,AN$4,'1.DC_Ra soat'!$I:$I,'1.BS (VND)'!$D17)</f>
        <v>0</v>
      </c>
      <c r="AO17" s="698">
        <f>SUMIFS('1.DC_Ra soat'!$L:$L,'1.DC_Ra soat'!$F:$F,AO$4,'1.DC_Ra soat'!$H:$H,'1.BS (VND)'!$D17)-SUMIFS('1.DC_Ra soat'!$L:$L,'1.DC_Ra soat'!$F:$F,AO$4,'1.DC_Ra soat'!$I:$I,'1.BS (VND)'!$D17)</f>
        <v>0</v>
      </c>
      <c r="AP17" s="698">
        <f>SUMIFS('1.DC_Ra soat'!$L:$L,'1.DC_Ra soat'!$F:$F,AP$4,'1.DC_Ra soat'!$H:$H,'1.BS (VND)'!$D17)-SUMIFS('1.DC_Ra soat'!$L:$L,'1.DC_Ra soat'!$F:$F,AP$4,'1.DC_Ra soat'!$I:$I,'1.BS (VND)'!$D17)</f>
        <v>0</v>
      </c>
      <c r="AQ17" s="698">
        <f>SUMIFS('1.DC_Ra soat'!$L:$L,'1.DC_Ra soat'!$F:$F,AQ$4,'1.DC_Ra soat'!$H:$H,'1.BS (VND)'!$D17)-SUMIFS('1.DC_Ra soat'!$L:$L,'1.DC_Ra soat'!$F:$F,AQ$4,'1.DC_Ra soat'!$I:$I,'1.BS (VND)'!$D17)</f>
        <v>0</v>
      </c>
      <c r="AR17" s="699"/>
      <c r="AS17" s="698">
        <f>SUMIFS('1.DC_Ra soat'!$L:$L,'1.DC_Ra soat'!$F:$F,AS$4,'1.DC_Ra soat'!$H:$H,'1.BS (VND)'!$D17)-SUMIFS('1.DC_Ra soat'!$L:$L,'1.DC_Ra soat'!$F:$F,AS$4,'1.DC_Ra soat'!$I:$I,'1.BS (VND)'!$D17)</f>
        <v>0</v>
      </c>
      <c r="AT17" s="698">
        <f>SUMIFS('1.DC_Ra soat'!$L:$L,'1.DC_Ra soat'!$F:$F,AT$4,'1.DC_Ra soat'!$H:$H,'1.BS (VND)'!$D17)-SUMIFS('1.DC_Ra soat'!$L:$L,'1.DC_Ra soat'!$F:$F,AT$4,'1.DC_Ra soat'!$I:$I,'1.BS (VND)'!$D17)</f>
        <v>0</v>
      </c>
      <c r="AU17" s="698">
        <f>SUMIFS('1.DC_Ra soat'!$L:$L,'1.DC_Ra soat'!$F:$F,AU$4,'1.DC_Ra soat'!$H:$H,'1.BS (VND)'!$D17)-SUMIFS('1.DC_Ra soat'!$L:$L,'1.DC_Ra soat'!$F:$F,AU$4,'1.DC_Ra soat'!$I:$I,'1.BS (VND)'!$D17)</f>
        <v>0</v>
      </c>
      <c r="AV17" s="698">
        <f>SUMIFS('1.DC_Ra soat'!$L:$L,'1.DC_Ra soat'!$F:$F,AV$4,'1.DC_Ra soat'!$H:$H,'1.BS (VND)'!$D17)-SUMIFS('1.DC_Ra soat'!$L:$L,'1.DC_Ra soat'!$F:$F,AV$4,'1.DC_Ra soat'!$I:$I,'1.BS (VND)'!$D17)</f>
        <v>0</v>
      </c>
      <c r="AW17" s="699"/>
      <c r="AX17" s="698">
        <f>SUMIFS('1.DC_Ra soat'!$L:$L,'1.DC_Ra soat'!$F:$F,AX$4,'1.DC_Ra soat'!$H:$H,'1.BS (VND)'!$D17)-SUMIFS('1.DC_Ra soat'!$L:$L,'1.DC_Ra soat'!$F:$F,AX$4,'1.DC_Ra soat'!$I:$I,'1.BS (VND)'!$D17)</f>
        <v>0</v>
      </c>
      <c r="AY17" s="698">
        <f>SUMIFS('1.DC_Ra soat'!$L:$L,'1.DC_Ra soat'!$F:$F,AY$4,'1.DC_Ra soat'!$H:$H,'1.BS (VND)'!$D17)-SUMIFS('1.DC_Ra soat'!$L:$L,'1.DC_Ra soat'!$F:$F,AY$4,'1.DC_Ra soat'!$I:$I,'1.BS (VND)'!$D17)</f>
        <v>0</v>
      </c>
      <c r="AZ17" s="698">
        <f>SUMIFS('1.DC_Ra soat'!$L:$L,'1.DC_Ra soat'!$F:$F,AZ$4,'1.DC_Ra soat'!$H:$H,'1.BS (VND)'!$D17)-SUMIFS('1.DC_Ra soat'!$L:$L,'1.DC_Ra soat'!$F:$F,AZ$4,'1.DC_Ra soat'!$I:$I,'1.BS (VND)'!$D17)</f>
        <v>0</v>
      </c>
      <c r="BA17" s="698">
        <f>SUMIFS('1.DC_Ra soat'!$L:$L,'1.DC_Ra soat'!$F:$F,BA$4,'1.DC_Ra soat'!$H:$H,'1.BS (VND)'!$D17)-SUMIFS('1.DC_Ra soat'!$L:$L,'1.DC_Ra soat'!$F:$F,BA$4,'1.DC_Ra soat'!$I:$I,'1.BS (VND)'!$D17)</f>
        <v>0</v>
      </c>
      <c r="BB17" s="699"/>
      <c r="BC17" s="698">
        <f>SUMIFS('1.DC_Ra soat'!$L:$L,'1.DC_Ra soat'!$F:$F,'1.PL (VND) '!BI$4,'1.DC_Ra soat'!$H:$H,'1.BS (VND)'!$D17)-SUMIFS('1.DC_Ra soat'!$L:$L,'1.DC_Ra soat'!$F:$F,'1.PL (VND) '!BI$4,'1.DC_Ra soat'!$I:$I,'1.BS (VND)'!$D17)</f>
        <v>0</v>
      </c>
      <c r="BD17" s="698">
        <f>SUMIFS('1.DC_Ra soat'!$L:$L,'1.DC_Ra soat'!$F:$F,'1.PL (VND) '!BJ$4,'1.DC_Ra soat'!$H:$H,'1.BS (VND)'!$D17)-SUMIFS('1.DC_Ra soat'!$L:$L,'1.DC_Ra soat'!$F:$F,'1.PL (VND) '!BJ$4,'1.DC_Ra soat'!$I:$I,'1.BS (VND)'!$D17)</f>
        <v>0</v>
      </c>
      <c r="BE17" s="698">
        <f>SUMIFS('1.DC_Ra soat'!$L:$L,'1.DC_Ra soat'!$F:$F,'1.PL (VND) '!BK$4,'1.DC_Ra soat'!$H:$H,'1.BS (VND)'!$D17)-SUMIFS('1.DC_Ra soat'!$L:$L,'1.DC_Ra soat'!$F:$F,'1.PL (VND) '!BK$4,'1.DC_Ra soat'!$I:$I,'1.BS (VND)'!$D17)</f>
        <v>0</v>
      </c>
      <c r="BF17" s="698">
        <f>SUMIFS('1.DC_Ra soat'!$L:$L,'1.DC_Ra soat'!$F:$F,'1.PL (VND) '!BL$4,'1.DC_Ra soat'!$H:$H,'1.BS (VND)'!$D17)-SUMIFS('1.DC_Ra soat'!$L:$L,'1.DC_Ra soat'!$F:$F,'1.PL (VND) '!BL$4,'1.DC_Ra soat'!$I:$I,'1.BS (VND)'!$D17)</f>
        <v>0</v>
      </c>
      <c r="BG17" s="699"/>
      <c r="BH17" s="698">
        <f>SUMIFS('1.DC_Ra soat'!$L:$L,'1.DC_Ra soat'!$F:$F,'1.PL (VND) '!BO$4,'1.DC_Ra soat'!$H:$H,'1.BS (VND)'!$D17)-SUMIFS('1.DC_Ra soat'!$L:$L,'1.DC_Ra soat'!$F:$F,'1.PL (VND) '!BO$4,'1.DC_Ra soat'!$I:$I,'1.BS (VND)'!$D17)</f>
        <v>0</v>
      </c>
      <c r="BI17" s="698">
        <f>SUMIFS('1.DC_Ra soat'!$L:$L,'1.DC_Ra soat'!$F:$F,'1.PL (VND) '!BP$4,'1.DC_Ra soat'!$H:$H,'1.BS (VND)'!$D17)-SUMIFS('1.DC_Ra soat'!$L:$L,'1.DC_Ra soat'!$F:$F,'1.PL (VND) '!BP$4,'1.DC_Ra soat'!$I:$I,'1.BS (VND)'!$D17)</f>
        <v>0</v>
      </c>
      <c r="BJ17" s="698">
        <f>SUMIFS('1.DC_Ra soat'!$L:$L,'1.DC_Ra soat'!$F:$F,'1.PL (VND) '!BQ$4,'1.DC_Ra soat'!$H:$H,'1.BS (VND)'!$D17)-SUMIFS('1.DC_Ra soat'!$L:$L,'1.DC_Ra soat'!$F:$F,'1.PL (VND) '!BQ$4,'1.DC_Ra soat'!$I:$I,'1.BS (VND)'!$D17)</f>
        <v>0</v>
      </c>
      <c r="BK17" s="698">
        <f>SUMIFS('1.DC_Ra soat'!$L:$L,'1.DC_Ra soat'!$F:$F,'1.PL (VND) '!BR$4,'1.DC_Ra soat'!$H:$H,'1.BS (VND)'!$D17)-SUMIFS('1.DC_Ra soat'!$L:$L,'1.DC_Ra soat'!$F:$F,'1.PL (VND) '!BR$4,'1.DC_Ra soat'!$I:$I,'1.BS (VND)'!$D17)</f>
        <v>0</v>
      </c>
      <c r="BM17" s="698">
        <f t="shared" si="5"/>
        <v>84240636025</v>
      </c>
      <c r="BN17" s="698">
        <f t="shared" si="6"/>
        <v>29286683582</v>
      </c>
      <c r="BO17" s="698">
        <f t="shared" si="7"/>
        <v>29625341610</v>
      </c>
      <c r="BP17" s="697">
        <f t="shared" si="8"/>
        <v>101833460095</v>
      </c>
      <c r="BQ17" s="699"/>
      <c r="BR17" s="698">
        <f t="shared" si="9"/>
        <v>0</v>
      </c>
      <c r="BS17" s="698">
        <f t="shared" si="10"/>
        <v>5268045366</v>
      </c>
      <c r="BT17" s="698">
        <f t="shared" si="11"/>
        <v>11812757297</v>
      </c>
      <c r="BU17" s="698">
        <f t="shared" si="12"/>
        <v>48957714647</v>
      </c>
      <c r="BV17" s="699"/>
      <c r="BW17" s="698">
        <f t="shared" si="13"/>
        <v>36968498262</v>
      </c>
      <c r="BX17" s="698">
        <f t="shared" si="14"/>
        <v>14799733171</v>
      </c>
      <c r="BY17" s="698">
        <f t="shared" si="15"/>
        <v>29280642158</v>
      </c>
      <c r="BZ17" s="697">
        <f t="shared" si="16"/>
        <v>33772674580</v>
      </c>
      <c r="CA17" s="699"/>
      <c r="CB17" s="697">
        <f t="shared" si="17"/>
        <v>17621052183</v>
      </c>
      <c r="CC17" s="697">
        <f t="shared" si="18"/>
        <v>13082433252</v>
      </c>
      <c r="CD17" s="697">
        <f t="shared" si="19"/>
        <v>14491580087</v>
      </c>
      <c r="CE17" s="697">
        <f t="shared" si="20"/>
        <v>33234622688</v>
      </c>
      <c r="CF17" s="699"/>
      <c r="CG17" s="697">
        <f t="shared" si="21"/>
        <v>0</v>
      </c>
      <c r="CH17" s="697">
        <f t="shared" si="22"/>
        <v>0</v>
      </c>
      <c r="CI17" s="697">
        <f t="shared" si="23"/>
        <v>0</v>
      </c>
      <c r="CJ17" s="697">
        <f t="shared" si="24"/>
        <v>0</v>
      </c>
      <c r="CK17" s="699"/>
      <c r="CL17" s="698">
        <f t="shared" si="25"/>
        <v>0</v>
      </c>
      <c r="CM17" s="698">
        <f t="shared" si="26"/>
        <v>0</v>
      </c>
      <c r="CN17" s="698">
        <f t="shared" si="27"/>
        <v>0</v>
      </c>
      <c r="CO17" s="697">
        <f t="shared" si="28"/>
        <v>0</v>
      </c>
      <c r="CQ17" s="698">
        <f>SUMIF('1.PL (VND) '!$BL$6:$CD$6,'1.PL (VND) '!CP$6,$BM17:$CE17)</f>
        <v>138830186470</v>
      </c>
      <c r="CR17" s="698">
        <f>SUMIF('1.PL (VND) '!$BL$6:$CD$6,'1.PL (VND) '!CQ$6,$BM17:$CE17)</f>
        <v>62436895371</v>
      </c>
      <c r="CS17" s="698">
        <f>SUMIF('1.PL (VND) '!$BL$6:$CD$6,'1.PL (VND) '!CR$6,$BM17:$CE17)</f>
        <v>85210321152</v>
      </c>
      <c r="CT17" s="698">
        <f>SUMIF('1.PL (VND) '!$BL$6:$CD$6,'1.PL (VND) '!CS$6,$BM17:$CE17)</f>
        <v>217798472010</v>
      </c>
      <c r="CV17" s="702">
        <f>SUMIFS('1.DC_Ra soat'!$L:$L,'1.DC_Ra soat'!$F:$F,'1.PL (VND) '!DK$4,'1.DC_Ra soat'!$H:$H,'1.BS (VND)'!$D17)-SUMIFS('1.DC_Ra soat'!$L:$L,'1.DC_Ra soat'!$F:$F,'1.PL (VND) '!DK$4,'1.DC_Ra soat'!$I:$I,'1.BS (VND)'!$D17)</f>
        <v>0</v>
      </c>
      <c r="CW17" s="702">
        <f>SUMIFS('1.DC_Ra soat'!$L:$L,'1.DC_Ra soat'!$F:$F,'1.PL (VND) '!DL$4,'1.DC_Ra soat'!$H:$H,'1.BS (VND)'!$D17)-SUMIFS('1.DC_Ra soat'!$L:$L,'1.DC_Ra soat'!$F:$F,'1.PL (VND) '!DL$4,'1.DC_Ra soat'!$I:$I,'1.BS (VND)'!$D17)</f>
        <v>0</v>
      </c>
      <c r="CX17" s="702">
        <f>SUMIFS('1.DC_Ra soat'!$L:$L,'1.DC_Ra soat'!$F:$F,'1.PL (VND) '!DM$4,'1.DC_Ra soat'!$H:$H,'1.BS (VND)'!$D17)-SUMIFS('1.DC_Ra soat'!$L:$L,'1.DC_Ra soat'!$F:$F,'1.PL (VND) '!DM$4,'1.DC_Ra soat'!$I:$I,'1.BS (VND)'!$D17)</f>
        <v>0</v>
      </c>
      <c r="CY17" s="702">
        <f>SUMIFS('1.DC_Ra soat'!$L:$L,'1.DC_Ra soat'!$F:$F,'1.PL (VND) '!DN$4,'1.DC_Ra soat'!$H:$H,'1.BS (VND)'!$D17)-SUMIFS('1.DC_Ra soat'!$L:$L,'1.DC_Ra soat'!$F:$F,'1.PL (VND) '!DN$4,'1.DC_Ra soat'!$I:$I,'1.BS (VND)'!$D17)</f>
        <v>0</v>
      </c>
      <c r="DA17" s="698">
        <f t="shared" si="30"/>
        <v>138830186470</v>
      </c>
      <c r="DB17" s="698">
        <f t="shared" si="31"/>
        <v>62436895371</v>
      </c>
      <c r="DC17" s="698">
        <f t="shared" si="32"/>
        <v>85210321152</v>
      </c>
      <c r="DD17" s="698">
        <f t="shared" si="33"/>
        <v>217798472010</v>
      </c>
      <c r="DH17" s="701"/>
    </row>
    <row r="18" spans="1:112" s="700" customFormat="1" x14ac:dyDescent="0.25">
      <c r="A18" s="248">
        <f t="shared" si="40"/>
        <v>1</v>
      </c>
      <c r="C18" s="703" t="s">
        <v>311</v>
      </c>
      <c r="D18" s="704" t="s">
        <v>312</v>
      </c>
      <c r="E18" s="721">
        <v>12787684560</v>
      </c>
      <c r="F18" s="721">
        <v>2453662967</v>
      </c>
      <c r="G18" s="721">
        <v>4297120409</v>
      </c>
      <c r="H18" s="722">
        <v>51552067613</v>
      </c>
      <c r="I18" s="699"/>
      <c r="J18" s="698"/>
      <c r="K18" s="698">
        <v>1970134106</v>
      </c>
      <c r="L18" s="698"/>
      <c r="M18" s="241">
        <v>550613283</v>
      </c>
      <c r="N18" s="699"/>
      <c r="O18" s="698">
        <v>5626286707</v>
      </c>
      <c r="P18" s="698"/>
      <c r="Q18" s="698"/>
      <c r="R18" s="698"/>
      <c r="S18" s="699"/>
      <c r="T18" s="698">
        <v>1467093698</v>
      </c>
      <c r="U18" s="698">
        <v>117223130</v>
      </c>
      <c r="V18" s="698">
        <v>55644736</v>
      </c>
      <c r="W18" s="698">
        <v>16777440319</v>
      </c>
      <c r="X18" s="699"/>
      <c r="Y18" s="698"/>
      <c r="Z18" s="698"/>
      <c r="AA18" s="698"/>
      <c r="AB18" s="698"/>
      <c r="AC18" s="699"/>
      <c r="AD18" s="698"/>
      <c r="AE18" s="698"/>
      <c r="AF18" s="698"/>
      <c r="AG18" s="698"/>
      <c r="AI18" s="698">
        <f>SUMIFS('1.DC_Ra soat'!$L:$L,'1.DC_Ra soat'!$F:$F,AI$4,'1.DC_Ra soat'!$H:$H,'1.BS (VND)'!$D18)-SUMIFS('1.DC_Ra soat'!$L:$L,'1.DC_Ra soat'!$F:$F,AI$4,'1.DC_Ra soat'!$I:$I,'1.BS (VND)'!$D18)</f>
        <v>0</v>
      </c>
      <c r="AJ18" s="698">
        <f>SUMIFS('1.DC_Ra soat'!$L:$L,'1.DC_Ra soat'!$F:$F,AJ$4,'1.DC_Ra soat'!$H:$H,'1.BS (VND)'!$D18)-SUMIFS('1.DC_Ra soat'!$L:$L,'1.DC_Ra soat'!$F:$F,AJ$4,'1.DC_Ra soat'!$I:$I,'1.BS (VND)'!$D18)</f>
        <v>0</v>
      </c>
      <c r="AK18" s="698">
        <f>SUMIFS('1.DC_Ra soat'!$L:$L,'1.DC_Ra soat'!$F:$F,AK$4,'1.DC_Ra soat'!$H:$H,'1.BS (VND)'!$D18)-SUMIFS('1.DC_Ra soat'!$L:$L,'1.DC_Ra soat'!$F:$F,AK$4,'1.DC_Ra soat'!$I:$I,'1.BS (VND)'!$D18)</f>
        <v>0</v>
      </c>
      <c r="AL18" s="698">
        <f>SUMIFS('1.DC_Ra soat'!$L:$L,'1.DC_Ra soat'!$F:$F,AL$4,'1.DC_Ra soat'!$H:$H,'1.BS (VND)'!$D18)-SUMIFS('1.DC_Ra soat'!$L:$L,'1.DC_Ra soat'!$F:$F,AL$4,'1.DC_Ra soat'!$I:$I,'1.BS (VND)'!$D18)</f>
        <v>0</v>
      </c>
      <c r="AM18" s="699"/>
      <c r="AN18" s="698">
        <f>SUMIFS('1.DC_Ra soat'!$L:$L,'1.DC_Ra soat'!$F:$F,AN$4,'1.DC_Ra soat'!$H:$H,'1.BS (VND)'!$D18)-SUMIFS('1.DC_Ra soat'!$L:$L,'1.DC_Ra soat'!$F:$F,AN$4,'1.DC_Ra soat'!$I:$I,'1.BS (VND)'!$D18)</f>
        <v>0</v>
      </c>
      <c r="AO18" s="698">
        <f>SUMIFS('1.DC_Ra soat'!$L:$L,'1.DC_Ra soat'!$F:$F,AO$4,'1.DC_Ra soat'!$H:$H,'1.BS (VND)'!$D18)-SUMIFS('1.DC_Ra soat'!$L:$L,'1.DC_Ra soat'!$F:$F,AO$4,'1.DC_Ra soat'!$I:$I,'1.BS (VND)'!$D18)</f>
        <v>0</v>
      </c>
      <c r="AP18" s="698">
        <f>SUMIFS('1.DC_Ra soat'!$L:$L,'1.DC_Ra soat'!$F:$F,AP$4,'1.DC_Ra soat'!$H:$H,'1.BS (VND)'!$D18)-SUMIFS('1.DC_Ra soat'!$L:$L,'1.DC_Ra soat'!$F:$F,AP$4,'1.DC_Ra soat'!$I:$I,'1.BS (VND)'!$D18)</f>
        <v>0</v>
      </c>
      <c r="AQ18" s="698">
        <f>SUMIFS('1.DC_Ra soat'!$L:$L,'1.DC_Ra soat'!$F:$F,AQ$4,'1.DC_Ra soat'!$H:$H,'1.BS (VND)'!$D18)-SUMIFS('1.DC_Ra soat'!$L:$L,'1.DC_Ra soat'!$F:$F,AQ$4,'1.DC_Ra soat'!$I:$I,'1.BS (VND)'!$D18)</f>
        <v>0</v>
      </c>
      <c r="AR18" s="699"/>
      <c r="AS18" s="698">
        <f>SUMIFS('1.DC_Ra soat'!$L:$L,'1.DC_Ra soat'!$F:$F,AS$4,'1.DC_Ra soat'!$H:$H,'1.BS (VND)'!$D18)-SUMIFS('1.DC_Ra soat'!$L:$L,'1.DC_Ra soat'!$F:$F,AS$4,'1.DC_Ra soat'!$I:$I,'1.BS (VND)'!$D18)</f>
        <v>0</v>
      </c>
      <c r="AT18" s="698">
        <f>SUMIFS('1.DC_Ra soat'!$L:$L,'1.DC_Ra soat'!$F:$F,AT$4,'1.DC_Ra soat'!$H:$H,'1.BS (VND)'!$D18)-SUMIFS('1.DC_Ra soat'!$L:$L,'1.DC_Ra soat'!$F:$F,AT$4,'1.DC_Ra soat'!$I:$I,'1.BS (VND)'!$D18)</f>
        <v>0</v>
      </c>
      <c r="AU18" s="698">
        <f>SUMIFS('1.DC_Ra soat'!$L:$L,'1.DC_Ra soat'!$F:$F,AU$4,'1.DC_Ra soat'!$H:$H,'1.BS (VND)'!$D18)-SUMIFS('1.DC_Ra soat'!$L:$L,'1.DC_Ra soat'!$F:$F,AU$4,'1.DC_Ra soat'!$I:$I,'1.BS (VND)'!$D18)</f>
        <v>0</v>
      </c>
      <c r="AV18" s="698">
        <f>SUMIFS('1.DC_Ra soat'!$L:$L,'1.DC_Ra soat'!$F:$F,AV$4,'1.DC_Ra soat'!$H:$H,'1.BS (VND)'!$D18)-SUMIFS('1.DC_Ra soat'!$L:$L,'1.DC_Ra soat'!$F:$F,AV$4,'1.DC_Ra soat'!$I:$I,'1.BS (VND)'!$D18)</f>
        <v>0</v>
      </c>
      <c r="AW18" s="699"/>
      <c r="AX18" s="698">
        <f>SUMIFS('1.DC_Ra soat'!$L:$L,'1.DC_Ra soat'!$F:$F,AX$4,'1.DC_Ra soat'!$H:$H,'1.BS (VND)'!$D18)-SUMIFS('1.DC_Ra soat'!$L:$L,'1.DC_Ra soat'!$F:$F,AX$4,'1.DC_Ra soat'!$I:$I,'1.BS (VND)'!$D18)</f>
        <v>0</v>
      </c>
      <c r="AY18" s="698">
        <f>SUMIFS('1.DC_Ra soat'!$L:$L,'1.DC_Ra soat'!$F:$F,AY$4,'1.DC_Ra soat'!$H:$H,'1.BS (VND)'!$D18)-SUMIFS('1.DC_Ra soat'!$L:$L,'1.DC_Ra soat'!$F:$F,AY$4,'1.DC_Ra soat'!$I:$I,'1.BS (VND)'!$D18)</f>
        <v>0</v>
      </c>
      <c r="AZ18" s="698">
        <f>SUMIFS('1.DC_Ra soat'!$L:$L,'1.DC_Ra soat'!$F:$F,AZ$4,'1.DC_Ra soat'!$H:$H,'1.BS (VND)'!$D18)-SUMIFS('1.DC_Ra soat'!$L:$L,'1.DC_Ra soat'!$F:$F,AZ$4,'1.DC_Ra soat'!$I:$I,'1.BS (VND)'!$D18)</f>
        <v>0</v>
      </c>
      <c r="BA18" s="698">
        <f>SUMIFS('1.DC_Ra soat'!$L:$L,'1.DC_Ra soat'!$F:$F,BA$4,'1.DC_Ra soat'!$H:$H,'1.BS (VND)'!$D18)-SUMIFS('1.DC_Ra soat'!$L:$L,'1.DC_Ra soat'!$F:$F,BA$4,'1.DC_Ra soat'!$I:$I,'1.BS (VND)'!$D18)</f>
        <v>0</v>
      </c>
      <c r="BB18" s="699"/>
      <c r="BC18" s="698">
        <f>SUMIFS('1.DC_Ra soat'!$L:$L,'1.DC_Ra soat'!$F:$F,'1.PL (VND) '!BI$4,'1.DC_Ra soat'!$H:$H,'1.BS (VND)'!$D18)-SUMIFS('1.DC_Ra soat'!$L:$L,'1.DC_Ra soat'!$F:$F,'1.PL (VND) '!BI$4,'1.DC_Ra soat'!$I:$I,'1.BS (VND)'!$D18)</f>
        <v>0</v>
      </c>
      <c r="BD18" s="698">
        <f>SUMIFS('1.DC_Ra soat'!$L:$L,'1.DC_Ra soat'!$F:$F,'1.PL (VND) '!BJ$4,'1.DC_Ra soat'!$H:$H,'1.BS (VND)'!$D18)-SUMIFS('1.DC_Ra soat'!$L:$L,'1.DC_Ra soat'!$F:$F,'1.PL (VND) '!BJ$4,'1.DC_Ra soat'!$I:$I,'1.BS (VND)'!$D18)</f>
        <v>0</v>
      </c>
      <c r="BE18" s="698">
        <f>SUMIFS('1.DC_Ra soat'!$L:$L,'1.DC_Ra soat'!$F:$F,'1.PL (VND) '!BK$4,'1.DC_Ra soat'!$H:$H,'1.BS (VND)'!$D18)-SUMIFS('1.DC_Ra soat'!$L:$L,'1.DC_Ra soat'!$F:$F,'1.PL (VND) '!BK$4,'1.DC_Ra soat'!$I:$I,'1.BS (VND)'!$D18)</f>
        <v>0</v>
      </c>
      <c r="BF18" s="698">
        <f>SUMIFS('1.DC_Ra soat'!$L:$L,'1.DC_Ra soat'!$F:$F,'1.PL (VND) '!BL$4,'1.DC_Ra soat'!$H:$H,'1.BS (VND)'!$D18)-SUMIFS('1.DC_Ra soat'!$L:$L,'1.DC_Ra soat'!$F:$F,'1.PL (VND) '!BL$4,'1.DC_Ra soat'!$I:$I,'1.BS (VND)'!$D18)</f>
        <v>0</v>
      </c>
      <c r="BG18" s="699"/>
      <c r="BH18" s="698">
        <f>SUMIFS('1.DC_Ra soat'!$L:$L,'1.DC_Ra soat'!$F:$F,'1.PL (VND) '!BO$4,'1.DC_Ra soat'!$H:$H,'1.BS (VND)'!$D18)-SUMIFS('1.DC_Ra soat'!$L:$L,'1.DC_Ra soat'!$F:$F,'1.PL (VND) '!BO$4,'1.DC_Ra soat'!$I:$I,'1.BS (VND)'!$D18)</f>
        <v>0</v>
      </c>
      <c r="BI18" s="698">
        <f>SUMIFS('1.DC_Ra soat'!$L:$L,'1.DC_Ra soat'!$F:$F,'1.PL (VND) '!BP$4,'1.DC_Ra soat'!$H:$H,'1.BS (VND)'!$D18)-SUMIFS('1.DC_Ra soat'!$L:$L,'1.DC_Ra soat'!$F:$F,'1.PL (VND) '!BP$4,'1.DC_Ra soat'!$I:$I,'1.BS (VND)'!$D18)</f>
        <v>0</v>
      </c>
      <c r="BJ18" s="698">
        <f>SUMIFS('1.DC_Ra soat'!$L:$L,'1.DC_Ra soat'!$F:$F,'1.PL (VND) '!BQ$4,'1.DC_Ra soat'!$H:$H,'1.BS (VND)'!$D18)-SUMIFS('1.DC_Ra soat'!$L:$L,'1.DC_Ra soat'!$F:$F,'1.PL (VND) '!BQ$4,'1.DC_Ra soat'!$I:$I,'1.BS (VND)'!$D18)</f>
        <v>0</v>
      </c>
      <c r="BK18" s="698">
        <f>SUMIFS('1.DC_Ra soat'!$L:$L,'1.DC_Ra soat'!$F:$F,'1.PL (VND) '!BR$4,'1.DC_Ra soat'!$H:$H,'1.BS (VND)'!$D18)-SUMIFS('1.DC_Ra soat'!$L:$L,'1.DC_Ra soat'!$F:$F,'1.PL (VND) '!BR$4,'1.DC_Ra soat'!$I:$I,'1.BS (VND)'!$D18)</f>
        <v>0</v>
      </c>
      <c r="BM18" s="698">
        <f t="shared" si="5"/>
        <v>12787684560</v>
      </c>
      <c r="BN18" s="698">
        <f t="shared" si="6"/>
        <v>2453662967</v>
      </c>
      <c r="BO18" s="698">
        <f t="shared" si="7"/>
        <v>4297120409</v>
      </c>
      <c r="BP18" s="697">
        <f t="shared" si="8"/>
        <v>51552067613</v>
      </c>
      <c r="BQ18" s="699"/>
      <c r="BR18" s="698">
        <f t="shared" si="9"/>
        <v>0</v>
      </c>
      <c r="BS18" s="698">
        <f t="shared" si="10"/>
        <v>1970134106</v>
      </c>
      <c r="BT18" s="698">
        <f t="shared" si="11"/>
        <v>0</v>
      </c>
      <c r="BU18" s="698">
        <f t="shared" si="12"/>
        <v>550613283</v>
      </c>
      <c r="BV18" s="699"/>
      <c r="BW18" s="698">
        <f t="shared" si="13"/>
        <v>5626286707</v>
      </c>
      <c r="BX18" s="698">
        <f t="shared" si="14"/>
        <v>0</v>
      </c>
      <c r="BY18" s="698">
        <f t="shared" si="15"/>
        <v>0</v>
      </c>
      <c r="BZ18" s="697">
        <f t="shared" si="16"/>
        <v>0</v>
      </c>
      <c r="CA18" s="699"/>
      <c r="CB18" s="697">
        <f t="shared" si="17"/>
        <v>1467093698</v>
      </c>
      <c r="CC18" s="697">
        <f t="shared" si="18"/>
        <v>117223130</v>
      </c>
      <c r="CD18" s="697">
        <f t="shared" si="19"/>
        <v>55644736</v>
      </c>
      <c r="CE18" s="697">
        <f t="shared" si="20"/>
        <v>16777440319</v>
      </c>
      <c r="CF18" s="699"/>
      <c r="CG18" s="697">
        <f t="shared" si="21"/>
        <v>0</v>
      </c>
      <c r="CH18" s="697">
        <f t="shared" si="22"/>
        <v>0</v>
      </c>
      <c r="CI18" s="697">
        <f t="shared" si="23"/>
        <v>0</v>
      </c>
      <c r="CJ18" s="697">
        <f t="shared" si="24"/>
        <v>0</v>
      </c>
      <c r="CK18" s="699"/>
      <c r="CL18" s="698">
        <f t="shared" si="25"/>
        <v>0</v>
      </c>
      <c r="CM18" s="698">
        <f t="shared" si="26"/>
        <v>0</v>
      </c>
      <c r="CN18" s="698">
        <f t="shared" si="27"/>
        <v>0</v>
      </c>
      <c r="CO18" s="697">
        <f t="shared" si="28"/>
        <v>0</v>
      </c>
      <c r="CQ18" s="698">
        <f>SUMIF('1.PL (VND) '!$BL$6:$CD$6,'1.PL (VND) '!CP$6,$BM18:$CE18)</f>
        <v>19881064965</v>
      </c>
      <c r="CR18" s="698">
        <f>SUMIF('1.PL (VND) '!$BL$6:$CD$6,'1.PL (VND) '!CQ$6,$BM18:$CE18)</f>
        <v>4541020203</v>
      </c>
      <c r="CS18" s="698">
        <f>SUMIF('1.PL (VND) '!$BL$6:$CD$6,'1.PL (VND) '!CR$6,$BM18:$CE18)</f>
        <v>4352765145</v>
      </c>
      <c r="CT18" s="698">
        <f>SUMIF('1.PL (VND) '!$BL$6:$CD$6,'1.PL (VND) '!CS$6,$BM18:$CE18)</f>
        <v>68880121215</v>
      </c>
      <c r="CV18" s="702">
        <f>SUMIFS('1.DC_Ra soat'!$L:$L,'1.DC_Ra soat'!$F:$F,'1.PL (VND) '!DK$4,'1.DC_Ra soat'!$H:$H,'1.BS (VND)'!$D18)-SUMIFS('1.DC_Ra soat'!$L:$L,'1.DC_Ra soat'!$F:$F,'1.PL (VND) '!DK$4,'1.DC_Ra soat'!$I:$I,'1.BS (VND)'!$D18)</f>
        <v>0</v>
      </c>
      <c r="CW18" s="702">
        <f>SUMIFS('1.DC_Ra soat'!$L:$L,'1.DC_Ra soat'!$F:$F,'1.PL (VND) '!DL$4,'1.DC_Ra soat'!$H:$H,'1.BS (VND)'!$D18)-SUMIFS('1.DC_Ra soat'!$L:$L,'1.DC_Ra soat'!$F:$F,'1.PL (VND) '!DL$4,'1.DC_Ra soat'!$I:$I,'1.BS (VND)'!$D18)</f>
        <v>0</v>
      </c>
      <c r="CX18" s="702">
        <f>SUMIFS('1.DC_Ra soat'!$L:$L,'1.DC_Ra soat'!$F:$F,'1.PL (VND) '!DM$4,'1.DC_Ra soat'!$H:$H,'1.BS (VND)'!$D18)-SUMIFS('1.DC_Ra soat'!$L:$L,'1.DC_Ra soat'!$F:$F,'1.PL (VND) '!DM$4,'1.DC_Ra soat'!$I:$I,'1.BS (VND)'!$D18)</f>
        <v>0</v>
      </c>
      <c r="CY18" s="702">
        <f>SUMIFS('1.DC_Ra soat'!$L:$L,'1.DC_Ra soat'!$F:$F,'1.PL (VND) '!DN$4,'1.DC_Ra soat'!$H:$H,'1.BS (VND)'!$D18)-SUMIFS('1.DC_Ra soat'!$L:$L,'1.DC_Ra soat'!$F:$F,'1.PL (VND) '!DN$4,'1.DC_Ra soat'!$I:$I,'1.BS (VND)'!$D18)</f>
        <v>0</v>
      </c>
      <c r="DA18" s="698">
        <f t="shared" si="30"/>
        <v>19881064965</v>
      </c>
      <c r="DB18" s="698">
        <f t="shared" si="31"/>
        <v>4541020203</v>
      </c>
      <c r="DC18" s="698">
        <f t="shared" si="32"/>
        <v>4352765145</v>
      </c>
      <c r="DD18" s="698">
        <f t="shared" si="33"/>
        <v>68880121215</v>
      </c>
      <c r="DH18" s="701"/>
    </row>
    <row r="19" spans="1:112" s="700" customFormat="1" x14ac:dyDescent="0.25">
      <c r="A19" s="248">
        <f t="shared" si="40"/>
        <v>1</v>
      </c>
      <c r="C19" s="703" t="s">
        <v>313</v>
      </c>
      <c r="D19" s="704" t="s">
        <v>314</v>
      </c>
      <c r="E19" s="721"/>
      <c r="F19" s="721"/>
      <c r="G19" s="721">
        <v>2725233896</v>
      </c>
      <c r="H19" s="722">
        <v>3849398054</v>
      </c>
      <c r="I19" s="699"/>
      <c r="J19" s="698"/>
      <c r="K19" s="698"/>
      <c r="L19" s="698"/>
      <c r="M19" s="241">
        <v>1160340400</v>
      </c>
      <c r="N19" s="699"/>
      <c r="O19" s="698"/>
      <c r="P19" s="698"/>
      <c r="Q19" s="698"/>
      <c r="R19" s="698"/>
      <c r="S19" s="699"/>
      <c r="T19" s="698"/>
      <c r="U19" s="698"/>
      <c r="V19" s="698"/>
      <c r="W19" s="698"/>
      <c r="X19" s="699"/>
      <c r="Y19" s="698"/>
      <c r="Z19" s="698"/>
      <c r="AA19" s="698"/>
      <c r="AB19" s="698"/>
      <c r="AC19" s="699"/>
      <c r="AD19" s="698"/>
      <c r="AE19" s="698"/>
      <c r="AF19" s="698"/>
      <c r="AG19" s="698"/>
      <c r="AI19" s="698">
        <f>SUMIFS('1.DC_Ra soat'!$L:$L,'1.DC_Ra soat'!$F:$F,AI$4,'1.DC_Ra soat'!$H:$H,'1.BS (VND)'!$D19)-SUMIFS('1.DC_Ra soat'!$L:$L,'1.DC_Ra soat'!$F:$F,AI$4,'1.DC_Ra soat'!$I:$I,'1.BS (VND)'!$D19)</f>
        <v>0</v>
      </c>
      <c r="AJ19" s="698">
        <f>SUMIFS('1.DC_Ra soat'!$L:$L,'1.DC_Ra soat'!$F:$F,AJ$4,'1.DC_Ra soat'!$H:$H,'1.BS (VND)'!$D19)-SUMIFS('1.DC_Ra soat'!$L:$L,'1.DC_Ra soat'!$F:$F,AJ$4,'1.DC_Ra soat'!$I:$I,'1.BS (VND)'!$D19)</f>
        <v>0</v>
      </c>
      <c r="AK19" s="698">
        <f>SUMIFS('1.DC_Ra soat'!$L:$L,'1.DC_Ra soat'!$F:$F,AK$4,'1.DC_Ra soat'!$H:$H,'1.BS (VND)'!$D19)-SUMIFS('1.DC_Ra soat'!$L:$L,'1.DC_Ra soat'!$F:$F,AK$4,'1.DC_Ra soat'!$I:$I,'1.BS (VND)'!$D19)</f>
        <v>0</v>
      </c>
      <c r="AL19" s="698">
        <f>SUMIFS('1.DC_Ra soat'!$L:$L,'1.DC_Ra soat'!$F:$F,AL$4,'1.DC_Ra soat'!$H:$H,'1.BS (VND)'!$D19)-SUMIFS('1.DC_Ra soat'!$L:$L,'1.DC_Ra soat'!$F:$F,AL$4,'1.DC_Ra soat'!$I:$I,'1.BS (VND)'!$D19)</f>
        <v>0</v>
      </c>
      <c r="AM19" s="699"/>
      <c r="AN19" s="698">
        <f>SUMIFS('1.DC_Ra soat'!$L:$L,'1.DC_Ra soat'!$F:$F,AN$4,'1.DC_Ra soat'!$H:$H,'1.BS (VND)'!$D19)-SUMIFS('1.DC_Ra soat'!$L:$L,'1.DC_Ra soat'!$F:$F,AN$4,'1.DC_Ra soat'!$I:$I,'1.BS (VND)'!$D19)</f>
        <v>0</v>
      </c>
      <c r="AO19" s="698">
        <f>SUMIFS('1.DC_Ra soat'!$L:$L,'1.DC_Ra soat'!$F:$F,AO$4,'1.DC_Ra soat'!$H:$H,'1.BS (VND)'!$D19)-SUMIFS('1.DC_Ra soat'!$L:$L,'1.DC_Ra soat'!$F:$F,AO$4,'1.DC_Ra soat'!$I:$I,'1.BS (VND)'!$D19)</f>
        <v>0</v>
      </c>
      <c r="AP19" s="698">
        <f>SUMIFS('1.DC_Ra soat'!$L:$L,'1.DC_Ra soat'!$F:$F,AP$4,'1.DC_Ra soat'!$H:$H,'1.BS (VND)'!$D19)-SUMIFS('1.DC_Ra soat'!$L:$L,'1.DC_Ra soat'!$F:$F,AP$4,'1.DC_Ra soat'!$I:$I,'1.BS (VND)'!$D19)</f>
        <v>0</v>
      </c>
      <c r="AQ19" s="698">
        <f>SUMIFS('1.DC_Ra soat'!$L:$L,'1.DC_Ra soat'!$F:$F,AQ$4,'1.DC_Ra soat'!$H:$H,'1.BS (VND)'!$D19)-SUMIFS('1.DC_Ra soat'!$L:$L,'1.DC_Ra soat'!$F:$F,AQ$4,'1.DC_Ra soat'!$I:$I,'1.BS (VND)'!$D19)</f>
        <v>0</v>
      </c>
      <c r="AR19" s="699"/>
      <c r="AS19" s="698">
        <f>SUMIFS('1.DC_Ra soat'!$L:$L,'1.DC_Ra soat'!$F:$F,AS$4,'1.DC_Ra soat'!$H:$H,'1.BS (VND)'!$D19)-SUMIFS('1.DC_Ra soat'!$L:$L,'1.DC_Ra soat'!$F:$F,AS$4,'1.DC_Ra soat'!$I:$I,'1.BS (VND)'!$D19)</f>
        <v>0</v>
      </c>
      <c r="AT19" s="698">
        <f>SUMIFS('1.DC_Ra soat'!$L:$L,'1.DC_Ra soat'!$F:$F,AT$4,'1.DC_Ra soat'!$H:$H,'1.BS (VND)'!$D19)-SUMIFS('1.DC_Ra soat'!$L:$L,'1.DC_Ra soat'!$F:$F,AT$4,'1.DC_Ra soat'!$I:$I,'1.BS (VND)'!$D19)</f>
        <v>0</v>
      </c>
      <c r="AU19" s="698">
        <f>SUMIFS('1.DC_Ra soat'!$L:$L,'1.DC_Ra soat'!$F:$F,AU$4,'1.DC_Ra soat'!$H:$H,'1.BS (VND)'!$D19)-SUMIFS('1.DC_Ra soat'!$L:$L,'1.DC_Ra soat'!$F:$F,AU$4,'1.DC_Ra soat'!$I:$I,'1.BS (VND)'!$D19)</f>
        <v>0</v>
      </c>
      <c r="AV19" s="698">
        <f>SUMIFS('1.DC_Ra soat'!$L:$L,'1.DC_Ra soat'!$F:$F,AV$4,'1.DC_Ra soat'!$H:$H,'1.BS (VND)'!$D19)-SUMIFS('1.DC_Ra soat'!$L:$L,'1.DC_Ra soat'!$F:$F,AV$4,'1.DC_Ra soat'!$I:$I,'1.BS (VND)'!$D19)</f>
        <v>0</v>
      </c>
      <c r="AW19" s="699"/>
      <c r="AX19" s="698">
        <f>SUMIFS('1.DC_Ra soat'!$L:$L,'1.DC_Ra soat'!$F:$F,AX$4,'1.DC_Ra soat'!$H:$H,'1.BS (VND)'!$D19)-SUMIFS('1.DC_Ra soat'!$L:$L,'1.DC_Ra soat'!$F:$F,AX$4,'1.DC_Ra soat'!$I:$I,'1.BS (VND)'!$D19)</f>
        <v>0</v>
      </c>
      <c r="AY19" s="698">
        <f>SUMIFS('1.DC_Ra soat'!$L:$L,'1.DC_Ra soat'!$F:$F,AY$4,'1.DC_Ra soat'!$H:$H,'1.BS (VND)'!$D19)-SUMIFS('1.DC_Ra soat'!$L:$L,'1.DC_Ra soat'!$F:$F,AY$4,'1.DC_Ra soat'!$I:$I,'1.BS (VND)'!$D19)</f>
        <v>0</v>
      </c>
      <c r="AZ19" s="698">
        <f>SUMIFS('1.DC_Ra soat'!$L:$L,'1.DC_Ra soat'!$F:$F,AZ$4,'1.DC_Ra soat'!$H:$H,'1.BS (VND)'!$D19)-SUMIFS('1.DC_Ra soat'!$L:$L,'1.DC_Ra soat'!$F:$F,AZ$4,'1.DC_Ra soat'!$I:$I,'1.BS (VND)'!$D19)</f>
        <v>0</v>
      </c>
      <c r="BA19" s="698">
        <f>SUMIFS('1.DC_Ra soat'!$L:$L,'1.DC_Ra soat'!$F:$F,BA$4,'1.DC_Ra soat'!$H:$H,'1.BS (VND)'!$D19)-SUMIFS('1.DC_Ra soat'!$L:$L,'1.DC_Ra soat'!$F:$F,BA$4,'1.DC_Ra soat'!$I:$I,'1.BS (VND)'!$D19)</f>
        <v>0</v>
      </c>
      <c r="BB19" s="699"/>
      <c r="BC19" s="698">
        <f>SUMIFS('1.DC_Ra soat'!$L:$L,'1.DC_Ra soat'!$F:$F,'1.PL (VND) '!BI$4,'1.DC_Ra soat'!$H:$H,'1.BS (VND)'!$D19)-SUMIFS('1.DC_Ra soat'!$L:$L,'1.DC_Ra soat'!$F:$F,'1.PL (VND) '!BI$4,'1.DC_Ra soat'!$I:$I,'1.BS (VND)'!$D19)</f>
        <v>0</v>
      </c>
      <c r="BD19" s="698">
        <f>SUMIFS('1.DC_Ra soat'!$L:$L,'1.DC_Ra soat'!$F:$F,'1.PL (VND) '!BJ$4,'1.DC_Ra soat'!$H:$H,'1.BS (VND)'!$D19)-SUMIFS('1.DC_Ra soat'!$L:$L,'1.DC_Ra soat'!$F:$F,'1.PL (VND) '!BJ$4,'1.DC_Ra soat'!$I:$I,'1.BS (VND)'!$D19)</f>
        <v>0</v>
      </c>
      <c r="BE19" s="698">
        <f>SUMIFS('1.DC_Ra soat'!$L:$L,'1.DC_Ra soat'!$F:$F,'1.PL (VND) '!BK$4,'1.DC_Ra soat'!$H:$H,'1.BS (VND)'!$D19)-SUMIFS('1.DC_Ra soat'!$L:$L,'1.DC_Ra soat'!$F:$F,'1.PL (VND) '!BK$4,'1.DC_Ra soat'!$I:$I,'1.BS (VND)'!$D19)</f>
        <v>0</v>
      </c>
      <c r="BF19" s="698">
        <f>SUMIFS('1.DC_Ra soat'!$L:$L,'1.DC_Ra soat'!$F:$F,'1.PL (VND) '!BL$4,'1.DC_Ra soat'!$H:$H,'1.BS (VND)'!$D19)-SUMIFS('1.DC_Ra soat'!$L:$L,'1.DC_Ra soat'!$F:$F,'1.PL (VND) '!BL$4,'1.DC_Ra soat'!$I:$I,'1.BS (VND)'!$D19)</f>
        <v>0</v>
      </c>
      <c r="BG19" s="699"/>
      <c r="BH19" s="698">
        <f>SUMIFS('1.DC_Ra soat'!$L:$L,'1.DC_Ra soat'!$F:$F,'1.PL (VND) '!BO$4,'1.DC_Ra soat'!$H:$H,'1.BS (VND)'!$D19)-SUMIFS('1.DC_Ra soat'!$L:$L,'1.DC_Ra soat'!$F:$F,'1.PL (VND) '!BO$4,'1.DC_Ra soat'!$I:$I,'1.BS (VND)'!$D19)</f>
        <v>0</v>
      </c>
      <c r="BI19" s="698">
        <f>SUMIFS('1.DC_Ra soat'!$L:$L,'1.DC_Ra soat'!$F:$F,'1.PL (VND) '!BP$4,'1.DC_Ra soat'!$H:$H,'1.BS (VND)'!$D19)-SUMIFS('1.DC_Ra soat'!$L:$L,'1.DC_Ra soat'!$F:$F,'1.PL (VND) '!BP$4,'1.DC_Ra soat'!$I:$I,'1.BS (VND)'!$D19)</f>
        <v>0</v>
      </c>
      <c r="BJ19" s="698">
        <f>SUMIFS('1.DC_Ra soat'!$L:$L,'1.DC_Ra soat'!$F:$F,'1.PL (VND) '!BQ$4,'1.DC_Ra soat'!$H:$H,'1.BS (VND)'!$D19)-SUMIFS('1.DC_Ra soat'!$L:$L,'1.DC_Ra soat'!$F:$F,'1.PL (VND) '!BQ$4,'1.DC_Ra soat'!$I:$I,'1.BS (VND)'!$D19)</f>
        <v>0</v>
      </c>
      <c r="BK19" s="698">
        <f>SUMIFS('1.DC_Ra soat'!$L:$L,'1.DC_Ra soat'!$F:$F,'1.PL (VND) '!BR$4,'1.DC_Ra soat'!$H:$H,'1.BS (VND)'!$D19)-SUMIFS('1.DC_Ra soat'!$L:$L,'1.DC_Ra soat'!$F:$F,'1.PL (VND) '!BR$4,'1.DC_Ra soat'!$I:$I,'1.BS (VND)'!$D19)</f>
        <v>0</v>
      </c>
      <c r="BM19" s="698">
        <f t="shared" si="5"/>
        <v>0</v>
      </c>
      <c r="BN19" s="698">
        <f t="shared" si="6"/>
        <v>0</v>
      </c>
      <c r="BO19" s="698">
        <f t="shared" si="7"/>
        <v>2725233896</v>
      </c>
      <c r="BP19" s="697">
        <f t="shared" si="8"/>
        <v>3849398054</v>
      </c>
      <c r="BQ19" s="699"/>
      <c r="BR19" s="698">
        <f t="shared" si="9"/>
        <v>0</v>
      </c>
      <c r="BS19" s="698">
        <f t="shared" si="10"/>
        <v>0</v>
      </c>
      <c r="BT19" s="698">
        <f t="shared" si="11"/>
        <v>0</v>
      </c>
      <c r="BU19" s="698">
        <f t="shared" si="12"/>
        <v>1160340400</v>
      </c>
      <c r="BV19" s="699"/>
      <c r="BW19" s="698">
        <f t="shared" si="13"/>
        <v>0</v>
      </c>
      <c r="BX19" s="698">
        <f t="shared" si="14"/>
        <v>0</v>
      </c>
      <c r="BY19" s="698">
        <f t="shared" si="15"/>
        <v>0</v>
      </c>
      <c r="BZ19" s="697">
        <f t="shared" si="16"/>
        <v>0</v>
      </c>
      <c r="CA19" s="699"/>
      <c r="CB19" s="697">
        <f t="shared" si="17"/>
        <v>0</v>
      </c>
      <c r="CC19" s="697">
        <f t="shared" si="18"/>
        <v>0</v>
      </c>
      <c r="CD19" s="697">
        <f t="shared" si="19"/>
        <v>0</v>
      </c>
      <c r="CE19" s="697">
        <f t="shared" si="20"/>
        <v>0</v>
      </c>
      <c r="CF19" s="699"/>
      <c r="CG19" s="697">
        <f t="shared" si="21"/>
        <v>0</v>
      </c>
      <c r="CH19" s="697">
        <f t="shared" si="22"/>
        <v>0</v>
      </c>
      <c r="CI19" s="697">
        <f t="shared" si="23"/>
        <v>0</v>
      </c>
      <c r="CJ19" s="697">
        <f t="shared" si="24"/>
        <v>0</v>
      </c>
      <c r="CK19" s="699"/>
      <c r="CL19" s="698">
        <f t="shared" si="25"/>
        <v>0</v>
      </c>
      <c r="CM19" s="698">
        <f t="shared" si="26"/>
        <v>0</v>
      </c>
      <c r="CN19" s="698">
        <f t="shared" si="27"/>
        <v>0</v>
      </c>
      <c r="CO19" s="697">
        <f t="shared" si="28"/>
        <v>0</v>
      </c>
      <c r="CQ19" s="698">
        <f>SUMIF('1.PL (VND) '!$BL$6:$CD$6,'1.PL (VND) '!CP$6,$BM19:$CE19)</f>
        <v>0</v>
      </c>
      <c r="CR19" s="698">
        <f>SUMIF('1.PL (VND) '!$BL$6:$CD$6,'1.PL (VND) '!CQ$6,$BM19:$CE19)</f>
        <v>0</v>
      </c>
      <c r="CS19" s="698">
        <f>SUMIF('1.PL (VND) '!$BL$6:$CD$6,'1.PL (VND) '!CR$6,$BM19:$CE19)</f>
        <v>2725233896</v>
      </c>
      <c r="CT19" s="698">
        <f>SUMIF('1.PL (VND) '!$BL$6:$CD$6,'1.PL (VND) '!CS$6,$BM19:$CE19)</f>
        <v>5009738454</v>
      </c>
      <c r="CV19" s="702">
        <f>SUMIFS('1.DC_Ra soat'!$L:$L,'1.DC_Ra soat'!$F:$F,'1.PL (VND) '!DK$4,'1.DC_Ra soat'!$H:$H,'1.BS (VND)'!$D19)-SUMIFS('1.DC_Ra soat'!$L:$L,'1.DC_Ra soat'!$F:$F,'1.PL (VND) '!DK$4,'1.DC_Ra soat'!$I:$I,'1.BS (VND)'!$D19)</f>
        <v>0</v>
      </c>
      <c r="CW19" s="702">
        <f>SUMIFS('1.DC_Ra soat'!$L:$L,'1.DC_Ra soat'!$F:$F,'1.PL (VND) '!DL$4,'1.DC_Ra soat'!$H:$H,'1.BS (VND)'!$D19)-SUMIFS('1.DC_Ra soat'!$L:$L,'1.DC_Ra soat'!$F:$F,'1.PL (VND) '!DL$4,'1.DC_Ra soat'!$I:$I,'1.BS (VND)'!$D19)</f>
        <v>0</v>
      </c>
      <c r="CX19" s="702">
        <f>SUMIFS('1.DC_Ra soat'!$L:$L,'1.DC_Ra soat'!$F:$F,'1.PL (VND) '!DM$4,'1.DC_Ra soat'!$H:$H,'1.BS (VND)'!$D19)-SUMIFS('1.DC_Ra soat'!$L:$L,'1.DC_Ra soat'!$F:$F,'1.PL (VND) '!DM$4,'1.DC_Ra soat'!$I:$I,'1.BS (VND)'!$D19)</f>
        <v>0</v>
      </c>
      <c r="CY19" s="702">
        <f>SUMIFS('1.DC_Ra soat'!$L:$L,'1.DC_Ra soat'!$F:$F,'1.PL (VND) '!DN$4,'1.DC_Ra soat'!$H:$H,'1.BS (VND)'!$D19)-SUMIFS('1.DC_Ra soat'!$L:$L,'1.DC_Ra soat'!$F:$F,'1.PL (VND) '!DN$4,'1.DC_Ra soat'!$I:$I,'1.BS (VND)'!$D19)</f>
        <v>0</v>
      </c>
      <c r="DA19" s="698">
        <f t="shared" si="30"/>
        <v>0</v>
      </c>
      <c r="DB19" s="698">
        <f t="shared" si="31"/>
        <v>0</v>
      </c>
      <c r="DC19" s="698">
        <f t="shared" si="32"/>
        <v>2725233896</v>
      </c>
      <c r="DD19" s="698">
        <f t="shared" si="33"/>
        <v>5009738454</v>
      </c>
    </row>
    <row r="20" spans="1:112" s="700" customFormat="1" x14ac:dyDescent="0.25">
      <c r="A20" s="248" t="str">
        <f t="shared" si="40"/>
        <v>hide</v>
      </c>
      <c r="C20" s="703" t="s">
        <v>315</v>
      </c>
      <c r="D20" s="704" t="s">
        <v>316</v>
      </c>
      <c r="E20" s="721"/>
      <c r="F20" s="721"/>
      <c r="G20" s="721"/>
      <c r="H20" s="722"/>
      <c r="I20" s="699"/>
      <c r="J20" s="698"/>
      <c r="K20" s="698"/>
      <c r="L20" s="698"/>
      <c r="M20" s="241">
        <v>0</v>
      </c>
      <c r="N20" s="699"/>
      <c r="O20" s="698"/>
      <c r="P20" s="698"/>
      <c r="Q20" s="698"/>
      <c r="R20" s="698"/>
      <c r="S20" s="699"/>
      <c r="T20" s="698"/>
      <c r="U20" s="698"/>
      <c r="V20" s="698"/>
      <c r="W20" s="698"/>
      <c r="X20" s="699"/>
      <c r="Y20" s="698"/>
      <c r="Z20" s="698"/>
      <c r="AA20" s="698"/>
      <c r="AB20" s="698"/>
      <c r="AC20" s="699"/>
      <c r="AD20" s="698"/>
      <c r="AE20" s="698"/>
      <c r="AF20" s="698"/>
      <c r="AG20" s="698"/>
      <c r="AI20" s="698">
        <f>SUMIFS('1.DC_Ra soat'!$L:$L,'1.DC_Ra soat'!$F:$F,AI$4,'1.DC_Ra soat'!$H:$H,'1.BS (VND)'!$D20)-SUMIFS('1.DC_Ra soat'!$L:$L,'1.DC_Ra soat'!$F:$F,AI$4,'1.DC_Ra soat'!$I:$I,'1.BS (VND)'!$D20)</f>
        <v>0</v>
      </c>
      <c r="AJ20" s="698">
        <f>SUMIFS('1.DC_Ra soat'!$L:$L,'1.DC_Ra soat'!$F:$F,AJ$4,'1.DC_Ra soat'!$H:$H,'1.BS (VND)'!$D20)-SUMIFS('1.DC_Ra soat'!$L:$L,'1.DC_Ra soat'!$F:$F,AJ$4,'1.DC_Ra soat'!$I:$I,'1.BS (VND)'!$D20)</f>
        <v>0</v>
      </c>
      <c r="AK20" s="698">
        <f>SUMIFS('1.DC_Ra soat'!$L:$L,'1.DC_Ra soat'!$F:$F,AK$4,'1.DC_Ra soat'!$H:$H,'1.BS (VND)'!$D20)-SUMIFS('1.DC_Ra soat'!$L:$L,'1.DC_Ra soat'!$F:$F,AK$4,'1.DC_Ra soat'!$I:$I,'1.BS (VND)'!$D20)</f>
        <v>0</v>
      </c>
      <c r="AL20" s="698">
        <f>SUMIFS('1.DC_Ra soat'!$L:$L,'1.DC_Ra soat'!$F:$F,AL$4,'1.DC_Ra soat'!$H:$H,'1.BS (VND)'!$D20)-SUMIFS('1.DC_Ra soat'!$L:$L,'1.DC_Ra soat'!$F:$F,AL$4,'1.DC_Ra soat'!$I:$I,'1.BS (VND)'!$D20)</f>
        <v>0</v>
      </c>
      <c r="AM20" s="699"/>
      <c r="AN20" s="698">
        <f>SUMIFS('1.DC_Ra soat'!$L:$L,'1.DC_Ra soat'!$F:$F,AN$4,'1.DC_Ra soat'!$H:$H,'1.BS (VND)'!$D20)-SUMIFS('1.DC_Ra soat'!$L:$L,'1.DC_Ra soat'!$F:$F,AN$4,'1.DC_Ra soat'!$I:$I,'1.BS (VND)'!$D20)</f>
        <v>0</v>
      </c>
      <c r="AO20" s="698">
        <f>SUMIFS('1.DC_Ra soat'!$L:$L,'1.DC_Ra soat'!$F:$F,AO$4,'1.DC_Ra soat'!$H:$H,'1.BS (VND)'!$D20)-SUMIFS('1.DC_Ra soat'!$L:$L,'1.DC_Ra soat'!$F:$F,AO$4,'1.DC_Ra soat'!$I:$I,'1.BS (VND)'!$D20)</f>
        <v>0</v>
      </c>
      <c r="AP20" s="698">
        <f>SUMIFS('1.DC_Ra soat'!$L:$L,'1.DC_Ra soat'!$F:$F,AP$4,'1.DC_Ra soat'!$H:$H,'1.BS (VND)'!$D20)-SUMIFS('1.DC_Ra soat'!$L:$L,'1.DC_Ra soat'!$F:$F,AP$4,'1.DC_Ra soat'!$I:$I,'1.BS (VND)'!$D20)</f>
        <v>0</v>
      </c>
      <c r="AQ20" s="698">
        <f>SUMIFS('1.DC_Ra soat'!$L:$L,'1.DC_Ra soat'!$F:$F,AQ$4,'1.DC_Ra soat'!$H:$H,'1.BS (VND)'!$D20)-SUMIFS('1.DC_Ra soat'!$L:$L,'1.DC_Ra soat'!$F:$F,AQ$4,'1.DC_Ra soat'!$I:$I,'1.BS (VND)'!$D20)</f>
        <v>0</v>
      </c>
      <c r="AR20" s="699"/>
      <c r="AS20" s="698">
        <f>SUMIFS('1.DC_Ra soat'!$L:$L,'1.DC_Ra soat'!$F:$F,AS$4,'1.DC_Ra soat'!$H:$H,'1.BS (VND)'!$D20)-SUMIFS('1.DC_Ra soat'!$L:$L,'1.DC_Ra soat'!$F:$F,AS$4,'1.DC_Ra soat'!$I:$I,'1.BS (VND)'!$D20)</f>
        <v>0</v>
      </c>
      <c r="AT20" s="698">
        <f>SUMIFS('1.DC_Ra soat'!$L:$L,'1.DC_Ra soat'!$F:$F,AT$4,'1.DC_Ra soat'!$H:$H,'1.BS (VND)'!$D20)-SUMIFS('1.DC_Ra soat'!$L:$L,'1.DC_Ra soat'!$F:$F,AT$4,'1.DC_Ra soat'!$I:$I,'1.BS (VND)'!$D20)</f>
        <v>0</v>
      </c>
      <c r="AU20" s="698">
        <f>SUMIFS('1.DC_Ra soat'!$L:$L,'1.DC_Ra soat'!$F:$F,AU$4,'1.DC_Ra soat'!$H:$H,'1.BS (VND)'!$D20)-SUMIFS('1.DC_Ra soat'!$L:$L,'1.DC_Ra soat'!$F:$F,AU$4,'1.DC_Ra soat'!$I:$I,'1.BS (VND)'!$D20)</f>
        <v>0</v>
      </c>
      <c r="AV20" s="698">
        <f>SUMIFS('1.DC_Ra soat'!$L:$L,'1.DC_Ra soat'!$F:$F,AV$4,'1.DC_Ra soat'!$H:$H,'1.BS (VND)'!$D20)-SUMIFS('1.DC_Ra soat'!$L:$L,'1.DC_Ra soat'!$F:$F,AV$4,'1.DC_Ra soat'!$I:$I,'1.BS (VND)'!$D20)</f>
        <v>0</v>
      </c>
      <c r="AW20" s="699"/>
      <c r="AX20" s="698">
        <f>SUMIFS('1.DC_Ra soat'!$L:$L,'1.DC_Ra soat'!$F:$F,AX$4,'1.DC_Ra soat'!$H:$H,'1.BS (VND)'!$D20)-SUMIFS('1.DC_Ra soat'!$L:$L,'1.DC_Ra soat'!$F:$F,AX$4,'1.DC_Ra soat'!$I:$I,'1.BS (VND)'!$D20)</f>
        <v>0</v>
      </c>
      <c r="AY20" s="698">
        <f>SUMIFS('1.DC_Ra soat'!$L:$L,'1.DC_Ra soat'!$F:$F,AY$4,'1.DC_Ra soat'!$H:$H,'1.BS (VND)'!$D20)-SUMIFS('1.DC_Ra soat'!$L:$L,'1.DC_Ra soat'!$F:$F,AY$4,'1.DC_Ra soat'!$I:$I,'1.BS (VND)'!$D20)</f>
        <v>0</v>
      </c>
      <c r="AZ20" s="698">
        <f>SUMIFS('1.DC_Ra soat'!$L:$L,'1.DC_Ra soat'!$F:$F,AZ$4,'1.DC_Ra soat'!$H:$H,'1.BS (VND)'!$D20)-SUMIFS('1.DC_Ra soat'!$L:$L,'1.DC_Ra soat'!$F:$F,AZ$4,'1.DC_Ra soat'!$I:$I,'1.BS (VND)'!$D20)</f>
        <v>0</v>
      </c>
      <c r="BA20" s="698">
        <f>SUMIFS('1.DC_Ra soat'!$L:$L,'1.DC_Ra soat'!$F:$F,BA$4,'1.DC_Ra soat'!$H:$H,'1.BS (VND)'!$D20)-SUMIFS('1.DC_Ra soat'!$L:$L,'1.DC_Ra soat'!$F:$F,BA$4,'1.DC_Ra soat'!$I:$I,'1.BS (VND)'!$D20)</f>
        <v>0</v>
      </c>
      <c r="BB20" s="699"/>
      <c r="BC20" s="698">
        <f>SUMIFS('1.DC_Ra soat'!$L:$L,'1.DC_Ra soat'!$F:$F,'1.PL (VND) '!BI$4,'1.DC_Ra soat'!$H:$H,'1.BS (VND)'!$D20)-SUMIFS('1.DC_Ra soat'!$L:$L,'1.DC_Ra soat'!$F:$F,'1.PL (VND) '!BI$4,'1.DC_Ra soat'!$I:$I,'1.BS (VND)'!$D20)</f>
        <v>0</v>
      </c>
      <c r="BD20" s="698">
        <f>SUMIFS('1.DC_Ra soat'!$L:$L,'1.DC_Ra soat'!$F:$F,'1.PL (VND) '!BJ$4,'1.DC_Ra soat'!$H:$H,'1.BS (VND)'!$D20)-SUMIFS('1.DC_Ra soat'!$L:$L,'1.DC_Ra soat'!$F:$F,'1.PL (VND) '!BJ$4,'1.DC_Ra soat'!$I:$I,'1.BS (VND)'!$D20)</f>
        <v>0</v>
      </c>
      <c r="BE20" s="698">
        <f>SUMIFS('1.DC_Ra soat'!$L:$L,'1.DC_Ra soat'!$F:$F,'1.PL (VND) '!BK$4,'1.DC_Ra soat'!$H:$H,'1.BS (VND)'!$D20)-SUMIFS('1.DC_Ra soat'!$L:$L,'1.DC_Ra soat'!$F:$F,'1.PL (VND) '!BK$4,'1.DC_Ra soat'!$I:$I,'1.BS (VND)'!$D20)</f>
        <v>0</v>
      </c>
      <c r="BF20" s="698">
        <f>SUMIFS('1.DC_Ra soat'!$L:$L,'1.DC_Ra soat'!$F:$F,'1.PL (VND) '!BL$4,'1.DC_Ra soat'!$H:$H,'1.BS (VND)'!$D20)-SUMIFS('1.DC_Ra soat'!$L:$L,'1.DC_Ra soat'!$F:$F,'1.PL (VND) '!BL$4,'1.DC_Ra soat'!$I:$I,'1.BS (VND)'!$D20)</f>
        <v>0</v>
      </c>
      <c r="BG20" s="699"/>
      <c r="BH20" s="698">
        <f>SUMIFS('1.DC_Ra soat'!$L:$L,'1.DC_Ra soat'!$F:$F,'1.PL (VND) '!BO$4,'1.DC_Ra soat'!$H:$H,'1.BS (VND)'!$D20)-SUMIFS('1.DC_Ra soat'!$L:$L,'1.DC_Ra soat'!$F:$F,'1.PL (VND) '!BO$4,'1.DC_Ra soat'!$I:$I,'1.BS (VND)'!$D20)</f>
        <v>0</v>
      </c>
      <c r="BI20" s="698">
        <f>SUMIFS('1.DC_Ra soat'!$L:$L,'1.DC_Ra soat'!$F:$F,'1.PL (VND) '!BP$4,'1.DC_Ra soat'!$H:$H,'1.BS (VND)'!$D20)-SUMIFS('1.DC_Ra soat'!$L:$L,'1.DC_Ra soat'!$F:$F,'1.PL (VND) '!BP$4,'1.DC_Ra soat'!$I:$I,'1.BS (VND)'!$D20)</f>
        <v>0</v>
      </c>
      <c r="BJ20" s="698">
        <f>SUMIFS('1.DC_Ra soat'!$L:$L,'1.DC_Ra soat'!$F:$F,'1.PL (VND) '!BQ$4,'1.DC_Ra soat'!$H:$H,'1.BS (VND)'!$D20)-SUMIFS('1.DC_Ra soat'!$L:$L,'1.DC_Ra soat'!$F:$F,'1.PL (VND) '!BQ$4,'1.DC_Ra soat'!$I:$I,'1.BS (VND)'!$D20)</f>
        <v>0</v>
      </c>
      <c r="BK20" s="698">
        <f>SUMIFS('1.DC_Ra soat'!$L:$L,'1.DC_Ra soat'!$F:$F,'1.PL (VND) '!BR$4,'1.DC_Ra soat'!$H:$H,'1.BS (VND)'!$D20)-SUMIFS('1.DC_Ra soat'!$L:$L,'1.DC_Ra soat'!$F:$F,'1.PL (VND) '!BR$4,'1.DC_Ra soat'!$I:$I,'1.BS (VND)'!$D20)</f>
        <v>0</v>
      </c>
      <c r="BM20" s="698">
        <f t="shared" si="5"/>
        <v>0</v>
      </c>
      <c r="BN20" s="698">
        <f t="shared" si="6"/>
        <v>0</v>
      </c>
      <c r="BO20" s="698">
        <f t="shared" si="7"/>
        <v>0</v>
      </c>
      <c r="BP20" s="697">
        <f t="shared" si="8"/>
        <v>0</v>
      </c>
      <c r="BQ20" s="699"/>
      <c r="BR20" s="698">
        <f t="shared" si="9"/>
        <v>0</v>
      </c>
      <c r="BS20" s="698">
        <f t="shared" si="10"/>
        <v>0</v>
      </c>
      <c r="BT20" s="698">
        <f t="shared" si="11"/>
        <v>0</v>
      </c>
      <c r="BU20" s="698">
        <f t="shared" si="12"/>
        <v>0</v>
      </c>
      <c r="BV20" s="699"/>
      <c r="BW20" s="698">
        <f t="shared" si="13"/>
        <v>0</v>
      </c>
      <c r="BX20" s="698">
        <f t="shared" si="14"/>
        <v>0</v>
      </c>
      <c r="BY20" s="698">
        <f t="shared" si="15"/>
        <v>0</v>
      </c>
      <c r="BZ20" s="697">
        <f t="shared" si="16"/>
        <v>0</v>
      </c>
      <c r="CA20" s="699"/>
      <c r="CB20" s="697">
        <f t="shared" si="17"/>
        <v>0</v>
      </c>
      <c r="CC20" s="697">
        <f t="shared" si="18"/>
        <v>0</v>
      </c>
      <c r="CD20" s="697">
        <f t="shared" si="19"/>
        <v>0</v>
      </c>
      <c r="CE20" s="697">
        <f t="shared" si="20"/>
        <v>0</v>
      </c>
      <c r="CF20" s="699"/>
      <c r="CG20" s="697">
        <f t="shared" si="21"/>
        <v>0</v>
      </c>
      <c r="CH20" s="697">
        <f t="shared" si="22"/>
        <v>0</v>
      </c>
      <c r="CI20" s="697">
        <f t="shared" si="23"/>
        <v>0</v>
      </c>
      <c r="CJ20" s="697">
        <f t="shared" si="24"/>
        <v>0</v>
      </c>
      <c r="CK20" s="699"/>
      <c r="CL20" s="698">
        <f t="shared" si="25"/>
        <v>0</v>
      </c>
      <c r="CM20" s="698">
        <f t="shared" si="26"/>
        <v>0</v>
      </c>
      <c r="CN20" s="698">
        <f t="shared" si="27"/>
        <v>0</v>
      </c>
      <c r="CO20" s="697">
        <f t="shared" si="28"/>
        <v>0</v>
      </c>
      <c r="CQ20" s="698">
        <f>SUMIF('1.PL (VND) '!$BL$6:$CD$6,'1.PL (VND) '!CP$6,$BM20:$CE20)</f>
        <v>0</v>
      </c>
      <c r="CR20" s="698">
        <f>SUMIF('1.PL (VND) '!$BL$6:$CD$6,'1.PL (VND) '!CQ$6,$BM20:$CE20)</f>
        <v>0</v>
      </c>
      <c r="CS20" s="698">
        <f>SUMIF('1.PL (VND) '!$BL$6:$CD$6,'1.PL (VND) '!CR$6,$BM20:$CE20)</f>
        <v>0</v>
      </c>
      <c r="CT20" s="698">
        <f>SUMIF('1.PL (VND) '!$BL$6:$CD$6,'1.PL (VND) '!CS$6,$BM20:$CE20)</f>
        <v>0</v>
      </c>
      <c r="CV20" s="702">
        <f>SUMIFS('1.DC_Ra soat'!$L:$L,'1.DC_Ra soat'!$F:$F,'1.PL (VND) '!DK$4,'1.DC_Ra soat'!$H:$H,'1.BS (VND)'!$D20)-SUMIFS('1.DC_Ra soat'!$L:$L,'1.DC_Ra soat'!$F:$F,'1.PL (VND) '!DK$4,'1.DC_Ra soat'!$I:$I,'1.BS (VND)'!$D20)</f>
        <v>0</v>
      </c>
      <c r="CW20" s="702">
        <f>SUMIFS('1.DC_Ra soat'!$L:$L,'1.DC_Ra soat'!$F:$F,'1.PL (VND) '!DL$4,'1.DC_Ra soat'!$H:$H,'1.BS (VND)'!$D20)-SUMIFS('1.DC_Ra soat'!$L:$L,'1.DC_Ra soat'!$F:$F,'1.PL (VND) '!DL$4,'1.DC_Ra soat'!$I:$I,'1.BS (VND)'!$D20)</f>
        <v>0</v>
      </c>
      <c r="CX20" s="702">
        <f>SUMIFS('1.DC_Ra soat'!$L:$L,'1.DC_Ra soat'!$F:$F,'1.PL (VND) '!DM$4,'1.DC_Ra soat'!$H:$H,'1.BS (VND)'!$D20)-SUMIFS('1.DC_Ra soat'!$L:$L,'1.DC_Ra soat'!$F:$F,'1.PL (VND) '!DM$4,'1.DC_Ra soat'!$I:$I,'1.BS (VND)'!$D20)</f>
        <v>0</v>
      </c>
      <c r="CY20" s="702">
        <f>SUMIFS('1.DC_Ra soat'!$L:$L,'1.DC_Ra soat'!$F:$F,'1.PL (VND) '!DN$4,'1.DC_Ra soat'!$H:$H,'1.BS (VND)'!$D20)-SUMIFS('1.DC_Ra soat'!$L:$L,'1.DC_Ra soat'!$F:$F,'1.PL (VND) '!DN$4,'1.DC_Ra soat'!$I:$I,'1.BS (VND)'!$D20)</f>
        <v>0</v>
      </c>
      <c r="DA20" s="698">
        <f t="shared" si="30"/>
        <v>0</v>
      </c>
      <c r="DB20" s="698">
        <f t="shared" si="31"/>
        <v>0</v>
      </c>
      <c r="DC20" s="698">
        <f t="shared" si="32"/>
        <v>0</v>
      </c>
      <c r="DD20" s="698">
        <f t="shared" si="33"/>
        <v>0</v>
      </c>
    </row>
    <row r="21" spans="1:112" s="700" customFormat="1" x14ac:dyDescent="0.25">
      <c r="A21" s="248" t="str">
        <f t="shared" si="40"/>
        <v>hide</v>
      </c>
      <c r="C21" s="703" t="s">
        <v>317</v>
      </c>
      <c r="D21" s="704" t="s">
        <v>318</v>
      </c>
      <c r="E21" s="721"/>
      <c r="F21" s="721"/>
      <c r="G21" s="721"/>
      <c r="H21" s="722"/>
      <c r="I21" s="699"/>
      <c r="J21" s="698"/>
      <c r="K21" s="698"/>
      <c r="L21" s="698"/>
      <c r="M21" s="241">
        <v>0</v>
      </c>
      <c r="N21" s="699"/>
      <c r="O21" s="698"/>
      <c r="P21" s="698"/>
      <c r="Q21" s="698"/>
      <c r="R21" s="698"/>
      <c r="S21" s="699"/>
      <c r="T21" s="698"/>
      <c r="U21" s="698"/>
      <c r="V21" s="698"/>
      <c r="W21" s="698"/>
      <c r="X21" s="699"/>
      <c r="Y21" s="698"/>
      <c r="Z21" s="698"/>
      <c r="AA21" s="698"/>
      <c r="AB21" s="698"/>
      <c r="AC21" s="699"/>
      <c r="AD21" s="698"/>
      <c r="AE21" s="698"/>
      <c r="AF21" s="698"/>
      <c r="AG21" s="698"/>
      <c r="AI21" s="698">
        <f>SUMIFS('1.DC_Ra soat'!$L:$L,'1.DC_Ra soat'!$F:$F,AI$4,'1.DC_Ra soat'!$H:$H,'1.BS (VND)'!$D21)-SUMIFS('1.DC_Ra soat'!$L:$L,'1.DC_Ra soat'!$F:$F,AI$4,'1.DC_Ra soat'!$I:$I,'1.BS (VND)'!$D21)</f>
        <v>0</v>
      </c>
      <c r="AJ21" s="698">
        <f>SUMIFS('1.DC_Ra soat'!$L:$L,'1.DC_Ra soat'!$F:$F,AJ$4,'1.DC_Ra soat'!$H:$H,'1.BS (VND)'!$D21)-SUMIFS('1.DC_Ra soat'!$L:$L,'1.DC_Ra soat'!$F:$F,AJ$4,'1.DC_Ra soat'!$I:$I,'1.BS (VND)'!$D21)</f>
        <v>0</v>
      </c>
      <c r="AK21" s="698">
        <f>SUMIFS('1.DC_Ra soat'!$L:$L,'1.DC_Ra soat'!$F:$F,AK$4,'1.DC_Ra soat'!$H:$H,'1.BS (VND)'!$D21)-SUMIFS('1.DC_Ra soat'!$L:$L,'1.DC_Ra soat'!$F:$F,AK$4,'1.DC_Ra soat'!$I:$I,'1.BS (VND)'!$D21)</f>
        <v>0</v>
      </c>
      <c r="AL21" s="698">
        <f>SUMIFS('1.DC_Ra soat'!$L:$L,'1.DC_Ra soat'!$F:$F,AL$4,'1.DC_Ra soat'!$H:$H,'1.BS (VND)'!$D21)-SUMIFS('1.DC_Ra soat'!$L:$L,'1.DC_Ra soat'!$F:$F,AL$4,'1.DC_Ra soat'!$I:$I,'1.BS (VND)'!$D21)</f>
        <v>0</v>
      </c>
      <c r="AM21" s="699"/>
      <c r="AN21" s="698">
        <f>SUMIFS('1.DC_Ra soat'!$L:$L,'1.DC_Ra soat'!$F:$F,AN$4,'1.DC_Ra soat'!$H:$H,'1.BS (VND)'!$D21)-SUMIFS('1.DC_Ra soat'!$L:$L,'1.DC_Ra soat'!$F:$F,AN$4,'1.DC_Ra soat'!$I:$I,'1.BS (VND)'!$D21)</f>
        <v>0</v>
      </c>
      <c r="AO21" s="698">
        <f>SUMIFS('1.DC_Ra soat'!$L:$L,'1.DC_Ra soat'!$F:$F,AO$4,'1.DC_Ra soat'!$H:$H,'1.BS (VND)'!$D21)-SUMIFS('1.DC_Ra soat'!$L:$L,'1.DC_Ra soat'!$F:$F,AO$4,'1.DC_Ra soat'!$I:$I,'1.BS (VND)'!$D21)</f>
        <v>0</v>
      </c>
      <c r="AP21" s="698">
        <f>SUMIFS('1.DC_Ra soat'!$L:$L,'1.DC_Ra soat'!$F:$F,AP$4,'1.DC_Ra soat'!$H:$H,'1.BS (VND)'!$D21)-SUMIFS('1.DC_Ra soat'!$L:$L,'1.DC_Ra soat'!$F:$F,AP$4,'1.DC_Ra soat'!$I:$I,'1.BS (VND)'!$D21)</f>
        <v>0</v>
      </c>
      <c r="AQ21" s="698">
        <f>SUMIFS('1.DC_Ra soat'!$L:$L,'1.DC_Ra soat'!$F:$F,AQ$4,'1.DC_Ra soat'!$H:$H,'1.BS (VND)'!$D21)-SUMIFS('1.DC_Ra soat'!$L:$L,'1.DC_Ra soat'!$F:$F,AQ$4,'1.DC_Ra soat'!$I:$I,'1.BS (VND)'!$D21)</f>
        <v>0</v>
      </c>
      <c r="AR21" s="699"/>
      <c r="AS21" s="698">
        <f>SUMIFS('1.DC_Ra soat'!$L:$L,'1.DC_Ra soat'!$F:$F,AS$4,'1.DC_Ra soat'!$H:$H,'1.BS (VND)'!$D21)-SUMIFS('1.DC_Ra soat'!$L:$L,'1.DC_Ra soat'!$F:$F,AS$4,'1.DC_Ra soat'!$I:$I,'1.BS (VND)'!$D21)</f>
        <v>0</v>
      </c>
      <c r="AT21" s="698">
        <f>SUMIFS('1.DC_Ra soat'!$L:$L,'1.DC_Ra soat'!$F:$F,AT$4,'1.DC_Ra soat'!$H:$H,'1.BS (VND)'!$D21)-SUMIFS('1.DC_Ra soat'!$L:$L,'1.DC_Ra soat'!$F:$F,AT$4,'1.DC_Ra soat'!$I:$I,'1.BS (VND)'!$D21)</f>
        <v>0</v>
      </c>
      <c r="AU21" s="698">
        <f>SUMIFS('1.DC_Ra soat'!$L:$L,'1.DC_Ra soat'!$F:$F,AU$4,'1.DC_Ra soat'!$H:$H,'1.BS (VND)'!$D21)-SUMIFS('1.DC_Ra soat'!$L:$L,'1.DC_Ra soat'!$F:$F,AU$4,'1.DC_Ra soat'!$I:$I,'1.BS (VND)'!$D21)</f>
        <v>0</v>
      </c>
      <c r="AV21" s="698">
        <f>SUMIFS('1.DC_Ra soat'!$L:$L,'1.DC_Ra soat'!$F:$F,AV$4,'1.DC_Ra soat'!$H:$H,'1.BS (VND)'!$D21)-SUMIFS('1.DC_Ra soat'!$L:$L,'1.DC_Ra soat'!$F:$F,AV$4,'1.DC_Ra soat'!$I:$I,'1.BS (VND)'!$D21)</f>
        <v>0</v>
      </c>
      <c r="AW21" s="699"/>
      <c r="AX21" s="698">
        <f>SUMIFS('1.DC_Ra soat'!$L:$L,'1.DC_Ra soat'!$F:$F,AX$4,'1.DC_Ra soat'!$H:$H,'1.BS (VND)'!$D21)-SUMIFS('1.DC_Ra soat'!$L:$L,'1.DC_Ra soat'!$F:$F,AX$4,'1.DC_Ra soat'!$I:$I,'1.BS (VND)'!$D21)</f>
        <v>0</v>
      </c>
      <c r="AY21" s="698">
        <f>SUMIFS('1.DC_Ra soat'!$L:$L,'1.DC_Ra soat'!$F:$F,AY$4,'1.DC_Ra soat'!$H:$H,'1.BS (VND)'!$D21)-SUMIFS('1.DC_Ra soat'!$L:$L,'1.DC_Ra soat'!$F:$F,AY$4,'1.DC_Ra soat'!$I:$I,'1.BS (VND)'!$D21)</f>
        <v>0</v>
      </c>
      <c r="AZ21" s="698">
        <f>SUMIFS('1.DC_Ra soat'!$L:$L,'1.DC_Ra soat'!$F:$F,AZ$4,'1.DC_Ra soat'!$H:$H,'1.BS (VND)'!$D21)-SUMIFS('1.DC_Ra soat'!$L:$L,'1.DC_Ra soat'!$F:$F,AZ$4,'1.DC_Ra soat'!$I:$I,'1.BS (VND)'!$D21)</f>
        <v>0</v>
      </c>
      <c r="BA21" s="698">
        <f>SUMIFS('1.DC_Ra soat'!$L:$L,'1.DC_Ra soat'!$F:$F,BA$4,'1.DC_Ra soat'!$H:$H,'1.BS (VND)'!$D21)-SUMIFS('1.DC_Ra soat'!$L:$L,'1.DC_Ra soat'!$F:$F,BA$4,'1.DC_Ra soat'!$I:$I,'1.BS (VND)'!$D21)</f>
        <v>0</v>
      </c>
      <c r="BB21" s="699"/>
      <c r="BC21" s="698">
        <f>SUMIFS('1.DC_Ra soat'!$L:$L,'1.DC_Ra soat'!$F:$F,'1.PL (VND) '!BI$4,'1.DC_Ra soat'!$H:$H,'1.BS (VND)'!$D21)-SUMIFS('1.DC_Ra soat'!$L:$L,'1.DC_Ra soat'!$F:$F,'1.PL (VND) '!BI$4,'1.DC_Ra soat'!$I:$I,'1.BS (VND)'!$D21)</f>
        <v>0</v>
      </c>
      <c r="BD21" s="698">
        <f>SUMIFS('1.DC_Ra soat'!$L:$L,'1.DC_Ra soat'!$F:$F,'1.PL (VND) '!BJ$4,'1.DC_Ra soat'!$H:$H,'1.BS (VND)'!$D21)-SUMIFS('1.DC_Ra soat'!$L:$L,'1.DC_Ra soat'!$F:$F,'1.PL (VND) '!BJ$4,'1.DC_Ra soat'!$I:$I,'1.BS (VND)'!$D21)</f>
        <v>0</v>
      </c>
      <c r="BE21" s="698">
        <f>SUMIFS('1.DC_Ra soat'!$L:$L,'1.DC_Ra soat'!$F:$F,'1.PL (VND) '!BK$4,'1.DC_Ra soat'!$H:$H,'1.BS (VND)'!$D21)-SUMIFS('1.DC_Ra soat'!$L:$L,'1.DC_Ra soat'!$F:$F,'1.PL (VND) '!BK$4,'1.DC_Ra soat'!$I:$I,'1.BS (VND)'!$D21)</f>
        <v>0</v>
      </c>
      <c r="BF21" s="698">
        <f>SUMIFS('1.DC_Ra soat'!$L:$L,'1.DC_Ra soat'!$F:$F,'1.PL (VND) '!BL$4,'1.DC_Ra soat'!$H:$H,'1.BS (VND)'!$D21)-SUMIFS('1.DC_Ra soat'!$L:$L,'1.DC_Ra soat'!$F:$F,'1.PL (VND) '!BL$4,'1.DC_Ra soat'!$I:$I,'1.BS (VND)'!$D21)</f>
        <v>0</v>
      </c>
      <c r="BG21" s="699"/>
      <c r="BH21" s="698">
        <f>SUMIFS('1.DC_Ra soat'!$L:$L,'1.DC_Ra soat'!$F:$F,'1.PL (VND) '!BO$4,'1.DC_Ra soat'!$H:$H,'1.BS (VND)'!$D21)-SUMIFS('1.DC_Ra soat'!$L:$L,'1.DC_Ra soat'!$F:$F,'1.PL (VND) '!BO$4,'1.DC_Ra soat'!$I:$I,'1.BS (VND)'!$D21)</f>
        <v>0</v>
      </c>
      <c r="BI21" s="698">
        <f>SUMIFS('1.DC_Ra soat'!$L:$L,'1.DC_Ra soat'!$F:$F,'1.PL (VND) '!BP$4,'1.DC_Ra soat'!$H:$H,'1.BS (VND)'!$D21)-SUMIFS('1.DC_Ra soat'!$L:$L,'1.DC_Ra soat'!$F:$F,'1.PL (VND) '!BP$4,'1.DC_Ra soat'!$I:$I,'1.BS (VND)'!$D21)</f>
        <v>0</v>
      </c>
      <c r="BJ21" s="698">
        <f>SUMIFS('1.DC_Ra soat'!$L:$L,'1.DC_Ra soat'!$F:$F,'1.PL (VND) '!BQ$4,'1.DC_Ra soat'!$H:$H,'1.BS (VND)'!$D21)-SUMIFS('1.DC_Ra soat'!$L:$L,'1.DC_Ra soat'!$F:$F,'1.PL (VND) '!BQ$4,'1.DC_Ra soat'!$I:$I,'1.BS (VND)'!$D21)</f>
        <v>0</v>
      </c>
      <c r="BK21" s="698">
        <f>SUMIFS('1.DC_Ra soat'!$L:$L,'1.DC_Ra soat'!$F:$F,'1.PL (VND) '!BR$4,'1.DC_Ra soat'!$H:$H,'1.BS (VND)'!$D21)-SUMIFS('1.DC_Ra soat'!$L:$L,'1.DC_Ra soat'!$F:$F,'1.PL (VND) '!BR$4,'1.DC_Ra soat'!$I:$I,'1.BS (VND)'!$D21)</f>
        <v>0</v>
      </c>
      <c r="BM21" s="698">
        <f t="shared" si="5"/>
        <v>0</v>
      </c>
      <c r="BN21" s="698">
        <f t="shared" si="6"/>
        <v>0</v>
      </c>
      <c r="BO21" s="698">
        <f t="shared" si="7"/>
        <v>0</v>
      </c>
      <c r="BP21" s="697">
        <f t="shared" si="8"/>
        <v>0</v>
      </c>
      <c r="BQ21" s="699"/>
      <c r="BR21" s="698">
        <f t="shared" si="9"/>
        <v>0</v>
      </c>
      <c r="BS21" s="698">
        <f t="shared" si="10"/>
        <v>0</v>
      </c>
      <c r="BT21" s="698">
        <f t="shared" si="11"/>
        <v>0</v>
      </c>
      <c r="BU21" s="698">
        <f t="shared" si="12"/>
        <v>0</v>
      </c>
      <c r="BV21" s="699"/>
      <c r="BW21" s="698">
        <f t="shared" si="13"/>
        <v>0</v>
      </c>
      <c r="BX21" s="698">
        <f t="shared" si="14"/>
        <v>0</v>
      </c>
      <c r="BY21" s="698">
        <f t="shared" si="15"/>
        <v>0</v>
      </c>
      <c r="BZ21" s="697">
        <f t="shared" si="16"/>
        <v>0</v>
      </c>
      <c r="CA21" s="699"/>
      <c r="CB21" s="697">
        <f t="shared" si="17"/>
        <v>0</v>
      </c>
      <c r="CC21" s="697">
        <f t="shared" si="18"/>
        <v>0</v>
      </c>
      <c r="CD21" s="697">
        <f t="shared" si="19"/>
        <v>0</v>
      </c>
      <c r="CE21" s="697">
        <f t="shared" si="20"/>
        <v>0</v>
      </c>
      <c r="CF21" s="699"/>
      <c r="CG21" s="697">
        <f t="shared" si="21"/>
        <v>0</v>
      </c>
      <c r="CH21" s="697">
        <f t="shared" si="22"/>
        <v>0</v>
      </c>
      <c r="CI21" s="697">
        <f t="shared" si="23"/>
        <v>0</v>
      </c>
      <c r="CJ21" s="697">
        <f t="shared" si="24"/>
        <v>0</v>
      </c>
      <c r="CK21" s="699"/>
      <c r="CL21" s="698">
        <f t="shared" si="25"/>
        <v>0</v>
      </c>
      <c r="CM21" s="698">
        <f t="shared" si="26"/>
        <v>0</v>
      </c>
      <c r="CN21" s="698">
        <f t="shared" si="27"/>
        <v>0</v>
      </c>
      <c r="CO21" s="697">
        <f t="shared" si="28"/>
        <v>0</v>
      </c>
      <c r="CQ21" s="698">
        <f>SUMIF('1.PL (VND) '!$BL$6:$CD$6,'1.PL (VND) '!CP$6,$BM21:$CE21)</f>
        <v>0</v>
      </c>
      <c r="CR21" s="698">
        <f>SUMIF('1.PL (VND) '!$BL$6:$CD$6,'1.PL (VND) '!CQ$6,$BM21:$CE21)</f>
        <v>0</v>
      </c>
      <c r="CS21" s="698">
        <f>SUMIF('1.PL (VND) '!$BL$6:$CD$6,'1.PL (VND) '!CR$6,$BM21:$CE21)</f>
        <v>0</v>
      </c>
      <c r="CT21" s="698">
        <f>SUMIF('1.PL (VND) '!$BL$6:$CD$6,'1.PL (VND) '!CS$6,$BM21:$CE21)</f>
        <v>0</v>
      </c>
      <c r="CV21" s="702">
        <f>SUMIFS('1.DC_Ra soat'!$L:$L,'1.DC_Ra soat'!$F:$F,'1.PL (VND) '!DK$4,'1.DC_Ra soat'!$H:$H,'1.BS (VND)'!$D21)-SUMIFS('1.DC_Ra soat'!$L:$L,'1.DC_Ra soat'!$F:$F,'1.PL (VND) '!DK$4,'1.DC_Ra soat'!$I:$I,'1.BS (VND)'!$D21)</f>
        <v>0</v>
      </c>
      <c r="CW21" s="702">
        <f>SUMIFS('1.DC_Ra soat'!$L:$L,'1.DC_Ra soat'!$F:$F,'1.PL (VND) '!DL$4,'1.DC_Ra soat'!$H:$H,'1.BS (VND)'!$D21)-SUMIFS('1.DC_Ra soat'!$L:$L,'1.DC_Ra soat'!$F:$F,'1.PL (VND) '!DL$4,'1.DC_Ra soat'!$I:$I,'1.BS (VND)'!$D21)</f>
        <v>0</v>
      </c>
      <c r="CX21" s="702">
        <f>SUMIFS('1.DC_Ra soat'!$L:$L,'1.DC_Ra soat'!$F:$F,'1.PL (VND) '!DM$4,'1.DC_Ra soat'!$H:$H,'1.BS (VND)'!$D21)-SUMIFS('1.DC_Ra soat'!$L:$L,'1.DC_Ra soat'!$F:$F,'1.PL (VND) '!DM$4,'1.DC_Ra soat'!$I:$I,'1.BS (VND)'!$D21)</f>
        <v>0</v>
      </c>
      <c r="CY21" s="702">
        <f>SUMIFS('1.DC_Ra soat'!$L:$L,'1.DC_Ra soat'!$F:$F,'1.PL (VND) '!DN$4,'1.DC_Ra soat'!$H:$H,'1.BS (VND)'!$D21)-SUMIFS('1.DC_Ra soat'!$L:$L,'1.DC_Ra soat'!$F:$F,'1.PL (VND) '!DN$4,'1.DC_Ra soat'!$I:$I,'1.BS (VND)'!$D21)</f>
        <v>0</v>
      </c>
      <c r="DA21" s="698">
        <f t="shared" si="30"/>
        <v>0</v>
      </c>
      <c r="DB21" s="698">
        <f t="shared" si="31"/>
        <v>0</v>
      </c>
      <c r="DC21" s="698">
        <f t="shared" si="32"/>
        <v>0</v>
      </c>
      <c r="DD21" s="698">
        <f t="shared" si="33"/>
        <v>0</v>
      </c>
    </row>
    <row r="22" spans="1:112" s="700" customFormat="1" x14ac:dyDescent="0.25">
      <c r="A22" s="248">
        <f t="shared" si="40"/>
        <v>1</v>
      </c>
      <c r="C22" s="703" t="s">
        <v>319</v>
      </c>
      <c r="D22" s="704" t="s">
        <v>320</v>
      </c>
      <c r="E22" s="721">
        <v>470443356</v>
      </c>
      <c r="F22" s="721">
        <v>2095097647</v>
      </c>
      <c r="G22" s="721"/>
      <c r="H22" s="722"/>
      <c r="I22" s="699"/>
      <c r="J22" s="698">
        <v>280000</v>
      </c>
      <c r="K22" s="698">
        <v>603424000</v>
      </c>
      <c r="L22" s="698">
        <v>1190696827</v>
      </c>
      <c r="M22" s="241"/>
      <c r="N22" s="699"/>
      <c r="O22" s="698"/>
      <c r="P22" s="698">
        <v>181819430</v>
      </c>
      <c r="Q22" s="698">
        <v>1005988</v>
      </c>
      <c r="R22" s="698">
        <v>9383</v>
      </c>
      <c r="S22" s="699"/>
      <c r="T22" s="698"/>
      <c r="U22" s="698">
        <v>774693</v>
      </c>
      <c r="V22" s="698">
        <v>774693</v>
      </c>
      <c r="W22" s="698">
        <v>864693</v>
      </c>
      <c r="X22" s="699"/>
      <c r="Y22" s="698"/>
      <c r="Z22" s="698"/>
      <c r="AA22" s="698"/>
      <c r="AB22" s="698"/>
      <c r="AC22" s="699"/>
      <c r="AD22" s="698"/>
      <c r="AE22" s="698"/>
      <c r="AF22" s="698"/>
      <c r="AG22" s="698"/>
      <c r="AI22" s="698">
        <f>SUMIFS('1.DC_Ra soat'!$L:$L,'1.DC_Ra soat'!$F:$F,AI$4,'1.DC_Ra soat'!$H:$H,'1.BS (VND)'!$D22)-SUMIFS('1.DC_Ra soat'!$L:$L,'1.DC_Ra soat'!$F:$F,AI$4,'1.DC_Ra soat'!$I:$I,'1.BS (VND)'!$D22)</f>
        <v>0</v>
      </c>
      <c r="AJ22" s="698">
        <f>SUMIFS('1.DC_Ra soat'!$L:$L,'1.DC_Ra soat'!$F:$F,AJ$4,'1.DC_Ra soat'!$H:$H,'1.BS (VND)'!$D22)-SUMIFS('1.DC_Ra soat'!$L:$L,'1.DC_Ra soat'!$F:$F,AJ$4,'1.DC_Ra soat'!$I:$I,'1.BS (VND)'!$D22)</f>
        <v>0</v>
      </c>
      <c r="AK22" s="698">
        <f>SUMIFS('1.DC_Ra soat'!$L:$L,'1.DC_Ra soat'!$F:$F,AK$4,'1.DC_Ra soat'!$H:$H,'1.BS (VND)'!$D22)-SUMIFS('1.DC_Ra soat'!$L:$L,'1.DC_Ra soat'!$F:$F,AK$4,'1.DC_Ra soat'!$I:$I,'1.BS (VND)'!$D22)</f>
        <v>0</v>
      </c>
      <c r="AL22" s="698">
        <f>SUMIFS('1.DC_Ra soat'!$L:$L,'1.DC_Ra soat'!$F:$F,AL$4,'1.DC_Ra soat'!$H:$H,'1.BS (VND)'!$D22)-SUMIFS('1.DC_Ra soat'!$L:$L,'1.DC_Ra soat'!$F:$F,AL$4,'1.DC_Ra soat'!$I:$I,'1.BS (VND)'!$D22)</f>
        <v>0</v>
      </c>
      <c r="AM22" s="699"/>
      <c r="AN22" s="698">
        <f>SUMIFS('1.DC_Ra soat'!$L:$L,'1.DC_Ra soat'!$F:$F,AN$4,'1.DC_Ra soat'!$H:$H,'1.BS (VND)'!$D22)-SUMIFS('1.DC_Ra soat'!$L:$L,'1.DC_Ra soat'!$F:$F,AN$4,'1.DC_Ra soat'!$I:$I,'1.BS (VND)'!$D22)</f>
        <v>0</v>
      </c>
      <c r="AO22" s="698">
        <f>SUMIFS('1.DC_Ra soat'!$L:$L,'1.DC_Ra soat'!$F:$F,AO$4,'1.DC_Ra soat'!$H:$H,'1.BS (VND)'!$D22)-SUMIFS('1.DC_Ra soat'!$L:$L,'1.DC_Ra soat'!$F:$F,AO$4,'1.DC_Ra soat'!$I:$I,'1.BS (VND)'!$D22)</f>
        <v>0</v>
      </c>
      <c r="AP22" s="698">
        <f>SUMIFS('1.DC_Ra soat'!$L:$L,'1.DC_Ra soat'!$F:$F,AP$4,'1.DC_Ra soat'!$H:$H,'1.BS (VND)'!$D22)-SUMIFS('1.DC_Ra soat'!$L:$L,'1.DC_Ra soat'!$F:$F,AP$4,'1.DC_Ra soat'!$I:$I,'1.BS (VND)'!$D22)</f>
        <v>0</v>
      </c>
      <c r="AQ22" s="698">
        <f>SUMIFS('1.DC_Ra soat'!$L:$L,'1.DC_Ra soat'!$F:$F,AQ$4,'1.DC_Ra soat'!$H:$H,'1.BS (VND)'!$D22)-SUMIFS('1.DC_Ra soat'!$L:$L,'1.DC_Ra soat'!$F:$F,AQ$4,'1.DC_Ra soat'!$I:$I,'1.BS (VND)'!$D22)</f>
        <v>0</v>
      </c>
      <c r="AR22" s="699"/>
      <c r="AS22" s="698">
        <f>SUMIFS('1.DC_Ra soat'!$L:$L,'1.DC_Ra soat'!$F:$F,AS$4,'1.DC_Ra soat'!$H:$H,'1.BS (VND)'!$D22)-SUMIFS('1.DC_Ra soat'!$L:$L,'1.DC_Ra soat'!$F:$F,AS$4,'1.DC_Ra soat'!$I:$I,'1.BS (VND)'!$D22)</f>
        <v>0</v>
      </c>
      <c r="AT22" s="698">
        <f>SUMIFS('1.DC_Ra soat'!$L:$L,'1.DC_Ra soat'!$F:$F,AT$4,'1.DC_Ra soat'!$H:$H,'1.BS (VND)'!$D22)-SUMIFS('1.DC_Ra soat'!$L:$L,'1.DC_Ra soat'!$F:$F,AT$4,'1.DC_Ra soat'!$I:$I,'1.BS (VND)'!$D22)</f>
        <v>0</v>
      </c>
      <c r="AU22" s="698">
        <f>SUMIFS('1.DC_Ra soat'!$L:$L,'1.DC_Ra soat'!$F:$F,AU$4,'1.DC_Ra soat'!$H:$H,'1.BS (VND)'!$D22)-SUMIFS('1.DC_Ra soat'!$L:$L,'1.DC_Ra soat'!$F:$F,AU$4,'1.DC_Ra soat'!$I:$I,'1.BS (VND)'!$D22)</f>
        <v>0</v>
      </c>
      <c r="AV22" s="698">
        <f>SUMIFS('1.DC_Ra soat'!$L:$L,'1.DC_Ra soat'!$F:$F,AV$4,'1.DC_Ra soat'!$H:$H,'1.BS (VND)'!$D22)-SUMIFS('1.DC_Ra soat'!$L:$L,'1.DC_Ra soat'!$F:$F,AV$4,'1.DC_Ra soat'!$I:$I,'1.BS (VND)'!$D22)</f>
        <v>0</v>
      </c>
      <c r="AW22" s="699"/>
      <c r="AX22" s="698">
        <f>SUMIFS('1.DC_Ra soat'!$L:$L,'1.DC_Ra soat'!$F:$F,AX$4,'1.DC_Ra soat'!$H:$H,'1.BS (VND)'!$D22)-SUMIFS('1.DC_Ra soat'!$L:$L,'1.DC_Ra soat'!$F:$F,AX$4,'1.DC_Ra soat'!$I:$I,'1.BS (VND)'!$D22)</f>
        <v>0</v>
      </c>
      <c r="AY22" s="698">
        <f>SUMIFS('1.DC_Ra soat'!$L:$L,'1.DC_Ra soat'!$F:$F,AY$4,'1.DC_Ra soat'!$H:$H,'1.BS (VND)'!$D22)-SUMIFS('1.DC_Ra soat'!$L:$L,'1.DC_Ra soat'!$F:$F,AY$4,'1.DC_Ra soat'!$I:$I,'1.BS (VND)'!$D22)</f>
        <v>0</v>
      </c>
      <c r="AZ22" s="698">
        <f>SUMIFS('1.DC_Ra soat'!$L:$L,'1.DC_Ra soat'!$F:$F,AZ$4,'1.DC_Ra soat'!$H:$H,'1.BS (VND)'!$D22)-SUMIFS('1.DC_Ra soat'!$L:$L,'1.DC_Ra soat'!$F:$F,AZ$4,'1.DC_Ra soat'!$I:$I,'1.BS (VND)'!$D22)</f>
        <v>0</v>
      </c>
      <c r="BA22" s="698">
        <f>SUMIFS('1.DC_Ra soat'!$L:$L,'1.DC_Ra soat'!$F:$F,BA$4,'1.DC_Ra soat'!$H:$H,'1.BS (VND)'!$D22)-SUMIFS('1.DC_Ra soat'!$L:$L,'1.DC_Ra soat'!$F:$F,BA$4,'1.DC_Ra soat'!$I:$I,'1.BS (VND)'!$D22)</f>
        <v>0</v>
      </c>
      <c r="BB22" s="699"/>
      <c r="BC22" s="698">
        <f>SUMIFS('1.DC_Ra soat'!$L:$L,'1.DC_Ra soat'!$F:$F,'1.PL (VND) '!BI$4,'1.DC_Ra soat'!$H:$H,'1.BS (VND)'!$D22)-SUMIFS('1.DC_Ra soat'!$L:$L,'1.DC_Ra soat'!$F:$F,'1.PL (VND) '!BI$4,'1.DC_Ra soat'!$I:$I,'1.BS (VND)'!$D22)</f>
        <v>0</v>
      </c>
      <c r="BD22" s="698">
        <f>SUMIFS('1.DC_Ra soat'!$L:$L,'1.DC_Ra soat'!$F:$F,'1.PL (VND) '!BJ$4,'1.DC_Ra soat'!$H:$H,'1.BS (VND)'!$D22)-SUMIFS('1.DC_Ra soat'!$L:$L,'1.DC_Ra soat'!$F:$F,'1.PL (VND) '!BJ$4,'1.DC_Ra soat'!$I:$I,'1.BS (VND)'!$D22)</f>
        <v>0</v>
      </c>
      <c r="BE22" s="698">
        <f>SUMIFS('1.DC_Ra soat'!$L:$L,'1.DC_Ra soat'!$F:$F,'1.PL (VND) '!BK$4,'1.DC_Ra soat'!$H:$H,'1.BS (VND)'!$D22)-SUMIFS('1.DC_Ra soat'!$L:$L,'1.DC_Ra soat'!$F:$F,'1.PL (VND) '!BK$4,'1.DC_Ra soat'!$I:$I,'1.BS (VND)'!$D22)</f>
        <v>0</v>
      </c>
      <c r="BF22" s="698">
        <f>SUMIFS('1.DC_Ra soat'!$L:$L,'1.DC_Ra soat'!$F:$F,'1.PL (VND) '!BL$4,'1.DC_Ra soat'!$H:$H,'1.BS (VND)'!$D22)-SUMIFS('1.DC_Ra soat'!$L:$L,'1.DC_Ra soat'!$F:$F,'1.PL (VND) '!BL$4,'1.DC_Ra soat'!$I:$I,'1.BS (VND)'!$D22)</f>
        <v>0</v>
      </c>
      <c r="BG22" s="699"/>
      <c r="BH22" s="698">
        <f>SUMIFS('1.DC_Ra soat'!$L:$L,'1.DC_Ra soat'!$F:$F,'1.PL (VND) '!BO$4,'1.DC_Ra soat'!$H:$H,'1.BS (VND)'!$D22)-SUMIFS('1.DC_Ra soat'!$L:$L,'1.DC_Ra soat'!$F:$F,'1.PL (VND) '!BO$4,'1.DC_Ra soat'!$I:$I,'1.BS (VND)'!$D22)</f>
        <v>0</v>
      </c>
      <c r="BI22" s="698">
        <f>SUMIFS('1.DC_Ra soat'!$L:$L,'1.DC_Ra soat'!$F:$F,'1.PL (VND) '!BP$4,'1.DC_Ra soat'!$H:$H,'1.BS (VND)'!$D22)-SUMIFS('1.DC_Ra soat'!$L:$L,'1.DC_Ra soat'!$F:$F,'1.PL (VND) '!BP$4,'1.DC_Ra soat'!$I:$I,'1.BS (VND)'!$D22)</f>
        <v>0</v>
      </c>
      <c r="BJ22" s="698">
        <f>SUMIFS('1.DC_Ra soat'!$L:$L,'1.DC_Ra soat'!$F:$F,'1.PL (VND) '!BQ$4,'1.DC_Ra soat'!$H:$H,'1.BS (VND)'!$D22)-SUMIFS('1.DC_Ra soat'!$L:$L,'1.DC_Ra soat'!$F:$F,'1.PL (VND) '!BQ$4,'1.DC_Ra soat'!$I:$I,'1.BS (VND)'!$D22)</f>
        <v>0</v>
      </c>
      <c r="BK22" s="698">
        <f>SUMIFS('1.DC_Ra soat'!$L:$L,'1.DC_Ra soat'!$F:$F,'1.PL (VND) '!BR$4,'1.DC_Ra soat'!$H:$H,'1.BS (VND)'!$D22)-SUMIFS('1.DC_Ra soat'!$L:$L,'1.DC_Ra soat'!$F:$F,'1.PL (VND) '!BR$4,'1.DC_Ra soat'!$I:$I,'1.BS (VND)'!$D22)</f>
        <v>0</v>
      </c>
      <c r="BM22" s="698">
        <f t="shared" si="5"/>
        <v>470443356</v>
      </c>
      <c r="BN22" s="698">
        <f t="shared" si="6"/>
        <v>2095097647</v>
      </c>
      <c r="BO22" s="698">
        <f t="shared" si="7"/>
        <v>0</v>
      </c>
      <c r="BP22" s="697">
        <f t="shared" si="8"/>
        <v>0</v>
      </c>
      <c r="BQ22" s="699"/>
      <c r="BR22" s="698">
        <f t="shared" si="9"/>
        <v>280000</v>
      </c>
      <c r="BS22" s="698">
        <f t="shared" si="10"/>
        <v>603424000</v>
      </c>
      <c r="BT22" s="698">
        <f t="shared" si="11"/>
        <v>1190696827</v>
      </c>
      <c r="BU22" s="698">
        <f t="shared" si="12"/>
        <v>0</v>
      </c>
      <c r="BV22" s="699"/>
      <c r="BW22" s="698">
        <f t="shared" si="13"/>
        <v>0</v>
      </c>
      <c r="BX22" s="698">
        <f t="shared" si="14"/>
        <v>181819430</v>
      </c>
      <c r="BY22" s="698">
        <f t="shared" si="15"/>
        <v>1005988</v>
      </c>
      <c r="BZ22" s="697">
        <f t="shared" si="16"/>
        <v>9383</v>
      </c>
      <c r="CA22" s="699"/>
      <c r="CB22" s="697">
        <f t="shared" si="17"/>
        <v>0</v>
      </c>
      <c r="CC22" s="697">
        <f t="shared" si="18"/>
        <v>774693</v>
      </c>
      <c r="CD22" s="697">
        <f t="shared" si="19"/>
        <v>774693</v>
      </c>
      <c r="CE22" s="697">
        <f t="shared" si="20"/>
        <v>864693</v>
      </c>
      <c r="CF22" s="699"/>
      <c r="CG22" s="697">
        <f t="shared" si="21"/>
        <v>0</v>
      </c>
      <c r="CH22" s="697">
        <f t="shared" si="22"/>
        <v>0</v>
      </c>
      <c r="CI22" s="697">
        <f t="shared" si="23"/>
        <v>0</v>
      </c>
      <c r="CJ22" s="697">
        <f t="shared" si="24"/>
        <v>0</v>
      </c>
      <c r="CK22" s="699"/>
      <c r="CL22" s="698">
        <f t="shared" si="25"/>
        <v>0</v>
      </c>
      <c r="CM22" s="698">
        <f t="shared" si="26"/>
        <v>0</v>
      </c>
      <c r="CN22" s="698">
        <f t="shared" si="27"/>
        <v>0</v>
      </c>
      <c r="CO22" s="697">
        <f t="shared" si="28"/>
        <v>0</v>
      </c>
      <c r="CQ22" s="698">
        <f>SUMIF('1.PL (VND) '!$BL$6:$CD$6,'1.PL (VND) '!CP$6,$BM22:$CE22)</f>
        <v>470723356</v>
      </c>
      <c r="CR22" s="698">
        <f>SUMIF('1.PL (VND) '!$BL$6:$CD$6,'1.PL (VND) '!CQ$6,$BM22:$CE22)</f>
        <v>2881115770</v>
      </c>
      <c r="CS22" s="698">
        <f>SUMIF('1.PL (VND) '!$BL$6:$CD$6,'1.PL (VND) '!CR$6,$BM22:$CE22)</f>
        <v>1192477508</v>
      </c>
      <c r="CT22" s="698">
        <f>SUMIF('1.PL (VND) '!$BL$6:$CD$6,'1.PL (VND) '!CS$6,$BM22:$CE22)</f>
        <v>874076</v>
      </c>
      <c r="CV22" s="702">
        <f>SUMIFS('1.DC_Ra soat'!$L:$L,'1.DC_Ra soat'!$F:$F,'1.PL (VND) '!DK$4,'1.DC_Ra soat'!$H:$H,'1.BS (VND)'!$D22)-SUMIFS('1.DC_Ra soat'!$L:$L,'1.DC_Ra soat'!$F:$F,'1.PL (VND) '!DK$4,'1.DC_Ra soat'!$I:$I,'1.BS (VND)'!$D22)</f>
        <v>0</v>
      </c>
      <c r="CW22" s="702">
        <f>SUMIFS('1.DC_Ra soat'!$L:$L,'1.DC_Ra soat'!$F:$F,'1.PL (VND) '!DL$4,'1.DC_Ra soat'!$H:$H,'1.BS (VND)'!$D22)-SUMIFS('1.DC_Ra soat'!$L:$L,'1.DC_Ra soat'!$F:$F,'1.PL (VND) '!DL$4,'1.DC_Ra soat'!$I:$I,'1.BS (VND)'!$D22)</f>
        <v>0</v>
      </c>
      <c r="CX22" s="702">
        <f>SUMIFS('1.DC_Ra soat'!$L:$L,'1.DC_Ra soat'!$F:$F,'1.PL (VND) '!DM$4,'1.DC_Ra soat'!$H:$H,'1.BS (VND)'!$D22)-SUMIFS('1.DC_Ra soat'!$L:$L,'1.DC_Ra soat'!$F:$F,'1.PL (VND) '!DM$4,'1.DC_Ra soat'!$I:$I,'1.BS (VND)'!$D22)</f>
        <v>0</v>
      </c>
      <c r="CY22" s="702">
        <f>SUMIFS('1.DC_Ra soat'!$L:$L,'1.DC_Ra soat'!$F:$F,'1.PL (VND) '!DN$4,'1.DC_Ra soat'!$H:$H,'1.BS (VND)'!$D22)-SUMIFS('1.DC_Ra soat'!$L:$L,'1.DC_Ra soat'!$F:$F,'1.PL (VND) '!DN$4,'1.DC_Ra soat'!$I:$I,'1.BS (VND)'!$D22)</f>
        <v>0</v>
      </c>
      <c r="DA22" s="698">
        <f t="shared" si="30"/>
        <v>470723356</v>
      </c>
      <c r="DB22" s="698">
        <f t="shared" si="31"/>
        <v>2881115770</v>
      </c>
      <c r="DC22" s="698">
        <f t="shared" si="32"/>
        <v>1192477508</v>
      </c>
      <c r="DD22" s="698">
        <f t="shared" si="33"/>
        <v>874076</v>
      </c>
      <c r="DH22" s="701"/>
    </row>
    <row r="23" spans="1:112" s="700" customFormat="1" x14ac:dyDescent="0.25">
      <c r="A23" s="248">
        <f t="shared" si="40"/>
        <v>1</v>
      </c>
      <c r="C23" s="703" t="s">
        <v>321</v>
      </c>
      <c r="D23" s="704">
        <v>137</v>
      </c>
      <c r="E23" s="721"/>
      <c r="F23" s="721"/>
      <c r="G23" s="721"/>
      <c r="H23" s="722"/>
      <c r="I23" s="699"/>
      <c r="J23" s="698"/>
      <c r="K23" s="698"/>
      <c r="L23" s="698"/>
      <c r="M23" s="241">
        <v>0</v>
      </c>
      <c r="N23" s="699"/>
      <c r="O23" s="698"/>
      <c r="P23" s="698"/>
      <c r="Q23" s="698"/>
      <c r="R23" s="698"/>
      <c r="S23" s="699"/>
      <c r="T23" s="698"/>
      <c r="U23" s="698"/>
      <c r="V23" s="698"/>
      <c r="W23" s="698"/>
      <c r="X23" s="699"/>
      <c r="Y23" s="698"/>
      <c r="Z23" s="698"/>
      <c r="AA23" s="698"/>
      <c r="AB23" s="698"/>
      <c r="AC23" s="699"/>
      <c r="AD23" s="698"/>
      <c r="AE23" s="698"/>
      <c r="AF23" s="698"/>
      <c r="AG23" s="698"/>
      <c r="AI23" s="698">
        <f>SUMIFS('1.DC_Ra soat'!$L:$L,'1.DC_Ra soat'!$F:$F,AI$4,'1.DC_Ra soat'!$H:$H,'1.BS (VND)'!$D23)-SUMIFS('1.DC_Ra soat'!$L:$L,'1.DC_Ra soat'!$F:$F,AI$4,'1.DC_Ra soat'!$I:$I,'1.BS (VND)'!$D23)</f>
        <v>0</v>
      </c>
      <c r="AJ23" s="698">
        <f>SUMIFS('1.DC_Ra soat'!$L:$L,'1.DC_Ra soat'!$F:$F,AJ$4,'1.DC_Ra soat'!$H:$H,'1.BS (VND)'!$D23)-SUMIFS('1.DC_Ra soat'!$L:$L,'1.DC_Ra soat'!$F:$F,AJ$4,'1.DC_Ra soat'!$I:$I,'1.BS (VND)'!$D23)</f>
        <v>0</v>
      </c>
      <c r="AK23" s="698">
        <f>SUMIFS('1.DC_Ra soat'!$L:$L,'1.DC_Ra soat'!$F:$F,AK$4,'1.DC_Ra soat'!$H:$H,'1.BS (VND)'!$D23)-SUMIFS('1.DC_Ra soat'!$L:$L,'1.DC_Ra soat'!$F:$F,AK$4,'1.DC_Ra soat'!$I:$I,'1.BS (VND)'!$D23)</f>
        <v>0</v>
      </c>
      <c r="AL23" s="698">
        <f>SUMIFS('1.DC_Ra soat'!$L:$L,'1.DC_Ra soat'!$F:$F,AL$4,'1.DC_Ra soat'!$H:$H,'1.BS (VND)'!$D23)-SUMIFS('1.DC_Ra soat'!$L:$L,'1.DC_Ra soat'!$F:$F,AL$4,'1.DC_Ra soat'!$I:$I,'1.BS (VND)'!$D23)</f>
        <v>-3550000000</v>
      </c>
      <c r="AM23" s="699"/>
      <c r="AN23" s="698">
        <f>SUMIFS('1.DC_Ra soat'!$L:$L,'1.DC_Ra soat'!$F:$F,AN$4,'1.DC_Ra soat'!$H:$H,'1.BS (VND)'!$D23)-SUMIFS('1.DC_Ra soat'!$L:$L,'1.DC_Ra soat'!$F:$F,AN$4,'1.DC_Ra soat'!$I:$I,'1.BS (VND)'!$D23)</f>
        <v>0</v>
      </c>
      <c r="AO23" s="698">
        <f>SUMIFS('1.DC_Ra soat'!$L:$L,'1.DC_Ra soat'!$F:$F,AO$4,'1.DC_Ra soat'!$H:$H,'1.BS (VND)'!$D23)-SUMIFS('1.DC_Ra soat'!$L:$L,'1.DC_Ra soat'!$F:$F,AO$4,'1.DC_Ra soat'!$I:$I,'1.BS (VND)'!$D23)</f>
        <v>0</v>
      </c>
      <c r="AP23" s="698">
        <f>SUMIFS('1.DC_Ra soat'!$L:$L,'1.DC_Ra soat'!$F:$F,AP$4,'1.DC_Ra soat'!$H:$H,'1.BS (VND)'!$D23)-SUMIFS('1.DC_Ra soat'!$L:$L,'1.DC_Ra soat'!$F:$F,AP$4,'1.DC_Ra soat'!$I:$I,'1.BS (VND)'!$D23)</f>
        <v>0</v>
      </c>
      <c r="AQ23" s="698">
        <f>SUMIFS('1.DC_Ra soat'!$L:$L,'1.DC_Ra soat'!$F:$F,AQ$4,'1.DC_Ra soat'!$H:$H,'1.BS (VND)'!$D23)-SUMIFS('1.DC_Ra soat'!$L:$L,'1.DC_Ra soat'!$F:$F,AQ$4,'1.DC_Ra soat'!$I:$I,'1.BS (VND)'!$D23)</f>
        <v>0</v>
      </c>
      <c r="AR23" s="699"/>
      <c r="AS23" s="698">
        <f>SUMIFS('1.DC_Ra soat'!$L:$L,'1.DC_Ra soat'!$F:$F,AS$4,'1.DC_Ra soat'!$H:$H,'1.BS (VND)'!$D23)-SUMIFS('1.DC_Ra soat'!$L:$L,'1.DC_Ra soat'!$F:$F,AS$4,'1.DC_Ra soat'!$I:$I,'1.BS (VND)'!$D23)</f>
        <v>0</v>
      </c>
      <c r="AT23" s="698">
        <f>SUMIFS('1.DC_Ra soat'!$L:$L,'1.DC_Ra soat'!$F:$F,AT$4,'1.DC_Ra soat'!$H:$H,'1.BS (VND)'!$D23)-SUMIFS('1.DC_Ra soat'!$L:$L,'1.DC_Ra soat'!$F:$F,AT$4,'1.DC_Ra soat'!$I:$I,'1.BS (VND)'!$D23)</f>
        <v>0</v>
      </c>
      <c r="AU23" s="698">
        <f>SUMIFS('1.DC_Ra soat'!$L:$L,'1.DC_Ra soat'!$F:$F,AU$4,'1.DC_Ra soat'!$H:$H,'1.BS (VND)'!$D23)-SUMIFS('1.DC_Ra soat'!$L:$L,'1.DC_Ra soat'!$F:$F,AU$4,'1.DC_Ra soat'!$I:$I,'1.BS (VND)'!$D23)</f>
        <v>0</v>
      </c>
      <c r="AV23" s="698">
        <f>SUMIFS('1.DC_Ra soat'!$L:$L,'1.DC_Ra soat'!$F:$F,AV$4,'1.DC_Ra soat'!$H:$H,'1.BS (VND)'!$D23)-SUMIFS('1.DC_Ra soat'!$L:$L,'1.DC_Ra soat'!$F:$F,AV$4,'1.DC_Ra soat'!$I:$I,'1.BS (VND)'!$D23)</f>
        <v>-4950000000</v>
      </c>
      <c r="AW23" s="699"/>
      <c r="AX23" s="698">
        <f>SUMIFS('1.DC_Ra soat'!$L:$L,'1.DC_Ra soat'!$F:$F,AX$4,'1.DC_Ra soat'!$H:$H,'1.BS (VND)'!$D23)-SUMIFS('1.DC_Ra soat'!$L:$L,'1.DC_Ra soat'!$F:$F,AX$4,'1.DC_Ra soat'!$I:$I,'1.BS (VND)'!$D23)</f>
        <v>0</v>
      </c>
      <c r="AY23" s="698">
        <f>SUMIFS('1.DC_Ra soat'!$L:$L,'1.DC_Ra soat'!$F:$F,AY$4,'1.DC_Ra soat'!$H:$H,'1.BS (VND)'!$D23)-SUMIFS('1.DC_Ra soat'!$L:$L,'1.DC_Ra soat'!$F:$F,AY$4,'1.DC_Ra soat'!$I:$I,'1.BS (VND)'!$D23)</f>
        <v>0</v>
      </c>
      <c r="AZ23" s="698">
        <f>SUMIFS('1.DC_Ra soat'!$L:$L,'1.DC_Ra soat'!$F:$F,AZ$4,'1.DC_Ra soat'!$H:$H,'1.BS (VND)'!$D23)-SUMIFS('1.DC_Ra soat'!$L:$L,'1.DC_Ra soat'!$F:$F,AZ$4,'1.DC_Ra soat'!$I:$I,'1.BS (VND)'!$D23)</f>
        <v>0</v>
      </c>
      <c r="BA23" s="698">
        <f>SUMIFS('1.DC_Ra soat'!$L:$L,'1.DC_Ra soat'!$F:$F,BA$4,'1.DC_Ra soat'!$H:$H,'1.BS (VND)'!$D23)-SUMIFS('1.DC_Ra soat'!$L:$L,'1.DC_Ra soat'!$F:$F,BA$4,'1.DC_Ra soat'!$I:$I,'1.BS (VND)'!$D23)</f>
        <v>-5000000000</v>
      </c>
      <c r="BB23" s="699"/>
      <c r="BC23" s="698">
        <f>SUMIFS('1.DC_Ra soat'!$L:$L,'1.DC_Ra soat'!$F:$F,'1.PL (VND) '!BI$4,'1.DC_Ra soat'!$H:$H,'1.BS (VND)'!$D23)-SUMIFS('1.DC_Ra soat'!$L:$L,'1.DC_Ra soat'!$F:$F,'1.PL (VND) '!BI$4,'1.DC_Ra soat'!$I:$I,'1.BS (VND)'!$D23)</f>
        <v>0</v>
      </c>
      <c r="BD23" s="698">
        <f>SUMIFS('1.DC_Ra soat'!$L:$L,'1.DC_Ra soat'!$F:$F,'1.PL (VND) '!BJ$4,'1.DC_Ra soat'!$H:$H,'1.BS (VND)'!$D23)-SUMIFS('1.DC_Ra soat'!$L:$L,'1.DC_Ra soat'!$F:$F,'1.PL (VND) '!BJ$4,'1.DC_Ra soat'!$I:$I,'1.BS (VND)'!$D23)</f>
        <v>0</v>
      </c>
      <c r="BE23" s="698">
        <f>SUMIFS('1.DC_Ra soat'!$L:$L,'1.DC_Ra soat'!$F:$F,'1.PL (VND) '!BK$4,'1.DC_Ra soat'!$H:$H,'1.BS (VND)'!$D23)-SUMIFS('1.DC_Ra soat'!$L:$L,'1.DC_Ra soat'!$F:$F,'1.PL (VND) '!BK$4,'1.DC_Ra soat'!$I:$I,'1.BS (VND)'!$D23)</f>
        <v>0</v>
      </c>
      <c r="BF23" s="698">
        <f>SUMIFS('1.DC_Ra soat'!$L:$L,'1.DC_Ra soat'!$F:$F,'1.PL (VND) '!BL$4,'1.DC_Ra soat'!$H:$H,'1.BS (VND)'!$D23)-SUMIFS('1.DC_Ra soat'!$L:$L,'1.DC_Ra soat'!$F:$F,'1.PL (VND) '!BL$4,'1.DC_Ra soat'!$I:$I,'1.BS (VND)'!$D23)</f>
        <v>0</v>
      </c>
      <c r="BG23" s="699"/>
      <c r="BH23" s="698">
        <f>SUMIFS('1.DC_Ra soat'!$L:$L,'1.DC_Ra soat'!$F:$F,'1.PL (VND) '!BO$4,'1.DC_Ra soat'!$H:$H,'1.BS (VND)'!$D23)-SUMIFS('1.DC_Ra soat'!$L:$L,'1.DC_Ra soat'!$F:$F,'1.PL (VND) '!BO$4,'1.DC_Ra soat'!$I:$I,'1.BS (VND)'!$D23)</f>
        <v>0</v>
      </c>
      <c r="BI23" s="698">
        <f>SUMIFS('1.DC_Ra soat'!$L:$L,'1.DC_Ra soat'!$F:$F,'1.PL (VND) '!BP$4,'1.DC_Ra soat'!$H:$H,'1.BS (VND)'!$D23)-SUMIFS('1.DC_Ra soat'!$L:$L,'1.DC_Ra soat'!$F:$F,'1.PL (VND) '!BP$4,'1.DC_Ra soat'!$I:$I,'1.BS (VND)'!$D23)</f>
        <v>0</v>
      </c>
      <c r="BJ23" s="698">
        <f>SUMIFS('1.DC_Ra soat'!$L:$L,'1.DC_Ra soat'!$F:$F,'1.PL (VND) '!BQ$4,'1.DC_Ra soat'!$H:$H,'1.BS (VND)'!$D23)-SUMIFS('1.DC_Ra soat'!$L:$L,'1.DC_Ra soat'!$F:$F,'1.PL (VND) '!BQ$4,'1.DC_Ra soat'!$I:$I,'1.BS (VND)'!$D23)</f>
        <v>0</v>
      </c>
      <c r="BK23" s="698">
        <f>SUMIFS('1.DC_Ra soat'!$L:$L,'1.DC_Ra soat'!$F:$F,'1.PL (VND) '!BR$4,'1.DC_Ra soat'!$H:$H,'1.BS (VND)'!$D23)-SUMIFS('1.DC_Ra soat'!$L:$L,'1.DC_Ra soat'!$F:$F,'1.PL (VND) '!BR$4,'1.DC_Ra soat'!$I:$I,'1.BS (VND)'!$D23)</f>
        <v>0</v>
      </c>
      <c r="BM23" s="698">
        <f t="shared" si="5"/>
        <v>0</v>
      </c>
      <c r="BN23" s="698">
        <f t="shared" si="6"/>
        <v>0</v>
      </c>
      <c r="BO23" s="698">
        <f t="shared" si="7"/>
        <v>0</v>
      </c>
      <c r="BP23" s="697">
        <f t="shared" si="8"/>
        <v>-3550000000</v>
      </c>
      <c r="BQ23" s="699"/>
      <c r="BR23" s="698">
        <f t="shared" si="9"/>
        <v>0</v>
      </c>
      <c r="BS23" s="698">
        <f t="shared" si="10"/>
        <v>0</v>
      </c>
      <c r="BT23" s="698">
        <f t="shared" si="11"/>
        <v>0</v>
      </c>
      <c r="BU23" s="698">
        <f t="shared" si="12"/>
        <v>0</v>
      </c>
      <c r="BV23" s="699"/>
      <c r="BW23" s="698">
        <f t="shared" si="13"/>
        <v>0</v>
      </c>
      <c r="BX23" s="698">
        <f t="shared" si="14"/>
        <v>0</v>
      </c>
      <c r="BY23" s="698">
        <f t="shared" si="15"/>
        <v>0</v>
      </c>
      <c r="BZ23" s="697">
        <f t="shared" si="16"/>
        <v>-4950000000</v>
      </c>
      <c r="CA23" s="699"/>
      <c r="CB23" s="697">
        <f t="shared" si="17"/>
        <v>0</v>
      </c>
      <c r="CC23" s="697">
        <f t="shared" si="18"/>
        <v>0</v>
      </c>
      <c r="CD23" s="697">
        <f t="shared" si="19"/>
        <v>0</v>
      </c>
      <c r="CE23" s="697">
        <f t="shared" si="20"/>
        <v>-5000000000</v>
      </c>
      <c r="CF23" s="699"/>
      <c r="CG23" s="697">
        <f t="shared" si="21"/>
        <v>0</v>
      </c>
      <c r="CH23" s="697">
        <f t="shared" si="22"/>
        <v>0</v>
      </c>
      <c r="CI23" s="697">
        <f t="shared" si="23"/>
        <v>0</v>
      </c>
      <c r="CJ23" s="697">
        <f t="shared" si="24"/>
        <v>0</v>
      </c>
      <c r="CK23" s="699"/>
      <c r="CL23" s="698">
        <f t="shared" si="25"/>
        <v>0</v>
      </c>
      <c r="CM23" s="698">
        <f t="shared" si="26"/>
        <v>0</v>
      </c>
      <c r="CN23" s="698">
        <f t="shared" si="27"/>
        <v>0</v>
      </c>
      <c r="CO23" s="697">
        <f t="shared" si="28"/>
        <v>0</v>
      </c>
      <c r="CQ23" s="698">
        <f>SUMIF('1.PL (VND) '!$BL$6:$CD$6,'1.PL (VND) '!CP$6,$BM23:$CE23)</f>
        <v>0</v>
      </c>
      <c r="CR23" s="698">
        <f>SUMIF('1.PL (VND) '!$BL$6:$CD$6,'1.PL (VND) '!CQ$6,$BM23:$CE23)</f>
        <v>0</v>
      </c>
      <c r="CS23" s="698">
        <f>SUMIF('1.PL (VND) '!$BL$6:$CD$6,'1.PL (VND) '!CR$6,$BM23:$CE23)</f>
        <v>0</v>
      </c>
      <c r="CT23" s="698">
        <f>SUMIF('1.PL (VND) '!$BL$6:$CD$6,'1.PL (VND) '!CS$6,$BM23:$CE23)</f>
        <v>-13500000000</v>
      </c>
      <c r="CV23" s="702">
        <f>SUMIFS('1.DC_Ra soat'!$L:$L,'1.DC_Ra soat'!$F:$F,'1.PL (VND) '!DK$4,'1.DC_Ra soat'!$H:$H,'1.BS (VND)'!$D23)-SUMIFS('1.DC_Ra soat'!$L:$L,'1.DC_Ra soat'!$F:$F,'1.PL (VND) '!DK$4,'1.DC_Ra soat'!$I:$I,'1.BS (VND)'!$D23)</f>
        <v>0</v>
      </c>
      <c r="CW23" s="702">
        <f>SUMIFS('1.DC_Ra soat'!$L:$L,'1.DC_Ra soat'!$F:$F,'1.PL (VND) '!DL$4,'1.DC_Ra soat'!$H:$H,'1.BS (VND)'!$D23)-SUMIFS('1.DC_Ra soat'!$L:$L,'1.DC_Ra soat'!$F:$F,'1.PL (VND) '!DL$4,'1.DC_Ra soat'!$I:$I,'1.BS (VND)'!$D23)</f>
        <v>0</v>
      </c>
      <c r="CX23" s="702">
        <f>SUMIFS('1.DC_Ra soat'!$L:$L,'1.DC_Ra soat'!$F:$F,'1.PL (VND) '!DM$4,'1.DC_Ra soat'!$H:$H,'1.BS (VND)'!$D23)-SUMIFS('1.DC_Ra soat'!$L:$L,'1.DC_Ra soat'!$F:$F,'1.PL (VND) '!DM$4,'1.DC_Ra soat'!$I:$I,'1.BS (VND)'!$D23)</f>
        <v>0</v>
      </c>
      <c r="CY23" s="702">
        <f>SUMIFS('1.DC_Ra soat'!$L:$L,'1.DC_Ra soat'!$F:$F,'1.PL (VND) '!DN$4,'1.DC_Ra soat'!$H:$H,'1.BS (VND)'!$D23)-SUMIFS('1.DC_Ra soat'!$L:$L,'1.DC_Ra soat'!$F:$F,'1.PL (VND) '!DN$4,'1.DC_Ra soat'!$I:$I,'1.BS (VND)'!$D23)</f>
        <v>0</v>
      </c>
      <c r="DA23" s="698">
        <f t="shared" si="30"/>
        <v>0</v>
      </c>
      <c r="DB23" s="698">
        <f t="shared" si="31"/>
        <v>0</v>
      </c>
      <c r="DC23" s="698">
        <f t="shared" si="32"/>
        <v>0</v>
      </c>
      <c r="DD23" s="698">
        <f t="shared" si="33"/>
        <v>-13500000000</v>
      </c>
    </row>
    <row r="24" spans="1:112" s="700" customFormat="1" x14ac:dyDescent="0.25">
      <c r="A24" s="248" t="str">
        <f t="shared" si="40"/>
        <v>hide</v>
      </c>
      <c r="C24" s="703" t="s">
        <v>323</v>
      </c>
      <c r="D24" s="704" t="s">
        <v>324</v>
      </c>
      <c r="E24" s="721"/>
      <c r="F24" s="721"/>
      <c r="G24" s="721"/>
      <c r="H24" s="722"/>
      <c r="I24" s="699"/>
      <c r="J24" s="698"/>
      <c r="K24" s="698"/>
      <c r="L24" s="698"/>
      <c r="M24" s="241">
        <v>0</v>
      </c>
      <c r="N24" s="699"/>
      <c r="O24" s="698"/>
      <c r="P24" s="698"/>
      <c r="Q24" s="698"/>
      <c r="R24" s="698"/>
      <c r="S24" s="699"/>
      <c r="T24" s="698"/>
      <c r="U24" s="698"/>
      <c r="V24" s="698"/>
      <c r="W24" s="698"/>
      <c r="X24" s="699"/>
      <c r="Y24" s="698"/>
      <c r="Z24" s="698"/>
      <c r="AA24" s="698"/>
      <c r="AB24" s="698"/>
      <c r="AC24" s="699"/>
      <c r="AD24" s="698"/>
      <c r="AE24" s="698"/>
      <c r="AF24" s="698"/>
      <c r="AG24" s="698"/>
      <c r="AI24" s="698">
        <f>SUMIFS('1.DC_Ra soat'!$L:$L,'1.DC_Ra soat'!$F:$F,AI$4,'1.DC_Ra soat'!$H:$H,'1.BS (VND)'!$D24)-SUMIFS('1.DC_Ra soat'!$L:$L,'1.DC_Ra soat'!$F:$F,AI$4,'1.DC_Ra soat'!$I:$I,'1.BS (VND)'!$D24)</f>
        <v>0</v>
      </c>
      <c r="AJ24" s="698">
        <f>SUMIFS('1.DC_Ra soat'!$L:$L,'1.DC_Ra soat'!$F:$F,AJ$4,'1.DC_Ra soat'!$H:$H,'1.BS (VND)'!$D24)-SUMIFS('1.DC_Ra soat'!$L:$L,'1.DC_Ra soat'!$F:$F,AJ$4,'1.DC_Ra soat'!$I:$I,'1.BS (VND)'!$D24)</f>
        <v>0</v>
      </c>
      <c r="AK24" s="698">
        <f>SUMIFS('1.DC_Ra soat'!$L:$L,'1.DC_Ra soat'!$F:$F,AK$4,'1.DC_Ra soat'!$H:$H,'1.BS (VND)'!$D24)-SUMIFS('1.DC_Ra soat'!$L:$L,'1.DC_Ra soat'!$F:$F,AK$4,'1.DC_Ra soat'!$I:$I,'1.BS (VND)'!$D24)</f>
        <v>0</v>
      </c>
      <c r="AL24" s="698">
        <f>SUMIFS('1.DC_Ra soat'!$L:$L,'1.DC_Ra soat'!$F:$F,AL$4,'1.DC_Ra soat'!$H:$H,'1.BS (VND)'!$D24)-SUMIFS('1.DC_Ra soat'!$L:$L,'1.DC_Ra soat'!$F:$F,AL$4,'1.DC_Ra soat'!$I:$I,'1.BS (VND)'!$D24)</f>
        <v>0</v>
      </c>
      <c r="AM24" s="699"/>
      <c r="AN24" s="698">
        <f>SUMIFS('1.DC_Ra soat'!$L:$L,'1.DC_Ra soat'!$F:$F,AN$4,'1.DC_Ra soat'!$H:$H,'1.BS (VND)'!$D24)-SUMIFS('1.DC_Ra soat'!$L:$L,'1.DC_Ra soat'!$F:$F,AN$4,'1.DC_Ra soat'!$I:$I,'1.BS (VND)'!$D24)</f>
        <v>0</v>
      </c>
      <c r="AO24" s="698">
        <f>SUMIFS('1.DC_Ra soat'!$L:$L,'1.DC_Ra soat'!$F:$F,AO$4,'1.DC_Ra soat'!$H:$H,'1.BS (VND)'!$D24)-SUMIFS('1.DC_Ra soat'!$L:$L,'1.DC_Ra soat'!$F:$F,AO$4,'1.DC_Ra soat'!$I:$I,'1.BS (VND)'!$D24)</f>
        <v>0</v>
      </c>
      <c r="AP24" s="698">
        <f>SUMIFS('1.DC_Ra soat'!$L:$L,'1.DC_Ra soat'!$F:$F,AP$4,'1.DC_Ra soat'!$H:$H,'1.BS (VND)'!$D24)-SUMIFS('1.DC_Ra soat'!$L:$L,'1.DC_Ra soat'!$F:$F,AP$4,'1.DC_Ra soat'!$I:$I,'1.BS (VND)'!$D24)</f>
        <v>0</v>
      </c>
      <c r="AQ24" s="698">
        <f>SUMIFS('1.DC_Ra soat'!$L:$L,'1.DC_Ra soat'!$F:$F,AQ$4,'1.DC_Ra soat'!$H:$H,'1.BS (VND)'!$D24)-SUMIFS('1.DC_Ra soat'!$L:$L,'1.DC_Ra soat'!$F:$F,AQ$4,'1.DC_Ra soat'!$I:$I,'1.BS (VND)'!$D24)</f>
        <v>0</v>
      </c>
      <c r="AR24" s="699"/>
      <c r="AS24" s="698">
        <f>SUMIFS('1.DC_Ra soat'!$L:$L,'1.DC_Ra soat'!$F:$F,AS$4,'1.DC_Ra soat'!$H:$H,'1.BS (VND)'!$D24)-SUMIFS('1.DC_Ra soat'!$L:$L,'1.DC_Ra soat'!$F:$F,AS$4,'1.DC_Ra soat'!$I:$I,'1.BS (VND)'!$D24)</f>
        <v>0</v>
      </c>
      <c r="AT24" s="698">
        <f>SUMIFS('1.DC_Ra soat'!$L:$L,'1.DC_Ra soat'!$F:$F,AT$4,'1.DC_Ra soat'!$H:$H,'1.BS (VND)'!$D24)-SUMIFS('1.DC_Ra soat'!$L:$L,'1.DC_Ra soat'!$F:$F,AT$4,'1.DC_Ra soat'!$I:$I,'1.BS (VND)'!$D24)</f>
        <v>0</v>
      </c>
      <c r="AU24" s="698">
        <f>SUMIFS('1.DC_Ra soat'!$L:$L,'1.DC_Ra soat'!$F:$F,AU$4,'1.DC_Ra soat'!$H:$H,'1.BS (VND)'!$D24)-SUMIFS('1.DC_Ra soat'!$L:$L,'1.DC_Ra soat'!$F:$F,AU$4,'1.DC_Ra soat'!$I:$I,'1.BS (VND)'!$D24)</f>
        <v>0</v>
      </c>
      <c r="AV24" s="698">
        <f>SUMIFS('1.DC_Ra soat'!$L:$L,'1.DC_Ra soat'!$F:$F,AV$4,'1.DC_Ra soat'!$H:$H,'1.BS (VND)'!$D24)-SUMIFS('1.DC_Ra soat'!$L:$L,'1.DC_Ra soat'!$F:$F,AV$4,'1.DC_Ra soat'!$I:$I,'1.BS (VND)'!$D24)</f>
        <v>0</v>
      </c>
      <c r="AW24" s="699"/>
      <c r="AX24" s="698">
        <f>SUMIFS('1.DC_Ra soat'!$L:$L,'1.DC_Ra soat'!$F:$F,AX$4,'1.DC_Ra soat'!$H:$H,'1.BS (VND)'!$D24)-SUMIFS('1.DC_Ra soat'!$L:$L,'1.DC_Ra soat'!$F:$F,AX$4,'1.DC_Ra soat'!$I:$I,'1.BS (VND)'!$D24)</f>
        <v>0</v>
      </c>
      <c r="AY24" s="698">
        <f>SUMIFS('1.DC_Ra soat'!$L:$L,'1.DC_Ra soat'!$F:$F,AY$4,'1.DC_Ra soat'!$H:$H,'1.BS (VND)'!$D24)-SUMIFS('1.DC_Ra soat'!$L:$L,'1.DC_Ra soat'!$F:$F,AY$4,'1.DC_Ra soat'!$I:$I,'1.BS (VND)'!$D24)</f>
        <v>0</v>
      </c>
      <c r="AZ24" s="698">
        <f>SUMIFS('1.DC_Ra soat'!$L:$L,'1.DC_Ra soat'!$F:$F,AZ$4,'1.DC_Ra soat'!$H:$H,'1.BS (VND)'!$D24)-SUMIFS('1.DC_Ra soat'!$L:$L,'1.DC_Ra soat'!$F:$F,AZ$4,'1.DC_Ra soat'!$I:$I,'1.BS (VND)'!$D24)</f>
        <v>0</v>
      </c>
      <c r="BA24" s="698">
        <f>SUMIFS('1.DC_Ra soat'!$L:$L,'1.DC_Ra soat'!$F:$F,BA$4,'1.DC_Ra soat'!$H:$H,'1.BS (VND)'!$D24)-SUMIFS('1.DC_Ra soat'!$L:$L,'1.DC_Ra soat'!$F:$F,BA$4,'1.DC_Ra soat'!$I:$I,'1.BS (VND)'!$D24)</f>
        <v>0</v>
      </c>
      <c r="BB24" s="699"/>
      <c r="BC24" s="698">
        <f>SUMIFS('1.DC_Ra soat'!$L:$L,'1.DC_Ra soat'!$F:$F,'1.PL (VND) '!BI$4,'1.DC_Ra soat'!$H:$H,'1.BS (VND)'!$D24)-SUMIFS('1.DC_Ra soat'!$L:$L,'1.DC_Ra soat'!$F:$F,'1.PL (VND) '!BI$4,'1.DC_Ra soat'!$I:$I,'1.BS (VND)'!$D24)</f>
        <v>0</v>
      </c>
      <c r="BD24" s="698">
        <f>SUMIFS('1.DC_Ra soat'!$L:$L,'1.DC_Ra soat'!$F:$F,'1.PL (VND) '!BJ$4,'1.DC_Ra soat'!$H:$H,'1.BS (VND)'!$D24)-SUMIFS('1.DC_Ra soat'!$L:$L,'1.DC_Ra soat'!$F:$F,'1.PL (VND) '!BJ$4,'1.DC_Ra soat'!$I:$I,'1.BS (VND)'!$D24)</f>
        <v>0</v>
      </c>
      <c r="BE24" s="698">
        <f>SUMIFS('1.DC_Ra soat'!$L:$L,'1.DC_Ra soat'!$F:$F,'1.PL (VND) '!BK$4,'1.DC_Ra soat'!$H:$H,'1.BS (VND)'!$D24)-SUMIFS('1.DC_Ra soat'!$L:$L,'1.DC_Ra soat'!$F:$F,'1.PL (VND) '!BK$4,'1.DC_Ra soat'!$I:$I,'1.BS (VND)'!$D24)</f>
        <v>0</v>
      </c>
      <c r="BF24" s="698">
        <f>SUMIFS('1.DC_Ra soat'!$L:$L,'1.DC_Ra soat'!$F:$F,'1.PL (VND) '!BL$4,'1.DC_Ra soat'!$H:$H,'1.BS (VND)'!$D24)-SUMIFS('1.DC_Ra soat'!$L:$L,'1.DC_Ra soat'!$F:$F,'1.PL (VND) '!BL$4,'1.DC_Ra soat'!$I:$I,'1.BS (VND)'!$D24)</f>
        <v>0</v>
      </c>
      <c r="BG24" s="699"/>
      <c r="BH24" s="698">
        <f>SUMIFS('1.DC_Ra soat'!$L:$L,'1.DC_Ra soat'!$F:$F,'1.PL (VND) '!BO$4,'1.DC_Ra soat'!$H:$H,'1.BS (VND)'!$D24)-SUMIFS('1.DC_Ra soat'!$L:$L,'1.DC_Ra soat'!$F:$F,'1.PL (VND) '!BO$4,'1.DC_Ra soat'!$I:$I,'1.BS (VND)'!$D24)</f>
        <v>0</v>
      </c>
      <c r="BI24" s="698">
        <f>SUMIFS('1.DC_Ra soat'!$L:$L,'1.DC_Ra soat'!$F:$F,'1.PL (VND) '!BP$4,'1.DC_Ra soat'!$H:$H,'1.BS (VND)'!$D24)-SUMIFS('1.DC_Ra soat'!$L:$L,'1.DC_Ra soat'!$F:$F,'1.PL (VND) '!BP$4,'1.DC_Ra soat'!$I:$I,'1.BS (VND)'!$D24)</f>
        <v>0</v>
      </c>
      <c r="BJ24" s="698">
        <f>SUMIFS('1.DC_Ra soat'!$L:$L,'1.DC_Ra soat'!$F:$F,'1.PL (VND) '!BQ$4,'1.DC_Ra soat'!$H:$H,'1.BS (VND)'!$D24)-SUMIFS('1.DC_Ra soat'!$L:$L,'1.DC_Ra soat'!$F:$F,'1.PL (VND) '!BQ$4,'1.DC_Ra soat'!$I:$I,'1.BS (VND)'!$D24)</f>
        <v>0</v>
      </c>
      <c r="BK24" s="698">
        <f>SUMIFS('1.DC_Ra soat'!$L:$L,'1.DC_Ra soat'!$F:$F,'1.PL (VND) '!BR$4,'1.DC_Ra soat'!$H:$H,'1.BS (VND)'!$D24)-SUMIFS('1.DC_Ra soat'!$L:$L,'1.DC_Ra soat'!$F:$F,'1.PL (VND) '!BR$4,'1.DC_Ra soat'!$I:$I,'1.BS (VND)'!$D24)</f>
        <v>0</v>
      </c>
      <c r="BM24" s="698">
        <f t="shared" si="5"/>
        <v>0</v>
      </c>
      <c r="BN24" s="698">
        <f t="shared" si="6"/>
        <v>0</v>
      </c>
      <c r="BO24" s="698">
        <f t="shared" si="7"/>
        <v>0</v>
      </c>
      <c r="BP24" s="697">
        <f t="shared" si="8"/>
        <v>0</v>
      </c>
      <c r="BQ24" s="699"/>
      <c r="BR24" s="698">
        <f t="shared" si="9"/>
        <v>0</v>
      </c>
      <c r="BS24" s="698">
        <f t="shared" si="10"/>
        <v>0</v>
      </c>
      <c r="BT24" s="698">
        <f t="shared" si="11"/>
        <v>0</v>
      </c>
      <c r="BU24" s="698">
        <f t="shared" si="12"/>
        <v>0</v>
      </c>
      <c r="BV24" s="699"/>
      <c r="BW24" s="698">
        <f t="shared" si="13"/>
        <v>0</v>
      </c>
      <c r="BX24" s="698">
        <f t="shared" si="14"/>
        <v>0</v>
      </c>
      <c r="BY24" s="698">
        <f t="shared" si="15"/>
        <v>0</v>
      </c>
      <c r="BZ24" s="697">
        <f t="shared" si="16"/>
        <v>0</v>
      </c>
      <c r="CA24" s="699"/>
      <c r="CB24" s="697">
        <f t="shared" si="17"/>
        <v>0</v>
      </c>
      <c r="CC24" s="697">
        <f t="shared" si="18"/>
        <v>0</v>
      </c>
      <c r="CD24" s="697">
        <f t="shared" si="19"/>
        <v>0</v>
      </c>
      <c r="CE24" s="697">
        <f t="shared" si="20"/>
        <v>0</v>
      </c>
      <c r="CF24" s="699"/>
      <c r="CG24" s="697">
        <f t="shared" si="21"/>
        <v>0</v>
      </c>
      <c r="CH24" s="697">
        <f t="shared" si="22"/>
        <v>0</v>
      </c>
      <c r="CI24" s="697">
        <f t="shared" si="23"/>
        <v>0</v>
      </c>
      <c r="CJ24" s="697">
        <f t="shared" si="24"/>
        <v>0</v>
      </c>
      <c r="CK24" s="699"/>
      <c r="CL24" s="698">
        <f t="shared" si="25"/>
        <v>0</v>
      </c>
      <c r="CM24" s="698">
        <f t="shared" si="26"/>
        <v>0</v>
      </c>
      <c r="CN24" s="698">
        <f t="shared" si="27"/>
        <v>0</v>
      </c>
      <c r="CO24" s="697">
        <f t="shared" si="28"/>
        <v>0</v>
      </c>
      <c r="CQ24" s="698">
        <f>SUMIF('1.PL (VND) '!$BL$6:$CD$6,'1.PL (VND) '!CP$6,$BM24:$CE24)</f>
        <v>0</v>
      </c>
      <c r="CR24" s="698">
        <f>SUMIF('1.PL (VND) '!$BL$6:$CD$6,'1.PL (VND) '!CQ$6,$BM24:$CE24)</f>
        <v>0</v>
      </c>
      <c r="CS24" s="698">
        <f>SUMIF('1.PL (VND) '!$BL$6:$CD$6,'1.PL (VND) '!CR$6,$BM24:$CE24)</f>
        <v>0</v>
      </c>
      <c r="CT24" s="698">
        <f>SUMIF('1.PL (VND) '!$BL$6:$CD$6,'1.PL (VND) '!CS$6,$BM24:$CE24)</f>
        <v>0</v>
      </c>
      <c r="CV24" s="702">
        <f>SUMIFS('1.DC_Ra soat'!$L:$L,'1.DC_Ra soat'!$F:$F,'1.PL (VND) '!DK$4,'1.DC_Ra soat'!$H:$H,'1.BS (VND)'!$D24)-SUMIFS('1.DC_Ra soat'!$L:$L,'1.DC_Ra soat'!$F:$F,'1.PL (VND) '!DK$4,'1.DC_Ra soat'!$I:$I,'1.BS (VND)'!$D24)</f>
        <v>0</v>
      </c>
      <c r="CW24" s="702">
        <f>SUMIFS('1.DC_Ra soat'!$L:$L,'1.DC_Ra soat'!$F:$F,'1.PL (VND) '!DL$4,'1.DC_Ra soat'!$H:$H,'1.BS (VND)'!$D24)-SUMIFS('1.DC_Ra soat'!$L:$L,'1.DC_Ra soat'!$F:$F,'1.PL (VND) '!DL$4,'1.DC_Ra soat'!$I:$I,'1.BS (VND)'!$D24)</f>
        <v>0</v>
      </c>
      <c r="CX24" s="702">
        <f>SUMIFS('1.DC_Ra soat'!$L:$L,'1.DC_Ra soat'!$F:$F,'1.PL (VND) '!DM$4,'1.DC_Ra soat'!$H:$H,'1.BS (VND)'!$D24)-SUMIFS('1.DC_Ra soat'!$L:$L,'1.DC_Ra soat'!$F:$F,'1.PL (VND) '!DM$4,'1.DC_Ra soat'!$I:$I,'1.BS (VND)'!$D24)</f>
        <v>0</v>
      </c>
      <c r="CY24" s="702">
        <f>SUMIFS('1.DC_Ra soat'!$L:$L,'1.DC_Ra soat'!$F:$F,'1.PL (VND) '!DN$4,'1.DC_Ra soat'!$H:$H,'1.BS (VND)'!$D24)-SUMIFS('1.DC_Ra soat'!$L:$L,'1.DC_Ra soat'!$F:$F,'1.PL (VND) '!DN$4,'1.DC_Ra soat'!$I:$I,'1.BS (VND)'!$D24)</f>
        <v>0</v>
      </c>
      <c r="DA24" s="698">
        <f t="shared" si="30"/>
        <v>0</v>
      </c>
      <c r="DB24" s="698">
        <f t="shared" si="31"/>
        <v>0</v>
      </c>
      <c r="DC24" s="698">
        <f t="shared" si="32"/>
        <v>0</v>
      </c>
      <c r="DD24" s="698">
        <f t="shared" si="33"/>
        <v>0</v>
      </c>
    </row>
    <row r="25" spans="1:112" s="248" customFormat="1" x14ac:dyDescent="0.25">
      <c r="A25" s="248">
        <f t="shared" si="40"/>
        <v>1</v>
      </c>
      <c r="C25" s="259" t="s">
        <v>325</v>
      </c>
      <c r="D25" s="260" t="s">
        <v>326</v>
      </c>
      <c r="E25" s="719">
        <f>SUM(E26:E27)</f>
        <v>71470435598</v>
      </c>
      <c r="F25" s="719">
        <f>SUM(F26:F27)</f>
        <v>94021665814</v>
      </c>
      <c r="G25" s="719">
        <f>SUM(G26:G27)</f>
        <v>87198075833</v>
      </c>
      <c r="H25" s="720">
        <f>H26+H27</f>
        <v>93350460761</v>
      </c>
      <c r="I25" s="230"/>
      <c r="J25" s="241">
        <f>SUM(J26:J27)</f>
        <v>0</v>
      </c>
      <c r="K25" s="241">
        <f>SUM(K26:K27)</f>
        <v>2536230470</v>
      </c>
      <c r="L25" s="241">
        <f>SUM(L26:L27)</f>
        <v>7524763890</v>
      </c>
      <c r="M25" s="241">
        <f>SUM(M26:M27)</f>
        <v>20812400135</v>
      </c>
      <c r="N25" s="230"/>
      <c r="O25" s="241">
        <f>SUM(O26:O27)</f>
        <v>167223177</v>
      </c>
      <c r="P25" s="241">
        <f>SUM(P26:P27)</f>
        <v>4768423243</v>
      </c>
      <c r="Q25" s="241">
        <f>SUM(Q26:Q27)</f>
        <v>15355885287</v>
      </c>
      <c r="R25" s="241">
        <f>SUM(R26:R27)</f>
        <v>12734286994</v>
      </c>
      <c r="S25" s="230"/>
      <c r="T25" s="241">
        <f>SUM(T26:T27)</f>
        <v>626307942</v>
      </c>
      <c r="U25" s="241">
        <f>SUM(U26:U27)</f>
        <v>2337958751</v>
      </c>
      <c r="V25" s="241">
        <f>SUM(V26:V27)</f>
        <v>4676268414</v>
      </c>
      <c r="W25" s="241">
        <f>SUM(W26:W27)</f>
        <v>4743729983</v>
      </c>
      <c r="X25" s="230"/>
      <c r="Y25" s="241">
        <f>SUM(Y26:Y27)</f>
        <v>0</v>
      </c>
      <c r="Z25" s="241">
        <f>SUM(Z26:Z27)</f>
        <v>0</v>
      </c>
      <c r="AA25" s="241">
        <f>SUM(AA26:AA27)</f>
        <v>0</v>
      </c>
      <c r="AB25" s="241"/>
      <c r="AC25" s="230"/>
      <c r="AD25" s="241">
        <f>SUM(AD26:AD27)</f>
        <v>0</v>
      </c>
      <c r="AE25" s="241">
        <f>SUM(AE26:AE27)</f>
        <v>0</v>
      </c>
      <c r="AF25" s="241">
        <f>SUM(AF26:AF27)</f>
        <v>0</v>
      </c>
      <c r="AG25" s="241">
        <f>SUM(AG26:AG27)</f>
        <v>0</v>
      </c>
      <c r="AI25" s="249">
        <f>SUM(AI26:AI27)</f>
        <v>0</v>
      </c>
      <c r="AJ25" s="249">
        <f>SUM(AJ26:AJ27)</f>
        <v>0</v>
      </c>
      <c r="AK25" s="249">
        <f>SUM(AK26:AK27)</f>
        <v>0</v>
      </c>
      <c r="AL25" s="249">
        <f t="shared" ref="AL25" si="45">SUM(AL26:AL27)</f>
        <v>0</v>
      </c>
      <c r="AM25" s="230"/>
      <c r="AN25" s="249">
        <f>SUM(AN26:AN27)</f>
        <v>0</v>
      </c>
      <c r="AO25" s="249">
        <f>SUM(AO26:AO27)</f>
        <v>0</v>
      </c>
      <c r="AP25" s="249">
        <f>SUM(AP26:AP27)</f>
        <v>0</v>
      </c>
      <c r="AQ25" s="249">
        <f t="shared" ref="AQ25" si="46">SUM(AQ26:AQ27)</f>
        <v>0</v>
      </c>
      <c r="AR25" s="230"/>
      <c r="AS25" s="249">
        <f>SUM(AS26:AS27)</f>
        <v>0</v>
      </c>
      <c r="AT25" s="249">
        <f>SUM(AT26:AT27)</f>
        <v>0</v>
      </c>
      <c r="AU25" s="249">
        <f>SUM(AU26:AU27)</f>
        <v>0</v>
      </c>
      <c r="AV25" s="249">
        <f t="shared" ref="AV25" si="47">SUM(AV26:AV27)</f>
        <v>0</v>
      </c>
      <c r="AW25" s="230"/>
      <c r="AX25" s="249">
        <f>SUM(AX26:AX27)</f>
        <v>0</v>
      </c>
      <c r="AY25" s="249">
        <f>SUM(AY26:AY27)</f>
        <v>0</v>
      </c>
      <c r="AZ25" s="249">
        <f>SUM(AZ26:AZ27)</f>
        <v>0</v>
      </c>
      <c r="BA25" s="249">
        <f>SUM(BA26:BA27)</f>
        <v>0</v>
      </c>
      <c r="BB25" s="230"/>
      <c r="BC25" s="249">
        <f>SUM(BC26:BC27)</f>
        <v>0</v>
      </c>
      <c r="BD25" s="249">
        <f>SUM(BD26:BD27)</f>
        <v>0</v>
      </c>
      <c r="BE25" s="249">
        <f>SUM(BE26:BE27)</f>
        <v>0</v>
      </c>
      <c r="BF25" s="249">
        <f>SUM(BF26:BF27)</f>
        <v>0</v>
      </c>
      <c r="BG25" s="230"/>
      <c r="BH25" s="249">
        <f>SUM(BH26:BH27)</f>
        <v>0</v>
      </c>
      <c r="BI25" s="249">
        <f>SUM(BI26:BI27)</f>
        <v>0</v>
      </c>
      <c r="BJ25" s="249">
        <f>SUM(BJ26:BJ27)</f>
        <v>0</v>
      </c>
      <c r="BK25" s="249">
        <f t="shared" ref="BK25" si="48">SUM(BK26:BK27)</f>
        <v>0</v>
      </c>
      <c r="BM25" s="241">
        <f t="shared" si="5"/>
        <v>71470435598</v>
      </c>
      <c r="BN25" s="241">
        <f t="shared" si="6"/>
        <v>94021665814</v>
      </c>
      <c r="BO25" s="241">
        <f t="shared" si="7"/>
        <v>87198075833</v>
      </c>
      <c r="BP25" s="241">
        <f t="shared" si="8"/>
        <v>93350460761</v>
      </c>
      <c r="BQ25" s="230"/>
      <c r="BR25" s="241">
        <f t="shared" si="9"/>
        <v>0</v>
      </c>
      <c r="BS25" s="241">
        <f t="shared" si="10"/>
        <v>2536230470</v>
      </c>
      <c r="BT25" s="241">
        <f t="shared" si="11"/>
        <v>7524763890</v>
      </c>
      <c r="BU25" s="241">
        <f t="shared" si="12"/>
        <v>20812400135</v>
      </c>
      <c r="BV25" s="230"/>
      <c r="BW25" s="241">
        <f t="shared" si="13"/>
        <v>167223177</v>
      </c>
      <c r="BX25" s="241">
        <f t="shared" si="14"/>
        <v>4768423243</v>
      </c>
      <c r="BY25" s="241">
        <f t="shared" si="15"/>
        <v>15355885287</v>
      </c>
      <c r="BZ25" s="241">
        <f t="shared" si="16"/>
        <v>12734286994</v>
      </c>
      <c r="CA25" s="230"/>
      <c r="CB25" s="241">
        <f t="shared" si="17"/>
        <v>626307942</v>
      </c>
      <c r="CC25" s="241">
        <f t="shared" si="18"/>
        <v>2337958751</v>
      </c>
      <c r="CD25" s="241">
        <f t="shared" si="19"/>
        <v>4676268414</v>
      </c>
      <c r="CE25" s="241">
        <f t="shared" si="20"/>
        <v>4743729983</v>
      </c>
      <c r="CF25" s="230"/>
      <c r="CG25" s="241">
        <f t="shared" si="21"/>
        <v>0</v>
      </c>
      <c r="CH25" s="241">
        <f t="shared" si="22"/>
        <v>0</v>
      </c>
      <c r="CI25" s="241">
        <f t="shared" si="23"/>
        <v>0</v>
      </c>
      <c r="CJ25" s="241">
        <f t="shared" si="24"/>
        <v>0</v>
      </c>
      <c r="CK25" s="230"/>
      <c r="CL25" s="241">
        <f t="shared" si="25"/>
        <v>0</v>
      </c>
      <c r="CM25" s="241">
        <f t="shared" si="26"/>
        <v>0</v>
      </c>
      <c r="CN25" s="241">
        <f t="shared" si="27"/>
        <v>0</v>
      </c>
      <c r="CO25" s="241">
        <f t="shared" si="28"/>
        <v>0</v>
      </c>
      <c r="CQ25" s="241">
        <f>SUMIF('1.PL (VND) '!$BL$6:$CD$6,'1.PL (VND) '!CP$6,$BM25:$CE25)</f>
        <v>72263966717</v>
      </c>
      <c r="CR25" s="241">
        <f>SUMIF('1.PL (VND) '!$BL$6:$CD$6,'1.PL (VND) '!CQ$6,$BM25:$CE25)</f>
        <v>103664278278</v>
      </c>
      <c r="CS25" s="241">
        <f>SUMIF('1.PL (VND) '!$BL$6:$CD$6,'1.PL (VND) '!CR$6,$BM25:$CE25)</f>
        <v>114754993424</v>
      </c>
      <c r="CT25" s="241">
        <f>SUMIF('1.PL (VND) '!$BL$6:$CD$6,'1.PL (VND) '!CS$6,$BM25:$CE25)</f>
        <v>131640877873</v>
      </c>
      <c r="CV25" s="251">
        <f>SUM(CV26:CV27)</f>
        <v>0</v>
      </c>
      <c r="CW25" s="251">
        <f>SUM(CW26:CW27)</f>
        <v>0</v>
      </c>
      <c r="CX25" s="251">
        <f>SUM(CX26:CX27)</f>
        <v>0</v>
      </c>
      <c r="CY25" s="251"/>
      <c r="DA25" s="241">
        <f t="shared" si="30"/>
        <v>72263966717</v>
      </c>
      <c r="DB25" s="241">
        <f t="shared" si="31"/>
        <v>103664278278</v>
      </c>
      <c r="DC25" s="241">
        <f t="shared" si="32"/>
        <v>114754993424</v>
      </c>
      <c r="DD25" s="241">
        <f t="shared" si="33"/>
        <v>131640877873</v>
      </c>
      <c r="DH25" s="245"/>
    </row>
    <row r="26" spans="1:112" s="700" customFormat="1" x14ac:dyDescent="0.25">
      <c r="A26" s="248">
        <f t="shared" si="40"/>
        <v>1</v>
      </c>
      <c r="C26" s="703" t="s">
        <v>327</v>
      </c>
      <c r="D26" s="704" t="s">
        <v>328</v>
      </c>
      <c r="E26" s="721">
        <v>71470435598</v>
      </c>
      <c r="F26" s="721">
        <v>94021665814</v>
      </c>
      <c r="G26" s="721">
        <v>87198075833</v>
      </c>
      <c r="H26" s="722">
        <v>93350460761</v>
      </c>
      <c r="I26" s="699"/>
      <c r="J26" s="698"/>
      <c r="K26" s="698">
        <v>2536230470</v>
      </c>
      <c r="L26" s="698">
        <v>7524763890</v>
      </c>
      <c r="M26" s="241">
        <v>20812400135</v>
      </c>
      <c r="N26" s="699"/>
      <c r="O26" s="698">
        <v>167223177</v>
      </c>
      <c r="P26" s="698">
        <v>4768423243</v>
      </c>
      <c r="Q26" s="698">
        <v>15355885287</v>
      </c>
      <c r="R26" s="698">
        <v>12734286994</v>
      </c>
      <c r="S26" s="699"/>
      <c r="T26" s="698">
        <v>626307942</v>
      </c>
      <c r="U26" s="698">
        <v>2337958751</v>
      </c>
      <c r="V26" s="698">
        <v>4676268414</v>
      </c>
      <c r="W26" s="698">
        <v>4743729983</v>
      </c>
      <c r="X26" s="699"/>
      <c r="Y26" s="698"/>
      <c r="Z26" s="698"/>
      <c r="AA26" s="698"/>
      <c r="AB26" s="698"/>
      <c r="AC26" s="699"/>
      <c r="AD26" s="698"/>
      <c r="AE26" s="698"/>
      <c r="AF26" s="698"/>
      <c r="AG26" s="698"/>
      <c r="AI26" s="698">
        <f>SUMIFS('1.DC_Ra soat'!$L:$L,'1.DC_Ra soat'!$F:$F,AI$4,'1.DC_Ra soat'!$H:$H,'1.BS (VND)'!$D26)-SUMIFS('1.DC_Ra soat'!$L:$L,'1.DC_Ra soat'!$F:$F,AI$4,'1.DC_Ra soat'!$I:$I,'1.BS (VND)'!$D26)</f>
        <v>0</v>
      </c>
      <c r="AJ26" s="698">
        <f>SUMIFS('1.DC_Ra soat'!$L:$L,'1.DC_Ra soat'!$F:$F,AJ$4,'1.DC_Ra soat'!$H:$H,'1.BS (VND)'!$D26)-SUMIFS('1.DC_Ra soat'!$L:$L,'1.DC_Ra soat'!$F:$F,AJ$4,'1.DC_Ra soat'!$I:$I,'1.BS (VND)'!$D26)</f>
        <v>0</v>
      </c>
      <c r="AK26" s="698">
        <f>SUMIFS('1.DC_Ra soat'!$L:$L,'1.DC_Ra soat'!$F:$F,AK$4,'1.DC_Ra soat'!$H:$H,'1.BS (VND)'!$D26)-SUMIFS('1.DC_Ra soat'!$L:$L,'1.DC_Ra soat'!$F:$F,AK$4,'1.DC_Ra soat'!$I:$I,'1.BS (VND)'!$D26)</f>
        <v>0</v>
      </c>
      <c r="AL26" s="698">
        <f>SUMIFS('1.DC_Ra soat'!$L:$L,'1.DC_Ra soat'!$F:$F,AL$4,'1.DC_Ra soat'!$H:$H,'1.BS (VND)'!$D26)-SUMIFS('1.DC_Ra soat'!$L:$L,'1.DC_Ra soat'!$F:$F,AL$4,'1.DC_Ra soat'!$I:$I,'1.BS (VND)'!$D26)</f>
        <v>0</v>
      </c>
      <c r="AM26" s="699"/>
      <c r="AN26" s="698">
        <f>SUMIFS('1.DC_Ra soat'!$L:$L,'1.DC_Ra soat'!$F:$F,AN$4,'1.DC_Ra soat'!$H:$H,'1.BS (VND)'!$D26)-SUMIFS('1.DC_Ra soat'!$L:$L,'1.DC_Ra soat'!$F:$F,AN$4,'1.DC_Ra soat'!$I:$I,'1.BS (VND)'!$D26)</f>
        <v>0</v>
      </c>
      <c r="AO26" s="698">
        <f>SUMIFS('1.DC_Ra soat'!$L:$L,'1.DC_Ra soat'!$F:$F,AO$4,'1.DC_Ra soat'!$H:$H,'1.BS (VND)'!$D26)-SUMIFS('1.DC_Ra soat'!$L:$L,'1.DC_Ra soat'!$F:$F,AO$4,'1.DC_Ra soat'!$I:$I,'1.BS (VND)'!$D26)</f>
        <v>0</v>
      </c>
      <c r="AP26" s="698">
        <f>SUMIFS('1.DC_Ra soat'!$L:$L,'1.DC_Ra soat'!$F:$F,AP$4,'1.DC_Ra soat'!$H:$H,'1.BS (VND)'!$D26)-SUMIFS('1.DC_Ra soat'!$L:$L,'1.DC_Ra soat'!$F:$F,AP$4,'1.DC_Ra soat'!$I:$I,'1.BS (VND)'!$D26)</f>
        <v>0</v>
      </c>
      <c r="AQ26" s="698">
        <f>SUMIFS('1.DC_Ra soat'!$L:$L,'1.DC_Ra soat'!$F:$F,AQ$4,'1.DC_Ra soat'!$H:$H,'1.BS (VND)'!$D26)-SUMIFS('1.DC_Ra soat'!$L:$L,'1.DC_Ra soat'!$F:$F,AQ$4,'1.DC_Ra soat'!$I:$I,'1.BS (VND)'!$D26)</f>
        <v>0</v>
      </c>
      <c r="AR26" s="699"/>
      <c r="AS26" s="698">
        <f>SUMIFS('1.DC_Ra soat'!$L:$L,'1.DC_Ra soat'!$F:$F,AS$4,'1.DC_Ra soat'!$H:$H,'1.BS (VND)'!$D26)-SUMIFS('1.DC_Ra soat'!$L:$L,'1.DC_Ra soat'!$F:$F,AS$4,'1.DC_Ra soat'!$I:$I,'1.BS (VND)'!$D26)</f>
        <v>0</v>
      </c>
      <c r="AT26" s="698">
        <f>SUMIFS('1.DC_Ra soat'!$L:$L,'1.DC_Ra soat'!$F:$F,AT$4,'1.DC_Ra soat'!$H:$H,'1.BS (VND)'!$D26)-SUMIFS('1.DC_Ra soat'!$L:$L,'1.DC_Ra soat'!$F:$F,AT$4,'1.DC_Ra soat'!$I:$I,'1.BS (VND)'!$D26)</f>
        <v>0</v>
      </c>
      <c r="AU26" s="698">
        <f>SUMIFS('1.DC_Ra soat'!$L:$L,'1.DC_Ra soat'!$F:$F,AU$4,'1.DC_Ra soat'!$H:$H,'1.BS (VND)'!$D26)-SUMIFS('1.DC_Ra soat'!$L:$L,'1.DC_Ra soat'!$F:$F,AU$4,'1.DC_Ra soat'!$I:$I,'1.BS (VND)'!$D26)</f>
        <v>0</v>
      </c>
      <c r="AV26" s="698">
        <f>SUMIFS('1.DC_Ra soat'!$L:$L,'1.DC_Ra soat'!$F:$F,AV$4,'1.DC_Ra soat'!$H:$H,'1.BS (VND)'!$D26)-SUMIFS('1.DC_Ra soat'!$L:$L,'1.DC_Ra soat'!$F:$F,AV$4,'1.DC_Ra soat'!$I:$I,'1.BS (VND)'!$D26)</f>
        <v>0</v>
      </c>
      <c r="AW26" s="699"/>
      <c r="AX26" s="698">
        <f>SUMIFS('1.DC_Ra soat'!$L:$L,'1.DC_Ra soat'!$F:$F,'1.PL (VND) '!BC$4,'1.DC_Ra soat'!$H:$H,'1.BS (VND)'!$D26)-SUMIFS('1.DC_Ra soat'!$L:$L,'1.DC_Ra soat'!$F:$F,'1.PL (VND) '!BC$4,'1.DC_Ra soat'!$I:$I,'1.BS (VND)'!$D26)</f>
        <v>0</v>
      </c>
      <c r="AY26" s="698">
        <f>SUMIFS('1.DC_Ra soat'!$L:$L,'1.DC_Ra soat'!$F:$F,'1.PL (VND) '!BD$4,'1.DC_Ra soat'!$H:$H,'1.BS (VND)'!$D26)-SUMIFS('1.DC_Ra soat'!$L:$L,'1.DC_Ra soat'!$F:$F,'1.PL (VND) '!BD$4,'1.DC_Ra soat'!$I:$I,'1.BS (VND)'!$D26)</f>
        <v>0</v>
      </c>
      <c r="AZ26" s="698">
        <f>SUMIFS('1.DC_Ra soat'!$L:$L,'1.DC_Ra soat'!$F:$F,'1.PL (VND) '!BE$4,'1.DC_Ra soat'!$H:$H,'1.BS (VND)'!$D26)-SUMIFS('1.DC_Ra soat'!$L:$L,'1.DC_Ra soat'!$F:$F,'1.PL (VND) '!BE$4,'1.DC_Ra soat'!$I:$I,'1.BS (VND)'!$D26)</f>
        <v>0</v>
      </c>
      <c r="BA26" s="698">
        <f>SUMIFS('1.DC_Ra soat'!$L:$L,'1.DC_Ra soat'!$F:$F,'1.PL (VND) '!BF$4,'1.DC_Ra soat'!$H:$H,'1.BS (VND)'!$D26)-SUMIFS('1.DC_Ra soat'!$L:$L,'1.DC_Ra soat'!$F:$F,'1.PL (VND) '!BF$4,'1.DC_Ra soat'!$I:$I,'1.BS (VND)'!$D26)</f>
        <v>0</v>
      </c>
      <c r="BB26" s="699"/>
      <c r="BC26" s="698">
        <f>SUMIFS('1.DC_Ra soat'!$L:$L,'1.DC_Ra soat'!$F:$F,'1.PL (VND) '!BI$4,'1.DC_Ra soat'!$H:$H,'1.BS (VND)'!$D26)-SUMIFS('1.DC_Ra soat'!$L:$L,'1.DC_Ra soat'!$F:$F,'1.PL (VND) '!BI$4,'1.DC_Ra soat'!$I:$I,'1.BS (VND)'!$D26)</f>
        <v>0</v>
      </c>
      <c r="BD26" s="698">
        <f>SUMIFS('1.DC_Ra soat'!$L:$L,'1.DC_Ra soat'!$F:$F,'1.PL (VND) '!BJ$4,'1.DC_Ra soat'!$H:$H,'1.BS (VND)'!$D26)-SUMIFS('1.DC_Ra soat'!$L:$L,'1.DC_Ra soat'!$F:$F,'1.PL (VND) '!BJ$4,'1.DC_Ra soat'!$I:$I,'1.BS (VND)'!$D26)</f>
        <v>0</v>
      </c>
      <c r="BE26" s="698">
        <f>SUMIFS('1.DC_Ra soat'!$L:$L,'1.DC_Ra soat'!$F:$F,'1.PL (VND) '!BK$4,'1.DC_Ra soat'!$H:$H,'1.BS (VND)'!$D26)-SUMIFS('1.DC_Ra soat'!$L:$L,'1.DC_Ra soat'!$F:$F,'1.PL (VND) '!BK$4,'1.DC_Ra soat'!$I:$I,'1.BS (VND)'!$D26)</f>
        <v>0</v>
      </c>
      <c r="BF26" s="698">
        <f>SUMIFS('1.DC_Ra soat'!$L:$L,'1.DC_Ra soat'!$F:$F,'1.PL (VND) '!BL$4,'1.DC_Ra soat'!$H:$H,'1.BS (VND)'!$D26)-SUMIFS('1.DC_Ra soat'!$L:$L,'1.DC_Ra soat'!$F:$F,'1.PL (VND) '!BL$4,'1.DC_Ra soat'!$I:$I,'1.BS (VND)'!$D26)</f>
        <v>0</v>
      </c>
      <c r="BG26" s="699"/>
      <c r="BH26" s="698">
        <f>SUMIFS('1.DC_Ra soat'!$L:$L,'1.DC_Ra soat'!$F:$F,'1.PL (VND) '!BO$4,'1.DC_Ra soat'!$H:$H,'1.BS (VND)'!$D26)-SUMIFS('1.DC_Ra soat'!$L:$L,'1.DC_Ra soat'!$F:$F,'1.PL (VND) '!BO$4,'1.DC_Ra soat'!$I:$I,'1.BS (VND)'!$D26)</f>
        <v>0</v>
      </c>
      <c r="BI26" s="698">
        <f>SUMIFS('1.DC_Ra soat'!$L:$L,'1.DC_Ra soat'!$F:$F,'1.PL (VND) '!BP$4,'1.DC_Ra soat'!$H:$H,'1.BS (VND)'!$D26)-SUMIFS('1.DC_Ra soat'!$L:$L,'1.DC_Ra soat'!$F:$F,'1.PL (VND) '!BP$4,'1.DC_Ra soat'!$I:$I,'1.BS (VND)'!$D26)</f>
        <v>0</v>
      </c>
      <c r="BJ26" s="698">
        <f>SUMIFS('1.DC_Ra soat'!$L:$L,'1.DC_Ra soat'!$F:$F,'1.PL (VND) '!BQ$4,'1.DC_Ra soat'!$H:$H,'1.BS (VND)'!$D26)-SUMIFS('1.DC_Ra soat'!$L:$L,'1.DC_Ra soat'!$F:$F,'1.PL (VND) '!BQ$4,'1.DC_Ra soat'!$I:$I,'1.BS (VND)'!$D26)</f>
        <v>0</v>
      </c>
      <c r="BK26" s="698">
        <f>SUMIFS('1.DC_Ra soat'!$L:$L,'1.DC_Ra soat'!$F:$F,'1.PL (VND) '!BR$4,'1.DC_Ra soat'!$H:$H,'1.BS (VND)'!$D26)-SUMIFS('1.DC_Ra soat'!$L:$L,'1.DC_Ra soat'!$F:$F,'1.PL (VND) '!BR$4,'1.DC_Ra soat'!$I:$I,'1.BS (VND)'!$D26)</f>
        <v>0</v>
      </c>
      <c r="BM26" s="698">
        <f t="shared" si="5"/>
        <v>71470435598</v>
      </c>
      <c r="BN26" s="698">
        <f t="shared" si="6"/>
        <v>94021665814</v>
      </c>
      <c r="BO26" s="698">
        <f t="shared" si="7"/>
        <v>87198075833</v>
      </c>
      <c r="BP26" s="697">
        <f t="shared" si="8"/>
        <v>93350460761</v>
      </c>
      <c r="BQ26" s="699"/>
      <c r="BR26" s="698">
        <f t="shared" si="9"/>
        <v>0</v>
      </c>
      <c r="BS26" s="698">
        <f t="shared" si="10"/>
        <v>2536230470</v>
      </c>
      <c r="BT26" s="698">
        <f t="shared" si="11"/>
        <v>7524763890</v>
      </c>
      <c r="BU26" s="698">
        <f t="shared" si="12"/>
        <v>20812400135</v>
      </c>
      <c r="BV26" s="699"/>
      <c r="BW26" s="698">
        <f t="shared" si="13"/>
        <v>167223177</v>
      </c>
      <c r="BX26" s="698">
        <f t="shared" si="14"/>
        <v>4768423243</v>
      </c>
      <c r="BY26" s="698">
        <f t="shared" si="15"/>
        <v>15355885287</v>
      </c>
      <c r="BZ26" s="697">
        <f t="shared" si="16"/>
        <v>12734286994</v>
      </c>
      <c r="CA26" s="699"/>
      <c r="CB26" s="697">
        <f t="shared" si="17"/>
        <v>626307942</v>
      </c>
      <c r="CC26" s="697">
        <f t="shared" si="18"/>
        <v>2337958751</v>
      </c>
      <c r="CD26" s="697">
        <f t="shared" si="19"/>
        <v>4676268414</v>
      </c>
      <c r="CE26" s="697">
        <f t="shared" si="20"/>
        <v>4743729983</v>
      </c>
      <c r="CF26" s="699"/>
      <c r="CG26" s="697">
        <f t="shared" si="21"/>
        <v>0</v>
      </c>
      <c r="CH26" s="697">
        <f t="shared" si="22"/>
        <v>0</v>
      </c>
      <c r="CI26" s="697">
        <f t="shared" si="23"/>
        <v>0</v>
      </c>
      <c r="CJ26" s="697">
        <f t="shared" si="24"/>
        <v>0</v>
      </c>
      <c r="CK26" s="699"/>
      <c r="CL26" s="698">
        <f t="shared" si="25"/>
        <v>0</v>
      </c>
      <c r="CM26" s="698">
        <f t="shared" si="26"/>
        <v>0</v>
      </c>
      <c r="CN26" s="698">
        <f t="shared" si="27"/>
        <v>0</v>
      </c>
      <c r="CO26" s="697">
        <f t="shared" si="28"/>
        <v>0</v>
      </c>
      <c r="CQ26" s="698">
        <f>SUMIF('1.PL (VND) '!$BL$6:$CD$6,'1.PL (VND) '!CP$6,$BM26:$CE26)</f>
        <v>72263966717</v>
      </c>
      <c r="CR26" s="698">
        <f>SUMIF('1.PL (VND) '!$BL$6:$CD$6,'1.PL (VND) '!CQ$6,$BM26:$CE26)</f>
        <v>103664278278</v>
      </c>
      <c r="CS26" s="698">
        <f>SUMIF('1.PL (VND) '!$BL$6:$CD$6,'1.PL (VND) '!CR$6,$BM26:$CE26)</f>
        <v>114754993424</v>
      </c>
      <c r="CT26" s="698">
        <f>SUMIF('1.PL (VND) '!$BL$6:$CD$6,'1.PL (VND) '!CS$6,$BM26:$CE26)</f>
        <v>131640877873</v>
      </c>
      <c r="CV26" s="702">
        <f>SUMIFS('1.DC_Ra soat'!$L:$L,'1.DC_Ra soat'!$F:$F,'1.PL (VND) '!DK$4,'1.DC_Ra soat'!$H:$H,'1.BS (VND)'!$D26)-SUMIFS('1.DC_Ra soat'!$L:$L,'1.DC_Ra soat'!$F:$F,'1.PL (VND) '!DK$4,'1.DC_Ra soat'!$I:$I,'1.BS (VND)'!$D26)</f>
        <v>0</v>
      </c>
      <c r="CW26" s="702">
        <f>SUMIFS('1.DC_Ra soat'!$L:$L,'1.DC_Ra soat'!$F:$F,'1.PL (VND) '!DL$4,'1.DC_Ra soat'!$H:$H,'1.BS (VND)'!$D26)-SUMIFS('1.DC_Ra soat'!$L:$L,'1.DC_Ra soat'!$F:$F,'1.PL (VND) '!DL$4,'1.DC_Ra soat'!$I:$I,'1.BS (VND)'!$D26)</f>
        <v>0</v>
      </c>
      <c r="CX26" s="702">
        <f>SUMIFS('1.DC_Ra soat'!$L:$L,'1.DC_Ra soat'!$F:$F,'1.PL (VND) '!DM$4,'1.DC_Ra soat'!$H:$H,'1.BS (VND)'!$D26)-SUMIFS('1.DC_Ra soat'!$L:$L,'1.DC_Ra soat'!$F:$F,'1.PL (VND) '!DM$4,'1.DC_Ra soat'!$I:$I,'1.BS (VND)'!$D26)</f>
        <v>0</v>
      </c>
      <c r="CY26" s="702">
        <f>SUMIFS('1.DC_Ra soat'!$L:$L,'1.DC_Ra soat'!$F:$F,'1.PL (VND) '!DN$4,'1.DC_Ra soat'!$H:$H,'1.BS (VND)'!$D26)-SUMIFS('1.DC_Ra soat'!$L:$L,'1.DC_Ra soat'!$F:$F,'1.PL (VND) '!DN$4,'1.DC_Ra soat'!$I:$I,'1.BS (VND)'!$D26)</f>
        <v>0</v>
      </c>
      <c r="DA26" s="698">
        <f t="shared" si="30"/>
        <v>72263966717</v>
      </c>
      <c r="DB26" s="698">
        <f t="shared" si="31"/>
        <v>103664278278</v>
      </c>
      <c r="DC26" s="698">
        <f t="shared" si="32"/>
        <v>114754993424</v>
      </c>
      <c r="DD26" s="698">
        <f t="shared" si="33"/>
        <v>131640877873</v>
      </c>
      <c r="DH26" s="701"/>
    </row>
    <row r="27" spans="1:112" s="700" customFormat="1" x14ac:dyDescent="0.25">
      <c r="A27" s="248" t="str">
        <f t="shared" si="40"/>
        <v>hide</v>
      </c>
      <c r="C27" s="703" t="s">
        <v>329</v>
      </c>
      <c r="D27" s="704" t="s">
        <v>330</v>
      </c>
      <c r="E27" s="721"/>
      <c r="F27" s="721"/>
      <c r="G27" s="721"/>
      <c r="H27" s="722"/>
      <c r="I27" s="699"/>
      <c r="J27" s="698"/>
      <c r="K27" s="698"/>
      <c r="L27" s="698"/>
      <c r="M27" s="241">
        <v>0</v>
      </c>
      <c r="N27" s="699"/>
      <c r="O27" s="698">
        <v>0</v>
      </c>
      <c r="P27" s="698">
        <v>0</v>
      </c>
      <c r="Q27" s="698">
        <v>0</v>
      </c>
      <c r="R27" s="698"/>
      <c r="S27" s="699"/>
      <c r="T27" s="698"/>
      <c r="U27" s="698"/>
      <c r="V27" s="698"/>
      <c r="W27" s="698"/>
      <c r="X27" s="699"/>
      <c r="Y27" s="698"/>
      <c r="Z27" s="698"/>
      <c r="AA27" s="698"/>
      <c r="AB27" s="698"/>
      <c r="AC27" s="699"/>
      <c r="AD27" s="698"/>
      <c r="AE27" s="698"/>
      <c r="AF27" s="698"/>
      <c r="AG27" s="698"/>
      <c r="AI27" s="698">
        <f>SUMIFS('1.DC_Ra soat'!$L:$L,'1.DC_Ra soat'!$F:$F,AI$4,'1.DC_Ra soat'!$H:$H,'1.BS (VND)'!$D27)-SUMIFS('1.DC_Ra soat'!$L:$L,'1.DC_Ra soat'!$F:$F,AI$4,'1.DC_Ra soat'!$I:$I,'1.BS (VND)'!$D27)</f>
        <v>0</v>
      </c>
      <c r="AJ27" s="698">
        <f>SUMIFS('1.DC_Ra soat'!$L:$L,'1.DC_Ra soat'!$F:$F,AJ$4,'1.DC_Ra soat'!$H:$H,'1.BS (VND)'!$D27)-SUMIFS('1.DC_Ra soat'!$L:$L,'1.DC_Ra soat'!$F:$F,AJ$4,'1.DC_Ra soat'!$I:$I,'1.BS (VND)'!$D27)</f>
        <v>0</v>
      </c>
      <c r="AK27" s="698">
        <f>SUMIFS('1.DC_Ra soat'!$L:$L,'1.DC_Ra soat'!$F:$F,AK$4,'1.DC_Ra soat'!$H:$H,'1.BS (VND)'!$D27)-SUMIFS('1.DC_Ra soat'!$L:$L,'1.DC_Ra soat'!$F:$F,AK$4,'1.DC_Ra soat'!$I:$I,'1.BS (VND)'!$D27)</f>
        <v>0</v>
      </c>
      <c r="AL27" s="698">
        <f>SUMIFS('1.DC_Ra soat'!$L:$L,'1.DC_Ra soat'!$F:$F,AL$4,'1.DC_Ra soat'!$H:$H,'1.BS (VND)'!$D27)-SUMIFS('1.DC_Ra soat'!$L:$L,'1.DC_Ra soat'!$F:$F,AL$4,'1.DC_Ra soat'!$I:$I,'1.BS (VND)'!$D27)</f>
        <v>0</v>
      </c>
      <c r="AM27" s="699"/>
      <c r="AN27" s="698">
        <f>SUMIFS('1.DC_Ra soat'!$L:$L,'1.DC_Ra soat'!$F:$F,AN$4,'1.DC_Ra soat'!$H:$H,'1.BS (VND)'!$D27)-SUMIFS('1.DC_Ra soat'!$L:$L,'1.DC_Ra soat'!$F:$F,AN$4,'1.DC_Ra soat'!$I:$I,'1.BS (VND)'!$D27)</f>
        <v>0</v>
      </c>
      <c r="AO27" s="698">
        <f>SUMIFS('1.DC_Ra soat'!$L:$L,'1.DC_Ra soat'!$F:$F,AO$4,'1.DC_Ra soat'!$H:$H,'1.BS (VND)'!$D27)-SUMIFS('1.DC_Ra soat'!$L:$L,'1.DC_Ra soat'!$F:$F,AO$4,'1.DC_Ra soat'!$I:$I,'1.BS (VND)'!$D27)</f>
        <v>0</v>
      </c>
      <c r="AP27" s="698">
        <f>SUMIFS('1.DC_Ra soat'!$L:$L,'1.DC_Ra soat'!$F:$F,AP$4,'1.DC_Ra soat'!$H:$H,'1.BS (VND)'!$D27)-SUMIFS('1.DC_Ra soat'!$L:$L,'1.DC_Ra soat'!$F:$F,AP$4,'1.DC_Ra soat'!$I:$I,'1.BS (VND)'!$D27)</f>
        <v>0</v>
      </c>
      <c r="AQ27" s="698">
        <f>SUMIFS('1.DC_Ra soat'!$L:$L,'1.DC_Ra soat'!$F:$F,AQ$4,'1.DC_Ra soat'!$H:$H,'1.BS (VND)'!$D27)-SUMIFS('1.DC_Ra soat'!$L:$L,'1.DC_Ra soat'!$F:$F,AQ$4,'1.DC_Ra soat'!$I:$I,'1.BS (VND)'!$D27)</f>
        <v>0</v>
      </c>
      <c r="AR27" s="699"/>
      <c r="AS27" s="698">
        <f>SUMIFS('1.DC_Ra soat'!$L:$L,'1.DC_Ra soat'!$F:$F,AS$4,'1.DC_Ra soat'!$H:$H,'1.BS (VND)'!$D27)-SUMIFS('1.DC_Ra soat'!$L:$L,'1.DC_Ra soat'!$F:$F,AS$4,'1.DC_Ra soat'!$I:$I,'1.BS (VND)'!$D27)</f>
        <v>0</v>
      </c>
      <c r="AT27" s="698">
        <f>SUMIFS('1.DC_Ra soat'!$L:$L,'1.DC_Ra soat'!$F:$F,AT$4,'1.DC_Ra soat'!$H:$H,'1.BS (VND)'!$D27)-SUMIFS('1.DC_Ra soat'!$L:$L,'1.DC_Ra soat'!$F:$F,AT$4,'1.DC_Ra soat'!$I:$I,'1.BS (VND)'!$D27)</f>
        <v>0</v>
      </c>
      <c r="AU27" s="698">
        <f>SUMIFS('1.DC_Ra soat'!$L:$L,'1.DC_Ra soat'!$F:$F,AU$4,'1.DC_Ra soat'!$H:$H,'1.BS (VND)'!$D27)-SUMIFS('1.DC_Ra soat'!$L:$L,'1.DC_Ra soat'!$F:$F,AU$4,'1.DC_Ra soat'!$I:$I,'1.BS (VND)'!$D27)</f>
        <v>0</v>
      </c>
      <c r="AV27" s="698">
        <f>SUMIFS('1.DC_Ra soat'!$L:$L,'1.DC_Ra soat'!$F:$F,AV$4,'1.DC_Ra soat'!$H:$H,'1.BS (VND)'!$D27)-SUMIFS('1.DC_Ra soat'!$L:$L,'1.DC_Ra soat'!$F:$F,AV$4,'1.DC_Ra soat'!$I:$I,'1.BS (VND)'!$D27)</f>
        <v>0</v>
      </c>
      <c r="AW27" s="699"/>
      <c r="AX27" s="698">
        <f>SUMIFS('1.DC_Ra soat'!$L:$L,'1.DC_Ra soat'!$F:$F,'1.PL (VND) '!BC$4,'1.DC_Ra soat'!$H:$H,'1.BS (VND)'!$D27)-SUMIFS('1.DC_Ra soat'!$L:$L,'1.DC_Ra soat'!$F:$F,'1.PL (VND) '!BC$4,'1.DC_Ra soat'!$I:$I,'1.BS (VND)'!$D27)</f>
        <v>0</v>
      </c>
      <c r="AY27" s="698">
        <f>SUMIFS('1.DC_Ra soat'!$L:$L,'1.DC_Ra soat'!$F:$F,'1.PL (VND) '!BD$4,'1.DC_Ra soat'!$H:$H,'1.BS (VND)'!$D27)-SUMIFS('1.DC_Ra soat'!$L:$L,'1.DC_Ra soat'!$F:$F,'1.PL (VND) '!BD$4,'1.DC_Ra soat'!$I:$I,'1.BS (VND)'!$D27)</f>
        <v>0</v>
      </c>
      <c r="AZ27" s="698">
        <f>SUMIFS('1.DC_Ra soat'!$L:$L,'1.DC_Ra soat'!$F:$F,'1.PL (VND) '!BE$4,'1.DC_Ra soat'!$H:$H,'1.BS (VND)'!$D27)-SUMIFS('1.DC_Ra soat'!$L:$L,'1.DC_Ra soat'!$F:$F,'1.PL (VND) '!BE$4,'1.DC_Ra soat'!$I:$I,'1.BS (VND)'!$D27)</f>
        <v>0</v>
      </c>
      <c r="BA27" s="698">
        <f>SUMIFS('1.DC_Ra soat'!$L:$L,'1.DC_Ra soat'!$F:$F,'1.PL (VND) '!BF$4,'1.DC_Ra soat'!$H:$H,'1.BS (VND)'!$D27)-SUMIFS('1.DC_Ra soat'!$L:$L,'1.DC_Ra soat'!$F:$F,'1.PL (VND) '!BF$4,'1.DC_Ra soat'!$I:$I,'1.BS (VND)'!$D27)</f>
        <v>0</v>
      </c>
      <c r="BB27" s="699"/>
      <c r="BC27" s="698">
        <f>SUMIFS('1.DC_Ra soat'!$L:$L,'1.DC_Ra soat'!$F:$F,'1.PL (VND) '!BI$4,'1.DC_Ra soat'!$H:$H,'1.BS (VND)'!$D27)-SUMIFS('1.DC_Ra soat'!$L:$L,'1.DC_Ra soat'!$F:$F,'1.PL (VND) '!BI$4,'1.DC_Ra soat'!$I:$I,'1.BS (VND)'!$D27)</f>
        <v>0</v>
      </c>
      <c r="BD27" s="698">
        <f>SUMIFS('1.DC_Ra soat'!$L:$L,'1.DC_Ra soat'!$F:$F,'1.PL (VND) '!BJ$4,'1.DC_Ra soat'!$H:$H,'1.BS (VND)'!$D27)-SUMIFS('1.DC_Ra soat'!$L:$L,'1.DC_Ra soat'!$F:$F,'1.PL (VND) '!BJ$4,'1.DC_Ra soat'!$I:$I,'1.BS (VND)'!$D27)</f>
        <v>0</v>
      </c>
      <c r="BE27" s="698">
        <f>SUMIFS('1.DC_Ra soat'!$L:$L,'1.DC_Ra soat'!$F:$F,'1.PL (VND) '!BK$4,'1.DC_Ra soat'!$H:$H,'1.BS (VND)'!$D27)-SUMIFS('1.DC_Ra soat'!$L:$L,'1.DC_Ra soat'!$F:$F,'1.PL (VND) '!BK$4,'1.DC_Ra soat'!$I:$I,'1.BS (VND)'!$D27)</f>
        <v>0</v>
      </c>
      <c r="BF27" s="698">
        <f>SUMIFS('1.DC_Ra soat'!$L:$L,'1.DC_Ra soat'!$F:$F,'1.PL (VND) '!BL$4,'1.DC_Ra soat'!$H:$H,'1.BS (VND)'!$D27)-SUMIFS('1.DC_Ra soat'!$L:$L,'1.DC_Ra soat'!$F:$F,'1.PL (VND) '!BL$4,'1.DC_Ra soat'!$I:$I,'1.BS (VND)'!$D27)</f>
        <v>0</v>
      </c>
      <c r="BG27" s="699"/>
      <c r="BH27" s="698">
        <f>SUMIFS('1.DC_Ra soat'!$L:$L,'1.DC_Ra soat'!$F:$F,'1.PL (VND) '!BO$4,'1.DC_Ra soat'!$H:$H,'1.BS (VND)'!$D27)-SUMIFS('1.DC_Ra soat'!$L:$L,'1.DC_Ra soat'!$F:$F,'1.PL (VND) '!BO$4,'1.DC_Ra soat'!$I:$I,'1.BS (VND)'!$D27)</f>
        <v>0</v>
      </c>
      <c r="BI27" s="698">
        <f>SUMIFS('1.DC_Ra soat'!$L:$L,'1.DC_Ra soat'!$F:$F,'1.PL (VND) '!BP$4,'1.DC_Ra soat'!$H:$H,'1.BS (VND)'!$D27)-SUMIFS('1.DC_Ra soat'!$L:$L,'1.DC_Ra soat'!$F:$F,'1.PL (VND) '!BP$4,'1.DC_Ra soat'!$I:$I,'1.BS (VND)'!$D27)</f>
        <v>0</v>
      </c>
      <c r="BJ27" s="698">
        <f>SUMIFS('1.DC_Ra soat'!$L:$L,'1.DC_Ra soat'!$F:$F,'1.PL (VND) '!BQ$4,'1.DC_Ra soat'!$H:$H,'1.BS (VND)'!$D27)-SUMIFS('1.DC_Ra soat'!$L:$L,'1.DC_Ra soat'!$F:$F,'1.PL (VND) '!BQ$4,'1.DC_Ra soat'!$I:$I,'1.BS (VND)'!$D27)</f>
        <v>0</v>
      </c>
      <c r="BK27" s="698">
        <f>SUMIFS('1.DC_Ra soat'!$L:$L,'1.DC_Ra soat'!$F:$F,'1.PL (VND) '!BR$4,'1.DC_Ra soat'!$H:$H,'1.BS (VND)'!$D27)-SUMIFS('1.DC_Ra soat'!$L:$L,'1.DC_Ra soat'!$F:$F,'1.PL (VND) '!BR$4,'1.DC_Ra soat'!$I:$I,'1.BS (VND)'!$D27)</f>
        <v>0</v>
      </c>
      <c r="BM27" s="698">
        <f t="shared" si="5"/>
        <v>0</v>
      </c>
      <c r="BN27" s="698">
        <f t="shared" si="6"/>
        <v>0</v>
      </c>
      <c r="BO27" s="698">
        <f t="shared" si="7"/>
        <v>0</v>
      </c>
      <c r="BP27" s="697">
        <f t="shared" si="8"/>
        <v>0</v>
      </c>
      <c r="BQ27" s="699"/>
      <c r="BR27" s="698">
        <f t="shared" si="9"/>
        <v>0</v>
      </c>
      <c r="BS27" s="698">
        <f t="shared" si="10"/>
        <v>0</v>
      </c>
      <c r="BT27" s="698">
        <f t="shared" si="11"/>
        <v>0</v>
      </c>
      <c r="BU27" s="698">
        <f t="shared" si="12"/>
        <v>0</v>
      </c>
      <c r="BV27" s="699"/>
      <c r="BW27" s="698">
        <f t="shared" si="13"/>
        <v>0</v>
      </c>
      <c r="BX27" s="698">
        <f t="shared" si="14"/>
        <v>0</v>
      </c>
      <c r="BY27" s="698">
        <f t="shared" si="15"/>
        <v>0</v>
      </c>
      <c r="BZ27" s="697">
        <f t="shared" si="16"/>
        <v>0</v>
      </c>
      <c r="CA27" s="699"/>
      <c r="CB27" s="697">
        <f t="shared" si="17"/>
        <v>0</v>
      </c>
      <c r="CC27" s="697">
        <f t="shared" si="18"/>
        <v>0</v>
      </c>
      <c r="CD27" s="697">
        <f t="shared" si="19"/>
        <v>0</v>
      </c>
      <c r="CE27" s="697">
        <f t="shared" si="20"/>
        <v>0</v>
      </c>
      <c r="CF27" s="699"/>
      <c r="CG27" s="697">
        <f t="shared" si="21"/>
        <v>0</v>
      </c>
      <c r="CH27" s="697">
        <f t="shared" si="22"/>
        <v>0</v>
      </c>
      <c r="CI27" s="697">
        <f t="shared" si="23"/>
        <v>0</v>
      </c>
      <c r="CJ27" s="697">
        <f t="shared" si="24"/>
        <v>0</v>
      </c>
      <c r="CK27" s="699"/>
      <c r="CL27" s="698">
        <f t="shared" si="25"/>
        <v>0</v>
      </c>
      <c r="CM27" s="698">
        <f t="shared" si="26"/>
        <v>0</v>
      </c>
      <c r="CN27" s="698">
        <f t="shared" si="27"/>
        <v>0</v>
      </c>
      <c r="CO27" s="697">
        <f t="shared" si="28"/>
        <v>0</v>
      </c>
      <c r="CQ27" s="698">
        <f>SUMIF('1.PL (VND) '!$BL$6:$CD$6,'1.PL (VND) '!CP$6,$BM27:$CE27)</f>
        <v>0</v>
      </c>
      <c r="CR27" s="698">
        <f>SUMIF('1.PL (VND) '!$BL$6:$CD$6,'1.PL (VND) '!CQ$6,$BM27:$CE27)</f>
        <v>0</v>
      </c>
      <c r="CS27" s="698">
        <f>SUMIF('1.PL (VND) '!$BL$6:$CD$6,'1.PL (VND) '!CR$6,$BM27:$CE27)</f>
        <v>0</v>
      </c>
      <c r="CT27" s="698">
        <f>SUMIF('1.PL (VND) '!$BL$6:$CD$6,'1.PL (VND) '!CS$6,$BM27:$CE27)</f>
        <v>0</v>
      </c>
      <c r="CV27" s="702">
        <f>SUMIFS('1.DC_Ra soat'!$L:$L,'1.DC_Ra soat'!$F:$F,'1.PL (VND) '!DK$4,'1.DC_Ra soat'!$H:$H,'1.BS (VND)'!$D27)-SUMIFS('1.DC_Ra soat'!$L:$L,'1.DC_Ra soat'!$F:$F,'1.PL (VND) '!DK$4,'1.DC_Ra soat'!$I:$I,'1.BS (VND)'!$D27)</f>
        <v>0</v>
      </c>
      <c r="CW27" s="702">
        <f>SUMIFS('1.DC_Ra soat'!$L:$L,'1.DC_Ra soat'!$F:$F,'1.PL (VND) '!DL$4,'1.DC_Ra soat'!$H:$H,'1.BS (VND)'!$D27)-SUMIFS('1.DC_Ra soat'!$L:$L,'1.DC_Ra soat'!$F:$F,'1.PL (VND) '!DL$4,'1.DC_Ra soat'!$I:$I,'1.BS (VND)'!$D27)</f>
        <v>0</v>
      </c>
      <c r="CX27" s="702">
        <f>SUMIFS('1.DC_Ra soat'!$L:$L,'1.DC_Ra soat'!$F:$F,'1.PL (VND) '!DM$4,'1.DC_Ra soat'!$H:$H,'1.BS (VND)'!$D27)-SUMIFS('1.DC_Ra soat'!$L:$L,'1.DC_Ra soat'!$F:$F,'1.PL (VND) '!DM$4,'1.DC_Ra soat'!$I:$I,'1.BS (VND)'!$D27)</f>
        <v>0</v>
      </c>
      <c r="CY27" s="702">
        <f>SUMIFS('1.DC_Ra soat'!$L:$L,'1.DC_Ra soat'!$F:$F,'1.PL (VND) '!DN$4,'1.DC_Ra soat'!$H:$H,'1.BS (VND)'!$D27)-SUMIFS('1.DC_Ra soat'!$L:$L,'1.DC_Ra soat'!$F:$F,'1.PL (VND) '!DN$4,'1.DC_Ra soat'!$I:$I,'1.BS (VND)'!$D27)</f>
        <v>0</v>
      </c>
      <c r="DA27" s="698">
        <f t="shared" si="30"/>
        <v>0</v>
      </c>
      <c r="DB27" s="698">
        <f t="shared" si="31"/>
        <v>0</v>
      </c>
      <c r="DC27" s="698">
        <f t="shared" si="32"/>
        <v>0</v>
      </c>
      <c r="DD27" s="698">
        <f t="shared" si="33"/>
        <v>0</v>
      </c>
      <c r="DH27" s="701"/>
    </row>
    <row r="28" spans="1:112" s="248" customFormat="1" x14ac:dyDescent="0.25">
      <c r="A28" s="248">
        <f t="shared" si="40"/>
        <v>1</v>
      </c>
      <c r="C28" s="259" t="s">
        <v>331</v>
      </c>
      <c r="D28" s="260" t="s">
        <v>332</v>
      </c>
      <c r="E28" s="719">
        <f>SUM(E29:E33)</f>
        <v>4512455910</v>
      </c>
      <c r="F28" s="719">
        <f>SUM(F29:F33)</f>
        <v>6057181394</v>
      </c>
      <c r="G28" s="719">
        <f>SUM(G29:G33)</f>
        <v>7122325693</v>
      </c>
      <c r="H28" s="720">
        <f>H29+H30+H31+H32+H33</f>
        <v>6442998521</v>
      </c>
      <c r="I28" s="230"/>
      <c r="J28" s="241">
        <f>SUM(J29:J33)</f>
        <v>2800000</v>
      </c>
      <c r="K28" s="241">
        <f>SUM(K29:K33)</f>
        <v>2363340916</v>
      </c>
      <c r="L28" s="241">
        <f>SUM(L29:L33)</f>
        <v>3697622309</v>
      </c>
      <c r="M28" s="241">
        <f>SUM(M29:M33)</f>
        <v>3053393722</v>
      </c>
      <c r="N28" s="230"/>
      <c r="O28" s="241">
        <f>SUM(O29:O33)</f>
        <v>556487476</v>
      </c>
      <c r="P28" s="241">
        <f>SUM(P29:P33)</f>
        <v>875407834</v>
      </c>
      <c r="Q28" s="241">
        <f>SUM(Q29:Q33)</f>
        <v>1601825290</v>
      </c>
      <c r="R28" s="241">
        <f>SUM(R29:R33)</f>
        <v>1198472032</v>
      </c>
      <c r="S28" s="230"/>
      <c r="T28" s="241">
        <f>SUM(T29:T33)</f>
        <v>25942750</v>
      </c>
      <c r="U28" s="241">
        <f t="shared" ref="U28:W28" si="49">SUM(U29:U33)</f>
        <v>1310705180</v>
      </c>
      <c r="V28" s="241">
        <f t="shared" si="49"/>
        <v>1419259129</v>
      </c>
      <c r="W28" s="241">
        <f t="shared" si="49"/>
        <v>1365772395</v>
      </c>
      <c r="X28" s="230"/>
      <c r="Y28" s="241">
        <f>SUM(Y29:Y33)</f>
        <v>0</v>
      </c>
      <c r="Z28" s="241">
        <f>SUM(Z29:Z33)</f>
        <v>0</v>
      </c>
      <c r="AA28" s="241">
        <f>SUM(AA29:AA33)</f>
        <v>0</v>
      </c>
      <c r="AB28" s="241"/>
      <c r="AC28" s="230"/>
      <c r="AD28" s="241">
        <f>SUM(AD29:AD33)</f>
        <v>0</v>
      </c>
      <c r="AE28" s="241">
        <f>SUM(AE29:AE33)</f>
        <v>0</v>
      </c>
      <c r="AF28" s="241">
        <f>SUM(AF29:AF33)</f>
        <v>0</v>
      </c>
      <c r="AG28" s="241">
        <f>SUM(AG29:AG33)</f>
        <v>0</v>
      </c>
      <c r="AI28" s="249">
        <f>SUM(AI29:AI33)</f>
        <v>0</v>
      </c>
      <c r="AJ28" s="249">
        <f>SUM(AJ29:AJ33)</f>
        <v>0</v>
      </c>
      <c r="AK28" s="249">
        <f>SUM(AK29:AK33)</f>
        <v>0</v>
      </c>
      <c r="AL28" s="249">
        <f t="shared" ref="AL28" si="50">SUM(AL29:AL33)</f>
        <v>0</v>
      </c>
      <c r="AM28" s="230"/>
      <c r="AN28" s="249">
        <f>SUM(AN29:AN33)</f>
        <v>0</v>
      </c>
      <c r="AO28" s="249">
        <f>SUM(AO29:AO33)</f>
        <v>0</v>
      </c>
      <c r="AP28" s="249">
        <f>SUM(AP29:AP33)</f>
        <v>-741540549</v>
      </c>
      <c r="AQ28" s="249">
        <f t="shared" ref="AQ28" si="51">SUM(AQ29:AQ33)</f>
        <v>0</v>
      </c>
      <c r="AR28" s="230"/>
      <c r="AS28" s="249">
        <f>SUM(AS29:AS33)</f>
        <v>0</v>
      </c>
      <c r="AT28" s="249">
        <f>SUM(AT29:AT33)</f>
        <v>0</v>
      </c>
      <c r="AU28" s="249">
        <f>SUM(AU29:AU33)</f>
        <v>0</v>
      </c>
      <c r="AV28" s="249">
        <f t="shared" ref="AV28" si="52">SUM(AV29:AV33)</f>
        <v>0</v>
      </c>
      <c r="AW28" s="230"/>
      <c r="AX28" s="249">
        <f>SUM(AX29:AX33)</f>
        <v>0</v>
      </c>
      <c r="AY28" s="249">
        <f>SUM(AY29:AY33)</f>
        <v>0</v>
      </c>
      <c r="AZ28" s="249">
        <f>SUM(AZ29:AZ33)</f>
        <v>0</v>
      </c>
      <c r="BA28" s="249">
        <f>SUM(BA29:BA33)</f>
        <v>0</v>
      </c>
      <c r="BB28" s="230"/>
      <c r="BC28" s="249">
        <f>SUM(BC29:BC33)</f>
        <v>0</v>
      </c>
      <c r="BD28" s="249">
        <f>SUM(BD29:BD33)</f>
        <v>0</v>
      </c>
      <c r="BE28" s="249">
        <f>SUM(BE29:BE33)</f>
        <v>0</v>
      </c>
      <c r="BF28" s="249">
        <f>SUM(BF29:BF33)</f>
        <v>0</v>
      </c>
      <c r="BG28" s="230"/>
      <c r="BH28" s="249">
        <f>SUM(BH29:BH33)</f>
        <v>0</v>
      </c>
      <c r="BI28" s="249">
        <f>SUM(BI29:BI33)</f>
        <v>0</v>
      </c>
      <c r="BJ28" s="249">
        <f>SUM(BJ29:BJ33)</f>
        <v>0</v>
      </c>
      <c r="BK28" s="249">
        <f t="shared" ref="BK28" si="53">SUM(BK29:BK33)</f>
        <v>0</v>
      </c>
      <c r="BM28" s="241">
        <f t="shared" si="5"/>
        <v>4512455910</v>
      </c>
      <c r="BN28" s="241">
        <f t="shared" si="6"/>
        <v>6057181394</v>
      </c>
      <c r="BO28" s="241">
        <f t="shared" si="7"/>
        <v>7122325693</v>
      </c>
      <c r="BP28" s="241">
        <f t="shared" si="8"/>
        <v>6442998521</v>
      </c>
      <c r="BQ28" s="230"/>
      <c r="BR28" s="241">
        <f t="shared" si="9"/>
        <v>2800000</v>
      </c>
      <c r="BS28" s="241">
        <f t="shared" si="10"/>
        <v>2363340916</v>
      </c>
      <c r="BT28" s="241">
        <f t="shared" si="11"/>
        <v>2956081760</v>
      </c>
      <c r="BU28" s="241">
        <f t="shared" si="12"/>
        <v>3053393722</v>
      </c>
      <c r="BV28" s="230"/>
      <c r="BW28" s="241">
        <f t="shared" si="13"/>
        <v>556487476</v>
      </c>
      <c r="BX28" s="241">
        <f t="shared" si="14"/>
        <v>875407834</v>
      </c>
      <c r="BY28" s="241">
        <f t="shared" si="15"/>
        <v>1601825290</v>
      </c>
      <c r="BZ28" s="241">
        <f t="shared" si="16"/>
        <v>1198472032</v>
      </c>
      <c r="CA28" s="230"/>
      <c r="CB28" s="241">
        <f t="shared" si="17"/>
        <v>25942750</v>
      </c>
      <c r="CC28" s="241">
        <f t="shared" si="18"/>
        <v>1310705180</v>
      </c>
      <c r="CD28" s="241">
        <f t="shared" si="19"/>
        <v>1419259129</v>
      </c>
      <c r="CE28" s="241">
        <f t="shared" si="20"/>
        <v>1365772395</v>
      </c>
      <c r="CF28" s="230"/>
      <c r="CG28" s="241">
        <f t="shared" si="21"/>
        <v>0</v>
      </c>
      <c r="CH28" s="241">
        <f t="shared" si="22"/>
        <v>0</v>
      </c>
      <c r="CI28" s="241">
        <f t="shared" si="23"/>
        <v>0</v>
      </c>
      <c r="CJ28" s="241">
        <f t="shared" si="24"/>
        <v>0</v>
      </c>
      <c r="CK28" s="230"/>
      <c r="CL28" s="241">
        <f t="shared" si="25"/>
        <v>0</v>
      </c>
      <c r="CM28" s="241">
        <f t="shared" si="26"/>
        <v>0</v>
      </c>
      <c r="CN28" s="241">
        <f t="shared" si="27"/>
        <v>0</v>
      </c>
      <c r="CO28" s="241">
        <f t="shared" si="28"/>
        <v>0</v>
      </c>
      <c r="CQ28" s="241">
        <f>SUMIF('1.PL (VND) '!$BL$6:$CD$6,'1.PL (VND) '!CP$6,$BM28:$CE28)</f>
        <v>5097686136</v>
      </c>
      <c r="CR28" s="241">
        <f>SUMIF('1.PL (VND) '!$BL$6:$CD$6,'1.PL (VND) '!CQ$6,$BM28:$CE28)</f>
        <v>10606635324</v>
      </c>
      <c r="CS28" s="241">
        <f>SUMIF('1.PL (VND) '!$BL$6:$CD$6,'1.PL (VND) '!CR$6,$BM28:$CE28)</f>
        <v>13099491872</v>
      </c>
      <c r="CT28" s="241">
        <f>SUMIF('1.PL (VND) '!$BL$6:$CD$6,'1.PL (VND) '!CS$6,$BM28:$CE28)</f>
        <v>12060636670</v>
      </c>
      <c r="CV28" s="251">
        <f>SUM(CV29:CV33)</f>
        <v>0</v>
      </c>
      <c r="CW28" s="251">
        <f>SUM(CW29:CW33)</f>
        <v>0</v>
      </c>
      <c r="CX28" s="251">
        <f>SUM(CX29:CX33)</f>
        <v>0</v>
      </c>
      <c r="CY28" s="251"/>
      <c r="DA28" s="241">
        <f t="shared" si="30"/>
        <v>5097686136</v>
      </c>
      <c r="DB28" s="241">
        <f t="shared" si="31"/>
        <v>10606635324</v>
      </c>
      <c r="DC28" s="241">
        <f t="shared" si="32"/>
        <v>13099491872</v>
      </c>
      <c r="DD28" s="241">
        <f t="shared" si="33"/>
        <v>12060636670</v>
      </c>
      <c r="DH28" s="245"/>
    </row>
    <row r="29" spans="1:112" s="700" customFormat="1" x14ac:dyDescent="0.25">
      <c r="A29" s="248">
        <f t="shared" si="40"/>
        <v>1</v>
      </c>
      <c r="C29" s="703" t="s">
        <v>333</v>
      </c>
      <c r="D29" s="704" t="s">
        <v>334</v>
      </c>
      <c r="E29" s="721"/>
      <c r="F29" s="721"/>
      <c r="G29" s="721"/>
      <c r="H29" s="722"/>
      <c r="I29" s="699"/>
      <c r="J29" s="698"/>
      <c r="K29" s="698"/>
      <c r="L29" s="698"/>
      <c r="M29" s="241"/>
      <c r="N29" s="699"/>
      <c r="O29" s="698"/>
      <c r="P29" s="698"/>
      <c r="Q29" s="698"/>
      <c r="R29" s="698"/>
      <c r="S29" s="699"/>
      <c r="T29" s="698"/>
      <c r="U29" s="698"/>
      <c r="V29" s="698"/>
      <c r="W29" s="698"/>
      <c r="X29" s="699"/>
      <c r="Y29" s="698"/>
      <c r="Z29" s="698"/>
      <c r="AA29" s="698"/>
      <c r="AB29" s="698"/>
      <c r="AC29" s="699"/>
      <c r="AD29" s="698"/>
      <c r="AE29" s="698"/>
      <c r="AF29" s="698"/>
      <c r="AG29" s="698"/>
      <c r="AI29" s="698">
        <f>SUMIFS('1.DC_Ra soat'!$L:$L,'1.DC_Ra soat'!$F:$F,AI$4,'1.DC_Ra soat'!$H:$H,'1.BS (VND)'!$D29)-SUMIFS('1.DC_Ra soat'!$L:$L,'1.DC_Ra soat'!$F:$F,AI$4,'1.DC_Ra soat'!$I:$I,'1.BS (VND)'!$D29)</f>
        <v>0</v>
      </c>
      <c r="AJ29" s="698">
        <f>SUMIFS('1.DC_Ra soat'!$L:$L,'1.DC_Ra soat'!$F:$F,AJ$4,'1.DC_Ra soat'!$H:$H,'1.BS (VND)'!$D29)-SUMIFS('1.DC_Ra soat'!$L:$L,'1.DC_Ra soat'!$F:$F,AJ$4,'1.DC_Ra soat'!$I:$I,'1.BS (VND)'!$D29)</f>
        <v>0</v>
      </c>
      <c r="AK29" s="698">
        <f>SUMIFS('1.DC_Ra soat'!$L:$L,'1.DC_Ra soat'!$F:$F,AK$4,'1.DC_Ra soat'!$H:$H,'1.BS (VND)'!$D29)-SUMIFS('1.DC_Ra soat'!$L:$L,'1.DC_Ra soat'!$F:$F,AK$4,'1.DC_Ra soat'!$I:$I,'1.BS (VND)'!$D29)</f>
        <v>0</v>
      </c>
      <c r="AL29" s="698">
        <f>SUMIFS('1.DC_Ra soat'!$L:$L,'1.DC_Ra soat'!$F:$F,AL$4,'1.DC_Ra soat'!$H:$H,'1.BS (VND)'!$D29)-SUMIFS('1.DC_Ra soat'!$L:$L,'1.DC_Ra soat'!$F:$F,AL$4,'1.DC_Ra soat'!$I:$I,'1.BS (VND)'!$D29)</f>
        <v>0</v>
      </c>
      <c r="AM29" s="699"/>
      <c r="AN29" s="698">
        <f>SUMIFS('1.DC_Ra soat'!$L:$L,'1.DC_Ra soat'!$F:$F,AN$4,'1.DC_Ra soat'!$H:$H,'1.BS (VND)'!$D29)-SUMIFS('1.DC_Ra soat'!$L:$L,'1.DC_Ra soat'!$F:$F,AN$4,'1.DC_Ra soat'!$I:$I,'1.BS (VND)'!$D29)</f>
        <v>0</v>
      </c>
      <c r="AO29" s="698">
        <f>SUMIFS('1.DC_Ra soat'!$L:$L,'1.DC_Ra soat'!$F:$F,AO$4,'1.DC_Ra soat'!$H:$H,'1.BS (VND)'!$D29)-SUMIFS('1.DC_Ra soat'!$L:$L,'1.DC_Ra soat'!$F:$F,AO$4,'1.DC_Ra soat'!$I:$I,'1.BS (VND)'!$D29)</f>
        <v>0</v>
      </c>
      <c r="AP29" s="698">
        <f>SUMIFS('1.DC_Ra soat'!$L:$L,'1.DC_Ra soat'!$F:$F,AP$4,'1.DC_Ra soat'!$H:$H,'1.BS (VND)'!$D29)-SUMIFS('1.DC_Ra soat'!$L:$L,'1.DC_Ra soat'!$F:$F,AP$4,'1.DC_Ra soat'!$I:$I,'1.BS (VND)'!$D29)</f>
        <v>-741540549</v>
      </c>
      <c r="AQ29" s="698">
        <f>SUMIFS('1.DC_Ra soat'!$L:$L,'1.DC_Ra soat'!$F:$F,AQ$4,'1.DC_Ra soat'!$H:$H,'1.BS (VND)'!$D29)-SUMIFS('1.DC_Ra soat'!$L:$L,'1.DC_Ra soat'!$F:$F,AQ$4,'1.DC_Ra soat'!$I:$I,'1.BS (VND)'!$D29)</f>
        <v>0</v>
      </c>
      <c r="AR29" s="699"/>
      <c r="AS29" s="698">
        <f>SUMIFS('1.DC_Ra soat'!$L:$L,'1.DC_Ra soat'!$F:$F,AS$4,'1.DC_Ra soat'!$H:$H,'1.BS (VND)'!$D29)-SUMIFS('1.DC_Ra soat'!$L:$L,'1.DC_Ra soat'!$F:$F,AS$4,'1.DC_Ra soat'!$I:$I,'1.BS (VND)'!$D29)</f>
        <v>0</v>
      </c>
      <c r="AT29" s="698">
        <f>SUMIFS('1.DC_Ra soat'!$L:$L,'1.DC_Ra soat'!$F:$F,AT$4,'1.DC_Ra soat'!$H:$H,'1.BS (VND)'!$D29)-SUMIFS('1.DC_Ra soat'!$L:$L,'1.DC_Ra soat'!$F:$F,AT$4,'1.DC_Ra soat'!$I:$I,'1.BS (VND)'!$D29)</f>
        <v>0</v>
      </c>
      <c r="AU29" s="698">
        <f>SUMIFS('1.DC_Ra soat'!$L:$L,'1.DC_Ra soat'!$F:$F,AU$4,'1.DC_Ra soat'!$H:$H,'1.BS (VND)'!$D29)-SUMIFS('1.DC_Ra soat'!$L:$L,'1.DC_Ra soat'!$F:$F,AU$4,'1.DC_Ra soat'!$I:$I,'1.BS (VND)'!$D29)</f>
        <v>0</v>
      </c>
      <c r="AV29" s="698">
        <f>SUMIFS('1.DC_Ra soat'!$L:$L,'1.DC_Ra soat'!$F:$F,AV$4,'1.DC_Ra soat'!$H:$H,'1.BS (VND)'!$D29)-SUMIFS('1.DC_Ra soat'!$L:$L,'1.DC_Ra soat'!$F:$F,AV$4,'1.DC_Ra soat'!$I:$I,'1.BS (VND)'!$D29)</f>
        <v>0</v>
      </c>
      <c r="AW29" s="699"/>
      <c r="AX29" s="698">
        <f>SUMIFS('1.DC_Ra soat'!$L:$L,'1.DC_Ra soat'!$F:$F,'1.PL (VND) '!BC$4,'1.DC_Ra soat'!$H:$H,'1.BS (VND)'!$D29)-SUMIFS('1.DC_Ra soat'!$L:$L,'1.DC_Ra soat'!$F:$F,'1.PL (VND) '!BC$4,'1.DC_Ra soat'!$I:$I,'1.BS (VND)'!$D29)</f>
        <v>0</v>
      </c>
      <c r="AY29" s="698">
        <f>SUMIFS('1.DC_Ra soat'!$L:$L,'1.DC_Ra soat'!$F:$F,'1.PL (VND) '!BD$4,'1.DC_Ra soat'!$H:$H,'1.BS (VND)'!$D29)-SUMIFS('1.DC_Ra soat'!$L:$L,'1.DC_Ra soat'!$F:$F,'1.PL (VND) '!BD$4,'1.DC_Ra soat'!$I:$I,'1.BS (VND)'!$D29)</f>
        <v>0</v>
      </c>
      <c r="AZ29" s="698">
        <f>SUMIFS('1.DC_Ra soat'!$L:$L,'1.DC_Ra soat'!$F:$F,'1.PL (VND) '!BE$4,'1.DC_Ra soat'!$H:$H,'1.BS (VND)'!$D29)-SUMIFS('1.DC_Ra soat'!$L:$L,'1.DC_Ra soat'!$F:$F,'1.PL (VND) '!BE$4,'1.DC_Ra soat'!$I:$I,'1.BS (VND)'!$D29)</f>
        <v>0</v>
      </c>
      <c r="BA29" s="698">
        <f>SUMIFS('1.DC_Ra soat'!$L:$L,'1.DC_Ra soat'!$F:$F,'1.PL (VND) '!BF$4,'1.DC_Ra soat'!$H:$H,'1.BS (VND)'!$D29)-SUMIFS('1.DC_Ra soat'!$L:$L,'1.DC_Ra soat'!$F:$F,'1.PL (VND) '!BF$4,'1.DC_Ra soat'!$I:$I,'1.BS (VND)'!$D29)</f>
        <v>0</v>
      </c>
      <c r="BB29" s="699"/>
      <c r="BC29" s="698">
        <f>SUMIFS('1.DC_Ra soat'!$L:$L,'1.DC_Ra soat'!$F:$F,'1.PL (VND) '!BI$4,'1.DC_Ra soat'!$H:$H,'1.BS (VND)'!$D29)-SUMIFS('1.DC_Ra soat'!$L:$L,'1.DC_Ra soat'!$F:$F,'1.PL (VND) '!BI$4,'1.DC_Ra soat'!$I:$I,'1.BS (VND)'!$D29)</f>
        <v>0</v>
      </c>
      <c r="BD29" s="698">
        <f>SUMIFS('1.DC_Ra soat'!$L:$L,'1.DC_Ra soat'!$F:$F,'1.PL (VND) '!BJ$4,'1.DC_Ra soat'!$H:$H,'1.BS (VND)'!$D29)-SUMIFS('1.DC_Ra soat'!$L:$L,'1.DC_Ra soat'!$F:$F,'1.PL (VND) '!BJ$4,'1.DC_Ra soat'!$I:$I,'1.BS (VND)'!$D29)</f>
        <v>0</v>
      </c>
      <c r="BE29" s="698">
        <f>SUMIFS('1.DC_Ra soat'!$L:$L,'1.DC_Ra soat'!$F:$F,'1.PL (VND) '!BK$4,'1.DC_Ra soat'!$H:$H,'1.BS (VND)'!$D29)-SUMIFS('1.DC_Ra soat'!$L:$L,'1.DC_Ra soat'!$F:$F,'1.PL (VND) '!BK$4,'1.DC_Ra soat'!$I:$I,'1.BS (VND)'!$D29)</f>
        <v>0</v>
      </c>
      <c r="BF29" s="698">
        <f>SUMIFS('1.DC_Ra soat'!$L:$L,'1.DC_Ra soat'!$F:$F,'1.PL (VND) '!BL$4,'1.DC_Ra soat'!$H:$H,'1.BS (VND)'!$D29)-SUMIFS('1.DC_Ra soat'!$L:$L,'1.DC_Ra soat'!$F:$F,'1.PL (VND) '!BL$4,'1.DC_Ra soat'!$I:$I,'1.BS (VND)'!$D29)</f>
        <v>0</v>
      </c>
      <c r="BG29" s="699"/>
      <c r="BH29" s="698">
        <f>SUMIFS('1.DC_Ra soat'!$L:$L,'1.DC_Ra soat'!$F:$F,'1.PL (VND) '!BO$4,'1.DC_Ra soat'!$H:$H,'1.BS (VND)'!$D29)-SUMIFS('1.DC_Ra soat'!$L:$L,'1.DC_Ra soat'!$F:$F,'1.PL (VND) '!BO$4,'1.DC_Ra soat'!$I:$I,'1.BS (VND)'!$D29)</f>
        <v>0</v>
      </c>
      <c r="BI29" s="698">
        <f>SUMIFS('1.DC_Ra soat'!$L:$L,'1.DC_Ra soat'!$F:$F,'1.PL (VND) '!BP$4,'1.DC_Ra soat'!$H:$H,'1.BS (VND)'!$D29)-SUMIFS('1.DC_Ra soat'!$L:$L,'1.DC_Ra soat'!$F:$F,'1.PL (VND) '!BP$4,'1.DC_Ra soat'!$I:$I,'1.BS (VND)'!$D29)</f>
        <v>0</v>
      </c>
      <c r="BJ29" s="698">
        <f>SUMIFS('1.DC_Ra soat'!$L:$L,'1.DC_Ra soat'!$F:$F,'1.PL (VND) '!BQ$4,'1.DC_Ra soat'!$H:$H,'1.BS (VND)'!$D29)-SUMIFS('1.DC_Ra soat'!$L:$L,'1.DC_Ra soat'!$F:$F,'1.PL (VND) '!BQ$4,'1.DC_Ra soat'!$I:$I,'1.BS (VND)'!$D29)</f>
        <v>0</v>
      </c>
      <c r="BK29" s="698">
        <f>SUMIFS('1.DC_Ra soat'!$L:$L,'1.DC_Ra soat'!$F:$F,'1.PL (VND) '!BR$4,'1.DC_Ra soat'!$H:$H,'1.BS (VND)'!$D29)-SUMIFS('1.DC_Ra soat'!$L:$L,'1.DC_Ra soat'!$F:$F,'1.PL (VND) '!BR$4,'1.DC_Ra soat'!$I:$I,'1.BS (VND)'!$D29)</f>
        <v>0</v>
      </c>
      <c r="BM29" s="698">
        <f t="shared" si="5"/>
        <v>0</v>
      </c>
      <c r="BN29" s="698">
        <f t="shared" si="6"/>
        <v>0</v>
      </c>
      <c r="BO29" s="698">
        <f t="shared" si="7"/>
        <v>0</v>
      </c>
      <c r="BP29" s="697">
        <f t="shared" si="8"/>
        <v>0</v>
      </c>
      <c r="BQ29" s="699"/>
      <c r="BR29" s="698">
        <f t="shared" si="9"/>
        <v>0</v>
      </c>
      <c r="BS29" s="698">
        <f t="shared" si="10"/>
        <v>0</v>
      </c>
      <c r="BT29" s="698">
        <f t="shared" si="11"/>
        <v>-741540549</v>
      </c>
      <c r="BU29" s="698">
        <f t="shared" si="12"/>
        <v>0</v>
      </c>
      <c r="BV29" s="699"/>
      <c r="BW29" s="698">
        <f t="shared" si="13"/>
        <v>0</v>
      </c>
      <c r="BX29" s="698">
        <f t="shared" si="14"/>
        <v>0</v>
      </c>
      <c r="BY29" s="698">
        <f t="shared" si="15"/>
        <v>0</v>
      </c>
      <c r="BZ29" s="697">
        <f t="shared" si="16"/>
        <v>0</v>
      </c>
      <c r="CA29" s="699"/>
      <c r="CB29" s="697">
        <f t="shared" si="17"/>
        <v>0</v>
      </c>
      <c r="CC29" s="697">
        <f t="shared" si="18"/>
        <v>0</v>
      </c>
      <c r="CD29" s="697">
        <f t="shared" si="19"/>
        <v>0</v>
      </c>
      <c r="CE29" s="697">
        <f t="shared" si="20"/>
        <v>0</v>
      </c>
      <c r="CF29" s="699"/>
      <c r="CG29" s="697">
        <f t="shared" si="21"/>
        <v>0</v>
      </c>
      <c r="CH29" s="697">
        <f t="shared" si="22"/>
        <v>0</v>
      </c>
      <c r="CI29" s="697">
        <f t="shared" si="23"/>
        <v>0</v>
      </c>
      <c r="CJ29" s="697">
        <f t="shared" si="24"/>
        <v>0</v>
      </c>
      <c r="CK29" s="699"/>
      <c r="CL29" s="698">
        <f t="shared" si="25"/>
        <v>0</v>
      </c>
      <c r="CM29" s="698">
        <f t="shared" si="26"/>
        <v>0</v>
      </c>
      <c r="CN29" s="698">
        <f t="shared" si="27"/>
        <v>0</v>
      </c>
      <c r="CO29" s="697">
        <f t="shared" si="28"/>
        <v>0</v>
      </c>
      <c r="CQ29" s="698">
        <f>SUMIF('1.PL (VND) '!$BL$6:$CD$6,'1.PL (VND) '!CP$6,$BM29:$CE29)</f>
        <v>0</v>
      </c>
      <c r="CR29" s="698">
        <f>SUMIF('1.PL (VND) '!$BL$6:$CD$6,'1.PL (VND) '!CQ$6,$BM29:$CE29)</f>
        <v>0</v>
      </c>
      <c r="CS29" s="698">
        <f>SUMIF('1.PL (VND) '!$BL$6:$CD$6,'1.PL (VND) '!CR$6,$BM29:$CE29)</f>
        <v>-741540549</v>
      </c>
      <c r="CT29" s="698">
        <f>SUMIF('1.PL (VND) '!$BL$6:$CD$6,'1.PL (VND) '!CS$6,$BM29:$CE29)</f>
        <v>0</v>
      </c>
      <c r="CV29" s="702">
        <f>SUMIFS('1.DC_Ra soat'!$L:$L,'1.DC_Ra soat'!$F:$F,'1.PL (VND) '!DK$4,'1.DC_Ra soat'!$H:$H,'1.BS (VND)'!$D29)-SUMIFS('1.DC_Ra soat'!$L:$L,'1.DC_Ra soat'!$F:$F,'1.PL (VND) '!DK$4,'1.DC_Ra soat'!$I:$I,'1.BS (VND)'!$D29)</f>
        <v>0</v>
      </c>
      <c r="CW29" s="702">
        <f>SUMIFS('1.DC_Ra soat'!$L:$L,'1.DC_Ra soat'!$F:$F,'1.PL (VND) '!DL$4,'1.DC_Ra soat'!$H:$H,'1.BS (VND)'!$D29)-SUMIFS('1.DC_Ra soat'!$L:$L,'1.DC_Ra soat'!$F:$F,'1.PL (VND) '!DL$4,'1.DC_Ra soat'!$I:$I,'1.BS (VND)'!$D29)</f>
        <v>0</v>
      </c>
      <c r="CX29" s="702">
        <f>SUMIFS('1.DC_Ra soat'!$L:$L,'1.DC_Ra soat'!$F:$F,'1.PL (VND) '!DM$4,'1.DC_Ra soat'!$H:$H,'1.BS (VND)'!$D29)-SUMIFS('1.DC_Ra soat'!$L:$L,'1.DC_Ra soat'!$F:$F,'1.PL (VND) '!DM$4,'1.DC_Ra soat'!$I:$I,'1.BS (VND)'!$D29)</f>
        <v>0</v>
      </c>
      <c r="CY29" s="702">
        <f>SUMIFS('1.DC_Ra soat'!$L:$L,'1.DC_Ra soat'!$F:$F,'1.PL (VND) '!DN$4,'1.DC_Ra soat'!$H:$H,'1.BS (VND)'!$D29)-SUMIFS('1.DC_Ra soat'!$L:$L,'1.DC_Ra soat'!$F:$F,'1.PL (VND) '!DN$4,'1.DC_Ra soat'!$I:$I,'1.BS (VND)'!$D29)</f>
        <v>0</v>
      </c>
      <c r="DA29" s="698">
        <f t="shared" si="30"/>
        <v>0</v>
      </c>
      <c r="DB29" s="698">
        <f t="shared" si="31"/>
        <v>0</v>
      </c>
      <c r="DC29" s="698">
        <f t="shared" si="32"/>
        <v>-741540549</v>
      </c>
      <c r="DD29" s="698">
        <f t="shared" si="33"/>
        <v>0</v>
      </c>
      <c r="DH29" s="701"/>
    </row>
    <row r="30" spans="1:112" s="700" customFormat="1" x14ac:dyDescent="0.25">
      <c r="A30" s="248">
        <f t="shared" si="40"/>
        <v>1</v>
      </c>
      <c r="C30" s="703" t="s">
        <v>335</v>
      </c>
      <c r="D30" s="704" t="s">
        <v>336</v>
      </c>
      <c r="E30" s="721">
        <v>69442510</v>
      </c>
      <c r="F30" s="721"/>
      <c r="G30" s="721">
        <v>907226027</v>
      </c>
      <c r="H30" s="722">
        <v>4002</v>
      </c>
      <c r="I30" s="699"/>
      <c r="J30" s="698"/>
      <c r="K30" s="698">
        <v>1326631395</v>
      </c>
      <c r="L30" s="698">
        <v>2655912788</v>
      </c>
      <c r="M30" s="241">
        <v>2011684201</v>
      </c>
      <c r="N30" s="699"/>
      <c r="O30" s="698">
        <v>505070716</v>
      </c>
      <c r="P30" s="698">
        <v>39883241</v>
      </c>
      <c r="Q30" s="698">
        <v>408850848</v>
      </c>
      <c r="R30" s="698">
        <v>42330288</v>
      </c>
      <c r="S30" s="699"/>
      <c r="T30" s="698">
        <v>25942750</v>
      </c>
      <c r="U30" s="698">
        <v>48349831</v>
      </c>
      <c r="V30" s="698">
        <v>156903780</v>
      </c>
      <c r="W30" s="698">
        <v>103417046</v>
      </c>
      <c r="X30" s="699"/>
      <c r="Y30" s="698"/>
      <c r="Z30" s="698"/>
      <c r="AA30" s="698"/>
      <c r="AB30" s="698"/>
      <c r="AC30" s="699"/>
      <c r="AD30" s="698"/>
      <c r="AE30" s="698"/>
      <c r="AF30" s="698"/>
      <c r="AG30" s="698"/>
      <c r="AI30" s="698">
        <f>SUMIFS('1.DC_Ra soat'!$L:$L,'1.DC_Ra soat'!$F:$F,AI$4,'1.DC_Ra soat'!$H:$H,'1.BS (VND)'!$D30)-SUMIFS('1.DC_Ra soat'!$L:$L,'1.DC_Ra soat'!$F:$F,AI$4,'1.DC_Ra soat'!$I:$I,'1.BS (VND)'!$D30)</f>
        <v>0</v>
      </c>
      <c r="AJ30" s="698">
        <f>SUMIFS('1.DC_Ra soat'!$L:$L,'1.DC_Ra soat'!$F:$F,AJ$4,'1.DC_Ra soat'!$H:$H,'1.BS (VND)'!$D30)-SUMIFS('1.DC_Ra soat'!$L:$L,'1.DC_Ra soat'!$F:$F,AJ$4,'1.DC_Ra soat'!$I:$I,'1.BS (VND)'!$D30)</f>
        <v>0</v>
      </c>
      <c r="AK30" s="698">
        <f>SUMIFS('1.DC_Ra soat'!$L:$L,'1.DC_Ra soat'!$F:$F,AK$4,'1.DC_Ra soat'!$H:$H,'1.BS (VND)'!$D30)-SUMIFS('1.DC_Ra soat'!$L:$L,'1.DC_Ra soat'!$F:$F,AK$4,'1.DC_Ra soat'!$I:$I,'1.BS (VND)'!$D30)</f>
        <v>0</v>
      </c>
      <c r="AL30" s="698">
        <f>SUMIFS('1.DC_Ra soat'!$L:$L,'1.DC_Ra soat'!$F:$F,AL$4,'1.DC_Ra soat'!$H:$H,'1.BS (VND)'!$D30)-SUMIFS('1.DC_Ra soat'!$L:$L,'1.DC_Ra soat'!$F:$F,AL$4,'1.DC_Ra soat'!$I:$I,'1.BS (VND)'!$D30)</f>
        <v>0</v>
      </c>
      <c r="AM30" s="699"/>
      <c r="AN30" s="698">
        <f>SUMIFS('1.DC_Ra soat'!$L:$L,'1.DC_Ra soat'!$F:$F,AN$4,'1.DC_Ra soat'!$H:$H,'1.BS (VND)'!$D30)-SUMIFS('1.DC_Ra soat'!$L:$L,'1.DC_Ra soat'!$F:$F,AN$4,'1.DC_Ra soat'!$I:$I,'1.BS (VND)'!$D30)</f>
        <v>0</v>
      </c>
      <c r="AO30" s="698">
        <f>SUMIFS('1.DC_Ra soat'!$L:$L,'1.DC_Ra soat'!$F:$F,AO$4,'1.DC_Ra soat'!$H:$H,'1.BS (VND)'!$D30)-SUMIFS('1.DC_Ra soat'!$L:$L,'1.DC_Ra soat'!$F:$F,AO$4,'1.DC_Ra soat'!$I:$I,'1.BS (VND)'!$D30)</f>
        <v>0</v>
      </c>
      <c r="AP30" s="698">
        <f>SUMIFS('1.DC_Ra soat'!$L:$L,'1.DC_Ra soat'!$F:$F,AP$4,'1.DC_Ra soat'!$H:$H,'1.BS (VND)'!$D30)-SUMIFS('1.DC_Ra soat'!$L:$L,'1.DC_Ra soat'!$F:$F,AP$4,'1.DC_Ra soat'!$I:$I,'1.BS (VND)'!$D30)</f>
        <v>0</v>
      </c>
      <c r="AQ30" s="698">
        <f>SUMIFS('1.DC_Ra soat'!$L:$L,'1.DC_Ra soat'!$F:$F,AQ$4,'1.DC_Ra soat'!$H:$H,'1.BS (VND)'!$D30)-SUMIFS('1.DC_Ra soat'!$L:$L,'1.DC_Ra soat'!$F:$F,AQ$4,'1.DC_Ra soat'!$I:$I,'1.BS (VND)'!$D30)</f>
        <v>0</v>
      </c>
      <c r="AR30" s="699"/>
      <c r="AS30" s="698">
        <f>SUMIFS('1.DC_Ra soat'!$L:$L,'1.DC_Ra soat'!$F:$F,AS$4,'1.DC_Ra soat'!$H:$H,'1.BS (VND)'!$D30)-SUMIFS('1.DC_Ra soat'!$L:$L,'1.DC_Ra soat'!$F:$F,AS$4,'1.DC_Ra soat'!$I:$I,'1.BS (VND)'!$D30)</f>
        <v>0</v>
      </c>
      <c r="AT30" s="698">
        <f>SUMIFS('1.DC_Ra soat'!$L:$L,'1.DC_Ra soat'!$F:$F,AT$4,'1.DC_Ra soat'!$H:$H,'1.BS (VND)'!$D30)-SUMIFS('1.DC_Ra soat'!$L:$L,'1.DC_Ra soat'!$F:$F,AT$4,'1.DC_Ra soat'!$I:$I,'1.BS (VND)'!$D30)</f>
        <v>0</v>
      </c>
      <c r="AU30" s="698">
        <f>SUMIFS('1.DC_Ra soat'!$L:$L,'1.DC_Ra soat'!$F:$F,AU$4,'1.DC_Ra soat'!$H:$H,'1.BS (VND)'!$D30)-SUMIFS('1.DC_Ra soat'!$L:$L,'1.DC_Ra soat'!$F:$F,AU$4,'1.DC_Ra soat'!$I:$I,'1.BS (VND)'!$D30)</f>
        <v>0</v>
      </c>
      <c r="AV30" s="698">
        <f>SUMIFS('1.DC_Ra soat'!$L:$L,'1.DC_Ra soat'!$F:$F,AV$4,'1.DC_Ra soat'!$H:$H,'1.BS (VND)'!$D30)-SUMIFS('1.DC_Ra soat'!$L:$L,'1.DC_Ra soat'!$F:$F,AV$4,'1.DC_Ra soat'!$I:$I,'1.BS (VND)'!$D30)</f>
        <v>0</v>
      </c>
      <c r="AW30" s="699"/>
      <c r="AX30" s="698">
        <f>SUMIFS('1.DC_Ra soat'!$L:$L,'1.DC_Ra soat'!$F:$F,'1.PL (VND) '!BC$4,'1.DC_Ra soat'!$H:$H,'1.BS (VND)'!$D30)-SUMIFS('1.DC_Ra soat'!$L:$L,'1.DC_Ra soat'!$F:$F,'1.PL (VND) '!BC$4,'1.DC_Ra soat'!$I:$I,'1.BS (VND)'!$D30)</f>
        <v>0</v>
      </c>
      <c r="AY30" s="698">
        <f>SUMIFS('1.DC_Ra soat'!$L:$L,'1.DC_Ra soat'!$F:$F,'1.PL (VND) '!BD$4,'1.DC_Ra soat'!$H:$H,'1.BS (VND)'!$D30)-SUMIFS('1.DC_Ra soat'!$L:$L,'1.DC_Ra soat'!$F:$F,'1.PL (VND) '!BD$4,'1.DC_Ra soat'!$I:$I,'1.BS (VND)'!$D30)</f>
        <v>0</v>
      </c>
      <c r="AZ30" s="698">
        <f>SUMIFS('1.DC_Ra soat'!$L:$L,'1.DC_Ra soat'!$F:$F,'1.PL (VND) '!BE$4,'1.DC_Ra soat'!$H:$H,'1.BS (VND)'!$D30)-SUMIFS('1.DC_Ra soat'!$L:$L,'1.DC_Ra soat'!$F:$F,'1.PL (VND) '!BE$4,'1.DC_Ra soat'!$I:$I,'1.BS (VND)'!$D30)</f>
        <v>0</v>
      </c>
      <c r="BA30" s="698">
        <f>SUMIFS('1.DC_Ra soat'!$L:$L,'1.DC_Ra soat'!$F:$F,'1.PL (VND) '!BF$4,'1.DC_Ra soat'!$H:$H,'1.BS (VND)'!$D30)-SUMIFS('1.DC_Ra soat'!$L:$L,'1.DC_Ra soat'!$F:$F,'1.PL (VND) '!BF$4,'1.DC_Ra soat'!$I:$I,'1.BS (VND)'!$D30)</f>
        <v>0</v>
      </c>
      <c r="BB30" s="699"/>
      <c r="BC30" s="698">
        <f>SUMIFS('1.DC_Ra soat'!$L:$L,'1.DC_Ra soat'!$F:$F,'1.PL (VND) '!BI$4,'1.DC_Ra soat'!$H:$H,'1.BS (VND)'!$D30)-SUMIFS('1.DC_Ra soat'!$L:$L,'1.DC_Ra soat'!$F:$F,'1.PL (VND) '!BI$4,'1.DC_Ra soat'!$I:$I,'1.BS (VND)'!$D30)</f>
        <v>0</v>
      </c>
      <c r="BD30" s="698">
        <f>SUMIFS('1.DC_Ra soat'!$L:$L,'1.DC_Ra soat'!$F:$F,'1.PL (VND) '!BJ$4,'1.DC_Ra soat'!$H:$H,'1.BS (VND)'!$D30)-SUMIFS('1.DC_Ra soat'!$L:$L,'1.DC_Ra soat'!$F:$F,'1.PL (VND) '!BJ$4,'1.DC_Ra soat'!$I:$I,'1.BS (VND)'!$D30)</f>
        <v>0</v>
      </c>
      <c r="BE30" s="698">
        <f>SUMIFS('1.DC_Ra soat'!$L:$L,'1.DC_Ra soat'!$F:$F,'1.PL (VND) '!BK$4,'1.DC_Ra soat'!$H:$H,'1.BS (VND)'!$D30)-SUMIFS('1.DC_Ra soat'!$L:$L,'1.DC_Ra soat'!$F:$F,'1.PL (VND) '!BK$4,'1.DC_Ra soat'!$I:$I,'1.BS (VND)'!$D30)</f>
        <v>0</v>
      </c>
      <c r="BF30" s="698">
        <f>SUMIFS('1.DC_Ra soat'!$L:$L,'1.DC_Ra soat'!$F:$F,'1.PL (VND) '!BL$4,'1.DC_Ra soat'!$H:$H,'1.BS (VND)'!$D30)-SUMIFS('1.DC_Ra soat'!$L:$L,'1.DC_Ra soat'!$F:$F,'1.PL (VND) '!BL$4,'1.DC_Ra soat'!$I:$I,'1.BS (VND)'!$D30)</f>
        <v>0</v>
      </c>
      <c r="BG30" s="699"/>
      <c r="BH30" s="698">
        <f>SUMIFS('1.DC_Ra soat'!$L:$L,'1.DC_Ra soat'!$F:$F,'1.PL (VND) '!BO$4,'1.DC_Ra soat'!$H:$H,'1.BS (VND)'!$D30)-SUMIFS('1.DC_Ra soat'!$L:$L,'1.DC_Ra soat'!$F:$F,'1.PL (VND) '!BO$4,'1.DC_Ra soat'!$I:$I,'1.BS (VND)'!$D30)</f>
        <v>0</v>
      </c>
      <c r="BI30" s="698">
        <f>SUMIFS('1.DC_Ra soat'!$L:$L,'1.DC_Ra soat'!$F:$F,'1.PL (VND) '!BP$4,'1.DC_Ra soat'!$H:$H,'1.BS (VND)'!$D30)-SUMIFS('1.DC_Ra soat'!$L:$L,'1.DC_Ra soat'!$F:$F,'1.PL (VND) '!BP$4,'1.DC_Ra soat'!$I:$I,'1.BS (VND)'!$D30)</f>
        <v>0</v>
      </c>
      <c r="BJ30" s="698">
        <f>SUMIFS('1.DC_Ra soat'!$L:$L,'1.DC_Ra soat'!$F:$F,'1.PL (VND) '!BQ$4,'1.DC_Ra soat'!$H:$H,'1.BS (VND)'!$D30)-SUMIFS('1.DC_Ra soat'!$L:$L,'1.DC_Ra soat'!$F:$F,'1.PL (VND) '!BQ$4,'1.DC_Ra soat'!$I:$I,'1.BS (VND)'!$D30)</f>
        <v>0</v>
      </c>
      <c r="BK30" s="698">
        <f>SUMIFS('1.DC_Ra soat'!$L:$L,'1.DC_Ra soat'!$F:$F,'1.PL (VND) '!BR$4,'1.DC_Ra soat'!$H:$H,'1.BS (VND)'!$D30)-SUMIFS('1.DC_Ra soat'!$L:$L,'1.DC_Ra soat'!$F:$F,'1.PL (VND) '!BR$4,'1.DC_Ra soat'!$I:$I,'1.BS (VND)'!$D30)</f>
        <v>0</v>
      </c>
      <c r="BM30" s="698">
        <f t="shared" si="5"/>
        <v>69442510</v>
      </c>
      <c r="BN30" s="698">
        <f t="shared" si="6"/>
        <v>0</v>
      </c>
      <c r="BO30" s="698">
        <f t="shared" si="7"/>
        <v>907226027</v>
      </c>
      <c r="BP30" s="697">
        <f t="shared" si="8"/>
        <v>4002</v>
      </c>
      <c r="BQ30" s="699"/>
      <c r="BR30" s="698">
        <f t="shared" si="9"/>
        <v>0</v>
      </c>
      <c r="BS30" s="698">
        <f t="shared" si="10"/>
        <v>1326631395</v>
      </c>
      <c r="BT30" s="698">
        <f t="shared" si="11"/>
        <v>2655912788</v>
      </c>
      <c r="BU30" s="698">
        <f t="shared" si="12"/>
        <v>2011684201</v>
      </c>
      <c r="BV30" s="699"/>
      <c r="BW30" s="698">
        <f t="shared" si="13"/>
        <v>505070716</v>
      </c>
      <c r="BX30" s="698">
        <f t="shared" si="14"/>
        <v>39883241</v>
      </c>
      <c r="BY30" s="698">
        <f t="shared" si="15"/>
        <v>408850848</v>
      </c>
      <c r="BZ30" s="697">
        <f t="shared" si="16"/>
        <v>42330288</v>
      </c>
      <c r="CA30" s="699"/>
      <c r="CB30" s="697">
        <f t="shared" si="17"/>
        <v>25942750</v>
      </c>
      <c r="CC30" s="697">
        <f t="shared" si="18"/>
        <v>48349831</v>
      </c>
      <c r="CD30" s="697">
        <f t="shared" si="19"/>
        <v>156903780</v>
      </c>
      <c r="CE30" s="697">
        <f t="shared" si="20"/>
        <v>103417046</v>
      </c>
      <c r="CF30" s="699"/>
      <c r="CG30" s="697">
        <f t="shared" si="21"/>
        <v>0</v>
      </c>
      <c r="CH30" s="697">
        <f t="shared" si="22"/>
        <v>0</v>
      </c>
      <c r="CI30" s="697">
        <f t="shared" si="23"/>
        <v>0</v>
      </c>
      <c r="CJ30" s="697">
        <f t="shared" si="24"/>
        <v>0</v>
      </c>
      <c r="CK30" s="699"/>
      <c r="CL30" s="698">
        <f t="shared" si="25"/>
        <v>0</v>
      </c>
      <c r="CM30" s="698">
        <f t="shared" si="26"/>
        <v>0</v>
      </c>
      <c r="CN30" s="698">
        <f t="shared" si="27"/>
        <v>0</v>
      </c>
      <c r="CO30" s="697">
        <f t="shared" si="28"/>
        <v>0</v>
      </c>
      <c r="CQ30" s="698">
        <f>SUMIF('1.PL (VND) '!$BL$6:$CD$6,'1.PL (VND) '!CP$6,$BM30:$CE30)</f>
        <v>600455976</v>
      </c>
      <c r="CR30" s="698">
        <f>SUMIF('1.PL (VND) '!$BL$6:$CD$6,'1.PL (VND) '!CQ$6,$BM30:$CE30)</f>
        <v>1414864467</v>
      </c>
      <c r="CS30" s="698">
        <f>SUMIF('1.PL (VND) '!$BL$6:$CD$6,'1.PL (VND) '!CR$6,$BM30:$CE30)</f>
        <v>4128893443</v>
      </c>
      <c r="CT30" s="698">
        <f>SUMIF('1.PL (VND) '!$BL$6:$CD$6,'1.PL (VND) '!CS$6,$BM30:$CE30)</f>
        <v>2157435537</v>
      </c>
      <c r="CV30" s="702">
        <f>SUMIFS('1.DC_Ra soat'!$L:$L,'1.DC_Ra soat'!$F:$F,'1.PL (VND) '!DK$4,'1.DC_Ra soat'!$H:$H,'1.BS (VND)'!$D30)-SUMIFS('1.DC_Ra soat'!$L:$L,'1.DC_Ra soat'!$F:$F,'1.PL (VND) '!DK$4,'1.DC_Ra soat'!$I:$I,'1.BS (VND)'!$D30)</f>
        <v>0</v>
      </c>
      <c r="CW30" s="702">
        <f>SUMIFS('1.DC_Ra soat'!$L:$L,'1.DC_Ra soat'!$F:$F,'1.PL (VND) '!DL$4,'1.DC_Ra soat'!$H:$H,'1.BS (VND)'!$D30)-SUMIFS('1.DC_Ra soat'!$L:$L,'1.DC_Ra soat'!$F:$F,'1.PL (VND) '!DL$4,'1.DC_Ra soat'!$I:$I,'1.BS (VND)'!$D30)</f>
        <v>0</v>
      </c>
      <c r="CX30" s="702">
        <f>SUMIFS('1.DC_Ra soat'!$L:$L,'1.DC_Ra soat'!$F:$F,'1.PL (VND) '!DM$4,'1.DC_Ra soat'!$H:$H,'1.BS (VND)'!$D30)-SUMIFS('1.DC_Ra soat'!$L:$L,'1.DC_Ra soat'!$F:$F,'1.PL (VND) '!DM$4,'1.DC_Ra soat'!$I:$I,'1.BS (VND)'!$D30)</f>
        <v>0</v>
      </c>
      <c r="CY30" s="702">
        <f>SUMIFS('1.DC_Ra soat'!$L:$L,'1.DC_Ra soat'!$F:$F,'1.PL (VND) '!DN$4,'1.DC_Ra soat'!$H:$H,'1.BS (VND)'!$D30)-SUMIFS('1.DC_Ra soat'!$L:$L,'1.DC_Ra soat'!$F:$F,'1.PL (VND) '!DN$4,'1.DC_Ra soat'!$I:$I,'1.BS (VND)'!$D30)</f>
        <v>0</v>
      </c>
      <c r="DA30" s="698">
        <f t="shared" si="30"/>
        <v>600455976</v>
      </c>
      <c r="DB30" s="698">
        <f t="shared" si="31"/>
        <v>1414864467</v>
      </c>
      <c r="DC30" s="698">
        <f t="shared" si="32"/>
        <v>4128893443</v>
      </c>
      <c r="DD30" s="698">
        <f t="shared" si="33"/>
        <v>2157435537</v>
      </c>
      <c r="DH30" s="701"/>
    </row>
    <row r="31" spans="1:112" s="700" customFormat="1" x14ac:dyDescent="0.25">
      <c r="A31" s="248" t="str">
        <f t="shared" si="40"/>
        <v>hide</v>
      </c>
      <c r="C31" s="703" t="s">
        <v>337</v>
      </c>
      <c r="D31" s="704" t="s">
        <v>338</v>
      </c>
      <c r="E31" s="721"/>
      <c r="F31" s="721"/>
      <c r="G31" s="721"/>
      <c r="H31" s="722"/>
      <c r="I31" s="699"/>
      <c r="J31" s="698"/>
      <c r="K31" s="698"/>
      <c r="L31" s="698"/>
      <c r="M31" s="241">
        <v>0</v>
      </c>
      <c r="N31" s="699"/>
      <c r="O31" s="698"/>
      <c r="P31" s="698"/>
      <c r="Q31" s="698"/>
      <c r="R31" s="698"/>
      <c r="S31" s="699"/>
      <c r="T31" s="698"/>
      <c r="U31" s="698"/>
      <c r="V31" s="698"/>
      <c r="W31" s="698"/>
      <c r="X31" s="699"/>
      <c r="Y31" s="698"/>
      <c r="Z31" s="698"/>
      <c r="AA31" s="698"/>
      <c r="AB31" s="698"/>
      <c r="AC31" s="699"/>
      <c r="AD31" s="698"/>
      <c r="AE31" s="698"/>
      <c r="AF31" s="698"/>
      <c r="AG31" s="698"/>
      <c r="AI31" s="698">
        <f>SUMIFS('1.DC_Ra soat'!$L:$L,'1.DC_Ra soat'!$F:$F,'1.PL (VND) '!AM$4,'1.DC_Ra soat'!$H:$H,'1.BS (VND)'!$D31)-SUMIFS('1.DC_Ra soat'!$L:$L,'1.DC_Ra soat'!$F:$F,'1.PL (VND) '!AM$4,'1.DC_Ra soat'!$I:$I,'1.BS (VND)'!$D31)</f>
        <v>0</v>
      </c>
      <c r="AJ31" s="698">
        <f>SUMIFS('1.DC_Ra soat'!$L:$L,'1.DC_Ra soat'!$F:$F,'1.PL (VND) '!AN$4,'1.DC_Ra soat'!$H:$H,'1.BS (VND)'!$D31)-SUMIFS('1.DC_Ra soat'!$L:$L,'1.DC_Ra soat'!$F:$F,'1.PL (VND) '!AN$4,'1.DC_Ra soat'!$I:$I,'1.BS (VND)'!$D31)</f>
        <v>0</v>
      </c>
      <c r="AK31" s="698">
        <f>SUMIFS('1.DC_Ra soat'!$L:$L,'1.DC_Ra soat'!$F:$F,'1.PL (VND) '!AO$4,'1.DC_Ra soat'!$H:$H,'1.BS (VND)'!$D31)-SUMIFS('1.DC_Ra soat'!$L:$L,'1.DC_Ra soat'!$F:$F,'1.PL (VND) '!AO$4,'1.DC_Ra soat'!$I:$I,'1.BS (VND)'!$D31)</f>
        <v>0</v>
      </c>
      <c r="AL31" s="698">
        <f>SUMIFS('1.DC_Ra soat'!$L:$L,'1.DC_Ra soat'!$F:$F,'1.PL (VND) '!AP$4,'1.DC_Ra soat'!$H:$H,'1.BS (VND)'!$D31)-SUMIFS('1.DC_Ra soat'!$L:$L,'1.DC_Ra soat'!$F:$F,'1.PL (VND) '!AP$4,'1.DC_Ra soat'!$I:$I,'1.BS (VND)'!$D31)</f>
        <v>0</v>
      </c>
      <c r="AM31" s="699"/>
      <c r="AN31" s="698">
        <f>SUMIFS('1.DC_Ra soat'!$L:$L,'1.DC_Ra soat'!$F:$F,AN$4,'1.DC_Ra soat'!$H:$H,'1.BS (VND)'!$D31)-SUMIFS('1.DC_Ra soat'!$L:$L,'1.DC_Ra soat'!$F:$F,AN$4,'1.DC_Ra soat'!$I:$I,'1.BS (VND)'!$D31)</f>
        <v>0</v>
      </c>
      <c r="AO31" s="698">
        <f>SUMIFS('1.DC_Ra soat'!$L:$L,'1.DC_Ra soat'!$F:$F,AO$4,'1.DC_Ra soat'!$H:$H,'1.BS (VND)'!$D31)-SUMIFS('1.DC_Ra soat'!$L:$L,'1.DC_Ra soat'!$F:$F,AO$4,'1.DC_Ra soat'!$I:$I,'1.BS (VND)'!$D31)</f>
        <v>0</v>
      </c>
      <c r="AP31" s="698">
        <f>SUMIFS('1.DC_Ra soat'!$L:$L,'1.DC_Ra soat'!$F:$F,AP$4,'1.DC_Ra soat'!$H:$H,'1.BS (VND)'!$D31)-SUMIFS('1.DC_Ra soat'!$L:$L,'1.DC_Ra soat'!$F:$F,AP$4,'1.DC_Ra soat'!$I:$I,'1.BS (VND)'!$D31)</f>
        <v>0</v>
      </c>
      <c r="AQ31" s="698">
        <f>SUMIFS('1.DC_Ra soat'!$L:$L,'1.DC_Ra soat'!$F:$F,AQ$4,'1.DC_Ra soat'!$H:$H,'1.BS (VND)'!$D31)-SUMIFS('1.DC_Ra soat'!$L:$L,'1.DC_Ra soat'!$F:$F,AQ$4,'1.DC_Ra soat'!$I:$I,'1.BS (VND)'!$D31)</f>
        <v>0</v>
      </c>
      <c r="AR31" s="699"/>
      <c r="AS31" s="698">
        <f>SUMIFS('1.DC_Ra soat'!$L:$L,'1.DC_Ra soat'!$F:$F,AS$4,'1.DC_Ra soat'!$H:$H,'1.BS (VND)'!$D31)-SUMIFS('1.DC_Ra soat'!$L:$L,'1.DC_Ra soat'!$F:$F,AS$4,'1.DC_Ra soat'!$I:$I,'1.BS (VND)'!$D31)</f>
        <v>0</v>
      </c>
      <c r="AT31" s="698">
        <f>SUMIFS('1.DC_Ra soat'!$L:$L,'1.DC_Ra soat'!$F:$F,AT$4,'1.DC_Ra soat'!$H:$H,'1.BS (VND)'!$D31)-SUMIFS('1.DC_Ra soat'!$L:$L,'1.DC_Ra soat'!$F:$F,AT$4,'1.DC_Ra soat'!$I:$I,'1.BS (VND)'!$D31)</f>
        <v>0</v>
      </c>
      <c r="AU31" s="698">
        <f>SUMIFS('1.DC_Ra soat'!$L:$L,'1.DC_Ra soat'!$F:$F,AU$4,'1.DC_Ra soat'!$H:$H,'1.BS (VND)'!$D31)-SUMIFS('1.DC_Ra soat'!$L:$L,'1.DC_Ra soat'!$F:$F,AU$4,'1.DC_Ra soat'!$I:$I,'1.BS (VND)'!$D31)</f>
        <v>0</v>
      </c>
      <c r="AV31" s="698">
        <f>SUMIFS('1.DC_Ra soat'!$L:$L,'1.DC_Ra soat'!$F:$F,AV$4,'1.DC_Ra soat'!$H:$H,'1.BS (VND)'!$D31)-SUMIFS('1.DC_Ra soat'!$L:$L,'1.DC_Ra soat'!$F:$F,AV$4,'1.DC_Ra soat'!$I:$I,'1.BS (VND)'!$D31)</f>
        <v>0</v>
      </c>
      <c r="AW31" s="699"/>
      <c r="AX31" s="698">
        <f>SUMIFS('1.DC_Ra soat'!$L:$L,'1.DC_Ra soat'!$F:$F,'1.PL (VND) '!BC$4,'1.DC_Ra soat'!$H:$H,'1.BS (VND)'!$D31)-SUMIFS('1.DC_Ra soat'!$L:$L,'1.DC_Ra soat'!$F:$F,'1.PL (VND) '!BC$4,'1.DC_Ra soat'!$I:$I,'1.BS (VND)'!$D31)</f>
        <v>0</v>
      </c>
      <c r="AY31" s="698">
        <f>SUMIFS('1.DC_Ra soat'!$L:$L,'1.DC_Ra soat'!$F:$F,'1.PL (VND) '!BD$4,'1.DC_Ra soat'!$H:$H,'1.BS (VND)'!$D31)-SUMIFS('1.DC_Ra soat'!$L:$L,'1.DC_Ra soat'!$F:$F,'1.PL (VND) '!BD$4,'1.DC_Ra soat'!$I:$I,'1.BS (VND)'!$D31)</f>
        <v>0</v>
      </c>
      <c r="AZ31" s="698">
        <f>SUMIFS('1.DC_Ra soat'!$L:$L,'1.DC_Ra soat'!$F:$F,'1.PL (VND) '!BE$4,'1.DC_Ra soat'!$H:$H,'1.BS (VND)'!$D31)-SUMIFS('1.DC_Ra soat'!$L:$L,'1.DC_Ra soat'!$F:$F,'1.PL (VND) '!BE$4,'1.DC_Ra soat'!$I:$I,'1.BS (VND)'!$D31)</f>
        <v>0</v>
      </c>
      <c r="BA31" s="698">
        <f>SUMIFS('1.DC_Ra soat'!$L:$L,'1.DC_Ra soat'!$F:$F,'1.PL (VND) '!BF$4,'1.DC_Ra soat'!$H:$H,'1.BS (VND)'!$D31)-SUMIFS('1.DC_Ra soat'!$L:$L,'1.DC_Ra soat'!$F:$F,'1.PL (VND) '!BF$4,'1.DC_Ra soat'!$I:$I,'1.BS (VND)'!$D31)</f>
        <v>0</v>
      </c>
      <c r="BB31" s="699"/>
      <c r="BC31" s="698">
        <f>SUMIFS('1.DC_Ra soat'!$L:$L,'1.DC_Ra soat'!$F:$F,'1.PL (VND) '!BI$4,'1.DC_Ra soat'!$H:$H,'1.BS (VND)'!$D31)-SUMIFS('1.DC_Ra soat'!$L:$L,'1.DC_Ra soat'!$F:$F,'1.PL (VND) '!BI$4,'1.DC_Ra soat'!$I:$I,'1.BS (VND)'!$D31)</f>
        <v>0</v>
      </c>
      <c r="BD31" s="698">
        <f>SUMIFS('1.DC_Ra soat'!$L:$L,'1.DC_Ra soat'!$F:$F,'1.PL (VND) '!BJ$4,'1.DC_Ra soat'!$H:$H,'1.BS (VND)'!$D31)-SUMIFS('1.DC_Ra soat'!$L:$L,'1.DC_Ra soat'!$F:$F,'1.PL (VND) '!BJ$4,'1.DC_Ra soat'!$I:$I,'1.BS (VND)'!$D31)</f>
        <v>0</v>
      </c>
      <c r="BE31" s="698">
        <f>SUMIFS('1.DC_Ra soat'!$L:$L,'1.DC_Ra soat'!$F:$F,'1.PL (VND) '!BK$4,'1.DC_Ra soat'!$H:$H,'1.BS (VND)'!$D31)-SUMIFS('1.DC_Ra soat'!$L:$L,'1.DC_Ra soat'!$F:$F,'1.PL (VND) '!BK$4,'1.DC_Ra soat'!$I:$I,'1.BS (VND)'!$D31)</f>
        <v>0</v>
      </c>
      <c r="BF31" s="698">
        <f>SUMIFS('1.DC_Ra soat'!$L:$L,'1.DC_Ra soat'!$F:$F,'1.PL (VND) '!BL$4,'1.DC_Ra soat'!$H:$H,'1.BS (VND)'!$D31)-SUMIFS('1.DC_Ra soat'!$L:$L,'1.DC_Ra soat'!$F:$F,'1.PL (VND) '!BL$4,'1.DC_Ra soat'!$I:$I,'1.BS (VND)'!$D31)</f>
        <v>0</v>
      </c>
      <c r="BG31" s="699"/>
      <c r="BH31" s="698">
        <f>SUMIFS('1.DC_Ra soat'!$L:$L,'1.DC_Ra soat'!$F:$F,'1.PL (VND) '!BO$4,'1.DC_Ra soat'!$H:$H,'1.BS (VND)'!$D31)-SUMIFS('1.DC_Ra soat'!$L:$L,'1.DC_Ra soat'!$F:$F,'1.PL (VND) '!BO$4,'1.DC_Ra soat'!$I:$I,'1.BS (VND)'!$D31)</f>
        <v>0</v>
      </c>
      <c r="BI31" s="698">
        <f>SUMIFS('1.DC_Ra soat'!$L:$L,'1.DC_Ra soat'!$F:$F,'1.PL (VND) '!BP$4,'1.DC_Ra soat'!$H:$H,'1.BS (VND)'!$D31)-SUMIFS('1.DC_Ra soat'!$L:$L,'1.DC_Ra soat'!$F:$F,'1.PL (VND) '!BP$4,'1.DC_Ra soat'!$I:$I,'1.BS (VND)'!$D31)</f>
        <v>0</v>
      </c>
      <c r="BJ31" s="698">
        <f>SUMIFS('1.DC_Ra soat'!$L:$L,'1.DC_Ra soat'!$F:$F,'1.PL (VND) '!BQ$4,'1.DC_Ra soat'!$H:$H,'1.BS (VND)'!$D31)-SUMIFS('1.DC_Ra soat'!$L:$L,'1.DC_Ra soat'!$F:$F,'1.PL (VND) '!BQ$4,'1.DC_Ra soat'!$I:$I,'1.BS (VND)'!$D31)</f>
        <v>0</v>
      </c>
      <c r="BK31" s="698">
        <f>SUMIFS('1.DC_Ra soat'!$L:$L,'1.DC_Ra soat'!$F:$F,'1.PL (VND) '!BR$4,'1.DC_Ra soat'!$H:$H,'1.BS (VND)'!$D31)-SUMIFS('1.DC_Ra soat'!$L:$L,'1.DC_Ra soat'!$F:$F,'1.PL (VND) '!BR$4,'1.DC_Ra soat'!$I:$I,'1.BS (VND)'!$D31)</f>
        <v>0</v>
      </c>
      <c r="BM31" s="698">
        <f t="shared" si="5"/>
        <v>0</v>
      </c>
      <c r="BN31" s="698">
        <f t="shared" si="6"/>
        <v>0</v>
      </c>
      <c r="BO31" s="698">
        <f t="shared" si="7"/>
        <v>0</v>
      </c>
      <c r="BP31" s="697">
        <f t="shared" si="8"/>
        <v>0</v>
      </c>
      <c r="BQ31" s="699"/>
      <c r="BR31" s="698">
        <f t="shared" si="9"/>
        <v>0</v>
      </c>
      <c r="BS31" s="698">
        <f t="shared" si="10"/>
        <v>0</v>
      </c>
      <c r="BT31" s="698">
        <f t="shared" si="11"/>
        <v>0</v>
      </c>
      <c r="BU31" s="698">
        <f t="shared" si="12"/>
        <v>0</v>
      </c>
      <c r="BV31" s="699"/>
      <c r="BW31" s="698">
        <f t="shared" si="13"/>
        <v>0</v>
      </c>
      <c r="BX31" s="698">
        <f t="shared" si="14"/>
        <v>0</v>
      </c>
      <c r="BY31" s="698">
        <f t="shared" si="15"/>
        <v>0</v>
      </c>
      <c r="BZ31" s="697">
        <f t="shared" si="16"/>
        <v>0</v>
      </c>
      <c r="CA31" s="699"/>
      <c r="CB31" s="697">
        <f t="shared" si="17"/>
        <v>0</v>
      </c>
      <c r="CC31" s="697">
        <f t="shared" si="18"/>
        <v>0</v>
      </c>
      <c r="CD31" s="697">
        <f t="shared" si="19"/>
        <v>0</v>
      </c>
      <c r="CE31" s="697">
        <f t="shared" si="20"/>
        <v>0</v>
      </c>
      <c r="CF31" s="699"/>
      <c r="CG31" s="697">
        <f t="shared" si="21"/>
        <v>0</v>
      </c>
      <c r="CH31" s="697">
        <f t="shared" si="22"/>
        <v>0</v>
      </c>
      <c r="CI31" s="697">
        <f t="shared" si="23"/>
        <v>0</v>
      </c>
      <c r="CJ31" s="697">
        <f t="shared" si="24"/>
        <v>0</v>
      </c>
      <c r="CK31" s="699"/>
      <c r="CL31" s="698">
        <f t="shared" si="25"/>
        <v>0</v>
      </c>
      <c r="CM31" s="698">
        <f t="shared" si="26"/>
        <v>0</v>
      </c>
      <c r="CN31" s="698">
        <f t="shared" si="27"/>
        <v>0</v>
      </c>
      <c r="CO31" s="697">
        <f t="shared" si="28"/>
        <v>0</v>
      </c>
      <c r="CQ31" s="698">
        <f>SUMIF('1.PL (VND) '!$BL$6:$CD$6,'1.PL (VND) '!CP$6,$BM31:$CE31)</f>
        <v>0</v>
      </c>
      <c r="CR31" s="698">
        <f>SUMIF('1.PL (VND) '!$BL$6:$CD$6,'1.PL (VND) '!CQ$6,$BM31:$CE31)</f>
        <v>0</v>
      </c>
      <c r="CS31" s="698">
        <f>SUMIF('1.PL (VND) '!$BL$6:$CD$6,'1.PL (VND) '!CR$6,$BM31:$CE31)</f>
        <v>0</v>
      </c>
      <c r="CT31" s="698">
        <f>SUMIF('1.PL (VND) '!$BL$6:$CD$6,'1.PL (VND) '!CS$6,$BM31:$CE31)</f>
        <v>0</v>
      </c>
      <c r="CV31" s="702">
        <f>SUMIFS('1.DC_Ra soat'!$L:$L,'1.DC_Ra soat'!$F:$F,'1.PL (VND) '!DK$4,'1.DC_Ra soat'!$H:$H,'1.BS (VND)'!$D31)-SUMIFS('1.DC_Ra soat'!$L:$L,'1.DC_Ra soat'!$F:$F,'1.PL (VND) '!DK$4,'1.DC_Ra soat'!$I:$I,'1.BS (VND)'!$D31)</f>
        <v>0</v>
      </c>
      <c r="CW31" s="702">
        <f>SUMIFS('1.DC_Ra soat'!$L:$L,'1.DC_Ra soat'!$F:$F,'1.PL (VND) '!DL$4,'1.DC_Ra soat'!$H:$H,'1.BS (VND)'!$D31)-SUMIFS('1.DC_Ra soat'!$L:$L,'1.DC_Ra soat'!$F:$F,'1.PL (VND) '!DL$4,'1.DC_Ra soat'!$I:$I,'1.BS (VND)'!$D31)</f>
        <v>0</v>
      </c>
      <c r="CX31" s="702">
        <f>SUMIFS('1.DC_Ra soat'!$L:$L,'1.DC_Ra soat'!$F:$F,'1.PL (VND) '!DM$4,'1.DC_Ra soat'!$H:$H,'1.BS (VND)'!$D31)-SUMIFS('1.DC_Ra soat'!$L:$L,'1.DC_Ra soat'!$F:$F,'1.PL (VND) '!DM$4,'1.DC_Ra soat'!$I:$I,'1.BS (VND)'!$D31)</f>
        <v>0</v>
      </c>
      <c r="CY31" s="702">
        <f>SUMIFS('1.DC_Ra soat'!$L:$L,'1.DC_Ra soat'!$F:$F,'1.PL (VND) '!DN$4,'1.DC_Ra soat'!$H:$H,'1.BS (VND)'!$D31)-SUMIFS('1.DC_Ra soat'!$L:$L,'1.DC_Ra soat'!$F:$F,'1.PL (VND) '!DN$4,'1.DC_Ra soat'!$I:$I,'1.BS (VND)'!$D31)</f>
        <v>0</v>
      </c>
      <c r="DA31" s="698">
        <f t="shared" si="30"/>
        <v>0</v>
      </c>
      <c r="DB31" s="698">
        <f t="shared" si="31"/>
        <v>0</v>
      </c>
      <c r="DC31" s="698">
        <f t="shared" si="32"/>
        <v>0</v>
      </c>
      <c r="DD31" s="698">
        <f t="shared" si="33"/>
        <v>0</v>
      </c>
    </row>
    <row r="32" spans="1:112" s="700" customFormat="1" x14ac:dyDescent="0.25">
      <c r="A32" s="248" t="str">
        <f t="shared" si="40"/>
        <v>hide</v>
      </c>
      <c r="C32" s="703" t="s">
        <v>339</v>
      </c>
      <c r="D32" s="704" t="s">
        <v>340</v>
      </c>
      <c r="E32" s="721"/>
      <c r="F32" s="721"/>
      <c r="G32" s="721"/>
      <c r="H32" s="722"/>
      <c r="I32" s="699"/>
      <c r="J32" s="698"/>
      <c r="K32" s="698"/>
      <c r="L32" s="698"/>
      <c r="M32" s="241">
        <v>0</v>
      </c>
      <c r="N32" s="699"/>
      <c r="O32" s="698"/>
      <c r="P32" s="698"/>
      <c r="Q32" s="698"/>
      <c r="R32" s="698"/>
      <c r="S32" s="699"/>
      <c r="T32" s="698"/>
      <c r="U32" s="698"/>
      <c r="V32" s="698"/>
      <c r="W32" s="698"/>
      <c r="X32" s="699"/>
      <c r="Y32" s="698"/>
      <c r="Z32" s="698"/>
      <c r="AA32" s="698"/>
      <c r="AB32" s="698"/>
      <c r="AC32" s="699"/>
      <c r="AD32" s="698"/>
      <c r="AE32" s="698"/>
      <c r="AF32" s="698"/>
      <c r="AG32" s="698"/>
      <c r="AI32" s="698">
        <f>SUMIFS('1.DC_Ra soat'!$L:$L,'1.DC_Ra soat'!$F:$F,'1.PL (VND) '!AM$4,'1.DC_Ra soat'!$H:$H,'1.BS (VND)'!$D32)-SUMIFS('1.DC_Ra soat'!$L:$L,'1.DC_Ra soat'!$F:$F,'1.PL (VND) '!AM$4,'1.DC_Ra soat'!$I:$I,'1.BS (VND)'!$D32)</f>
        <v>0</v>
      </c>
      <c r="AJ32" s="698">
        <f>SUMIFS('1.DC_Ra soat'!$L:$L,'1.DC_Ra soat'!$F:$F,'1.PL (VND) '!AN$4,'1.DC_Ra soat'!$H:$H,'1.BS (VND)'!$D32)-SUMIFS('1.DC_Ra soat'!$L:$L,'1.DC_Ra soat'!$F:$F,'1.PL (VND) '!AN$4,'1.DC_Ra soat'!$I:$I,'1.BS (VND)'!$D32)</f>
        <v>0</v>
      </c>
      <c r="AK32" s="698">
        <f>SUMIFS('1.DC_Ra soat'!$L:$L,'1.DC_Ra soat'!$F:$F,'1.PL (VND) '!AO$4,'1.DC_Ra soat'!$H:$H,'1.BS (VND)'!$D32)-SUMIFS('1.DC_Ra soat'!$L:$L,'1.DC_Ra soat'!$F:$F,'1.PL (VND) '!AO$4,'1.DC_Ra soat'!$I:$I,'1.BS (VND)'!$D32)</f>
        <v>0</v>
      </c>
      <c r="AL32" s="698">
        <f>SUMIFS('1.DC_Ra soat'!$L:$L,'1.DC_Ra soat'!$F:$F,'1.PL (VND) '!AP$4,'1.DC_Ra soat'!$H:$H,'1.BS (VND)'!$D32)-SUMIFS('1.DC_Ra soat'!$L:$L,'1.DC_Ra soat'!$F:$F,'1.PL (VND) '!AP$4,'1.DC_Ra soat'!$I:$I,'1.BS (VND)'!$D32)</f>
        <v>0</v>
      </c>
      <c r="AM32" s="699"/>
      <c r="AN32" s="698">
        <f>SUMIFS('1.DC_Ra soat'!$L:$L,'1.DC_Ra soat'!$F:$F,AN$4,'1.DC_Ra soat'!$H:$H,'1.BS (VND)'!$D32)-SUMIFS('1.DC_Ra soat'!$L:$L,'1.DC_Ra soat'!$F:$F,AN$4,'1.DC_Ra soat'!$I:$I,'1.BS (VND)'!$D32)</f>
        <v>0</v>
      </c>
      <c r="AO32" s="698">
        <f>SUMIFS('1.DC_Ra soat'!$L:$L,'1.DC_Ra soat'!$F:$F,AO$4,'1.DC_Ra soat'!$H:$H,'1.BS (VND)'!$D32)-SUMIFS('1.DC_Ra soat'!$L:$L,'1.DC_Ra soat'!$F:$F,AO$4,'1.DC_Ra soat'!$I:$I,'1.BS (VND)'!$D32)</f>
        <v>0</v>
      </c>
      <c r="AP32" s="698">
        <f>SUMIFS('1.DC_Ra soat'!$L:$L,'1.DC_Ra soat'!$F:$F,AP$4,'1.DC_Ra soat'!$H:$H,'1.BS (VND)'!$D32)-SUMIFS('1.DC_Ra soat'!$L:$L,'1.DC_Ra soat'!$F:$F,AP$4,'1.DC_Ra soat'!$I:$I,'1.BS (VND)'!$D32)</f>
        <v>0</v>
      </c>
      <c r="AQ32" s="698">
        <f>SUMIFS('1.DC_Ra soat'!$L:$L,'1.DC_Ra soat'!$F:$F,AQ$4,'1.DC_Ra soat'!$H:$H,'1.BS (VND)'!$D32)-SUMIFS('1.DC_Ra soat'!$L:$L,'1.DC_Ra soat'!$F:$F,AQ$4,'1.DC_Ra soat'!$I:$I,'1.BS (VND)'!$D32)</f>
        <v>0</v>
      </c>
      <c r="AR32" s="699"/>
      <c r="AS32" s="698">
        <f>SUMIFS('1.DC_Ra soat'!$L:$L,'1.DC_Ra soat'!$F:$F,AS$4,'1.DC_Ra soat'!$H:$H,'1.BS (VND)'!$D32)-SUMIFS('1.DC_Ra soat'!$L:$L,'1.DC_Ra soat'!$F:$F,AS$4,'1.DC_Ra soat'!$I:$I,'1.BS (VND)'!$D32)</f>
        <v>0</v>
      </c>
      <c r="AT32" s="698">
        <f>SUMIFS('1.DC_Ra soat'!$L:$L,'1.DC_Ra soat'!$F:$F,AT$4,'1.DC_Ra soat'!$H:$H,'1.BS (VND)'!$D32)-SUMIFS('1.DC_Ra soat'!$L:$L,'1.DC_Ra soat'!$F:$F,AT$4,'1.DC_Ra soat'!$I:$I,'1.BS (VND)'!$D32)</f>
        <v>0</v>
      </c>
      <c r="AU32" s="698">
        <f>SUMIFS('1.DC_Ra soat'!$L:$L,'1.DC_Ra soat'!$F:$F,AU$4,'1.DC_Ra soat'!$H:$H,'1.BS (VND)'!$D32)-SUMIFS('1.DC_Ra soat'!$L:$L,'1.DC_Ra soat'!$F:$F,AU$4,'1.DC_Ra soat'!$I:$I,'1.BS (VND)'!$D32)</f>
        <v>0</v>
      </c>
      <c r="AV32" s="698">
        <f>SUMIFS('1.DC_Ra soat'!$L:$L,'1.DC_Ra soat'!$F:$F,AV$4,'1.DC_Ra soat'!$H:$H,'1.BS (VND)'!$D32)-SUMIFS('1.DC_Ra soat'!$L:$L,'1.DC_Ra soat'!$F:$F,AV$4,'1.DC_Ra soat'!$I:$I,'1.BS (VND)'!$D32)</f>
        <v>0</v>
      </c>
      <c r="AW32" s="699"/>
      <c r="AX32" s="698">
        <f>SUMIFS('1.DC_Ra soat'!$L:$L,'1.DC_Ra soat'!$F:$F,'1.PL (VND) '!BC$4,'1.DC_Ra soat'!$H:$H,'1.BS (VND)'!$D32)-SUMIFS('1.DC_Ra soat'!$L:$L,'1.DC_Ra soat'!$F:$F,'1.PL (VND) '!BC$4,'1.DC_Ra soat'!$I:$I,'1.BS (VND)'!$D32)</f>
        <v>0</v>
      </c>
      <c r="AY32" s="698">
        <f>SUMIFS('1.DC_Ra soat'!$L:$L,'1.DC_Ra soat'!$F:$F,'1.PL (VND) '!BD$4,'1.DC_Ra soat'!$H:$H,'1.BS (VND)'!$D32)-SUMIFS('1.DC_Ra soat'!$L:$L,'1.DC_Ra soat'!$F:$F,'1.PL (VND) '!BD$4,'1.DC_Ra soat'!$I:$I,'1.BS (VND)'!$D32)</f>
        <v>0</v>
      </c>
      <c r="AZ32" s="698">
        <f>SUMIFS('1.DC_Ra soat'!$L:$L,'1.DC_Ra soat'!$F:$F,'1.PL (VND) '!BE$4,'1.DC_Ra soat'!$H:$H,'1.BS (VND)'!$D32)-SUMIFS('1.DC_Ra soat'!$L:$L,'1.DC_Ra soat'!$F:$F,'1.PL (VND) '!BE$4,'1.DC_Ra soat'!$I:$I,'1.BS (VND)'!$D32)</f>
        <v>0</v>
      </c>
      <c r="BA32" s="698">
        <f>SUMIFS('1.DC_Ra soat'!$L:$L,'1.DC_Ra soat'!$F:$F,'1.PL (VND) '!BF$4,'1.DC_Ra soat'!$H:$H,'1.BS (VND)'!$D32)-SUMIFS('1.DC_Ra soat'!$L:$L,'1.DC_Ra soat'!$F:$F,'1.PL (VND) '!BF$4,'1.DC_Ra soat'!$I:$I,'1.BS (VND)'!$D32)</f>
        <v>0</v>
      </c>
      <c r="BB32" s="699"/>
      <c r="BC32" s="698">
        <f>SUMIFS('1.DC_Ra soat'!$L:$L,'1.DC_Ra soat'!$F:$F,'1.PL (VND) '!BI$4,'1.DC_Ra soat'!$H:$H,'1.BS (VND)'!$D32)-SUMIFS('1.DC_Ra soat'!$L:$L,'1.DC_Ra soat'!$F:$F,'1.PL (VND) '!BI$4,'1.DC_Ra soat'!$I:$I,'1.BS (VND)'!$D32)</f>
        <v>0</v>
      </c>
      <c r="BD32" s="698">
        <f>SUMIFS('1.DC_Ra soat'!$L:$L,'1.DC_Ra soat'!$F:$F,'1.PL (VND) '!BJ$4,'1.DC_Ra soat'!$H:$H,'1.BS (VND)'!$D32)-SUMIFS('1.DC_Ra soat'!$L:$L,'1.DC_Ra soat'!$F:$F,'1.PL (VND) '!BJ$4,'1.DC_Ra soat'!$I:$I,'1.BS (VND)'!$D32)</f>
        <v>0</v>
      </c>
      <c r="BE32" s="698">
        <f>SUMIFS('1.DC_Ra soat'!$L:$L,'1.DC_Ra soat'!$F:$F,'1.PL (VND) '!BK$4,'1.DC_Ra soat'!$H:$H,'1.BS (VND)'!$D32)-SUMIFS('1.DC_Ra soat'!$L:$L,'1.DC_Ra soat'!$F:$F,'1.PL (VND) '!BK$4,'1.DC_Ra soat'!$I:$I,'1.BS (VND)'!$D32)</f>
        <v>0</v>
      </c>
      <c r="BF32" s="698">
        <f>SUMIFS('1.DC_Ra soat'!$L:$L,'1.DC_Ra soat'!$F:$F,'1.PL (VND) '!BL$4,'1.DC_Ra soat'!$H:$H,'1.BS (VND)'!$D32)-SUMIFS('1.DC_Ra soat'!$L:$L,'1.DC_Ra soat'!$F:$F,'1.PL (VND) '!BL$4,'1.DC_Ra soat'!$I:$I,'1.BS (VND)'!$D32)</f>
        <v>0</v>
      </c>
      <c r="BG32" s="699"/>
      <c r="BH32" s="698">
        <f>SUMIFS('1.DC_Ra soat'!$L:$L,'1.DC_Ra soat'!$F:$F,'1.PL (VND) '!BO$4,'1.DC_Ra soat'!$H:$H,'1.BS (VND)'!$D32)-SUMIFS('1.DC_Ra soat'!$L:$L,'1.DC_Ra soat'!$F:$F,'1.PL (VND) '!BO$4,'1.DC_Ra soat'!$I:$I,'1.BS (VND)'!$D32)</f>
        <v>0</v>
      </c>
      <c r="BI32" s="698">
        <f>SUMIFS('1.DC_Ra soat'!$L:$L,'1.DC_Ra soat'!$F:$F,'1.PL (VND) '!BP$4,'1.DC_Ra soat'!$H:$H,'1.BS (VND)'!$D32)-SUMIFS('1.DC_Ra soat'!$L:$L,'1.DC_Ra soat'!$F:$F,'1.PL (VND) '!BP$4,'1.DC_Ra soat'!$I:$I,'1.BS (VND)'!$D32)</f>
        <v>0</v>
      </c>
      <c r="BJ32" s="698">
        <f>SUMIFS('1.DC_Ra soat'!$L:$L,'1.DC_Ra soat'!$F:$F,'1.PL (VND) '!BQ$4,'1.DC_Ra soat'!$H:$H,'1.BS (VND)'!$D32)-SUMIFS('1.DC_Ra soat'!$L:$L,'1.DC_Ra soat'!$F:$F,'1.PL (VND) '!BQ$4,'1.DC_Ra soat'!$I:$I,'1.BS (VND)'!$D32)</f>
        <v>0</v>
      </c>
      <c r="BK32" s="698">
        <f>SUMIFS('1.DC_Ra soat'!$L:$L,'1.DC_Ra soat'!$F:$F,'1.PL (VND) '!BR$4,'1.DC_Ra soat'!$H:$H,'1.BS (VND)'!$D32)-SUMIFS('1.DC_Ra soat'!$L:$L,'1.DC_Ra soat'!$F:$F,'1.PL (VND) '!BR$4,'1.DC_Ra soat'!$I:$I,'1.BS (VND)'!$D32)</f>
        <v>0</v>
      </c>
      <c r="BM32" s="698">
        <f t="shared" si="5"/>
        <v>0</v>
      </c>
      <c r="BN32" s="698">
        <f t="shared" si="6"/>
        <v>0</v>
      </c>
      <c r="BO32" s="698">
        <f t="shared" si="7"/>
        <v>0</v>
      </c>
      <c r="BP32" s="697">
        <f t="shared" si="8"/>
        <v>0</v>
      </c>
      <c r="BQ32" s="699"/>
      <c r="BR32" s="698">
        <f t="shared" si="9"/>
        <v>0</v>
      </c>
      <c r="BS32" s="698">
        <f t="shared" si="10"/>
        <v>0</v>
      </c>
      <c r="BT32" s="698">
        <f t="shared" si="11"/>
        <v>0</v>
      </c>
      <c r="BU32" s="698">
        <f t="shared" si="12"/>
        <v>0</v>
      </c>
      <c r="BV32" s="699"/>
      <c r="BW32" s="698">
        <f t="shared" si="13"/>
        <v>0</v>
      </c>
      <c r="BX32" s="698">
        <f t="shared" si="14"/>
        <v>0</v>
      </c>
      <c r="BY32" s="698">
        <f t="shared" si="15"/>
        <v>0</v>
      </c>
      <c r="BZ32" s="697">
        <f t="shared" si="16"/>
        <v>0</v>
      </c>
      <c r="CA32" s="699"/>
      <c r="CB32" s="697">
        <f t="shared" si="17"/>
        <v>0</v>
      </c>
      <c r="CC32" s="697">
        <f t="shared" si="18"/>
        <v>0</v>
      </c>
      <c r="CD32" s="697">
        <f t="shared" si="19"/>
        <v>0</v>
      </c>
      <c r="CE32" s="697">
        <f t="shared" si="20"/>
        <v>0</v>
      </c>
      <c r="CF32" s="699"/>
      <c r="CG32" s="697">
        <f t="shared" si="21"/>
        <v>0</v>
      </c>
      <c r="CH32" s="697">
        <f t="shared" si="22"/>
        <v>0</v>
      </c>
      <c r="CI32" s="697">
        <f t="shared" si="23"/>
        <v>0</v>
      </c>
      <c r="CJ32" s="697">
        <f t="shared" si="24"/>
        <v>0</v>
      </c>
      <c r="CK32" s="699"/>
      <c r="CL32" s="698">
        <f t="shared" si="25"/>
        <v>0</v>
      </c>
      <c r="CM32" s="698">
        <f t="shared" si="26"/>
        <v>0</v>
      </c>
      <c r="CN32" s="698">
        <f t="shared" si="27"/>
        <v>0</v>
      </c>
      <c r="CO32" s="697">
        <f t="shared" si="28"/>
        <v>0</v>
      </c>
      <c r="CQ32" s="698">
        <f>SUMIF('1.PL (VND) '!$BL$6:$CD$6,'1.PL (VND) '!CP$6,$BM32:$CE32)</f>
        <v>0</v>
      </c>
      <c r="CR32" s="698">
        <f>SUMIF('1.PL (VND) '!$BL$6:$CD$6,'1.PL (VND) '!CQ$6,$BM32:$CE32)</f>
        <v>0</v>
      </c>
      <c r="CS32" s="698">
        <f>SUMIF('1.PL (VND) '!$BL$6:$CD$6,'1.PL (VND) '!CR$6,$BM32:$CE32)</f>
        <v>0</v>
      </c>
      <c r="CT32" s="698">
        <f>SUMIF('1.PL (VND) '!$BL$6:$CD$6,'1.PL (VND) '!CS$6,$BM32:$CE32)</f>
        <v>0</v>
      </c>
      <c r="CV32" s="702">
        <f>SUMIFS('1.DC_Ra soat'!$L:$L,'1.DC_Ra soat'!$F:$F,'1.PL (VND) '!DK$4,'1.DC_Ra soat'!$H:$H,'1.BS (VND)'!$D32)-SUMIFS('1.DC_Ra soat'!$L:$L,'1.DC_Ra soat'!$F:$F,'1.PL (VND) '!DK$4,'1.DC_Ra soat'!$I:$I,'1.BS (VND)'!$D32)</f>
        <v>0</v>
      </c>
      <c r="CW32" s="702">
        <f>SUMIFS('1.DC_Ra soat'!$L:$L,'1.DC_Ra soat'!$F:$F,'1.PL (VND) '!DL$4,'1.DC_Ra soat'!$H:$H,'1.BS (VND)'!$D32)-SUMIFS('1.DC_Ra soat'!$L:$L,'1.DC_Ra soat'!$F:$F,'1.PL (VND) '!DL$4,'1.DC_Ra soat'!$I:$I,'1.BS (VND)'!$D32)</f>
        <v>0</v>
      </c>
      <c r="CX32" s="702">
        <f>SUMIFS('1.DC_Ra soat'!$L:$L,'1.DC_Ra soat'!$F:$F,'1.PL (VND) '!DM$4,'1.DC_Ra soat'!$H:$H,'1.BS (VND)'!$D32)-SUMIFS('1.DC_Ra soat'!$L:$L,'1.DC_Ra soat'!$F:$F,'1.PL (VND) '!DM$4,'1.DC_Ra soat'!$I:$I,'1.BS (VND)'!$D32)</f>
        <v>0</v>
      </c>
      <c r="CY32" s="702">
        <f>SUMIFS('1.DC_Ra soat'!$L:$L,'1.DC_Ra soat'!$F:$F,'1.PL (VND) '!DN$4,'1.DC_Ra soat'!$H:$H,'1.BS (VND)'!$D32)-SUMIFS('1.DC_Ra soat'!$L:$L,'1.DC_Ra soat'!$F:$F,'1.PL (VND) '!DN$4,'1.DC_Ra soat'!$I:$I,'1.BS (VND)'!$D32)</f>
        <v>0</v>
      </c>
      <c r="DA32" s="698">
        <f t="shared" si="30"/>
        <v>0</v>
      </c>
      <c r="DB32" s="698">
        <f t="shared" si="31"/>
        <v>0</v>
      </c>
      <c r="DC32" s="698">
        <f t="shared" si="32"/>
        <v>0</v>
      </c>
      <c r="DD32" s="698">
        <f t="shared" si="33"/>
        <v>0</v>
      </c>
    </row>
    <row r="33" spans="1:112" s="700" customFormat="1" x14ac:dyDescent="0.25">
      <c r="A33" s="248">
        <f t="shared" si="40"/>
        <v>1</v>
      </c>
      <c r="C33" s="703" t="s">
        <v>341</v>
      </c>
      <c r="D33" s="704" t="s">
        <v>342</v>
      </c>
      <c r="E33" s="721">
        <v>4443013400</v>
      </c>
      <c r="F33" s="721">
        <v>6057181394</v>
      </c>
      <c r="G33" s="721">
        <v>6215099666</v>
      </c>
      <c r="H33" s="722">
        <v>6442994519</v>
      </c>
      <c r="I33" s="699"/>
      <c r="J33" s="698">
        <v>2800000</v>
      </c>
      <c r="K33" s="698">
        <v>1036709521</v>
      </c>
      <c r="L33" s="698">
        <v>1041709521</v>
      </c>
      <c r="M33" s="241">
        <v>1041709521</v>
      </c>
      <c r="N33" s="699"/>
      <c r="O33" s="698">
        <v>51416760</v>
      </c>
      <c r="P33" s="698">
        <v>835524593</v>
      </c>
      <c r="Q33" s="698">
        <v>1192974442</v>
      </c>
      <c r="R33" s="698">
        <v>1156141744</v>
      </c>
      <c r="S33" s="699"/>
      <c r="T33" s="698"/>
      <c r="U33" s="698">
        <v>1262355349</v>
      </c>
      <c r="V33" s="698">
        <v>1262355349</v>
      </c>
      <c r="W33" s="698">
        <v>1262355349</v>
      </c>
      <c r="X33" s="699"/>
      <c r="Y33" s="698"/>
      <c r="Z33" s="698"/>
      <c r="AA33" s="698"/>
      <c r="AB33" s="698"/>
      <c r="AC33" s="699"/>
      <c r="AD33" s="698"/>
      <c r="AE33" s="698"/>
      <c r="AF33" s="698"/>
      <c r="AG33" s="698"/>
      <c r="AI33" s="698">
        <f>SUMIFS('1.DC_Ra soat'!$L:$L,'1.DC_Ra soat'!$F:$F,AI$4,'1.DC_Ra soat'!$H:$H,'1.BS (VND)'!$D33)-SUMIFS('1.DC_Ra soat'!$L:$L,'1.DC_Ra soat'!$F:$F,AI$4,'1.DC_Ra soat'!$I:$I,'1.BS (VND)'!$D33)</f>
        <v>0</v>
      </c>
      <c r="AJ33" s="698">
        <f>SUMIFS('1.DC_Ra soat'!$L:$L,'1.DC_Ra soat'!$F:$F,AJ$4,'1.DC_Ra soat'!$H:$H,'1.BS (VND)'!$D33)-SUMIFS('1.DC_Ra soat'!$L:$L,'1.DC_Ra soat'!$F:$F,AJ$4,'1.DC_Ra soat'!$I:$I,'1.BS (VND)'!$D33)</f>
        <v>0</v>
      </c>
      <c r="AK33" s="698">
        <f>SUMIFS('1.DC_Ra soat'!$L:$L,'1.DC_Ra soat'!$F:$F,AK$4,'1.DC_Ra soat'!$H:$H,'1.BS (VND)'!$D33)-SUMIFS('1.DC_Ra soat'!$L:$L,'1.DC_Ra soat'!$F:$F,AK$4,'1.DC_Ra soat'!$I:$I,'1.BS (VND)'!$D33)</f>
        <v>0</v>
      </c>
      <c r="AL33" s="698">
        <f>SUMIFS('1.DC_Ra soat'!$L:$L,'1.DC_Ra soat'!$F:$F,AL$4,'1.DC_Ra soat'!$H:$H,'1.BS (VND)'!$D33)-SUMIFS('1.DC_Ra soat'!$L:$L,'1.DC_Ra soat'!$F:$F,AL$4,'1.DC_Ra soat'!$I:$I,'1.BS (VND)'!$D33)</f>
        <v>0</v>
      </c>
      <c r="AM33" s="699"/>
      <c r="AN33" s="698">
        <f>SUMIFS('1.DC_Ra soat'!$L:$L,'1.DC_Ra soat'!$F:$F,AN$4,'1.DC_Ra soat'!$H:$H,'1.BS (VND)'!$D33)-SUMIFS('1.DC_Ra soat'!$L:$L,'1.DC_Ra soat'!$F:$F,AN$4,'1.DC_Ra soat'!$I:$I,'1.BS (VND)'!$D33)</f>
        <v>0</v>
      </c>
      <c r="AO33" s="698">
        <f>SUMIFS('1.DC_Ra soat'!$L:$L,'1.DC_Ra soat'!$F:$F,AO$4,'1.DC_Ra soat'!$H:$H,'1.BS (VND)'!$D33)-SUMIFS('1.DC_Ra soat'!$L:$L,'1.DC_Ra soat'!$F:$F,AO$4,'1.DC_Ra soat'!$I:$I,'1.BS (VND)'!$D33)</f>
        <v>0</v>
      </c>
      <c r="AP33" s="698">
        <f>SUMIFS('1.DC_Ra soat'!$L:$L,'1.DC_Ra soat'!$F:$F,AP$4,'1.DC_Ra soat'!$H:$H,'1.BS (VND)'!$D33)-SUMIFS('1.DC_Ra soat'!$L:$L,'1.DC_Ra soat'!$F:$F,AP$4,'1.DC_Ra soat'!$I:$I,'1.BS (VND)'!$D33)</f>
        <v>0</v>
      </c>
      <c r="AQ33" s="698">
        <f>SUMIFS('1.DC_Ra soat'!$L:$L,'1.DC_Ra soat'!$F:$F,AQ$4,'1.DC_Ra soat'!$H:$H,'1.BS (VND)'!$D33)-SUMIFS('1.DC_Ra soat'!$L:$L,'1.DC_Ra soat'!$F:$F,AQ$4,'1.DC_Ra soat'!$I:$I,'1.BS (VND)'!$D33)</f>
        <v>0</v>
      </c>
      <c r="AR33" s="699"/>
      <c r="AS33" s="698">
        <f>SUMIFS('1.DC_Ra soat'!$L:$L,'1.DC_Ra soat'!$F:$F,AS$4,'1.DC_Ra soat'!$H:$H,'1.BS (VND)'!$D33)-SUMIFS('1.DC_Ra soat'!$L:$L,'1.DC_Ra soat'!$F:$F,AS$4,'1.DC_Ra soat'!$I:$I,'1.BS (VND)'!$D33)</f>
        <v>0</v>
      </c>
      <c r="AT33" s="698">
        <f>SUMIFS('1.DC_Ra soat'!$L:$L,'1.DC_Ra soat'!$F:$F,AT$4,'1.DC_Ra soat'!$H:$H,'1.BS (VND)'!$D33)-SUMIFS('1.DC_Ra soat'!$L:$L,'1.DC_Ra soat'!$F:$F,AT$4,'1.DC_Ra soat'!$I:$I,'1.BS (VND)'!$D33)</f>
        <v>0</v>
      </c>
      <c r="AU33" s="698">
        <f>SUMIFS('1.DC_Ra soat'!$L:$L,'1.DC_Ra soat'!$F:$F,AU$4,'1.DC_Ra soat'!$H:$H,'1.BS (VND)'!$D33)-SUMIFS('1.DC_Ra soat'!$L:$L,'1.DC_Ra soat'!$F:$F,AU$4,'1.DC_Ra soat'!$I:$I,'1.BS (VND)'!$D33)</f>
        <v>0</v>
      </c>
      <c r="AV33" s="698">
        <f>SUMIFS('1.DC_Ra soat'!$L:$L,'1.DC_Ra soat'!$F:$F,AV$4,'1.DC_Ra soat'!$H:$H,'1.BS (VND)'!$D33)-SUMIFS('1.DC_Ra soat'!$L:$L,'1.DC_Ra soat'!$F:$F,AV$4,'1.DC_Ra soat'!$I:$I,'1.BS (VND)'!$D33)</f>
        <v>0</v>
      </c>
      <c r="AW33" s="699"/>
      <c r="AX33" s="698">
        <f>SUMIFS('1.DC_Ra soat'!$L:$L,'1.DC_Ra soat'!$F:$F,'1.PL (VND) '!BC$4,'1.DC_Ra soat'!$H:$H,'1.BS (VND)'!$D33)-SUMIFS('1.DC_Ra soat'!$L:$L,'1.DC_Ra soat'!$F:$F,'1.PL (VND) '!BC$4,'1.DC_Ra soat'!$I:$I,'1.BS (VND)'!$D33)</f>
        <v>0</v>
      </c>
      <c r="AY33" s="698">
        <f>SUMIFS('1.DC_Ra soat'!$L:$L,'1.DC_Ra soat'!$F:$F,'1.PL (VND) '!BD$4,'1.DC_Ra soat'!$H:$H,'1.BS (VND)'!$D33)-SUMIFS('1.DC_Ra soat'!$L:$L,'1.DC_Ra soat'!$F:$F,'1.PL (VND) '!BD$4,'1.DC_Ra soat'!$I:$I,'1.BS (VND)'!$D33)</f>
        <v>0</v>
      </c>
      <c r="AZ33" s="698">
        <f>SUMIFS('1.DC_Ra soat'!$L:$L,'1.DC_Ra soat'!$F:$F,'1.PL (VND) '!BE$4,'1.DC_Ra soat'!$H:$H,'1.BS (VND)'!$D33)-SUMIFS('1.DC_Ra soat'!$L:$L,'1.DC_Ra soat'!$F:$F,'1.PL (VND) '!BE$4,'1.DC_Ra soat'!$I:$I,'1.BS (VND)'!$D33)</f>
        <v>0</v>
      </c>
      <c r="BA33" s="698">
        <f>SUMIFS('1.DC_Ra soat'!$L:$L,'1.DC_Ra soat'!$F:$F,'1.PL (VND) '!BF$4,'1.DC_Ra soat'!$H:$H,'1.BS (VND)'!$D33)-SUMIFS('1.DC_Ra soat'!$L:$L,'1.DC_Ra soat'!$F:$F,'1.PL (VND) '!BF$4,'1.DC_Ra soat'!$I:$I,'1.BS (VND)'!$D33)</f>
        <v>0</v>
      </c>
      <c r="BB33" s="699"/>
      <c r="BC33" s="698">
        <f>SUMIFS('1.DC_Ra soat'!$L:$L,'1.DC_Ra soat'!$F:$F,'1.PL (VND) '!BI$4,'1.DC_Ra soat'!$H:$H,'1.BS (VND)'!$D33)-SUMIFS('1.DC_Ra soat'!$L:$L,'1.DC_Ra soat'!$F:$F,'1.PL (VND) '!BI$4,'1.DC_Ra soat'!$I:$I,'1.BS (VND)'!$D33)</f>
        <v>0</v>
      </c>
      <c r="BD33" s="698">
        <f>SUMIFS('1.DC_Ra soat'!$L:$L,'1.DC_Ra soat'!$F:$F,'1.PL (VND) '!BJ$4,'1.DC_Ra soat'!$H:$H,'1.BS (VND)'!$D33)-SUMIFS('1.DC_Ra soat'!$L:$L,'1.DC_Ra soat'!$F:$F,'1.PL (VND) '!BJ$4,'1.DC_Ra soat'!$I:$I,'1.BS (VND)'!$D33)</f>
        <v>0</v>
      </c>
      <c r="BE33" s="698">
        <f>SUMIFS('1.DC_Ra soat'!$L:$L,'1.DC_Ra soat'!$F:$F,'1.PL (VND) '!BK$4,'1.DC_Ra soat'!$H:$H,'1.BS (VND)'!$D33)-SUMIFS('1.DC_Ra soat'!$L:$L,'1.DC_Ra soat'!$F:$F,'1.PL (VND) '!BK$4,'1.DC_Ra soat'!$I:$I,'1.BS (VND)'!$D33)</f>
        <v>0</v>
      </c>
      <c r="BF33" s="698">
        <f>SUMIFS('1.DC_Ra soat'!$L:$L,'1.DC_Ra soat'!$F:$F,'1.PL (VND) '!BL$4,'1.DC_Ra soat'!$H:$H,'1.BS (VND)'!$D33)-SUMIFS('1.DC_Ra soat'!$L:$L,'1.DC_Ra soat'!$F:$F,'1.PL (VND) '!BL$4,'1.DC_Ra soat'!$I:$I,'1.BS (VND)'!$D33)</f>
        <v>0</v>
      </c>
      <c r="BG33" s="699"/>
      <c r="BH33" s="698">
        <f>SUMIFS('1.DC_Ra soat'!$L:$L,'1.DC_Ra soat'!$F:$F,'1.PL (VND) '!BO$4,'1.DC_Ra soat'!$H:$H,'1.BS (VND)'!$D33)-SUMIFS('1.DC_Ra soat'!$L:$L,'1.DC_Ra soat'!$F:$F,'1.PL (VND) '!BO$4,'1.DC_Ra soat'!$I:$I,'1.BS (VND)'!$D33)</f>
        <v>0</v>
      </c>
      <c r="BI33" s="698">
        <f>SUMIFS('1.DC_Ra soat'!$L:$L,'1.DC_Ra soat'!$F:$F,'1.PL (VND) '!BP$4,'1.DC_Ra soat'!$H:$H,'1.BS (VND)'!$D33)-SUMIFS('1.DC_Ra soat'!$L:$L,'1.DC_Ra soat'!$F:$F,'1.PL (VND) '!BP$4,'1.DC_Ra soat'!$I:$I,'1.BS (VND)'!$D33)</f>
        <v>0</v>
      </c>
      <c r="BJ33" s="698">
        <f>SUMIFS('1.DC_Ra soat'!$L:$L,'1.DC_Ra soat'!$F:$F,'1.PL (VND) '!BQ$4,'1.DC_Ra soat'!$H:$H,'1.BS (VND)'!$D33)-SUMIFS('1.DC_Ra soat'!$L:$L,'1.DC_Ra soat'!$F:$F,'1.PL (VND) '!BQ$4,'1.DC_Ra soat'!$I:$I,'1.BS (VND)'!$D33)</f>
        <v>0</v>
      </c>
      <c r="BK33" s="698">
        <f>SUMIFS('1.DC_Ra soat'!$L:$L,'1.DC_Ra soat'!$F:$F,'1.PL (VND) '!BR$4,'1.DC_Ra soat'!$H:$H,'1.BS (VND)'!$D33)-SUMIFS('1.DC_Ra soat'!$L:$L,'1.DC_Ra soat'!$F:$F,'1.PL (VND) '!BR$4,'1.DC_Ra soat'!$I:$I,'1.BS (VND)'!$D33)</f>
        <v>0</v>
      </c>
      <c r="BM33" s="698">
        <f t="shared" si="5"/>
        <v>4443013400</v>
      </c>
      <c r="BN33" s="698">
        <f t="shared" si="6"/>
        <v>6057181394</v>
      </c>
      <c r="BO33" s="698">
        <f t="shared" si="7"/>
        <v>6215099666</v>
      </c>
      <c r="BP33" s="697">
        <f t="shared" si="8"/>
        <v>6442994519</v>
      </c>
      <c r="BQ33" s="699"/>
      <c r="BR33" s="698">
        <f t="shared" si="9"/>
        <v>2800000</v>
      </c>
      <c r="BS33" s="698">
        <f t="shared" si="10"/>
        <v>1036709521</v>
      </c>
      <c r="BT33" s="698">
        <f t="shared" si="11"/>
        <v>1041709521</v>
      </c>
      <c r="BU33" s="698">
        <f t="shared" si="12"/>
        <v>1041709521</v>
      </c>
      <c r="BV33" s="699"/>
      <c r="BW33" s="698">
        <f t="shared" si="13"/>
        <v>51416760</v>
      </c>
      <c r="BX33" s="698">
        <f t="shared" si="14"/>
        <v>835524593</v>
      </c>
      <c r="BY33" s="698">
        <f t="shared" si="15"/>
        <v>1192974442</v>
      </c>
      <c r="BZ33" s="697">
        <f t="shared" si="16"/>
        <v>1156141744</v>
      </c>
      <c r="CA33" s="699"/>
      <c r="CB33" s="697">
        <f t="shared" si="17"/>
        <v>0</v>
      </c>
      <c r="CC33" s="697">
        <f t="shared" si="18"/>
        <v>1262355349</v>
      </c>
      <c r="CD33" s="697">
        <f t="shared" si="19"/>
        <v>1262355349</v>
      </c>
      <c r="CE33" s="697">
        <f t="shared" si="20"/>
        <v>1262355349</v>
      </c>
      <c r="CF33" s="699"/>
      <c r="CG33" s="697">
        <f t="shared" si="21"/>
        <v>0</v>
      </c>
      <c r="CH33" s="697">
        <f t="shared" si="22"/>
        <v>0</v>
      </c>
      <c r="CI33" s="697">
        <f t="shared" si="23"/>
        <v>0</v>
      </c>
      <c r="CJ33" s="697">
        <f t="shared" si="24"/>
        <v>0</v>
      </c>
      <c r="CK33" s="699"/>
      <c r="CL33" s="698">
        <f t="shared" si="25"/>
        <v>0</v>
      </c>
      <c r="CM33" s="698">
        <f t="shared" si="26"/>
        <v>0</v>
      </c>
      <c r="CN33" s="698">
        <f t="shared" si="27"/>
        <v>0</v>
      </c>
      <c r="CO33" s="697">
        <f t="shared" si="28"/>
        <v>0</v>
      </c>
      <c r="CQ33" s="698">
        <f>SUMIF('1.PL (VND) '!$BL$6:$CD$6,'1.PL (VND) '!CP$6,$BM33:$CE33)</f>
        <v>4497230160</v>
      </c>
      <c r="CR33" s="698">
        <f>SUMIF('1.PL (VND) '!$BL$6:$CD$6,'1.PL (VND) '!CQ$6,$BM33:$CE33)</f>
        <v>9191770857</v>
      </c>
      <c r="CS33" s="698">
        <f>SUMIF('1.PL (VND) '!$BL$6:$CD$6,'1.PL (VND) '!CR$6,$BM33:$CE33)</f>
        <v>9712138978</v>
      </c>
      <c r="CT33" s="698">
        <f>SUMIF('1.PL (VND) '!$BL$6:$CD$6,'1.PL (VND) '!CS$6,$BM33:$CE33)</f>
        <v>9903201133</v>
      </c>
      <c r="CV33" s="702">
        <f>SUMIFS('1.DC_Ra soat'!$L:$L,'1.DC_Ra soat'!$F:$F,'1.PL (VND) '!DK$4,'1.DC_Ra soat'!$H:$H,'1.BS (VND)'!$D33)-SUMIFS('1.DC_Ra soat'!$L:$L,'1.DC_Ra soat'!$F:$F,'1.PL (VND) '!DK$4,'1.DC_Ra soat'!$I:$I,'1.BS (VND)'!$D33)</f>
        <v>0</v>
      </c>
      <c r="CW33" s="702">
        <f>SUMIFS('1.DC_Ra soat'!$L:$L,'1.DC_Ra soat'!$F:$F,'1.PL (VND) '!DL$4,'1.DC_Ra soat'!$H:$H,'1.BS (VND)'!$D33)-SUMIFS('1.DC_Ra soat'!$L:$L,'1.DC_Ra soat'!$F:$F,'1.PL (VND) '!DL$4,'1.DC_Ra soat'!$I:$I,'1.BS (VND)'!$D33)</f>
        <v>0</v>
      </c>
      <c r="CX33" s="702">
        <f>SUMIFS('1.DC_Ra soat'!$L:$L,'1.DC_Ra soat'!$F:$F,'1.PL (VND) '!DM$4,'1.DC_Ra soat'!$H:$H,'1.BS (VND)'!$D33)-SUMIFS('1.DC_Ra soat'!$L:$L,'1.DC_Ra soat'!$F:$F,'1.PL (VND) '!DM$4,'1.DC_Ra soat'!$I:$I,'1.BS (VND)'!$D33)</f>
        <v>0</v>
      </c>
      <c r="CY33" s="702">
        <f>SUMIFS('1.DC_Ra soat'!$L:$L,'1.DC_Ra soat'!$F:$F,'1.PL (VND) '!DN$4,'1.DC_Ra soat'!$H:$H,'1.BS (VND)'!$D33)-SUMIFS('1.DC_Ra soat'!$L:$L,'1.DC_Ra soat'!$F:$F,'1.PL (VND) '!DN$4,'1.DC_Ra soat'!$I:$I,'1.BS (VND)'!$D33)</f>
        <v>0</v>
      </c>
      <c r="DA33" s="698">
        <f t="shared" si="30"/>
        <v>4497230160</v>
      </c>
      <c r="DB33" s="698">
        <f t="shared" si="31"/>
        <v>9191770857</v>
      </c>
      <c r="DC33" s="698">
        <f t="shared" si="32"/>
        <v>9712138978</v>
      </c>
      <c r="DD33" s="698">
        <f t="shared" si="33"/>
        <v>9903201133</v>
      </c>
      <c r="DH33" s="701"/>
    </row>
    <row r="34" spans="1:112" s="248" customFormat="1" x14ac:dyDescent="0.25">
      <c r="A34" s="248">
        <f t="shared" si="40"/>
        <v>1</v>
      </c>
      <c r="C34" s="825" t="s">
        <v>579</v>
      </c>
      <c r="D34" s="826" t="s">
        <v>343</v>
      </c>
      <c r="E34" s="827">
        <f>SUM(E35+E43+E53+E56+E59+E65)</f>
        <v>70354868465</v>
      </c>
      <c r="F34" s="827">
        <f>SUM(F35+F43+F53+F56+F59+F65)</f>
        <v>71423302014</v>
      </c>
      <c r="G34" s="827">
        <f>SUM(G35+G43+G53+G56+G59+G65)</f>
        <v>99474628238</v>
      </c>
      <c r="H34" s="828">
        <f>SUM(H35+H43+H53+H56+H59+H65)</f>
        <v>99493850334</v>
      </c>
      <c r="I34" s="230"/>
      <c r="J34" s="824">
        <f>SUM(J35+J43+J53+J56+J59+J65)</f>
        <v>0</v>
      </c>
      <c r="K34" s="824">
        <f>SUM(K35+K43+K53+K56+K59+K65)</f>
        <v>39777749646</v>
      </c>
      <c r="L34" s="824">
        <f>SUM(L35+L43+L53+L56+L59+L65)</f>
        <v>52561073149</v>
      </c>
      <c r="M34" s="824">
        <f>SUM(M35+M43+M53+M56+M59+M65)</f>
        <v>53928345876</v>
      </c>
      <c r="N34" s="230"/>
      <c r="O34" s="824">
        <f>SUM(O35+O43+O53+O56+O59+O65)</f>
        <v>14406782538</v>
      </c>
      <c r="P34" s="824">
        <f>SUM(P35+P43+P53+P56+P59+P65)</f>
        <v>11845734922</v>
      </c>
      <c r="Q34" s="824">
        <f>SUM(Q35+Q43+Q53+Q56+Q59+Q65)</f>
        <v>6174866171</v>
      </c>
      <c r="R34" s="824">
        <f>SUM(R35+R43+R53+R56+R59+R65)</f>
        <v>4293596837</v>
      </c>
      <c r="S34" s="230"/>
      <c r="T34" s="824">
        <f>SUM(T35+T43+T53+T56+T59+T65)</f>
        <v>16716666667</v>
      </c>
      <c r="U34" s="824">
        <f>SUM(U35+U43+U53+U56+U59+U65)</f>
        <v>16636991667</v>
      </c>
      <c r="V34" s="824">
        <f>SUM(V35+V43+V53+V56+V59+V65)</f>
        <v>15356666667</v>
      </c>
      <c r="W34" s="824">
        <f>SUM(W35+W43+W53+W56+W59+W65)</f>
        <v>14676666667</v>
      </c>
      <c r="X34" s="230"/>
      <c r="Y34" s="241">
        <f>SUM(Y35+Y43+Y53+Y56+Y59+Y65)</f>
        <v>0</v>
      </c>
      <c r="Z34" s="241">
        <f t="shared" ref="Z34:AB34" si="54">SUM(Z35+Z43+Z53+Z56+Z59+Z65)</f>
        <v>0</v>
      </c>
      <c r="AA34" s="241">
        <f t="shared" si="54"/>
        <v>0</v>
      </c>
      <c r="AB34" s="241">
        <f t="shared" si="54"/>
        <v>0</v>
      </c>
      <c r="AC34" s="230"/>
      <c r="AD34" s="241">
        <f>SUM(AD35+AD43+AD53+AD56+AD59+AD65)</f>
        <v>0</v>
      </c>
      <c r="AE34" s="241">
        <f>SUM(AE35+AE43+AE53+AE56+AE59+AE65)</f>
        <v>0</v>
      </c>
      <c r="AF34" s="241">
        <f>SUM(AF35+AF43+AF53+AF56+AF59+AF65)</f>
        <v>0</v>
      </c>
      <c r="AG34" s="241">
        <f>SUM(AG35+AG43+AG53+AG56+AG59+AG65)</f>
        <v>0</v>
      </c>
      <c r="AI34" s="249">
        <f>SUM(AI35+AI43+AI53+AI56+AI59+AI65)</f>
        <v>0</v>
      </c>
      <c r="AJ34" s="249">
        <f>SUM(AJ35+AJ43+AJ53+AJ56+AJ59+AJ65)</f>
        <v>0</v>
      </c>
      <c r="AK34" s="249">
        <f>SUM(AK35+AK43+AK53+AK56+AK59+AK65)</f>
        <v>-10749717626</v>
      </c>
      <c r="AL34" s="249">
        <f t="shared" ref="AL34" si="55">SUM(AL35+AL43+AL53+AL56+AL59+AL65)</f>
        <v>-11823321514</v>
      </c>
      <c r="AM34" s="230"/>
      <c r="AN34" s="249">
        <f>SUM(AN35+AN43+AN53+AN56+AN59+AN65)</f>
        <v>0</v>
      </c>
      <c r="AO34" s="249">
        <f>SUM(AO35+AO43+AO53+AO56+AO59+AO65)</f>
        <v>0</v>
      </c>
      <c r="AP34" s="249">
        <f>SUM(AP35+AP43+AP53+AP56+AP59+AP65)</f>
        <v>0</v>
      </c>
      <c r="AQ34" s="249">
        <f t="shared" ref="AQ34" si="56">SUM(AQ35+AQ43+AQ53+AQ56+AQ59+AQ65)</f>
        <v>-741540549</v>
      </c>
      <c r="AR34" s="230"/>
      <c r="AS34" s="249">
        <f>SUM(AS35+AS43+AS53+AS56+AS59+AS65)</f>
        <v>0</v>
      </c>
      <c r="AT34" s="249">
        <f>SUM(AT35+AT43+AT53+AT56+AT59+AT65)</f>
        <v>0</v>
      </c>
      <c r="AU34" s="249">
        <f>SUM(AU35+AU43+AU53+AU56+AU59+AU65)</f>
        <v>-846888229</v>
      </c>
      <c r="AV34" s="249">
        <f t="shared" ref="AV34" si="57">SUM(AV35+AV43+AV53+AV56+AV59+AV65)</f>
        <v>-846888229</v>
      </c>
      <c r="AW34" s="230"/>
      <c r="AX34" s="249">
        <f>SUM(AX35+AX43+AX53+AX56+AX59+AX65)</f>
        <v>0</v>
      </c>
      <c r="AY34" s="249">
        <f>SUM(AY35+AY43+AY53+AY56+AY59+AY65)</f>
        <v>0</v>
      </c>
      <c r="AZ34" s="249">
        <f>SUM(AZ35+AZ43+AZ53+AZ56+AZ59+AZ65)</f>
        <v>-1262355349</v>
      </c>
      <c r="BA34" s="249">
        <f>SUM(BA35+BA43+BA53+BA56+BA59+BA65)</f>
        <v>-1262355349</v>
      </c>
      <c r="BB34" s="230"/>
      <c r="BC34" s="249">
        <f>SUM(BC35+BC43+BC53+BC56+BC59+BC65)</f>
        <v>0</v>
      </c>
      <c r="BD34" s="249">
        <f>SUM(BD35+BD43+BD53+BD56+BD59+BD65)</f>
        <v>0</v>
      </c>
      <c r="BE34" s="249">
        <f>SUM(BE35+BE43+BE53+BE56+BE59+BE65)</f>
        <v>0</v>
      </c>
      <c r="BF34" s="249">
        <f>SUM(BF35+BF43+BF53+BF56+BF59+BF65)</f>
        <v>0</v>
      </c>
      <c r="BG34" s="230"/>
      <c r="BH34" s="249">
        <f>SUM(BH35+BH43+BH53+BH56+BH59+BH65)</f>
        <v>0</v>
      </c>
      <c r="BI34" s="249">
        <f>SUM(BI35+BI43+BI53+BI56+BI59+BI65)</f>
        <v>0</v>
      </c>
      <c r="BJ34" s="249">
        <f>SUM(BJ35+BJ43+BJ53+BJ56+BJ59+BJ65)</f>
        <v>0</v>
      </c>
      <c r="BK34" s="249">
        <f t="shared" ref="BK34" si="58">SUM(BK35+BK43+BK53+BK56+BK59+BK65)</f>
        <v>0</v>
      </c>
      <c r="BM34" s="241">
        <f t="shared" si="5"/>
        <v>70354868465</v>
      </c>
      <c r="BN34" s="241">
        <f t="shared" si="6"/>
        <v>71423302014</v>
      </c>
      <c r="BO34" s="241">
        <f t="shared" si="7"/>
        <v>88724910612</v>
      </c>
      <c r="BP34" s="241">
        <f t="shared" si="8"/>
        <v>87670528820</v>
      </c>
      <c r="BQ34" s="230"/>
      <c r="BR34" s="241">
        <f t="shared" si="9"/>
        <v>0</v>
      </c>
      <c r="BS34" s="241">
        <f t="shared" si="10"/>
        <v>39777749646</v>
      </c>
      <c r="BT34" s="241">
        <f t="shared" si="11"/>
        <v>52561073149</v>
      </c>
      <c r="BU34" s="241">
        <f t="shared" si="12"/>
        <v>53186805327</v>
      </c>
      <c r="BV34" s="230"/>
      <c r="BW34" s="241">
        <f t="shared" si="13"/>
        <v>14406782538</v>
      </c>
      <c r="BX34" s="241">
        <f t="shared" si="14"/>
        <v>11845734922</v>
      </c>
      <c r="BY34" s="241">
        <f t="shared" si="15"/>
        <v>5327977942</v>
      </c>
      <c r="BZ34" s="241">
        <f t="shared" si="16"/>
        <v>3446708608</v>
      </c>
      <c r="CA34" s="230"/>
      <c r="CB34" s="241">
        <f t="shared" si="17"/>
        <v>16716666667</v>
      </c>
      <c r="CC34" s="241">
        <f t="shared" si="18"/>
        <v>16636991667</v>
      </c>
      <c r="CD34" s="241">
        <f t="shared" si="19"/>
        <v>14094311318</v>
      </c>
      <c r="CE34" s="241">
        <f t="shared" si="20"/>
        <v>13414311318</v>
      </c>
      <c r="CF34" s="230"/>
      <c r="CG34" s="241">
        <f t="shared" si="21"/>
        <v>0</v>
      </c>
      <c r="CH34" s="241">
        <f t="shared" si="22"/>
        <v>0</v>
      </c>
      <c r="CI34" s="241">
        <f t="shared" si="23"/>
        <v>0</v>
      </c>
      <c r="CJ34" s="241">
        <f t="shared" si="24"/>
        <v>0</v>
      </c>
      <c r="CK34" s="230"/>
      <c r="CL34" s="241">
        <f t="shared" si="25"/>
        <v>0</v>
      </c>
      <c r="CM34" s="241">
        <f t="shared" si="26"/>
        <v>0</v>
      </c>
      <c r="CN34" s="241">
        <f t="shared" si="27"/>
        <v>0</v>
      </c>
      <c r="CO34" s="241">
        <f t="shared" si="28"/>
        <v>0</v>
      </c>
      <c r="CQ34" s="241">
        <f>SUMIF('1.PL (VND) '!$BL$6:$CD$6,'1.PL (VND) '!CP$6,$BM34:$CE34)</f>
        <v>101478317670</v>
      </c>
      <c r="CR34" s="241">
        <f>SUMIF('1.PL (VND) '!$BL$6:$CD$6,'1.PL (VND) '!CQ$6,$BM34:$CE34)</f>
        <v>139683778249</v>
      </c>
      <c r="CS34" s="241">
        <f>SUMIF('1.PL (VND) '!$BL$6:$CD$6,'1.PL (VND) '!CR$6,$BM34:$CE34)</f>
        <v>160708273021</v>
      </c>
      <c r="CT34" s="241">
        <f>SUMIF('1.PL (VND) '!$BL$6:$CD$6,'1.PL (VND) '!CS$6,$BM34:$CE34)</f>
        <v>157718354073</v>
      </c>
      <c r="CV34" s="251">
        <f>SUM(CV35+CV43+CV53+CV56+CV59+CV65)</f>
        <v>0</v>
      </c>
      <c r="CW34" s="251">
        <f t="shared" ref="CW34:CY34" si="59">SUM(CW35+CW43+CW53+CW56+CW59+CW65)</f>
        <v>0</v>
      </c>
      <c r="CX34" s="251">
        <f t="shared" si="59"/>
        <v>0</v>
      </c>
      <c r="CY34" s="251">
        <f t="shared" si="59"/>
        <v>0</v>
      </c>
      <c r="DA34" s="241">
        <f t="shared" si="30"/>
        <v>101478317670</v>
      </c>
      <c r="DB34" s="241">
        <f t="shared" si="31"/>
        <v>139683778249</v>
      </c>
      <c r="DC34" s="241">
        <f t="shared" si="32"/>
        <v>160708273021</v>
      </c>
      <c r="DD34" s="241">
        <f t="shared" si="33"/>
        <v>157718354073</v>
      </c>
      <c r="DH34" s="245"/>
    </row>
    <row r="35" spans="1:112" s="248" customFormat="1" x14ac:dyDescent="0.25">
      <c r="A35" s="248" t="str">
        <f t="shared" si="40"/>
        <v>hide</v>
      </c>
      <c r="C35" s="259" t="s">
        <v>344</v>
      </c>
      <c r="D35" s="260" t="s">
        <v>345</v>
      </c>
      <c r="E35" s="725">
        <f>SUM(E36:E42)</f>
        <v>0</v>
      </c>
      <c r="F35" s="725">
        <f>SUM(F36:F42)</f>
        <v>0</v>
      </c>
      <c r="G35" s="725">
        <f>SUM(G36:G42)</f>
        <v>0</v>
      </c>
      <c r="H35" s="726">
        <f>SUM(H36:H42)</f>
        <v>0</v>
      </c>
      <c r="I35" s="230"/>
      <c r="J35" s="241"/>
      <c r="K35" s="241"/>
      <c r="L35" s="241"/>
      <c r="M35" s="241">
        <v>0</v>
      </c>
      <c r="N35" s="230"/>
      <c r="O35" s="241"/>
      <c r="P35" s="241"/>
      <c r="Q35" s="241"/>
      <c r="R35" s="241"/>
      <c r="S35" s="230"/>
      <c r="T35" s="241"/>
      <c r="U35" s="241"/>
      <c r="V35" s="241"/>
      <c r="W35" s="241"/>
      <c r="X35" s="230"/>
      <c r="Y35" s="241"/>
      <c r="Z35" s="241"/>
      <c r="AA35" s="241"/>
      <c r="AB35" s="241"/>
      <c r="AC35" s="230"/>
      <c r="AD35" s="241"/>
      <c r="AE35" s="241"/>
      <c r="AF35" s="241"/>
      <c r="AG35" s="241"/>
      <c r="AI35" s="250">
        <f>SUM(AI36:AI42)</f>
        <v>0</v>
      </c>
      <c r="AJ35" s="250">
        <f>SUM(AJ36:AJ42)</f>
        <v>0</v>
      </c>
      <c r="AK35" s="250">
        <f>SUM(AK36:AK42)</f>
        <v>0</v>
      </c>
      <c r="AL35" s="250">
        <f t="shared" ref="AL35:AQ35" si="60">SUM(AL36:AL42)</f>
        <v>0</v>
      </c>
      <c r="AM35" s="230"/>
      <c r="AN35" s="250">
        <f t="shared" si="60"/>
        <v>0</v>
      </c>
      <c r="AO35" s="250">
        <f t="shared" si="60"/>
        <v>0</v>
      </c>
      <c r="AP35" s="250">
        <f t="shared" si="60"/>
        <v>0</v>
      </c>
      <c r="AQ35" s="250">
        <f t="shared" si="60"/>
        <v>0</v>
      </c>
      <c r="AR35" s="230"/>
      <c r="AS35" s="244">
        <f>SUMIFS('1.DC_Ra soat'!$L:$L,'1.DC_Ra soat'!$F:$F,AS$4,'1.DC_Ra soat'!$H:$H,'1.BS (VND)'!$D35)-SUMIFS('1.DC_Ra soat'!$L:$L,'1.DC_Ra soat'!$F:$F,AS$4,'1.DC_Ra soat'!$I:$I,'1.BS (VND)'!$D35)</f>
        <v>0</v>
      </c>
      <c r="AT35" s="244">
        <f>SUMIFS('1.DC_Ra soat'!$L:$L,'1.DC_Ra soat'!$F:$F,AT$4,'1.DC_Ra soat'!$H:$H,'1.BS (VND)'!$D35)-SUMIFS('1.DC_Ra soat'!$L:$L,'1.DC_Ra soat'!$F:$F,AT$4,'1.DC_Ra soat'!$I:$I,'1.BS (VND)'!$D35)</f>
        <v>0</v>
      </c>
      <c r="AU35" s="244">
        <f>SUMIFS('1.DC_Ra soat'!$L:$L,'1.DC_Ra soat'!$F:$F,AU$4,'1.DC_Ra soat'!$H:$H,'1.BS (VND)'!$D35)-SUMIFS('1.DC_Ra soat'!$L:$L,'1.DC_Ra soat'!$F:$F,AU$4,'1.DC_Ra soat'!$I:$I,'1.BS (VND)'!$D35)</f>
        <v>0</v>
      </c>
      <c r="AV35" s="244">
        <f>SUMIFS('1.DC_Ra soat'!$L:$L,'1.DC_Ra soat'!$F:$F,AV$4,'1.DC_Ra soat'!$H:$H,'1.BS (VND)'!$D35)-SUMIFS('1.DC_Ra soat'!$L:$L,'1.DC_Ra soat'!$F:$F,AV$4,'1.DC_Ra soat'!$I:$I,'1.BS (VND)'!$D35)</f>
        <v>0</v>
      </c>
      <c r="AW35" s="230"/>
      <c r="AX35" s="241"/>
      <c r="AY35" s="241"/>
      <c r="AZ35" s="241"/>
      <c r="BA35" s="241"/>
      <c r="BB35" s="230"/>
      <c r="BC35" s="241"/>
      <c r="BD35" s="241"/>
      <c r="BE35" s="241"/>
      <c r="BF35" s="241"/>
      <c r="BG35" s="230"/>
      <c r="BH35" s="241"/>
      <c r="BI35" s="241"/>
      <c r="BJ35" s="241"/>
      <c r="BK35" s="247"/>
      <c r="BM35" s="241">
        <f t="shared" si="5"/>
        <v>0</v>
      </c>
      <c r="BN35" s="241">
        <f t="shared" si="6"/>
        <v>0</v>
      </c>
      <c r="BO35" s="241">
        <f t="shared" si="7"/>
        <v>0</v>
      </c>
      <c r="BP35" s="247">
        <f t="shared" si="8"/>
        <v>0</v>
      </c>
      <c r="BQ35" s="230"/>
      <c r="BR35" s="241">
        <f t="shared" si="9"/>
        <v>0</v>
      </c>
      <c r="BS35" s="241">
        <f t="shared" si="10"/>
        <v>0</v>
      </c>
      <c r="BT35" s="241">
        <f t="shared" si="11"/>
        <v>0</v>
      </c>
      <c r="BU35" s="241">
        <f t="shared" si="12"/>
        <v>0</v>
      </c>
      <c r="BV35" s="230"/>
      <c r="BW35" s="241">
        <f t="shared" si="13"/>
        <v>0</v>
      </c>
      <c r="BX35" s="241">
        <f t="shared" si="14"/>
        <v>0</v>
      </c>
      <c r="BY35" s="241">
        <f t="shared" si="15"/>
        <v>0</v>
      </c>
      <c r="BZ35" s="247">
        <f t="shared" si="16"/>
        <v>0</v>
      </c>
      <c r="CA35" s="230"/>
      <c r="CB35" s="247">
        <f t="shared" si="17"/>
        <v>0</v>
      </c>
      <c r="CC35" s="247">
        <f t="shared" si="18"/>
        <v>0</v>
      </c>
      <c r="CD35" s="247">
        <f t="shared" si="19"/>
        <v>0</v>
      </c>
      <c r="CE35" s="247">
        <f t="shared" si="20"/>
        <v>0</v>
      </c>
      <c r="CF35" s="230"/>
      <c r="CG35" s="247">
        <f t="shared" si="21"/>
        <v>0</v>
      </c>
      <c r="CH35" s="247">
        <f t="shared" si="22"/>
        <v>0</v>
      </c>
      <c r="CI35" s="247">
        <f t="shared" si="23"/>
        <v>0</v>
      </c>
      <c r="CJ35" s="247">
        <f t="shared" si="24"/>
        <v>0</v>
      </c>
      <c r="CK35" s="230"/>
      <c r="CL35" s="241">
        <f t="shared" si="25"/>
        <v>0</v>
      </c>
      <c r="CM35" s="241">
        <f t="shared" si="26"/>
        <v>0</v>
      </c>
      <c r="CN35" s="241">
        <f t="shared" si="27"/>
        <v>0</v>
      </c>
      <c r="CO35" s="247">
        <f t="shared" si="28"/>
        <v>0</v>
      </c>
      <c r="CQ35" s="241">
        <f>SUMIF('1.PL (VND) '!$BL$6:$CD$6,'1.PL (VND) '!CP$6,$BM35:$CE35)</f>
        <v>0</v>
      </c>
      <c r="CR35" s="241">
        <f>SUMIF('1.PL (VND) '!$BL$6:$CD$6,'1.PL (VND) '!CQ$6,$BM35:$CE35)</f>
        <v>0</v>
      </c>
      <c r="CS35" s="241">
        <f>SUMIF('1.PL (VND) '!$BL$6:$CD$6,'1.PL (VND) '!CR$6,$BM35:$CE35)</f>
        <v>0</v>
      </c>
      <c r="CT35" s="241">
        <f>SUMIF('1.PL (VND) '!$BL$6:$CD$6,'1.PL (VND) '!CS$6,$BM35:$CE35)</f>
        <v>0</v>
      </c>
      <c r="CV35" s="241">
        <f>SUM(CV36:CV42)</f>
        <v>0</v>
      </c>
      <c r="CW35" s="241">
        <f t="shared" ref="CW35:CY35" si="61">SUM(CW36:CW42)</f>
        <v>0</v>
      </c>
      <c r="CX35" s="241">
        <f t="shared" si="61"/>
        <v>0</v>
      </c>
      <c r="CY35" s="241">
        <f t="shared" si="61"/>
        <v>0</v>
      </c>
      <c r="DA35" s="241">
        <f t="shared" si="30"/>
        <v>0</v>
      </c>
      <c r="DB35" s="241">
        <f t="shared" si="31"/>
        <v>0</v>
      </c>
      <c r="DC35" s="241">
        <f t="shared" si="32"/>
        <v>0</v>
      </c>
      <c r="DD35" s="241">
        <f t="shared" si="33"/>
        <v>0</v>
      </c>
    </row>
    <row r="36" spans="1:112" s="700" customFormat="1" x14ac:dyDescent="0.25">
      <c r="A36" s="248" t="str">
        <f t="shared" si="40"/>
        <v>hide</v>
      </c>
      <c r="C36" s="703" t="s">
        <v>346</v>
      </c>
      <c r="D36" s="704" t="s">
        <v>347</v>
      </c>
      <c r="E36" s="721"/>
      <c r="F36" s="721"/>
      <c r="G36" s="721"/>
      <c r="H36" s="722">
        <v>0</v>
      </c>
      <c r="I36" s="699"/>
      <c r="J36" s="698"/>
      <c r="K36" s="698"/>
      <c r="L36" s="698"/>
      <c r="M36" s="241">
        <v>0</v>
      </c>
      <c r="N36" s="699"/>
      <c r="O36" s="698"/>
      <c r="P36" s="698"/>
      <c r="Q36" s="698"/>
      <c r="R36" s="698"/>
      <c r="S36" s="699"/>
      <c r="T36" s="698"/>
      <c r="U36" s="698"/>
      <c r="V36" s="698"/>
      <c r="W36" s="698"/>
      <c r="X36" s="699"/>
      <c r="Y36" s="698"/>
      <c r="Z36" s="698"/>
      <c r="AA36" s="698"/>
      <c r="AB36" s="698"/>
      <c r="AC36" s="699"/>
      <c r="AD36" s="698"/>
      <c r="AE36" s="698"/>
      <c r="AF36" s="698"/>
      <c r="AG36" s="698"/>
      <c r="AI36" s="698">
        <f>SUMIFS('1.DC_Ra soat'!$L:$L,'1.DC_Ra soat'!$F:$F,AI$4,'1.DC_Ra soat'!$H:$H,'1.BS (VND)'!$D36)-SUMIFS('1.DC_Ra soat'!$L:$L,'1.DC_Ra soat'!$F:$F,AI$4,'1.DC_Ra soat'!$I:$I,'1.BS (VND)'!$D36)</f>
        <v>0</v>
      </c>
      <c r="AJ36" s="698">
        <f>SUMIFS('1.DC_Ra soat'!$L:$L,'1.DC_Ra soat'!$F:$F,AJ$4,'1.DC_Ra soat'!$H:$H,'1.BS (VND)'!$D36)-SUMIFS('1.DC_Ra soat'!$L:$L,'1.DC_Ra soat'!$F:$F,AJ$4,'1.DC_Ra soat'!$I:$I,'1.BS (VND)'!$D36)</f>
        <v>0</v>
      </c>
      <c r="AK36" s="698">
        <f>SUMIFS('1.DC_Ra soat'!$L:$L,'1.DC_Ra soat'!$F:$F,AK$4,'1.DC_Ra soat'!$H:$H,'1.BS (VND)'!$D36)-SUMIFS('1.DC_Ra soat'!$L:$L,'1.DC_Ra soat'!$F:$F,AK$4,'1.DC_Ra soat'!$I:$I,'1.BS (VND)'!$D36)</f>
        <v>0</v>
      </c>
      <c r="AL36" s="698">
        <f>SUMIFS('1.DC_Ra soat'!$L:$L,'1.DC_Ra soat'!$F:$F,AL$4,'1.DC_Ra soat'!$H:$H,'1.BS (VND)'!$D36)-SUMIFS('1.DC_Ra soat'!$L:$L,'1.DC_Ra soat'!$F:$F,AL$4,'1.DC_Ra soat'!$I:$I,'1.BS (VND)'!$D36)</f>
        <v>0</v>
      </c>
      <c r="AM36" s="699"/>
      <c r="AN36" s="698">
        <f>SUMIFS('1.DC_Ra soat'!$L:$L,'1.DC_Ra soat'!$F:$F,AN$4,'1.DC_Ra soat'!$H:$H,'1.BS (VND)'!$D36)-SUMIFS('1.DC_Ra soat'!$L:$L,'1.DC_Ra soat'!$F:$F,AN$4,'1.DC_Ra soat'!$I:$I,'1.BS (VND)'!$D36)</f>
        <v>0</v>
      </c>
      <c r="AO36" s="698">
        <f>SUMIFS('1.DC_Ra soat'!$L:$L,'1.DC_Ra soat'!$F:$F,AO$4,'1.DC_Ra soat'!$H:$H,'1.BS (VND)'!$D36)-SUMIFS('1.DC_Ra soat'!$L:$L,'1.DC_Ra soat'!$F:$F,AO$4,'1.DC_Ra soat'!$I:$I,'1.BS (VND)'!$D36)</f>
        <v>0</v>
      </c>
      <c r="AP36" s="698">
        <f>SUMIFS('1.DC_Ra soat'!$L:$L,'1.DC_Ra soat'!$F:$F,AP$4,'1.DC_Ra soat'!$H:$H,'1.BS (VND)'!$D36)-SUMIFS('1.DC_Ra soat'!$L:$L,'1.DC_Ra soat'!$F:$F,AP$4,'1.DC_Ra soat'!$I:$I,'1.BS (VND)'!$D36)</f>
        <v>0</v>
      </c>
      <c r="AQ36" s="698">
        <f>SUMIFS('1.DC_Ra soat'!$L:$L,'1.DC_Ra soat'!$F:$F,AQ$4,'1.DC_Ra soat'!$H:$H,'1.BS (VND)'!$D36)-SUMIFS('1.DC_Ra soat'!$L:$L,'1.DC_Ra soat'!$F:$F,AQ$4,'1.DC_Ra soat'!$I:$I,'1.BS (VND)'!$D36)</f>
        <v>0</v>
      </c>
      <c r="AR36" s="699"/>
      <c r="AS36" s="698">
        <f>SUMIFS('1.DC_Ra soat'!$L:$L,'1.DC_Ra soat'!$F:$F,AS$4,'1.DC_Ra soat'!$H:$H,'1.BS (VND)'!$D36)-SUMIFS('1.DC_Ra soat'!$L:$L,'1.DC_Ra soat'!$F:$F,AS$4,'1.DC_Ra soat'!$I:$I,'1.BS (VND)'!$D36)</f>
        <v>0</v>
      </c>
      <c r="AT36" s="698">
        <f>SUMIFS('1.DC_Ra soat'!$L:$L,'1.DC_Ra soat'!$F:$F,AT$4,'1.DC_Ra soat'!$H:$H,'1.BS (VND)'!$D36)-SUMIFS('1.DC_Ra soat'!$L:$L,'1.DC_Ra soat'!$F:$F,AT$4,'1.DC_Ra soat'!$I:$I,'1.BS (VND)'!$D36)</f>
        <v>0</v>
      </c>
      <c r="AU36" s="698">
        <f>SUMIFS('1.DC_Ra soat'!$L:$L,'1.DC_Ra soat'!$F:$F,AU$4,'1.DC_Ra soat'!$H:$H,'1.BS (VND)'!$D36)-SUMIFS('1.DC_Ra soat'!$L:$L,'1.DC_Ra soat'!$F:$F,AU$4,'1.DC_Ra soat'!$I:$I,'1.BS (VND)'!$D36)</f>
        <v>0</v>
      </c>
      <c r="AV36" s="698">
        <f>SUMIFS('1.DC_Ra soat'!$L:$L,'1.DC_Ra soat'!$F:$F,AV$4,'1.DC_Ra soat'!$H:$H,'1.BS (VND)'!$D36)-SUMIFS('1.DC_Ra soat'!$L:$L,'1.DC_Ra soat'!$F:$F,AV$4,'1.DC_Ra soat'!$I:$I,'1.BS (VND)'!$D36)</f>
        <v>0</v>
      </c>
      <c r="AW36" s="699"/>
      <c r="AX36" s="698">
        <f>SUMIFS('1.DC_Ra soat'!$L:$L,'1.DC_Ra soat'!$F:$F,'1.PL (VND) '!BC$4,'1.DC_Ra soat'!$H:$H,'1.BS (VND)'!$D36)-SUMIFS('1.DC_Ra soat'!$L:$L,'1.DC_Ra soat'!$F:$F,'1.PL (VND) '!BC$4,'1.DC_Ra soat'!$I:$I,'1.BS (VND)'!$D36)</f>
        <v>0</v>
      </c>
      <c r="AY36" s="698">
        <f>SUMIFS('1.DC_Ra soat'!$L:$L,'1.DC_Ra soat'!$F:$F,'1.PL (VND) '!BD$4,'1.DC_Ra soat'!$H:$H,'1.BS (VND)'!$D36)-SUMIFS('1.DC_Ra soat'!$L:$L,'1.DC_Ra soat'!$F:$F,'1.PL (VND) '!BD$4,'1.DC_Ra soat'!$I:$I,'1.BS (VND)'!$D36)</f>
        <v>0</v>
      </c>
      <c r="AZ36" s="698">
        <f>SUMIFS('1.DC_Ra soat'!$L:$L,'1.DC_Ra soat'!$F:$F,'1.PL (VND) '!BE$4,'1.DC_Ra soat'!$H:$H,'1.BS (VND)'!$D36)-SUMIFS('1.DC_Ra soat'!$L:$L,'1.DC_Ra soat'!$F:$F,'1.PL (VND) '!BE$4,'1.DC_Ra soat'!$I:$I,'1.BS (VND)'!$D36)</f>
        <v>0</v>
      </c>
      <c r="BA36" s="698">
        <f>SUMIFS('1.DC_Ra soat'!$L:$L,'1.DC_Ra soat'!$F:$F,'1.PL (VND) '!BF$4,'1.DC_Ra soat'!$H:$H,'1.BS (VND)'!$D36)-SUMIFS('1.DC_Ra soat'!$L:$L,'1.DC_Ra soat'!$F:$F,'1.PL (VND) '!BF$4,'1.DC_Ra soat'!$I:$I,'1.BS (VND)'!$D36)</f>
        <v>0</v>
      </c>
      <c r="BB36" s="699"/>
      <c r="BC36" s="698">
        <f>SUMIFS('1.DC_Ra soat'!$L:$L,'1.DC_Ra soat'!$F:$F,'1.PL (VND) '!BI$4,'1.DC_Ra soat'!$H:$H,'1.BS (VND)'!$D36)-SUMIFS('1.DC_Ra soat'!$L:$L,'1.DC_Ra soat'!$F:$F,'1.PL (VND) '!BI$4,'1.DC_Ra soat'!$I:$I,'1.BS (VND)'!$D36)</f>
        <v>0</v>
      </c>
      <c r="BD36" s="698">
        <f>SUMIFS('1.DC_Ra soat'!$L:$L,'1.DC_Ra soat'!$F:$F,'1.PL (VND) '!BJ$4,'1.DC_Ra soat'!$H:$H,'1.BS (VND)'!$D36)-SUMIFS('1.DC_Ra soat'!$L:$L,'1.DC_Ra soat'!$F:$F,'1.PL (VND) '!BJ$4,'1.DC_Ra soat'!$I:$I,'1.BS (VND)'!$D36)</f>
        <v>0</v>
      </c>
      <c r="BE36" s="698">
        <f>SUMIFS('1.DC_Ra soat'!$L:$L,'1.DC_Ra soat'!$F:$F,'1.PL (VND) '!BK$4,'1.DC_Ra soat'!$H:$H,'1.BS (VND)'!$D36)-SUMIFS('1.DC_Ra soat'!$L:$L,'1.DC_Ra soat'!$F:$F,'1.PL (VND) '!BK$4,'1.DC_Ra soat'!$I:$I,'1.BS (VND)'!$D36)</f>
        <v>0</v>
      </c>
      <c r="BF36" s="698">
        <f>SUMIFS('1.DC_Ra soat'!$L:$L,'1.DC_Ra soat'!$F:$F,'1.PL (VND) '!BL$4,'1.DC_Ra soat'!$H:$H,'1.BS (VND)'!$D36)-SUMIFS('1.DC_Ra soat'!$L:$L,'1.DC_Ra soat'!$F:$F,'1.PL (VND) '!BL$4,'1.DC_Ra soat'!$I:$I,'1.BS (VND)'!$D36)</f>
        <v>0</v>
      </c>
      <c r="BG36" s="699"/>
      <c r="BH36" s="698">
        <f>SUMIFS('1.DC_Ra soat'!$L:$L,'1.DC_Ra soat'!$F:$F,'1.PL (VND) '!BO$4,'1.DC_Ra soat'!$H:$H,'1.BS (VND)'!$D36)-SUMIFS('1.DC_Ra soat'!$L:$L,'1.DC_Ra soat'!$F:$F,'1.PL (VND) '!BO$4,'1.DC_Ra soat'!$I:$I,'1.BS (VND)'!$D36)</f>
        <v>0</v>
      </c>
      <c r="BI36" s="698">
        <f>SUMIFS('1.DC_Ra soat'!$L:$L,'1.DC_Ra soat'!$F:$F,'1.PL (VND) '!BP$4,'1.DC_Ra soat'!$H:$H,'1.BS (VND)'!$D36)-SUMIFS('1.DC_Ra soat'!$L:$L,'1.DC_Ra soat'!$F:$F,'1.PL (VND) '!BP$4,'1.DC_Ra soat'!$I:$I,'1.BS (VND)'!$D36)</f>
        <v>0</v>
      </c>
      <c r="BJ36" s="698">
        <f>SUMIFS('1.DC_Ra soat'!$L:$L,'1.DC_Ra soat'!$F:$F,'1.PL (VND) '!BQ$4,'1.DC_Ra soat'!$H:$H,'1.BS (VND)'!$D36)-SUMIFS('1.DC_Ra soat'!$L:$L,'1.DC_Ra soat'!$F:$F,'1.PL (VND) '!BQ$4,'1.DC_Ra soat'!$I:$I,'1.BS (VND)'!$D36)</f>
        <v>0</v>
      </c>
      <c r="BK36" s="698">
        <f>SUMIFS('1.DC_Ra soat'!$L:$L,'1.DC_Ra soat'!$F:$F,'1.PL (VND) '!BR$4,'1.DC_Ra soat'!$H:$H,'1.BS (VND)'!$D36)-SUMIFS('1.DC_Ra soat'!$L:$L,'1.DC_Ra soat'!$F:$F,'1.PL (VND) '!BR$4,'1.DC_Ra soat'!$I:$I,'1.BS (VND)'!$D36)</f>
        <v>0</v>
      </c>
      <c r="BM36" s="698">
        <f t="shared" si="5"/>
        <v>0</v>
      </c>
      <c r="BN36" s="698">
        <f t="shared" si="6"/>
        <v>0</v>
      </c>
      <c r="BO36" s="698">
        <f t="shared" si="7"/>
        <v>0</v>
      </c>
      <c r="BP36" s="697">
        <f t="shared" si="8"/>
        <v>0</v>
      </c>
      <c r="BQ36" s="699"/>
      <c r="BR36" s="698">
        <f t="shared" si="9"/>
        <v>0</v>
      </c>
      <c r="BS36" s="698">
        <f t="shared" si="10"/>
        <v>0</v>
      </c>
      <c r="BT36" s="698">
        <f t="shared" si="11"/>
        <v>0</v>
      </c>
      <c r="BU36" s="698">
        <f t="shared" si="12"/>
        <v>0</v>
      </c>
      <c r="BV36" s="699"/>
      <c r="BW36" s="698">
        <f t="shared" si="13"/>
        <v>0</v>
      </c>
      <c r="BX36" s="698">
        <f t="shared" si="14"/>
        <v>0</v>
      </c>
      <c r="BY36" s="698">
        <f t="shared" si="15"/>
        <v>0</v>
      </c>
      <c r="BZ36" s="697">
        <f t="shared" si="16"/>
        <v>0</v>
      </c>
      <c r="CA36" s="699"/>
      <c r="CB36" s="697">
        <f t="shared" si="17"/>
        <v>0</v>
      </c>
      <c r="CC36" s="697">
        <f t="shared" si="18"/>
        <v>0</v>
      </c>
      <c r="CD36" s="697">
        <f t="shared" si="19"/>
        <v>0</v>
      </c>
      <c r="CE36" s="697">
        <f t="shared" si="20"/>
        <v>0</v>
      </c>
      <c r="CF36" s="699"/>
      <c r="CG36" s="697">
        <f t="shared" si="21"/>
        <v>0</v>
      </c>
      <c r="CH36" s="697">
        <f t="shared" si="22"/>
        <v>0</v>
      </c>
      <c r="CI36" s="697">
        <f t="shared" si="23"/>
        <v>0</v>
      </c>
      <c r="CJ36" s="697">
        <f t="shared" si="24"/>
        <v>0</v>
      </c>
      <c r="CK36" s="699"/>
      <c r="CL36" s="698">
        <f t="shared" si="25"/>
        <v>0</v>
      </c>
      <c r="CM36" s="698">
        <f t="shared" si="26"/>
        <v>0</v>
      </c>
      <c r="CN36" s="698">
        <f t="shared" si="27"/>
        <v>0</v>
      </c>
      <c r="CO36" s="697">
        <f t="shared" si="28"/>
        <v>0</v>
      </c>
      <c r="CQ36" s="698">
        <f>SUMIF('1.PL (VND) '!$BL$6:$CD$6,'1.PL (VND) '!CP$6,$BM36:$CE36)</f>
        <v>0</v>
      </c>
      <c r="CR36" s="698">
        <f>SUMIF('1.PL (VND) '!$BL$6:$CD$6,'1.PL (VND) '!CQ$6,$BM36:$CE36)</f>
        <v>0</v>
      </c>
      <c r="CS36" s="698">
        <f>SUMIF('1.PL (VND) '!$BL$6:$CD$6,'1.PL (VND) '!CR$6,$BM36:$CE36)</f>
        <v>0</v>
      </c>
      <c r="CT36" s="698">
        <f>SUMIF('1.PL (VND) '!$BL$6:$CD$6,'1.PL (VND) '!CS$6,$BM36:$CE36)</f>
        <v>0</v>
      </c>
      <c r="CV36" s="702">
        <f>-SUMIFS('1.DC_Ra soat'!$L:$L,'1.DC_Ra soat'!$F:$F,'1.PL (VND) '!DK$4,'1.DC_Ra soat'!$H:$H,'1.BS (VND)'!$D36)+SUMIFS('1.DC_Ra soat'!$L:$L,'1.DC_Ra soat'!$F:$F,'1.PL (VND) '!DK$4,'1.DC_Ra soat'!$I:$I,'1.BS (VND)'!$D36)</f>
        <v>0</v>
      </c>
      <c r="CW36" s="702">
        <f>-SUMIFS('1.DC_Ra soat'!$L:$L,'1.DC_Ra soat'!$F:$F,'1.PL (VND) '!DL$4,'1.DC_Ra soat'!$H:$H,'1.BS (VND)'!$D36)+SUMIFS('1.DC_Ra soat'!$L:$L,'1.DC_Ra soat'!$F:$F,'1.PL (VND) '!DL$4,'1.DC_Ra soat'!$I:$I,'1.BS (VND)'!$D36)</f>
        <v>0</v>
      </c>
      <c r="CX36" s="702">
        <f>-SUMIFS('1.DC_Ra soat'!$L:$L,'1.DC_Ra soat'!$F:$F,'1.PL (VND) '!DM$4,'1.DC_Ra soat'!$H:$H,'1.BS (VND)'!$D36)+SUMIFS('1.DC_Ra soat'!$L:$L,'1.DC_Ra soat'!$F:$F,'1.PL (VND) '!DM$4,'1.DC_Ra soat'!$I:$I,'1.BS (VND)'!$D36)</f>
        <v>0</v>
      </c>
      <c r="CY36" s="702">
        <f>-SUMIFS('1.DC_Ra soat'!$L:$L,'1.DC_Ra soat'!$F:$F,'1.PL (VND) '!DN$4,'1.DC_Ra soat'!$H:$H,'1.BS (VND)'!$D36)+SUMIFS('1.DC_Ra soat'!$L:$L,'1.DC_Ra soat'!$F:$F,'1.PL (VND) '!DN$4,'1.DC_Ra soat'!$I:$I,'1.BS (VND)'!$D36)</f>
        <v>0</v>
      </c>
      <c r="DA36" s="698">
        <f t="shared" si="30"/>
        <v>0</v>
      </c>
      <c r="DB36" s="698">
        <f t="shared" si="31"/>
        <v>0</v>
      </c>
      <c r="DC36" s="698">
        <f t="shared" si="32"/>
        <v>0</v>
      </c>
      <c r="DD36" s="698">
        <f t="shared" si="33"/>
        <v>0</v>
      </c>
    </row>
    <row r="37" spans="1:112" s="700" customFormat="1" x14ac:dyDescent="0.25">
      <c r="A37" s="248" t="str">
        <f t="shared" si="40"/>
        <v>hide</v>
      </c>
      <c r="C37" s="703" t="s">
        <v>348</v>
      </c>
      <c r="D37" s="704" t="s">
        <v>349</v>
      </c>
      <c r="E37" s="721"/>
      <c r="F37" s="721"/>
      <c r="G37" s="721"/>
      <c r="H37" s="722">
        <v>0</v>
      </c>
      <c r="I37" s="699"/>
      <c r="J37" s="698"/>
      <c r="K37" s="698"/>
      <c r="L37" s="698"/>
      <c r="M37" s="241">
        <v>0</v>
      </c>
      <c r="N37" s="699"/>
      <c r="O37" s="698"/>
      <c r="P37" s="698"/>
      <c r="Q37" s="698"/>
      <c r="R37" s="698"/>
      <c r="S37" s="699"/>
      <c r="T37" s="698"/>
      <c r="U37" s="698"/>
      <c r="V37" s="698"/>
      <c r="W37" s="698"/>
      <c r="X37" s="699"/>
      <c r="Y37" s="698"/>
      <c r="Z37" s="698"/>
      <c r="AA37" s="698"/>
      <c r="AB37" s="698"/>
      <c r="AC37" s="699"/>
      <c r="AD37" s="698"/>
      <c r="AE37" s="698"/>
      <c r="AF37" s="698"/>
      <c r="AG37" s="698"/>
      <c r="AI37" s="698">
        <f>SUMIFS('1.DC_Ra soat'!$L:$L,'1.DC_Ra soat'!$F:$F,AI$4,'1.DC_Ra soat'!$H:$H,'1.BS (VND)'!$D37)-SUMIFS('1.DC_Ra soat'!$L:$L,'1.DC_Ra soat'!$F:$F,AI$4,'1.DC_Ra soat'!$I:$I,'1.BS (VND)'!$D37)</f>
        <v>0</v>
      </c>
      <c r="AJ37" s="698">
        <f>SUMIFS('1.DC_Ra soat'!$L:$L,'1.DC_Ra soat'!$F:$F,AJ$4,'1.DC_Ra soat'!$H:$H,'1.BS (VND)'!$D37)-SUMIFS('1.DC_Ra soat'!$L:$L,'1.DC_Ra soat'!$F:$F,AJ$4,'1.DC_Ra soat'!$I:$I,'1.BS (VND)'!$D37)</f>
        <v>0</v>
      </c>
      <c r="AK37" s="698">
        <f>SUMIFS('1.DC_Ra soat'!$L:$L,'1.DC_Ra soat'!$F:$F,AK$4,'1.DC_Ra soat'!$H:$H,'1.BS (VND)'!$D37)-SUMIFS('1.DC_Ra soat'!$L:$L,'1.DC_Ra soat'!$F:$F,AK$4,'1.DC_Ra soat'!$I:$I,'1.BS (VND)'!$D37)</f>
        <v>0</v>
      </c>
      <c r="AL37" s="698">
        <f>SUMIFS('1.DC_Ra soat'!$L:$L,'1.DC_Ra soat'!$F:$F,AL$4,'1.DC_Ra soat'!$H:$H,'1.BS (VND)'!$D37)-SUMIFS('1.DC_Ra soat'!$L:$L,'1.DC_Ra soat'!$F:$F,AL$4,'1.DC_Ra soat'!$I:$I,'1.BS (VND)'!$D37)</f>
        <v>0</v>
      </c>
      <c r="AM37" s="699"/>
      <c r="AN37" s="698">
        <f>SUMIFS('1.DC_Ra soat'!$L:$L,'1.DC_Ra soat'!$F:$F,AN$4,'1.DC_Ra soat'!$H:$H,'1.BS (VND)'!$D37)-SUMIFS('1.DC_Ra soat'!$L:$L,'1.DC_Ra soat'!$F:$F,AN$4,'1.DC_Ra soat'!$I:$I,'1.BS (VND)'!$D37)</f>
        <v>0</v>
      </c>
      <c r="AO37" s="698">
        <f>SUMIFS('1.DC_Ra soat'!$L:$L,'1.DC_Ra soat'!$F:$F,AO$4,'1.DC_Ra soat'!$H:$H,'1.BS (VND)'!$D37)-SUMIFS('1.DC_Ra soat'!$L:$L,'1.DC_Ra soat'!$F:$F,AO$4,'1.DC_Ra soat'!$I:$I,'1.BS (VND)'!$D37)</f>
        <v>0</v>
      </c>
      <c r="AP37" s="698">
        <f>SUMIFS('1.DC_Ra soat'!$L:$L,'1.DC_Ra soat'!$F:$F,AP$4,'1.DC_Ra soat'!$H:$H,'1.BS (VND)'!$D37)-SUMIFS('1.DC_Ra soat'!$L:$L,'1.DC_Ra soat'!$F:$F,AP$4,'1.DC_Ra soat'!$I:$I,'1.BS (VND)'!$D37)</f>
        <v>0</v>
      </c>
      <c r="AQ37" s="698">
        <f>SUMIFS('1.DC_Ra soat'!$L:$L,'1.DC_Ra soat'!$F:$F,AQ$4,'1.DC_Ra soat'!$H:$H,'1.BS (VND)'!$D37)-SUMIFS('1.DC_Ra soat'!$L:$L,'1.DC_Ra soat'!$F:$F,AQ$4,'1.DC_Ra soat'!$I:$I,'1.BS (VND)'!$D37)</f>
        <v>0</v>
      </c>
      <c r="AR37" s="699"/>
      <c r="AS37" s="698">
        <f>SUMIFS('1.DC_Ra soat'!$L:$L,'1.DC_Ra soat'!$F:$F,AS$4,'1.DC_Ra soat'!$H:$H,'1.BS (VND)'!$D37)-SUMIFS('1.DC_Ra soat'!$L:$L,'1.DC_Ra soat'!$F:$F,AS$4,'1.DC_Ra soat'!$I:$I,'1.BS (VND)'!$D37)</f>
        <v>0</v>
      </c>
      <c r="AT37" s="698">
        <f>SUMIFS('1.DC_Ra soat'!$L:$L,'1.DC_Ra soat'!$F:$F,AT$4,'1.DC_Ra soat'!$H:$H,'1.BS (VND)'!$D37)-SUMIFS('1.DC_Ra soat'!$L:$L,'1.DC_Ra soat'!$F:$F,AT$4,'1.DC_Ra soat'!$I:$I,'1.BS (VND)'!$D37)</f>
        <v>0</v>
      </c>
      <c r="AU37" s="698">
        <f>SUMIFS('1.DC_Ra soat'!$L:$L,'1.DC_Ra soat'!$F:$F,AU$4,'1.DC_Ra soat'!$H:$H,'1.BS (VND)'!$D37)-SUMIFS('1.DC_Ra soat'!$L:$L,'1.DC_Ra soat'!$F:$F,AU$4,'1.DC_Ra soat'!$I:$I,'1.BS (VND)'!$D37)</f>
        <v>0</v>
      </c>
      <c r="AV37" s="698">
        <f>SUMIFS('1.DC_Ra soat'!$L:$L,'1.DC_Ra soat'!$F:$F,AV$4,'1.DC_Ra soat'!$H:$H,'1.BS (VND)'!$D37)-SUMIFS('1.DC_Ra soat'!$L:$L,'1.DC_Ra soat'!$F:$F,AV$4,'1.DC_Ra soat'!$I:$I,'1.BS (VND)'!$D37)</f>
        <v>0</v>
      </c>
      <c r="AW37" s="699"/>
      <c r="AX37" s="698">
        <f>SUMIFS('1.DC_Ra soat'!$L:$L,'1.DC_Ra soat'!$F:$F,'1.PL (VND) '!BC$4,'1.DC_Ra soat'!$H:$H,'1.BS (VND)'!$D37)-SUMIFS('1.DC_Ra soat'!$L:$L,'1.DC_Ra soat'!$F:$F,'1.PL (VND) '!BC$4,'1.DC_Ra soat'!$I:$I,'1.BS (VND)'!$D37)</f>
        <v>0</v>
      </c>
      <c r="AY37" s="698">
        <f>SUMIFS('1.DC_Ra soat'!$L:$L,'1.DC_Ra soat'!$F:$F,'1.PL (VND) '!BD$4,'1.DC_Ra soat'!$H:$H,'1.BS (VND)'!$D37)-SUMIFS('1.DC_Ra soat'!$L:$L,'1.DC_Ra soat'!$F:$F,'1.PL (VND) '!BD$4,'1.DC_Ra soat'!$I:$I,'1.BS (VND)'!$D37)</f>
        <v>0</v>
      </c>
      <c r="AZ37" s="698">
        <f>SUMIFS('1.DC_Ra soat'!$L:$L,'1.DC_Ra soat'!$F:$F,'1.PL (VND) '!BE$4,'1.DC_Ra soat'!$H:$H,'1.BS (VND)'!$D37)-SUMIFS('1.DC_Ra soat'!$L:$L,'1.DC_Ra soat'!$F:$F,'1.PL (VND) '!BE$4,'1.DC_Ra soat'!$I:$I,'1.BS (VND)'!$D37)</f>
        <v>0</v>
      </c>
      <c r="BA37" s="698">
        <f>SUMIFS('1.DC_Ra soat'!$L:$L,'1.DC_Ra soat'!$F:$F,'1.PL (VND) '!BF$4,'1.DC_Ra soat'!$H:$H,'1.BS (VND)'!$D37)-SUMIFS('1.DC_Ra soat'!$L:$L,'1.DC_Ra soat'!$F:$F,'1.PL (VND) '!BF$4,'1.DC_Ra soat'!$I:$I,'1.BS (VND)'!$D37)</f>
        <v>0</v>
      </c>
      <c r="BB37" s="699"/>
      <c r="BC37" s="698">
        <f>SUMIFS('1.DC_Ra soat'!$L:$L,'1.DC_Ra soat'!$F:$F,'1.PL (VND) '!BI$4,'1.DC_Ra soat'!$H:$H,'1.BS (VND)'!$D37)-SUMIFS('1.DC_Ra soat'!$L:$L,'1.DC_Ra soat'!$F:$F,'1.PL (VND) '!BI$4,'1.DC_Ra soat'!$I:$I,'1.BS (VND)'!$D37)</f>
        <v>0</v>
      </c>
      <c r="BD37" s="698">
        <f>SUMIFS('1.DC_Ra soat'!$L:$L,'1.DC_Ra soat'!$F:$F,'1.PL (VND) '!BJ$4,'1.DC_Ra soat'!$H:$H,'1.BS (VND)'!$D37)-SUMIFS('1.DC_Ra soat'!$L:$L,'1.DC_Ra soat'!$F:$F,'1.PL (VND) '!BJ$4,'1.DC_Ra soat'!$I:$I,'1.BS (VND)'!$D37)</f>
        <v>0</v>
      </c>
      <c r="BE37" s="698">
        <f>SUMIFS('1.DC_Ra soat'!$L:$L,'1.DC_Ra soat'!$F:$F,'1.PL (VND) '!BK$4,'1.DC_Ra soat'!$H:$H,'1.BS (VND)'!$D37)-SUMIFS('1.DC_Ra soat'!$L:$L,'1.DC_Ra soat'!$F:$F,'1.PL (VND) '!BK$4,'1.DC_Ra soat'!$I:$I,'1.BS (VND)'!$D37)</f>
        <v>0</v>
      </c>
      <c r="BF37" s="698">
        <f>SUMIFS('1.DC_Ra soat'!$L:$L,'1.DC_Ra soat'!$F:$F,'1.PL (VND) '!BL$4,'1.DC_Ra soat'!$H:$H,'1.BS (VND)'!$D37)-SUMIFS('1.DC_Ra soat'!$L:$L,'1.DC_Ra soat'!$F:$F,'1.PL (VND) '!BL$4,'1.DC_Ra soat'!$I:$I,'1.BS (VND)'!$D37)</f>
        <v>0</v>
      </c>
      <c r="BG37" s="699"/>
      <c r="BH37" s="698">
        <f>SUMIFS('1.DC_Ra soat'!$L:$L,'1.DC_Ra soat'!$F:$F,'1.PL (VND) '!BO$4,'1.DC_Ra soat'!$H:$H,'1.BS (VND)'!$D37)-SUMIFS('1.DC_Ra soat'!$L:$L,'1.DC_Ra soat'!$F:$F,'1.PL (VND) '!BO$4,'1.DC_Ra soat'!$I:$I,'1.BS (VND)'!$D37)</f>
        <v>0</v>
      </c>
      <c r="BI37" s="698">
        <f>SUMIFS('1.DC_Ra soat'!$L:$L,'1.DC_Ra soat'!$F:$F,'1.PL (VND) '!BP$4,'1.DC_Ra soat'!$H:$H,'1.BS (VND)'!$D37)-SUMIFS('1.DC_Ra soat'!$L:$L,'1.DC_Ra soat'!$F:$F,'1.PL (VND) '!BP$4,'1.DC_Ra soat'!$I:$I,'1.BS (VND)'!$D37)</f>
        <v>0</v>
      </c>
      <c r="BJ37" s="698">
        <f>SUMIFS('1.DC_Ra soat'!$L:$L,'1.DC_Ra soat'!$F:$F,'1.PL (VND) '!BQ$4,'1.DC_Ra soat'!$H:$H,'1.BS (VND)'!$D37)-SUMIFS('1.DC_Ra soat'!$L:$L,'1.DC_Ra soat'!$F:$F,'1.PL (VND) '!BQ$4,'1.DC_Ra soat'!$I:$I,'1.BS (VND)'!$D37)</f>
        <v>0</v>
      </c>
      <c r="BK37" s="698">
        <f>SUMIFS('1.DC_Ra soat'!$L:$L,'1.DC_Ra soat'!$F:$F,'1.PL (VND) '!BR$4,'1.DC_Ra soat'!$H:$H,'1.BS (VND)'!$D37)-SUMIFS('1.DC_Ra soat'!$L:$L,'1.DC_Ra soat'!$F:$F,'1.PL (VND) '!BR$4,'1.DC_Ra soat'!$I:$I,'1.BS (VND)'!$D37)</f>
        <v>0</v>
      </c>
      <c r="BM37" s="698">
        <f t="shared" si="5"/>
        <v>0</v>
      </c>
      <c r="BN37" s="698">
        <f t="shared" si="6"/>
        <v>0</v>
      </c>
      <c r="BO37" s="698">
        <f t="shared" si="7"/>
        <v>0</v>
      </c>
      <c r="BP37" s="697">
        <f t="shared" si="8"/>
        <v>0</v>
      </c>
      <c r="BQ37" s="699"/>
      <c r="BR37" s="698">
        <f t="shared" si="9"/>
        <v>0</v>
      </c>
      <c r="BS37" s="698">
        <f t="shared" si="10"/>
        <v>0</v>
      </c>
      <c r="BT37" s="698">
        <f t="shared" si="11"/>
        <v>0</v>
      </c>
      <c r="BU37" s="698">
        <f t="shared" si="12"/>
        <v>0</v>
      </c>
      <c r="BV37" s="699"/>
      <c r="BW37" s="698">
        <f t="shared" si="13"/>
        <v>0</v>
      </c>
      <c r="BX37" s="698">
        <f t="shared" si="14"/>
        <v>0</v>
      </c>
      <c r="BY37" s="698">
        <f t="shared" si="15"/>
        <v>0</v>
      </c>
      <c r="BZ37" s="697">
        <f t="shared" si="16"/>
        <v>0</v>
      </c>
      <c r="CA37" s="699"/>
      <c r="CB37" s="697">
        <f t="shared" si="17"/>
        <v>0</v>
      </c>
      <c r="CC37" s="697">
        <f t="shared" si="18"/>
        <v>0</v>
      </c>
      <c r="CD37" s="697">
        <f t="shared" si="19"/>
        <v>0</v>
      </c>
      <c r="CE37" s="697">
        <f t="shared" si="20"/>
        <v>0</v>
      </c>
      <c r="CF37" s="699"/>
      <c r="CG37" s="697">
        <f t="shared" si="21"/>
        <v>0</v>
      </c>
      <c r="CH37" s="697">
        <f t="shared" si="22"/>
        <v>0</v>
      </c>
      <c r="CI37" s="697">
        <f t="shared" si="23"/>
        <v>0</v>
      </c>
      <c r="CJ37" s="697">
        <f t="shared" si="24"/>
        <v>0</v>
      </c>
      <c r="CK37" s="699"/>
      <c r="CL37" s="698">
        <f t="shared" si="25"/>
        <v>0</v>
      </c>
      <c r="CM37" s="698">
        <f t="shared" si="26"/>
        <v>0</v>
      </c>
      <c r="CN37" s="698">
        <f t="shared" si="27"/>
        <v>0</v>
      </c>
      <c r="CO37" s="697">
        <f t="shared" si="28"/>
        <v>0</v>
      </c>
      <c r="CQ37" s="698">
        <f>SUMIF('1.PL (VND) '!$BL$6:$CD$6,'1.PL (VND) '!CP$6,$BM37:$CE37)</f>
        <v>0</v>
      </c>
      <c r="CR37" s="698">
        <f>SUMIF('1.PL (VND) '!$BL$6:$CD$6,'1.PL (VND) '!CQ$6,$BM37:$CE37)</f>
        <v>0</v>
      </c>
      <c r="CS37" s="698">
        <f>SUMIF('1.PL (VND) '!$BL$6:$CD$6,'1.PL (VND) '!CR$6,$BM37:$CE37)</f>
        <v>0</v>
      </c>
      <c r="CT37" s="698">
        <f>SUMIF('1.PL (VND) '!$BL$6:$CD$6,'1.PL (VND) '!CS$6,$BM37:$CE37)</f>
        <v>0</v>
      </c>
      <c r="CV37" s="702">
        <f>-SUMIFS('1.DC_Ra soat'!$L:$L,'1.DC_Ra soat'!$F:$F,'1.PL (VND) '!DK$4,'1.DC_Ra soat'!$H:$H,'1.BS (VND)'!$D37)+SUMIFS('1.DC_Ra soat'!$L:$L,'1.DC_Ra soat'!$F:$F,'1.PL (VND) '!DK$4,'1.DC_Ra soat'!$I:$I,'1.BS (VND)'!$D37)</f>
        <v>0</v>
      </c>
      <c r="CW37" s="702">
        <f>-SUMIFS('1.DC_Ra soat'!$L:$L,'1.DC_Ra soat'!$F:$F,'1.PL (VND) '!DL$4,'1.DC_Ra soat'!$H:$H,'1.BS (VND)'!$D37)+SUMIFS('1.DC_Ra soat'!$L:$L,'1.DC_Ra soat'!$F:$F,'1.PL (VND) '!DL$4,'1.DC_Ra soat'!$I:$I,'1.BS (VND)'!$D37)</f>
        <v>0</v>
      </c>
      <c r="CX37" s="702">
        <f>-SUMIFS('1.DC_Ra soat'!$L:$L,'1.DC_Ra soat'!$F:$F,'1.PL (VND) '!DM$4,'1.DC_Ra soat'!$H:$H,'1.BS (VND)'!$D37)+SUMIFS('1.DC_Ra soat'!$L:$L,'1.DC_Ra soat'!$F:$F,'1.PL (VND) '!DM$4,'1.DC_Ra soat'!$I:$I,'1.BS (VND)'!$D37)</f>
        <v>0</v>
      </c>
      <c r="CY37" s="702">
        <f>-SUMIFS('1.DC_Ra soat'!$L:$L,'1.DC_Ra soat'!$F:$F,'1.PL (VND) '!DN$4,'1.DC_Ra soat'!$H:$H,'1.BS (VND)'!$D37)+SUMIFS('1.DC_Ra soat'!$L:$L,'1.DC_Ra soat'!$F:$F,'1.PL (VND) '!DN$4,'1.DC_Ra soat'!$I:$I,'1.BS (VND)'!$D37)</f>
        <v>0</v>
      </c>
      <c r="DA37" s="698">
        <f t="shared" si="30"/>
        <v>0</v>
      </c>
      <c r="DB37" s="698">
        <f t="shared" si="31"/>
        <v>0</v>
      </c>
      <c r="DC37" s="698">
        <f t="shared" si="32"/>
        <v>0</v>
      </c>
      <c r="DD37" s="698">
        <f t="shared" si="33"/>
        <v>0</v>
      </c>
    </row>
    <row r="38" spans="1:112" s="700" customFormat="1" x14ac:dyDescent="0.25">
      <c r="A38" s="248" t="str">
        <f t="shared" si="40"/>
        <v>hide</v>
      </c>
      <c r="C38" s="703" t="s">
        <v>350</v>
      </c>
      <c r="D38" s="704" t="s">
        <v>351</v>
      </c>
      <c r="E38" s="721"/>
      <c r="F38" s="721"/>
      <c r="G38" s="721"/>
      <c r="H38" s="722">
        <v>0</v>
      </c>
      <c r="I38" s="699"/>
      <c r="J38" s="698"/>
      <c r="K38" s="698"/>
      <c r="L38" s="698"/>
      <c r="M38" s="241">
        <v>0</v>
      </c>
      <c r="N38" s="699"/>
      <c r="O38" s="698"/>
      <c r="P38" s="698"/>
      <c r="Q38" s="698"/>
      <c r="R38" s="698"/>
      <c r="S38" s="699"/>
      <c r="T38" s="698"/>
      <c r="U38" s="698"/>
      <c r="V38" s="698"/>
      <c r="W38" s="698"/>
      <c r="X38" s="699"/>
      <c r="Y38" s="698"/>
      <c r="Z38" s="698"/>
      <c r="AA38" s="698"/>
      <c r="AB38" s="698"/>
      <c r="AC38" s="699"/>
      <c r="AD38" s="698"/>
      <c r="AE38" s="698"/>
      <c r="AF38" s="698"/>
      <c r="AG38" s="698"/>
      <c r="AI38" s="698">
        <f>SUMIFS('1.DC_Ra soat'!$L:$L,'1.DC_Ra soat'!$F:$F,AI$4,'1.DC_Ra soat'!$H:$H,'1.BS (VND)'!$D38)-SUMIFS('1.DC_Ra soat'!$L:$L,'1.DC_Ra soat'!$F:$F,AI$4,'1.DC_Ra soat'!$I:$I,'1.BS (VND)'!$D38)</f>
        <v>0</v>
      </c>
      <c r="AJ38" s="698">
        <f>SUMIFS('1.DC_Ra soat'!$L:$L,'1.DC_Ra soat'!$F:$F,AJ$4,'1.DC_Ra soat'!$H:$H,'1.BS (VND)'!$D38)-SUMIFS('1.DC_Ra soat'!$L:$L,'1.DC_Ra soat'!$F:$F,AJ$4,'1.DC_Ra soat'!$I:$I,'1.BS (VND)'!$D38)</f>
        <v>0</v>
      </c>
      <c r="AK38" s="698">
        <f>SUMIFS('1.DC_Ra soat'!$L:$L,'1.DC_Ra soat'!$F:$F,AK$4,'1.DC_Ra soat'!$H:$H,'1.BS (VND)'!$D38)-SUMIFS('1.DC_Ra soat'!$L:$L,'1.DC_Ra soat'!$F:$F,AK$4,'1.DC_Ra soat'!$I:$I,'1.BS (VND)'!$D38)</f>
        <v>0</v>
      </c>
      <c r="AL38" s="698">
        <f>SUMIFS('1.DC_Ra soat'!$L:$L,'1.DC_Ra soat'!$F:$F,AL$4,'1.DC_Ra soat'!$H:$H,'1.BS (VND)'!$D38)-SUMIFS('1.DC_Ra soat'!$L:$L,'1.DC_Ra soat'!$F:$F,AL$4,'1.DC_Ra soat'!$I:$I,'1.BS (VND)'!$D38)</f>
        <v>0</v>
      </c>
      <c r="AM38" s="699"/>
      <c r="AN38" s="698">
        <f>SUMIFS('1.DC_Ra soat'!$L:$L,'1.DC_Ra soat'!$F:$F,AN$4,'1.DC_Ra soat'!$H:$H,'1.BS (VND)'!$D38)-SUMIFS('1.DC_Ra soat'!$L:$L,'1.DC_Ra soat'!$F:$F,AN$4,'1.DC_Ra soat'!$I:$I,'1.BS (VND)'!$D38)</f>
        <v>0</v>
      </c>
      <c r="AO38" s="698">
        <f>SUMIFS('1.DC_Ra soat'!$L:$L,'1.DC_Ra soat'!$F:$F,AO$4,'1.DC_Ra soat'!$H:$H,'1.BS (VND)'!$D38)-SUMIFS('1.DC_Ra soat'!$L:$L,'1.DC_Ra soat'!$F:$F,AO$4,'1.DC_Ra soat'!$I:$I,'1.BS (VND)'!$D38)</f>
        <v>0</v>
      </c>
      <c r="AP38" s="698">
        <f>SUMIFS('1.DC_Ra soat'!$L:$L,'1.DC_Ra soat'!$F:$F,AP$4,'1.DC_Ra soat'!$H:$H,'1.BS (VND)'!$D38)-SUMIFS('1.DC_Ra soat'!$L:$L,'1.DC_Ra soat'!$F:$F,AP$4,'1.DC_Ra soat'!$I:$I,'1.BS (VND)'!$D38)</f>
        <v>0</v>
      </c>
      <c r="AQ38" s="698">
        <f>SUMIFS('1.DC_Ra soat'!$L:$L,'1.DC_Ra soat'!$F:$F,AQ$4,'1.DC_Ra soat'!$H:$H,'1.BS (VND)'!$D38)-SUMIFS('1.DC_Ra soat'!$L:$L,'1.DC_Ra soat'!$F:$F,AQ$4,'1.DC_Ra soat'!$I:$I,'1.BS (VND)'!$D38)</f>
        <v>0</v>
      </c>
      <c r="AR38" s="699"/>
      <c r="AS38" s="698">
        <f>SUMIFS('1.DC_Ra soat'!$L:$L,'1.DC_Ra soat'!$F:$F,AS$4,'1.DC_Ra soat'!$H:$H,'1.BS (VND)'!$D38)-SUMIFS('1.DC_Ra soat'!$L:$L,'1.DC_Ra soat'!$F:$F,AS$4,'1.DC_Ra soat'!$I:$I,'1.BS (VND)'!$D38)</f>
        <v>0</v>
      </c>
      <c r="AT38" s="698">
        <f>SUMIFS('1.DC_Ra soat'!$L:$L,'1.DC_Ra soat'!$F:$F,AT$4,'1.DC_Ra soat'!$H:$H,'1.BS (VND)'!$D38)-SUMIFS('1.DC_Ra soat'!$L:$L,'1.DC_Ra soat'!$F:$F,AT$4,'1.DC_Ra soat'!$I:$I,'1.BS (VND)'!$D38)</f>
        <v>0</v>
      </c>
      <c r="AU38" s="698">
        <f>SUMIFS('1.DC_Ra soat'!$L:$L,'1.DC_Ra soat'!$F:$F,AU$4,'1.DC_Ra soat'!$H:$H,'1.BS (VND)'!$D38)-SUMIFS('1.DC_Ra soat'!$L:$L,'1.DC_Ra soat'!$F:$F,AU$4,'1.DC_Ra soat'!$I:$I,'1.BS (VND)'!$D38)</f>
        <v>0</v>
      </c>
      <c r="AV38" s="698">
        <f>SUMIFS('1.DC_Ra soat'!$L:$L,'1.DC_Ra soat'!$F:$F,AV$4,'1.DC_Ra soat'!$H:$H,'1.BS (VND)'!$D38)-SUMIFS('1.DC_Ra soat'!$L:$L,'1.DC_Ra soat'!$F:$F,AV$4,'1.DC_Ra soat'!$I:$I,'1.BS (VND)'!$D38)</f>
        <v>0</v>
      </c>
      <c r="AW38" s="699"/>
      <c r="AX38" s="698">
        <f>SUMIFS('1.DC_Ra soat'!$L:$L,'1.DC_Ra soat'!$F:$F,'1.PL (VND) '!BC$4,'1.DC_Ra soat'!$H:$H,'1.BS (VND)'!$D38)-SUMIFS('1.DC_Ra soat'!$L:$L,'1.DC_Ra soat'!$F:$F,'1.PL (VND) '!BC$4,'1.DC_Ra soat'!$I:$I,'1.BS (VND)'!$D38)</f>
        <v>0</v>
      </c>
      <c r="AY38" s="698">
        <f>SUMIFS('1.DC_Ra soat'!$L:$L,'1.DC_Ra soat'!$F:$F,'1.PL (VND) '!BD$4,'1.DC_Ra soat'!$H:$H,'1.BS (VND)'!$D38)-SUMIFS('1.DC_Ra soat'!$L:$L,'1.DC_Ra soat'!$F:$F,'1.PL (VND) '!BD$4,'1.DC_Ra soat'!$I:$I,'1.BS (VND)'!$D38)</f>
        <v>0</v>
      </c>
      <c r="AZ38" s="698">
        <f>SUMIFS('1.DC_Ra soat'!$L:$L,'1.DC_Ra soat'!$F:$F,'1.PL (VND) '!BE$4,'1.DC_Ra soat'!$H:$H,'1.BS (VND)'!$D38)-SUMIFS('1.DC_Ra soat'!$L:$L,'1.DC_Ra soat'!$F:$F,'1.PL (VND) '!BE$4,'1.DC_Ra soat'!$I:$I,'1.BS (VND)'!$D38)</f>
        <v>0</v>
      </c>
      <c r="BA38" s="698">
        <f>SUMIFS('1.DC_Ra soat'!$L:$L,'1.DC_Ra soat'!$F:$F,'1.PL (VND) '!BF$4,'1.DC_Ra soat'!$H:$H,'1.BS (VND)'!$D38)-SUMIFS('1.DC_Ra soat'!$L:$L,'1.DC_Ra soat'!$F:$F,'1.PL (VND) '!BF$4,'1.DC_Ra soat'!$I:$I,'1.BS (VND)'!$D38)</f>
        <v>0</v>
      </c>
      <c r="BB38" s="699"/>
      <c r="BC38" s="698">
        <f>SUMIFS('1.DC_Ra soat'!$L:$L,'1.DC_Ra soat'!$F:$F,'1.PL (VND) '!BI$4,'1.DC_Ra soat'!$H:$H,'1.BS (VND)'!$D38)-SUMIFS('1.DC_Ra soat'!$L:$L,'1.DC_Ra soat'!$F:$F,'1.PL (VND) '!BI$4,'1.DC_Ra soat'!$I:$I,'1.BS (VND)'!$D38)</f>
        <v>0</v>
      </c>
      <c r="BD38" s="698">
        <f>SUMIFS('1.DC_Ra soat'!$L:$L,'1.DC_Ra soat'!$F:$F,'1.PL (VND) '!BJ$4,'1.DC_Ra soat'!$H:$H,'1.BS (VND)'!$D38)-SUMIFS('1.DC_Ra soat'!$L:$L,'1.DC_Ra soat'!$F:$F,'1.PL (VND) '!BJ$4,'1.DC_Ra soat'!$I:$I,'1.BS (VND)'!$D38)</f>
        <v>0</v>
      </c>
      <c r="BE38" s="698">
        <f>SUMIFS('1.DC_Ra soat'!$L:$L,'1.DC_Ra soat'!$F:$F,'1.PL (VND) '!BK$4,'1.DC_Ra soat'!$H:$H,'1.BS (VND)'!$D38)-SUMIFS('1.DC_Ra soat'!$L:$L,'1.DC_Ra soat'!$F:$F,'1.PL (VND) '!BK$4,'1.DC_Ra soat'!$I:$I,'1.BS (VND)'!$D38)</f>
        <v>0</v>
      </c>
      <c r="BF38" s="698">
        <f>SUMIFS('1.DC_Ra soat'!$L:$L,'1.DC_Ra soat'!$F:$F,'1.PL (VND) '!BL$4,'1.DC_Ra soat'!$H:$H,'1.BS (VND)'!$D38)-SUMIFS('1.DC_Ra soat'!$L:$L,'1.DC_Ra soat'!$F:$F,'1.PL (VND) '!BL$4,'1.DC_Ra soat'!$I:$I,'1.BS (VND)'!$D38)</f>
        <v>0</v>
      </c>
      <c r="BG38" s="699"/>
      <c r="BH38" s="698">
        <f>SUMIFS('1.DC_Ra soat'!$L:$L,'1.DC_Ra soat'!$F:$F,'1.PL (VND) '!BO$4,'1.DC_Ra soat'!$H:$H,'1.BS (VND)'!$D38)-SUMIFS('1.DC_Ra soat'!$L:$L,'1.DC_Ra soat'!$F:$F,'1.PL (VND) '!BO$4,'1.DC_Ra soat'!$I:$I,'1.BS (VND)'!$D38)</f>
        <v>0</v>
      </c>
      <c r="BI38" s="698">
        <f>SUMIFS('1.DC_Ra soat'!$L:$L,'1.DC_Ra soat'!$F:$F,'1.PL (VND) '!BP$4,'1.DC_Ra soat'!$H:$H,'1.BS (VND)'!$D38)-SUMIFS('1.DC_Ra soat'!$L:$L,'1.DC_Ra soat'!$F:$F,'1.PL (VND) '!BP$4,'1.DC_Ra soat'!$I:$I,'1.BS (VND)'!$D38)</f>
        <v>0</v>
      </c>
      <c r="BJ38" s="698">
        <f>SUMIFS('1.DC_Ra soat'!$L:$L,'1.DC_Ra soat'!$F:$F,'1.PL (VND) '!BQ$4,'1.DC_Ra soat'!$H:$H,'1.BS (VND)'!$D38)-SUMIFS('1.DC_Ra soat'!$L:$L,'1.DC_Ra soat'!$F:$F,'1.PL (VND) '!BQ$4,'1.DC_Ra soat'!$I:$I,'1.BS (VND)'!$D38)</f>
        <v>0</v>
      </c>
      <c r="BK38" s="698">
        <f>SUMIFS('1.DC_Ra soat'!$L:$L,'1.DC_Ra soat'!$F:$F,'1.PL (VND) '!BR$4,'1.DC_Ra soat'!$H:$H,'1.BS (VND)'!$D38)-SUMIFS('1.DC_Ra soat'!$L:$L,'1.DC_Ra soat'!$F:$F,'1.PL (VND) '!BR$4,'1.DC_Ra soat'!$I:$I,'1.BS (VND)'!$D38)</f>
        <v>0</v>
      </c>
      <c r="BM38" s="698">
        <f t="shared" si="5"/>
        <v>0</v>
      </c>
      <c r="BN38" s="698">
        <f t="shared" si="6"/>
        <v>0</v>
      </c>
      <c r="BO38" s="698">
        <f t="shared" si="7"/>
        <v>0</v>
      </c>
      <c r="BP38" s="697">
        <f t="shared" si="8"/>
        <v>0</v>
      </c>
      <c r="BQ38" s="699"/>
      <c r="BR38" s="698">
        <f t="shared" si="9"/>
        <v>0</v>
      </c>
      <c r="BS38" s="698">
        <f t="shared" si="10"/>
        <v>0</v>
      </c>
      <c r="BT38" s="698">
        <f t="shared" si="11"/>
        <v>0</v>
      </c>
      <c r="BU38" s="698">
        <f t="shared" si="12"/>
        <v>0</v>
      </c>
      <c r="BV38" s="699"/>
      <c r="BW38" s="698">
        <f t="shared" si="13"/>
        <v>0</v>
      </c>
      <c r="BX38" s="698">
        <f t="shared" si="14"/>
        <v>0</v>
      </c>
      <c r="BY38" s="698">
        <f t="shared" si="15"/>
        <v>0</v>
      </c>
      <c r="BZ38" s="697">
        <f t="shared" si="16"/>
        <v>0</v>
      </c>
      <c r="CA38" s="699"/>
      <c r="CB38" s="697">
        <f t="shared" si="17"/>
        <v>0</v>
      </c>
      <c r="CC38" s="697">
        <f t="shared" si="18"/>
        <v>0</v>
      </c>
      <c r="CD38" s="697">
        <f t="shared" si="19"/>
        <v>0</v>
      </c>
      <c r="CE38" s="697">
        <f t="shared" si="20"/>
        <v>0</v>
      </c>
      <c r="CF38" s="699"/>
      <c r="CG38" s="697">
        <f t="shared" si="21"/>
        <v>0</v>
      </c>
      <c r="CH38" s="697">
        <f t="shared" si="22"/>
        <v>0</v>
      </c>
      <c r="CI38" s="697">
        <f t="shared" si="23"/>
        <v>0</v>
      </c>
      <c r="CJ38" s="697">
        <f t="shared" si="24"/>
        <v>0</v>
      </c>
      <c r="CK38" s="699"/>
      <c r="CL38" s="698">
        <f t="shared" si="25"/>
        <v>0</v>
      </c>
      <c r="CM38" s="698">
        <f t="shared" si="26"/>
        <v>0</v>
      </c>
      <c r="CN38" s="698">
        <f t="shared" si="27"/>
        <v>0</v>
      </c>
      <c r="CO38" s="697">
        <f t="shared" si="28"/>
        <v>0</v>
      </c>
      <c r="CQ38" s="698">
        <f>SUMIF('1.PL (VND) '!$BL$6:$CD$6,'1.PL (VND) '!CP$6,$BM38:$CE38)</f>
        <v>0</v>
      </c>
      <c r="CR38" s="698">
        <f>SUMIF('1.PL (VND) '!$BL$6:$CD$6,'1.PL (VND) '!CQ$6,$BM38:$CE38)</f>
        <v>0</v>
      </c>
      <c r="CS38" s="698">
        <f>SUMIF('1.PL (VND) '!$BL$6:$CD$6,'1.PL (VND) '!CR$6,$BM38:$CE38)</f>
        <v>0</v>
      </c>
      <c r="CT38" s="698">
        <f>SUMIF('1.PL (VND) '!$BL$6:$CD$6,'1.PL (VND) '!CS$6,$BM38:$CE38)</f>
        <v>0</v>
      </c>
      <c r="CV38" s="702">
        <f>-SUMIFS('1.DC_Ra soat'!$L:$L,'1.DC_Ra soat'!$F:$F,'1.PL (VND) '!DK$4,'1.DC_Ra soat'!$H:$H,'1.BS (VND)'!$D38)+SUMIFS('1.DC_Ra soat'!$L:$L,'1.DC_Ra soat'!$F:$F,'1.PL (VND) '!DK$4,'1.DC_Ra soat'!$I:$I,'1.BS (VND)'!$D38)</f>
        <v>0</v>
      </c>
      <c r="CW38" s="702">
        <f>-SUMIFS('1.DC_Ra soat'!$L:$L,'1.DC_Ra soat'!$F:$F,'1.PL (VND) '!DL$4,'1.DC_Ra soat'!$H:$H,'1.BS (VND)'!$D38)+SUMIFS('1.DC_Ra soat'!$L:$L,'1.DC_Ra soat'!$F:$F,'1.PL (VND) '!DL$4,'1.DC_Ra soat'!$I:$I,'1.BS (VND)'!$D38)</f>
        <v>0</v>
      </c>
      <c r="CX38" s="702">
        <f>-SUMIFS('1.DC_Ra soat'!$L:$L,'1.DC_Ra soat'!$F:$F,'1.PL (VND) '!DM$4,'1.DC_Ra soat'!$H:$H,'1.BS (VND)'!$D38)+SUMIFS('1.DC_Ra soat'!$L:$L,'1.DC_Ra soat'!$F:$F,'1.PL (VND) '!DM$4,'1.DC_Ra soat'!$I:$I,'1.BS (VND)'!$D38)</f>
        <v>0</v>
      </c>
      <c r="CY38" s="702">
        <f>-SUMIFS('1.DC_Ra soat'!$L:$L,'1.DC_Ra soat'!$F:$F,'1.PL (VND) '!DN$4,'1.DC_Ra soat'!$H:$H,'1.BS (VND)'!$D38)+SUMIFS('1.DC_Ra soat'!$L:$L,'1.DC_Ra soat'!$F:$F,'1.PL (VND) '!DN$4,'1.DC_Ra soat'!$I:$I,'1.BS (VND)'!$D38)</f>
        <v>0</v>
      </c>
      <c r="DA38" s="698">
        <f t="shared" si="30"/>
        <v>0</v>
      </c>
      <c r="DB38" s="698">
        <f t="shared" si="31"/>
        <v>0</v>
      </c>
      <c r="DC38" s="698">
        <f t="shared" si="32"/>
        <v>0</v>
      </c>
      <c r="DD38" s="698">
        <f t="shared" si="33"/>
        <v>0</v>
      </c>
    </row>
    <row r="39" spans="1:112" s="700" customFormat="1" x14ac:dyDescent="0.25">
      <c r="A39" s="248" t="str">
        <f t="shared" si="40"/>
        <v>hide</v>
      </c>
      <c r="C39" s="703" t="s">
        <v>352</v>
      </c>
      <c r="D39" s="704" t="s">
        <v>353</v>
      </c>
      <c r="E39" s="721"/>
      <c r="F39" s="721"/>
      <c r="G39" s="721"/>
      <c r="H39" s="722">
        <v>0</v>
      </c>
      <c r="I39" s="699"/>
      <c r="J39" s="698"/>
      <c r="K39" s="698"/>
      <c r="L39" s="698"/>
      <c r="M39" s="241">
        <v>0</v>
      </c>
      <c r="N39" s="699"/>
      <c r="O39" s="698"/>
      <c r="P39" s="698"/>
      <c r="Q39" s="698"/>
      <c r="R39" s="698"/>
      <c r="S39" s="699"/>
      <c r="T39" s="698"/>
      <c r="U39" s="698"/>
      <c r="V39" s="698"/>
      <c r="W39" s="698"/>
      <c r="X39" s="699"/>
      <c r="Y39" s="698"/>
      <c r="Z39" s="698"/>
      <c r="AA39" s="698"/>
      <c r="AB39" s="698"/>
      <c r="AC39" s="699"/>
      <c r="AD39" s="698"/>
      <c r="AE39" s="698"/>
      <c r="AF39" s="698"/>
      <c r="AG39" s="698"/>
      <c r="AI39" s="698">
        <f>SUMIFS('1.DC_Ra soat'!$L:$L,'1.DC_Ra soat'!$F:$F,AI$4,'1.DC_Ra soat'!$H:$H,'1.BS (VND)'!$D39)-SUMIFS('1.DC_Ra soat'!$L:$L,'1.DC_Ra soat'!$F:$F,AI$4,'1.DC_Ra soat'!$I:$I,'1.BS (VND)'!$D39)</f>
        <v>0</v>
      </c>
      <c r="AJ39" s="698">
        <f>SUMIFS('1.DC_Ra soat'!$L:$L,'1.DC_Ra soat'!$F:$F,AJ$4,'1.DC_Ra soat'!$H:$H,'1.BS (VND)'!$D39)-SUMIFS('1.DC_Ra soat'!$L:$L,'1.DC_Ra soat'!$F:$F,AJ$4,'1.DC_Ra soat'!$I:$I,'1.BS (VND)'!$D39)</f>
        <v>0</v>
      </c>
      <c r="AK39" s="698">
        <f>SUMIFS('1.DC_Ra soat'!$L:$L,'1.DC_Ra soat'!$F:$F,AK$4,'1.DC_Ra soat'!$H:$H,'1.BS (VND)'!$D39)-SUMIFS('1.DC_Ra soat'!$L:$L,'1.DC_Ra soat'!$F:$F,AK$4,'1.DC_Ra soat'!$I:$I,'1.BS (VND)'!$D39)</f>
        <v>0</v>
      </c>
      <c r="AL39" s="698">
        <f>SUMIFS('1.DC_Ra soat'!$L:$L,'1.DC_Ra soat'!$F:$F,AL$4,'1.DC_Ra soat'!$H:$H,'1.BS (VND)'!$D39)-SUMIFS('1.DC_Ra soat'!$L:$L,'1.DC_Ra soat'!$F:$F,AL$4,'1.DC_Ra soat'!$I:$I,'1.BS (VND)'!$D39)</f>
        <v>0</v>
      </c>
      <c r="AM39" s="699"/>
      <c r="AN39" s="698">
        <f>SUMIFS('1.DC_Ra soat'!$L:$L,'1.DC_Ra soat'!$F:$F,AN$4,'1.DC_Ra soat'!$H:$H,'1.BS (VND)'!$D39)-SUMIFS('1.DC_Ra soat'!$L:$L,'1.DC_Ra soat'!$F:$F,AN$4,'1.DC_Ra soat'!$I:$I,'1.BS (VND)'!$D39)</f>
        <v>0</v>
      </c>
      <c r="AO39" s="698">
        <f>SUMIFS('1.DC_Ra soat'!$L:$L,'1.DC_Ra soat'!$F:$F,AO$4,'1.DC_Ra soat'!$H:$H,'1.BS (VND)'!$D39)-SUMIFS('1.DC_Ra soat'!$L:$L,'1.DC_Ra soat'!$F:$F,AO$4,'1.DC_Ra soat'!$I:$I,'1.BS (VND)'!$D39)</f>
        <v>0</v>
      </c>
      <c r="AP39" s="698">
        <f>SUMIFS('1.DC_Ra soat'!$L:$L,'1.DC_Ra soat'!$F:$F,AP$4,'1.DC_Ra soat'!$H:$H,'1.BS (VND)'!$D39)-SUMIFS('1.DC_Ra soat'!$L:$L,'1.DC_Ra soat'!$F:$F,AP$4,'1.DC_Ra soat'!$I:$I,'1.BS (VND)'!$D39)</f>
        <v>0</v>
      </c>
      <c r="AQ39" s="698">
        <f>SUMIFS('1.DC_Ra soat'!$L:$L,'1.DC_Ra soat'!$F:$F,AQ$4,'1.DC_Ra soat'!$H:$H,'1.BS (VND)'!$D39)-SUMIFS('1.DC_Ra soat'!$L:$L,'1.DC_Ra soat'!$F:$F,AQ$4,'1.DC_Ra soat'!$I:$I,'1.BS (VND)'!$D39)</f>
        <v>0</v>
      </c>
      <c r="AR39" s="699"/>
      <c r="AS39" s="698">
        <f>SUMIFS('1.DC_Ra soat'!$L:$L,'1.DC_Ra soat'!$F:$F,AS$4,'1.DC_Ra soat'!$H:$H,'1.BS (VND)'!$D39)-SUMIFS('1.DC_Ra soat'!$L:$L,'1.DC_Ra soat'!$F:$F,AS$4,'1.DC_Ra soat'!$I:$I,'1.BS (VND)'!$D39)</f>
        <v>0</v>
      </c>
      <c r="AT39" s="698">
        <f>SUMIFS('1.DC_Ra soat'!$L:$L,'1.DC_Ra soat'!$F:$F,AT$4,'1.DC_Ra soat'!$H:$H,'1.BS (VND)'!$D39)-SUMIFS('1.DC_Ra soat'!$L:$L,'1.DC_Ra soat'!$F:$F,AT$4,'1.DC_Ra soat'!$I:$I,'1.BS (VND)'!$D39)</f>
        <v>0</v>
      </c>
      <c r="AU39" s="698">
        <f>SUMIFS('1.DC_Ra soat'!$L:$L,'1.DC_Ra soat'!$F:$F,AU$4,'1.DC_Ra soat'!$H:$H,'1.BS (VND)'!$D39)-SUMIFS('1.DC_Ra soat'!$L:$L,'1.DC_Ra soat'!$F:$F,AU$4,'1.DC_Ra soat'!$I:$I,'1.BS (VND)'!$D39)</f>
        <v>0</v>
      </c>
      <c r="AV39" s="698">
        <f>SUMIFS('1.DC_Ra soat'!$L:$L,'1.DC_Ra soat'!$F:$F,AV$4,'1.DC_Ra soat'!$H:$H,'1.BS (VND)'!$D39)-SUMIFS('1.DC_Ra soat'!$L:$L,'1.DC_Ra soat'!$F:$F,AV$4,'1.DC_Ra soat'!$I:$I,'1.BS (VND)'!$D39)</f>
        <v>0</v>
      </c>
      <c r="AW39" s="699"/>
      <c r="AX39" s="698">
        <f>SUMIFS('1.DC_Ra soat'!$L:$L,'1.DC_Ra soat'!$F:$F,'1.PL (VND) '!BC$4,'1.DC_Ra soat'!$H:$H,'1.BS (VND)'!$D39)-SUMIFS('1.DC_Ra soat'!$L:$L,'1.DC_Ra soat'!$F:$F,'1.PL (VND) '!BC$4,'1.DC_Ra soat'!$I:$I,'1.BS (VND)'!$D39)</f>
        <v>0</v>
      </c>
      <c r="AY39" s="698">
        <f>SUMIFS('1.DC_Ra soat'!$L:$L,'1.DC_Ra soat'!$F:$F,'1.PL (VND) '!BD$4,'1.DC_Ra soat'!$H:$H,'1.BS (VND)'!$D39)-SUMIFS('1.DC_Ra soat'!$L:$L,'1.DC_Ra soat'!$F:$F,'1.PL (VND) '!BD$4,'1.DC_Ra soat'!$I:$I,'1.BS (VND)'!$D39)</f>
        <v>0</v>
      </c>
      <c r="AZ39" s="698">
        <f>SUMIFS('1.DC_Ra soat'!$L:$L,'1.DC_Ra soat'!$F:$F,'1.PL (VND) '!BE$4,'1.DC_Ra soat'!$H:$H,'1.BS (VND)'!$D39)-SUMIFS('1.DC_Ra soat'!$L:$L,'1.DC_Ra soat'!$F:$F,'1.PL (VND) '!BE$4,'1.DC_Ra soat'!$I:$I,'1.BS (VND)'!$D39)</f>
        <v>0</v>
      </c>
      <c r="BA39" s="698">
        <f>SUMIFS('1.DC_Ra soat'!$L:$L,'1.DC_Ra soat'!$F:$F,'1.PL (VND) '!BF$4,'1.DC_Ra soat'!$H:$H,'1.BS (VND)'!$D39)-SUMIFS('1.DC_Ra soat'!$L:$L,'1.DC_Ra soat'!$F:$F,'1.PL (VND) '!BF$4,'1.DC_Ra soat'!$I:$I,'1.BS (VND)'!$D39)</f>
        <v>0</v>
      </c>
      <c r="BB39" s="699"/>
      <c r="BC39" s="698">
        <f>SUMIFS('1.DC_Ra soat'!$L:$L,'1.DC_Ra soat'!$F:$F,'1.PL (VND) '!BI$4,'1.DC_Ra soat'!$H:$H,'1.BS (VND)'!$D39)-SUMIFS('1.DC_Ra soat'!$L:$L,'1.DC_Ra soat'!$F:$F,'1.PL (VND) '!BI$4,'1.DC_Ra soat'!$I:$I,'1.BS (VND)'!$D39)</f>
        <v>0</v>
      </c>
      <c r="BD39" s="698">
        <f>SUMIFS('1.DC_Ra soat'!$L:$L,'1.DC_Ra soat'!$F:$F,'1.PL (VND) '!BJ$4,'1.DC_Ra soat'!$H:$H,'1.BS (VND)'!$D39)-SUMIFS('1.DC_Ra soat'!$L:$L,'1.DC_Ra soat'!$F:$F,'1.PL (VND) '!BJ$4,'1.DC_Ra soat'!$I:$I,'1.BS (VND)'!$D39)</f>
        <v>0</v>
      </c>
      <c r="BE39" s="698">
        <f>SUMIFS('1.DC_Ra soat'!$L:$L,'1.DC_Ra soat'!$F:$F,'1.PL (VND) '!BK$4,'1.DC_Ra soat'!$H:$H,'1.BS (VND)'!$D39)-SUMIFS('1.DC_Ra soat'!$L:$L,'1.DC_Ra soat'!$F:$F,'1.PL (VND) '!BK$4,'1.DC_Ra soat'!$I:$I,'1.BS (VND)'!$D39)</f>
        <v>0</v>
      </c>
      <c r="BF39" s="698">
        <f>SUMIFS('1.DC_Ra soat'!$L:$L,'1.DC_Ra soat'!$F:$F,'1.PL (VND) '!BL$4,'1.DC_Ra soat'!$H:$H,'1.BS (VND)'!$D39)-SUMIFS('1.DC_Ra soat'!$L:$L,'1.DC_Ra soat'!$F:$F,'1.PL (VND) '!BL$4,'1.DC_Ra soat'!$I:$I,'1.BS (VND)'!$D39)</f>
        <v>0</v>
      </c>
      <c r="BG39" s="699"/>
      <c r="BH39" s="698">
        <f>SUMIFS('1.DC_Ra soat'!$L:$L,'1.DC_Ra soat'!$F:$F,'1.PL (VND) '!BO$4,'1.DC_Ra soat'!$H:$H,'1.BS (VND)'!$D39)-SUMIFS('1.DC_Ra soat'!$L:$L,'1.DC_Ra soat'!$F:$F,'1.PL (VND) '!BO$4,'1.DC_Ra soat'!$I:$I,'1.BS (VND)'!$D39)</f>
        <v>0</v>
      </c>
      <c r="BI39" s="698">
        <f>SUMIFS('1.DC_Ra soat'!$L:$L,'1.DC_Ra soat'!$F:$F,'1.PL (VND) '!BP$4,'1.DC_Ra soat'!$H:$H,'1.BS (VND)'!$D39)-SUMIFS('1.DC_Ra soat'!$L:$L,'1.DC_Ra soat'!$F:$F,'1.PL (VND) '!BP$4,'1.DC_Ra soat'!$I:$I,'1.BS (VND)'!$D39)</f>
        <v>0</v>
      </c>
      <c r="BJ39" s="698">
        <f>SUMIFS('1.DC_Ra soat'!$L:$L,'1.DC_Ra soat'!$F:$F,'1.PL (VND) '!BQ$4,'1.DC_Ra soat'!$H:$H,'1.BS (VND)'!$D39)-SUMIFS('1.DC_Ra soat'!$L:$L,'1.DC_Ra soat'!$F:$F,'1.PL (VND) '!BQ$4,'1.DC_Ra soat'!$I:$I,'1.BS (VND)'!$D39)</f>
        <v>0</v>
      </c>
      <c r="BK39" s="698">
        <f>SUMIFS('1.DC_Ra soat'!$L:$L,'1.DC_Ra soat'!$F:$F,'1.PL (VND) '!BR$4,'1.DC_Ra soat'!$H:$H,'1.BS (VND)'!$D39)-SUMIFS('1.DC_Ra soat'!$L:$L,'1.DC_Ra soat'!$F:$F,'1.PL (VND) '!BR$4,'1.DC_Ra soat'!$I:$I,'1.BS (VND)'!$D39)</f>
        <v>0</v>
      </c>
      <c r="BM39" s="698">
        <f t="shared" si="5"/>
        <v>0</v>
      </c>
      <c r="BN39" s="698">
        <f t="shared" si="6"/>
        <v>0</v>
      </c>
      <c r="BO39" s="698">
        <f t="shared" si="7"/>
        <v>0</v>
      </c>
      <c r="BP39" s="697">
        <f t="shared" si="8"/>
        <v>0</v>
      </c>
      <c r="BQ39" s="699"/>
      <c r="BR39" s="698">
        <f t="shared" si="9"/>
        <v>0</v>
      </c>
      <c r="BS39" s="698">
        <f t="shared" si="10"/>
        <v>0</v>
      </c>
      <c r="BT39" s="698">
        <f t="shared" si="11"/>
        <v>0</v>
      </c>
      <c r="BU39" s="698">
        <f t="shared" si="12"/>
        <v>0</v>
      </c>
      <c r="BV39" s="699"/>
      <c r="BW39" s="698">
        <f t="shared" si="13"/>
        <v>0</v>
      </c>
      <c r="BX39" s="698">
        <f t="shared" si="14"/>
        <v>0</v>
      </c>
      <c r="BY39" s="698">
        <f t="shared" si="15"/>
        <v>0</v>
      </c>
      <c r="BZ39" s="697">
        <f t="shared" si="16"/>
        <v>0</v>
      </c>
      <c r="CA39" s="699"/>
      <c r="CB39" s="697">
        <f t="shared" si="17"/>
        <v>0</v>
      </c>
      <c r="CC39" s="697">
        <f t="shared" si="18"/>
        <v>0</v>
      </c>
      <c r="CD39" s="697">
        <f t="shared" si="19"/>
        <v>0</v>
      </c>
      <c r="CE39" s="697">
        <f t="shared" si="20"/>
        <v>0</v>
      </c>
      <c r="CF39" s="699"/>
      <c r="CG39" s="697">
        <f t="shared" si="21"/>
        <v>0</v>
      </c>
      <c r="CH39" s="697">
        <f t="shared" si="22"/>
        <v>0</v>
      </c>
      <c r="CI39" s="697">
        <f t="shared" si="23"/>
        <v>0</v>
      </c>
      <c r="CJ39" s="697">
        <f t="shared" si="24"/>
        <v>0</v>
      </c>
      <c r="CK39" s="699"/>
      <c r="CL39" s="698">
        <f t="shared" si="25"/>
        <v>0</v>
      </c>
      <c r="CM39" s="698">
        <f t="shared" si="26"/>
        <v>0</v>
      </c>
      <c r="CN39" s="698">
        <f t="shared" si="27"/>
        <v>0</v>
      </c>
      <c r="CO39" s="697">
        <f t="shared" si="28"/>
        <v>0</v>
      </c>
      <c r="CQ39" s="698">
        <f>SUMIF('1.PL (VND) '!$BL$6:$CD$6,'1.PL (VND) '!CP$6,$BM39:$CE39)</f>
        <v>0</v>
      </c>
      <c r="CR39" s="698">
        <f>SUMIF('1.PL (VND) '!$BL$6:$CD$6,'1.PL (VND) '!CQ$6,$BM39:$CE39)</f>
        <v>0</v>
      </c>
      <c r="CS39" s="698">
        <f>SUMIF('1.PL (VND) '!$BL$6:$CD$6,'1.PL (VND) '!CR$6,$BM39:$CE39)</f>
        <v>0</v>
      </c>
      <c r="CT39" s="698">
        <f>SUMIF('1.PL (VND) '!$BL$6:$CD$6,'1.PL (VND) '!CS$6,$BM39:$CE39)</f>
        <v>0</v>
      </c>
      <c r="CV39" s="702">
        <f>-SUMIFS('1.DC_Ra soat'!$L:$L,'1.DC_Ra soat'!$F:$F,'1.PL (VND) '!DK$4,'1.DC_Ra soat'!$H:$H,'1.BS (VND)'!$D39)+SUMIFS('1.DC_Ra soat'!$L:$L,'1.DC_Ra soat'!$F:$F,'1.PL (VND) '!DK$4,'1.DC_Ra soat'!$I:$I,'1.BS (VND)'!$D39)</f>
        <v>0</v>
      </c>
      <c r="CW39" s="702">
        <f>-SUMIFS('1.DC_Ra soat'!$L:$L,'1.DC_Ra soat'!$F:$F,'1.PL (VND) '!DL$4,'1.DC_Ra soat'!$H:$H,'1.BS (VND)'!$D39)+SUMIFS('1.DC_Ra soat'!$L:$L,'1.DC_Ra soat'!$F:$F,'1.PL (VND) '!DL$4,'1.DC_Ra soat'!$I:$I,'1.BS (VND)'!$D39)</f>
        <v>0</v>
      </c>
      <c r="CX39" s="702">
        <f>-SUMIFS('1.DC_Ra soat'!$L:$L,'1.DC_Ra soat'!$F:$F,'1.PL (VND) '!DM$4,'1.DC_Ra soat'!$H:$H,'1.BS (VND)'!$D39)+SUMIFS('1.DC_Ra soat'!$L:$L,'1.DC_Ra soat'!$F:$F,'1.PL (VND) '!DM$4,'1.DC_Ra soat'!$I:$I,'1.BS (VND)'!$D39)</f>
        <v>0</v>
      </c>
      <c r="CY39" s="702">
        <f>-SUMIFS('1.DC_Ra soat'!$L:$L,'1.DC_Ra soat'!$F:$F,'1.PL (VND) '!DN$4,'1.DC_Ra soat'!$H:$H,'1.BS (VND)'!$D39)+SUMIFS('1.DC_Ra soat'!$L:$L,'1.DC_Ra soat'!$F:$F,'1.PL (VND) '!DN$4,'1.DC_Ra soat'!$I:$I,'1.BS (VND)'!$D39)</f>
        <v>0</v>
      </c>
      <c r="DA39" s="698">
        <f t="shared" si="30"/>
        <v>0</v>
      </c>
      <c r="DB39" s="698">
        <f t="shared" si="31"/>
        <v>0</v>
      </c>
      <c r="DC39" s="698">
        <f t="shared" si="32"/>
        <v>0</v>
      </c>
      <c r="DD39" s="698">
        <f t="shared" si="33"/>
        <v>0</v>
      </c>
    </row>
    <row r="40" spans="1:112" s="700" customFormat="1" x14ac:dyDescent="0.25">
      <c r="A40" s="248" t="str">
        <f t="shared" si="40"/>
        <v>hide</v>
      </c>
      <c r="C40" s="703" t="s">
        <v>354</v>
      </c>
      <c r="D40" s="704" t="s">
        <v>355</v>
      </c>
      <c r="E40" s="721"/>
      <c r="F40" s="721"/>
      <c r="G40" s="721"/>
      <c r="H40" s="722">
        <v>0</v>
      </c>
      <c r="I40" s="699"/>
      <c r="J40" s="698"/>
      <c r="K40" s="698"/>
      <c r="L40" s="698"/>
      <c r="M40" s="241">
        <v>0</v>
      </c>
      <c r="N40" s="699"/>
      <c r="O40" s="698"/>
      <c r="P40" s="698"/>
      <c r="Q40" s="698"/>
      <c r="R40" s="698"/>
      <c r="S40" s="699"/>
      <c r="T40" s="698"/>
      <c r="U40" s="698"/>
      <c r="V40" s="698"/>
      <c r="W40" s="698"/>
      <c r="X40" s="699"/>
      <c r="Y40" s="698"/>
      <c r="Z40" s="698"/>
      <c r="AA40" s="698"/>
      <c r="AB40" s="698"/>
      <c r="AC40" s="699"/>
      <c r="AD40" s="698"/>
      <c r="AE40" s="698"/>
      <c r="AF40" s="698"/>
      <c r="AG40" s="698"/>
      <c r="AI40" s="698">
        <f>SUMIFS('1.DC_Ra soat'!$L:$L,'1.DC_Ra soat'!$F:$F,AI$4,'1.DC_Ra soat'!$H:$H,'1.BS (VND)'!$D40)-SUMIFS('1.DC_Ra soat'!$L:$L,'1.DC_Ra soat'!$F:$F,AI$4,'1.DC_Ra soat'!$I:$I,'1.BS (VND)'!$D40)</f>
        <v>0</v>
      </c>
      <c r="AJ40" s="698">
        <f>SUMIFS('1.DC_Ra soat'!$L:$L,'1.DC_Ra soat'!$F:$F,AJ$4,'1.DC_Ra soat'!$H:$H,'1.BS (VND)'!$D40)-SUMIFS('1.DC_Ra soat'!$L:$L,'1.DC_Ra soat'!$F:$F,AJ$4,'1.DC_Ra soat'!$I:$I,'1.BS (VND)'!$D40)</f>
        <v>0</v>
      </c>
      <c r="AK40" s="698">
        <f>SUMIFS('1.DC_Ra soat'!$L:$L,'1.DC_Ra soat'!$F:$F,AK$4,'1.DC_Ra soat'!$H:$H,'1.BS (VND)'!$D40)-SUMIFS('1.DC_Ra soat'!$L:$L,'1.DC_Ra soat'!$F:$F,AK$4,'1.DC_Ra soat'!$I:$I,'1.BS (VND)'!$D40)</f>
        <v>0</v>
      </c>
      <c r="AL40" s="698">
        <f>SUMIFS('1.DC_Ra soat'!$L:$L,'1.DC_Ra soat'!$F:$F,AL$4,'1.DC_Ra soat'!$H:$H,'1.BS (VND)'!$D40)-SUMIFS('1.DC_Ra soat'!$L:$L,'1.DC_Ra soat'!$F:$F,AL$4,'1.DC_Ra soat'!$I:$I,'1.BS (VND)'!$D40)</f>
        <v>0</v>
      </c>
      <c r="AM40" s="699"/>
      <c r="AN40" s="698">
        <f>SUMIFS('1.DC_Ra soat'!$L:$L,'1.DC_Ra soat'!$F:$F,AN$4,'1.DC_Ra soat'!$H:$H,'1.BS (VND)'!$D40)-SUMIFS('1.DC_Ra soat'!$L:$L,'1.DC_Ra soat'!$F:$F,AN$4,'1.DC_Ra soat'!$I:$I,'1.BS (VND)'!$D40)</f>
        <v>0</v>
      </c>
      <c r="AO40" s="698">
        <f>SUMIFS('1.DC_Ra soat'!$L:$L,'1.DC_Ra soat'!$F:$F,AO$4,'1.DC_Ra soat'!$H:$H,'1.BS (VND)'!$D40)-SUMIFS('1.DC_Ra soat'!$L:$L,'1.DC_Ra soat'!$F:$F,AO$4,'1.DC_Ra soat'!$I:$I,'1.BS (VND)'!$D40)</f>
        <v>0</v>
      </c>
      <c r="AP40" s="698">
        <f>SUMIFS('1.DC_Ra soat'!$L:$L,'1.DC_Ra soat'!$F:$F,AP$4,'1.DC_Ra soat'!$H:$H,'1.BS (VND)'!$D40)-SUMIFS('1.DC_Ra soat'!$L:$L,'1.DC_Ra soat'!$F:$F,AP$4,'1.DC_Ra soat'!$I:$I,'1.BS (VND)'!$D40)</f>
        <v>0</v>
      </c>
      <c r="AQ40" s="698">
        <f>SUMIFS('1.DC_Ra soat'!$L:$L,'1.DC_Ra soat'!$F:$F,AQ$4,'1.DC_Ra soat'!$H:$H,'1.BS (VND)'!$D40)-SUMIFS('1.DC_Ra soat'!$L:$L,'1.DC_Ra soat'!$F:$F,AQ$4,'1.DC_Ra soat'!$I:$I,'1.BS (VND)'!$D40)</f>
        <v>0</v>
      </c>
      <c r="AR40" s="699"/>
      <c r="AS40" s="698">
        <f>SUMIFS('1.DC_Ra soat'!$L:$L,'1.DC_Ra soat'!$F:$F,AS$4,'1.DC_Ra soat'!$H:$H,'1.BS (VND)'!$D40)-SUMIFS('1.DC_Ra soat'!$L:$L,'1.DC_Ra soat'!$F:$F,AS$4,'1.DC_Ra soat'!$I:$I,'1.BS (VND)'!$D40)</f>
        <v>0</v>
      </c>
      <c r="AT40" s="698">
        <f>SUMIFS('1.DC_Ra soat'!$L:$L,'1.DC_Ra soat'!$F:$F,AT$4,'1.DC_Ra soat'!$H:$H,'1.BS (VND)'!$D40)-SUMIFS('1.DC_Ra soat'!$L:$L,'1.DC_Ra soat'!$F:$F,AT$4,'1.DC_Ra soat'!$I:$I,'1.BS (VND)'!$D40)</f>
        <v>0</v>
      </c>
      <c r="AU40" s="698">
        <f>SUMIFS('1.DC_Ra soat'!$L:$L,'1.DC_Ra soat'!$F:$F,AU$4,'1.DC_Ra soat'!$H:$H,'1.BS (VND)'!$D40)-SUMIFS('1.DC_Ra soat'!$L:$L,'1.DC_Ra soat'!$F:$F,AU$4,'1.DC_Ra soat'!$I:$I,'1.BS (VND)'!$D40)</f>
        <v>0</v>
      </c>
      <c r="AV40" s="698">
        <f>SUMIFS('1.DC_Ra soat'!$L:$L,'1.DC_Ra soat'!$F:$F,AV$4,'1.DC_Ra soat'!$H:$H,'1.BS (VND)'!$D40)-SUMIFS('1.DC_Ra soat'!$L:$L,'1.DC_Ra soat'!$F:$F,AV$4,'1.DC_Ra soat'!$I:$I,'1.BS (VND)'!$D40)</f>
        <v>0</v>
      </c>
      <c r="AW40" s="699"/>
      <c r="AX40" s="698">
        <f>SUMIFS('1.DC_Ra soat'!$L:$L,'1.DC_Ra soat'!$F:$F,'1.PL (VND) '!BC$4,'1.DC_Ra soat'!$H:$H,'1.BS (VND)'!$D40)-SUMIFS('1.DC_Ra soat'!$L:$L,'1.DC_Ra soat'!$F:$F,'1.PL (VND) '!BC$4,'1.DC_Ra soat'!$I:$I,'1.BS (VND)'!$D40)</f>
        <v>0</v>
      </c>
      <c r="AY40" s="698">
        <f>SUMIFS('1.DC_Ra soat'!$L:$L,'1.DC_Ra soat'!$F:$F,'1.PL (VND) '!BD$4,'1.DC_Ra soat'!$H:$H,'1.BS (VND)'!$D40)-SUMIFS('1.DC_Ra soat'!$L:$L,'1.DC_Ra soat'!$F:$F,'1.PL (VND) '!BD$4,'1.DC_Ra soat'!$I:$I,'1.BS (VND)'!$D40)</f>
        <v>0</v>
      </c>
      <c r="AZ40" s="698">
        <f>SUMIFS('1.DC_Ra soat'!$L:$L,'1.DC_Ra soat'!$F:$F,'1.PL (VND) '!BE$4,'1.DC_Ra soat'!$H:$H,'1.BS (VND)'!$D40)-SUMIFS('1.DC_Ra soat'!$L:$L,'1.DC_Ra soat'!$F:$F,'1.PL (VND) '!BE$4,'1.DC_Ra soat'!$I:$I,'1.BS (VND)'!$D40)</f>
        <v>0</v>
      </c>
      <c r="BA40" s="698">
        <f>SUMIFS('1.DC_Ra soat'!$L:$L,'1.DC_Ra soat'!$F:$F,'1.PL (VND) '!BF$4,'1.DC_Ra soat'!$H:$H,'1.BS (VND)'!$D40)-SUMIFS('1.DC_Ra soat'!$L:$L,'1.DC_Ra soat'!$F:$F,'1.PL (VND) '!BF$4,'1.DC_Ra soat'!$I:$I,'1.BS (VND)'!$D40)</f>
        <v>0</v>
      </c>
      <c r="BB40" s="699"/>
      <c r="BC40" s="698">
        <f>SUMIFS('1.DC_Ra soat'!$L:$L,'1.DC_Ra soat'!$F:$F,'1.PL (VND) '!BI$4,'1.DC_Ra soat'!$H:$H,'1.BS (VND)'!$D40)-SUMIFS('1.DC_Ra soat'!$L:$L,'1.DC_Ra soat'!$F:$F,'1.PL (VND) '!BI$4,'1.DC_Ra soat'!$I:$I,'1.BS (VND)'!$D40)</f>
        <v>0</v>
      </c>
      <c r="BD40" s="698">
        <f>SUMIFS('1.DC_Ra soat'!$L:$L,'1.DC_Ra soat'!$F:$F,'1.PL (VND) '!BJ$4,'1.DC_Ra soat'!$H:$H,'1.BS (VND)'!$D40)-SUMIFS('1.DC_Ra soat'!$L:$L,'1.DC_Ra soat'!$F:$F,'1.PL (VND) '!BJ$4,'1.DC_Ra soat'!$I:$I,'1.BS (VND)'!$D40)</f>
        <v>0</v>
      </c>
      <c r="BE40" s="698">
        <f>SUMIFS('1.DC_Ra soat'!$L:$L,'1.DC_Ra soat'!$F:$F,'1.PL (VND) '!BK$4,'1.DC_Ra soat'!$H:$H,'1.BS (VND)'!$D40)-SUMIFS('1.DC_Ra soat'!$L:$L,'1.DC_Ra soat'!$F:$F,'1.PL (VND) '!BK$4,'1.DC_Ra soat'!$I:$I,'1.BS (VND)'!$D40)</f>
        <v>0</v>
      </c>
      <c r="BF40" s="698">
        <f>SUMIFS('1.DC_Ra soat'!$L:$L,'1.DC_Ra soat'!$F:$F,'1.PL (VND) '!BL$4,'1.DC_Ra soat'!$H:$H,'1.BS (VND)'!$D40)-SUMIFS('1.DC_Ra soat'!$L:$L,'1.DC_Ra soat'!$F:$F,'1.PL (VND) '!BL$4,'1.DC_Ra soat'!$I:$I,'1.BS (VND)'!$D40)</f>
        <v>0</v>
      </c>
      <c r="BG40" s="699"/>
      <c r="BH40" s="698">
        <f>SUMIFS('1.DC_Ra soat'!$L:$L,'1.DC_Ra soat'!$F:$F,'1.PL (VND) '!BO$4,'1.DC_Ra soat'!$H:$H,'1.BS (VND)'!$D40)-SUMIFS('1.DC_Ra soat'!$L:$L,'1.DC_Ra soat'!$F:$F,'1.PL (VND) '!BO$4,'1.DC_Ra soat'!$I:$I,'1.BS (VND)'!$D40)</f>
        <v>0</v>
      </c>
      <c r="BI40" s="698">
        <f>SUMIFS('1.DC_Ra soat'!$L:$L,'1.DC_Ra soat'!$F:$F,'1.PL (VND) '!BP$4,'1.DC_Ra soat'!$H:$H,'1.BS (VND)'!$D40)-SUMIFS('1.DC_Ra soat'!$L:$L,'1.DC_Ra soat'!$F:$F,'1.PL (VND) '!BP$4,'1.DC_Ra soat'!$I:$I,'1.BS (VND)'!$D40)</f>
        <v>0</v>
      </c>
      <c r="BJ40" s="698">
        <f>SUMIFS('1.DC_Ra soat'!$L:$L,'1.DC_Ra soat'!$F:$F,'1.PL (VND) '!BQ$4,'1.DC_Ra soat'!$H:$H,'1.BS (VND)'!$D40)-SUMIFS('1.DC_Ra soat'!$L:$L,'1.DC_Ra soat'!$F:$F,'1.PL (VND) '!BQ$4,'1.DC_Ra soat'!$I:$I,'1.BS (VND)'!$D40)</f>
        <v>0</v>
      </c>
      <c r="BK40" s="698">
        <f>SUMIFS('1.DC_Ra soat'!$L:$L,'1.DC_Ra soat'!$F:$F,'1.PL (VND) '!BR$4,'1.DC_Ra soat'!$H:$H,'1.BS (VND)'!$D40)-SUMIFS('1.DC_Ra soat'!$L:$L,'1.DC_Ra soat'!$F:$F,'1.PL (VND) '!BR$4,'1.DC_Ra soat'!$I:$I,'1.BS (VND)'!$D40)</f>
        <v>0</v>
      </c>
      <c r="BM40" s="698">
        <f t="shared" ref="BM40:BM71" si="62">E40+AI40</f>
        <v>0</v>
      </c>
      <c r="BN40" s="698">
        <f t="shared" ref="BN40:BN71" si="63">F40+AJ40</f>
        <v>0</v>
      </c>
      <c r="BO40" s="698">
        <f t="shared" ref="BO40:BO71" si="64">G40+AK40</f>
        <v>0</v>
      </c>
      <c r="BP40" s="697">
        <f t="shared" ref="BP40:BP71" si="65">H40+AL40</f>
        <v>0</v>
      </c>
      <c r="BQ40" s="699"/>
      <c r="BR40" s="698">
        <f t="shared" ref="BR40:BR71" si="66">J40+AN40</f>
        <v>0</v>
      </c>
      <c r="BS40" s="698">
        <f t="shared" ref="BS40:BS71" si="67">K40+AO40</f>
        <v>0</v>
      </c>
      <c r="BT40" s="698">
        <f t="shared" ref="BT40:BT71" si="68">L40+AP40</f>
        <v>0</v>
      </c>
      <c r="BU40" s="698">
        <f t="shared" ref="BU40:BU71" si="69">M40+AQ40</f>
        <v>0</v>
      </c>
      <c r="BV40" s="699"/>
      <c r="BW40" s="698">
        <f t="shared" ref="BW40:BW71" si="70">O40+AS40</f>
        <v>0</v>
      </c>
      <c r="BX40" s="698">
        <f t="shared" ref="BX40:BX71" si="71">P40+AT40</f>
        <v>0</v>
      </c>
      <c r="BY40" s="698">
        <f t="shared" ref="BY40:BY71" si="72">Q40+AU40</f>
        <v>0</v>
      </c>
      <c r="BZ40" s="697">
        <f t="shared" ref="BZ40:BZ71" si="73">R40+AV40</f>
        <v>0</v>
      </c>
      <c r="CA40" s="699"/>
      <c r="CB40" s="697">
        <f t="shared" ref="CB40:CB71" si="74">T40+AX40</f>
        <v>0</v>
      </c>
      <c r="CC40" s="697">
        <f t="shared" ref="CC40:CC71" si="75">U40+AY40</f>
        <v>0</v>
      </c>
      <c r="CD40" s="697">
        <f t="shared" ref="CD40:CD71" si="76">V40+AZ40</f>
        <v>0</v>
      </c>
      <c r="CE40" s="697">
        <f t="shared" ref="CE40:CE71" si="77">W40+BA40</f>
        <v>0</v>
      </c>
      <c r="CF40" s="699"/>
      <c r="CG40" s="697">
        <f t="shared" ref="CG40:CG71" si="78">Y40+BC40</f>
        <v>0</v>
      </c>
      <c r="CH40" s="697">
        <f t="shared" ref="CH40:CH71" si="79">Z40+BD40</f>
        <v>0</v>
      </c>
      <c r="CI40" s="697">
        <f t="shared" ref="CI40:CI71" si="80">AA40+BE40</f>
        <v>0</v>
      </c>
      <c r="CJ40" s="697">
        <f t="shared" ref="CJ40:CJ71" si="81">AB40+BF40</f>
        <v>0</v>
      </c>
      <c r="CK40" s="699"/>
      <c r="CL40" s="698">
        <f t="shared" ref="CL40:CL71" si="82">AD40+BH40</f>
        <v>0</v>
      </c>
      <c r="CM40" s="698">
        <f t="shared" ref="CM40:CM71" si="83">AE40+BI40</f>
        <v>0</v>
      </c>
      <c r="CN40" s="698">
        <f t="shared" ref="CN40:CN71" si="84">AF40+BJ40</f>
        <v>0</v>
      </c>
      <c r="CO40" s="697">
        <f t="shared" ref="CO40:CO71" si="85">AG40+BK40</f>
        <v>0</v>
      </c>
      <c r="CQ40" s="698">
        <f>SUMIF('1.PL (VND) '!$BL$6:$CD$6,'1.PL (VND) '!CP$6,$BM40:$CE40)</f>
        <v>0</v>
      </c>
      <c r="CR40" s="698">
        <f>SUMIF('1.PL (VND) '!$BL$6:$CD$6,'1.PL (VND) '!CQ$6,$BM40:$CE40)</f>
        <v>0</v>
      </c>
      <c r="CS40" s="698">
        <f>SUMIF('1.PL (VND) '!$BL$6:$CD$6,'1.PL (VND) '!CR$6,$BM40:$CE40)</f>
        <v>0</v>
      </c>
      <c r="CT40" s="698">
        <f>SUMIF('1.PL (VND) '!$BL$6:$CD$6,'1.PL (VND) '!CS$6,$BM40:$CE40)</f>
        <v>0</v>
      </c>
      <c r="CV40" s="702">
        <f>-SUMIFS('1.DC_Ra soat'!$L:$L,'1.DC_Ra soat'!$F:$F,'1.PL (VND) '!DK$4,'1.DC_Ra soat'!$H:$H,'1.BS (VND)'!$D40)+SUMIFS('1.DC_Ra soat'!$L:$L,'1.DC_Ra soat'!$F:$F,'1.PL (VND) '!DK$4,'1.DC_Ra soat'!$I:$I,'1.BS (VND)'!$D40)</f>
        <v>0</v>
      </c>
      <c r="CW40" s="702">
        <f>-SUMIFS('1.DC_Ra soat'!$L:$L,'1.DC_Ra soat'!$F:$F,'1.PL (VND) '!DL$4,'1.DC_Ra soat'!$H:$H,'1.BS (VND)'!$D40)+SUMIFS('1.DC_Ra soat'!$L:$L,'1.DC_Ra soat'!$F:$F,'1.PL (VND) '!DL$4,'1.DC_Ra soat'!$I:$I,'1.BS (VND)'!$D40)</f>
        <v>0</v>
      </c>
      <c r="CX40" s="702">
        <f>-SUMIFS('1.DC_Ra soat'!$L:$L,'1.DC_Ra soat'!$F:$F,'1.PL (VND) '!DM$4,'1.DC_Ra soat'!$H:$H,'1.BS (VND)'!$D40)+SUMIFS('1.DC_Ra soat'!$L:$L,'1.DC_Ra soat'!$F:$F,'1.PL (VND) '!DM$4,'1.DC_Ra soat'!$I:$I,'1.BS (VND)'!$D40)</f>
        <v>0</v>
      </c>
      <c r="CY40" s="702">
        <f>-SUMIFS('1.DC_Ra soat'!$L:$L,'1.DC_Ra soat'!$F:$F,'1.PL (VND) '!DN$4,'1.DC_Ra soat'!$H:$H,'1.BS (VND)'!$D40)+SUMIFS('1.DC_Ra soat'!$L:$L,'1.DC_Ra soat'!$F:$F,'1.PL (VND) '!DN$4,'1.DC_Ra soat'!$I:$I,'1.BS (VND)'!$D40)</f>
        <v>0</v>
      </c>
      <c r="DA40" s="698">
        <f t="shared" ref="DA40:DA70" si="86">CQ40+CV40</f>
        <v>0</v>
      </c>
      <c r="DB40" s="698">
        <f t="shared" ref="DB40:DB70" si="87">CR40+CW40</f>
        <v>0</v>
      </c>
      <c r="DC40" s="698">
        <f t="shared" ref="DC40:DC70" si="88">CS40+CX40</f>
        <v>0</v>
      </c>
      <c r="DD40" s="698">
        <f t="shared" ref="DD40:DD70" si="89">CT40+CY40</f>
        <v>0</v>
      </c>
    </row>
    <row r="41" spans="1:112" s="700" customFormat="1" x14ac:dyDescent="0.25">
      <c r="A41" s="248" t="str">
        <f t="shared" si="40"/>
        <v>hide</v>
      </c>
      <c r="C41" s="703" t="s">
        <v>356</v>
      </c>
      <c r="D41" s="704" t="s">
        <v>357</v>
      </c>
      <c r="E41" s="721"/>
      <c r="F41" s="721"/>
      <c r="G41" s="721"/>
      <c r="H41" s="722"/>
      <c r="I41" s="699"/>
      <c r="J41" s="698"/>
      <c r="K41" s="698"/>
      <c r="L41" s="698"/>
      <c r="M41" s="241">
        <v>0</v>
      </c>
      <c r="N41" s="699"/>
      <c r="O41" s="698"/>
      <c r="P41" s="698"/>
      <c r="Q41" s="698"/>
      <c r="R41" s="698"/>
      <c r="S41" s="699"/>
      <c r="T41" s="698"/>
      <c r="U41" s="698"/>
      <c r="V41" s="698"/>
      <c r="W41" s="698"/>
      <c r="X41" s="699"/>
      <c r="Y41" s="698"/>
      <c r="Z41" s="698"/>
      <c r="AA41" s="698"/>
      <c r="AB41" s="698"/>
      <c r="AC41" s="699"/>
      <c r="AD41" s="698"/>
      <c r="AE41" s="698"/>
      <c r="AF41" s="698"/>
      <c r="AG41" s="698"/>
      <c r="AI41" s="698">
        <f>SUMIFS('1.DC_Ra soat'!$L:$L,'1.DC_Ra soat'!$F:$F,AI$4,'1.DC_Ra soat'!$H:$H,'1.BS (VND)'!$D41)-SUMIFS('1.DC_Ra soat'!$L:$L,'1.DC_Ra soat'!$F:$F,AI$4,'1.DC_Ra soat'!$I:$I,'1.BS (VND)'!$D41)</f>
        <v>0</v>
      </c>
      <c r="AJ41" s="698">
        <f>SUMIFS('1.DC_Ra soat'!$L:$L,'1.DC_Ra soat'!$F:$F,AJ$4,'1.DC_Ra soat'!$H:$H,'1.BS (VND)'!$D41)-SUMIFS('1.DC_Ra soat'!$L:$L,'1.DC_Ra soat'!$F:$F,AJ$4,'1.DC_Ra soat'!$I:$I,'1.BS (VND)'!$D41)</f>
        <v>0</v>
      </c>
      <c r="AK41" s="698">
        <f>SUMIFS('1.DC_Ra soat'!$L:$L,'1.DC_Ra soat'!$F:$F,AK$4,'1.DC_Ra soat'!$H:$H,'1.BS (VND)'!$D41)-SUMIFS('1.DC_Ra soat'!$L:$L,'1.DC_Ra soat'!$F:$F,AK$4,'1.DC_Ra soat'!$I:$I,'1.BS (VND)'!$D41)</f>
        <v>0</v>
      </c>
      <c r="AL41" s="698">
        <f>SUMIFS('1.DC_Ra soat'!$L:$L,'1.DC_Ra soat'!$F:$F,AL$4,'1.DC_Ra soat'!$H:$H,'1.BS (VND)'!$D41)-SUMIFS('1.DC_Ra soat'!$L:$L,'1.DC_Ra soat'!$F:$F,AL$4,'1.DC_Ra soat'!$I:$I,'1.BS (VND)'!$D41)</f>
        <v>0</v>
      </c>
      <c r="AM41" s="699"/>
      <c r="AN41" s="698">
        <f>SUMIFS('1.DC_Ra soat'!$L:$L,'1.DC_Ra soat'!$F:$F,AN$4,'1.DC_Ra soat'!$H:$H,'1.BS (VND)'!$D41)-SUMIFS('1.DC_Ra soat'!$L:$L,'1.DC_Ra soat'!$F:$F,AN$4,'1.DC_Ra soat'!$I:$I,'1.BS (VND)'!$D41)</f>
        <v>0</v>
      </c>
      <c r="AO41" s="698">
        <f>SUMIFS('1.DC_Ra soat'!$L:$L,'1.DC_Ra soat'!$F:$F,AO$4,'1.DC_Ra soat'!$H:$H,'1.BS (VND)'!$D41)-SUMIFS('1.DC_Ra soat'!$L:$L,'1.DC_Ra soat'!$F:$F,AO$4,'1.DC_Ra soat'!$I:$I,'1.BS (VND)'!$D41)</f>
        <v>0</v>
      </c>
      <c r="AP41" s="698">
        <f>SUMIFS('1.DC_Ra soat'!$L:$L,'1.DC_Ra soat'!$F:$F,AP$4,'1.DC_Ra soat'!$H:$H,'1.BS (VND)'!$D41)-SUMIFS('1.DC_Ra soat'!$L:$L,'1.DC_Ra soat'!$F:$F,AP$4,'1.DC_Ra soat'!$I:$I,'1.BS (VND)'!$D41)</f>
        <v>0</v>
      </c>
      <c r="AQ41" s="698">
        <f>SUMIFS('1.DC_Ra soat'!$L:$L,'1.DC_Ra soat'!$F:$F,AQ$4,'1.DC_Ra soat'!$H:$H,'1.BS (VND)'!$D41)-SUMIFS('1.DC_Ra soat'!$L:$L,'1.DC_Ra soat'!$F:$F,AQ$4,'1.DC_Ra soat'!$I:$I,'1.BS (VND)'!$D41)</f>
        <v>0</v>
      </c>
      <c r="AR41" s="699"/>
      <c r="AS41" s="698">
        <f>SUMIFS('1.DC_Ra soat'!$L:$L,'1.DC_Ra soat'!$F:$F,AS$4,'1.DC_Ra soat'!$H:$H,'1.BS (VND)'!$D41)-SUMIFS('1.DC_Ra soat'!$L:$L,'1.DC_Ra soat'!$F:$F,AS$4,'1.DC_Ra soat'!$I:$I,'1.BS (VND)'!$D41)</f>
        <v>0</v>
      </c>
      <c r="AT41" s="698">
        <f>SUMIFS('1.DC_Ra soat'!$L:$L,'1.DC_Ra soat'!$F:$F,AT$4,'1.DC_Ra soat'!$H:$H,'1.BS (VND)'!$D41)-SUMIFS('1.DC_Ra soat'!$L:$L,'1.DC_Ra soat'!$F:$F,AT$4,'1.DC_Ra soat'!$I:$I,'1.BS (VND)'!$D41)</f>
        <v>0</v>
      </c>
      <c r="AU41" s="698">
        <f>SUMIFS('1.DC_Ra soat'!$L:$L,'1.DC_Ra soat'!$F:$F,AU$4,'1.DC_Ra soat'!$H:$H,'1.BS (VND)'!$D41)-SUMIFS('1.DC_Ra soat'!$L:$L,'1.DC_Ra soat'!$F:$F,AU$4,'1.DC_Ra soat'!$I:$I,'1.BS (VND)'!$D41)</f>
        <v>0</v>
      </c>
      <c r="AV41" s="698">
        <f>SUMIFS('1.DC_Ra soat'!$L:$L,'1.DC_Ra soat'!$F:$F,AV$4,'1.DC_Ra soat'!$H:$H,'1.BS (VND)'!$D41)-SUMIFS('1.DC_Ra soat'!$L:$L,'1.DC_Ra soat'!$F:$F,AV$4,'1.DC_Ra soat'!$I:$I,'1.BS (VND)'!$D41)</f>
        <v>0</v>
      </c>
      <c r="AW41" s="699"/>
      <c r="AX41" s="698">
        <f>SUMIFS('1.DC_Ra soat'!$L:$L,'1.DC_Ra soat'!$F:$F,'1.PL (VND) '!BC$4,'1.DC_Ra soat'!$H:$H,'1.BS (VND)'!$D41)-SUMIFS('1.DC_Ra soat'!$L:$L,'1.DC_Ra soat'!$F:$F,'1.PL (VND) '!BC$4,'1.DC_Ra soat'!$I:$I,'1.BS (VND)'!$D41)</f>
        <v>0</v>
      </c>
      <c r="AY41" s="698">
        <f>SUMIFS('1.DC_Ra soat'!$L:$L,'1.DC_Ra soat'!$F:$F,'1.PL (VND) '!BD$4,'1.DC_Ra soat'!$H:$H,'1.BS (VND)'!$D41)-SUMIFS('1.DC_Ra soat'!$L:$L,'1.DC_Ra soat'!$F:$F,'1.PL (VND) '!BD$4,'1.DC_Ra soat'!$I:$I,'1.BS (VND)'!$D41)</f>
        <v>0</v>
      </c>
      <c r="AZ41" s="698">
        <f>SUMIFS('1.DC_Ra soat'!$L:$L,'1.DC_Ra soat'!$F:$F,'1.PL (VND) '!BE$4,'1.DC_Ra soat'!$H:$H,'1.BS (VND)'!$D41)-SUMIFS('1.DC_Ra soat'!$L:$L,'1.DC_Ra soat'!$F:$F,'1.PL (VND) '!BE$4,'1.DC_Ra soat'!$I:$I,'1.BS (VND)'!$D41)</f>
        <v>0</v>
      </c>
      <c r="BA41" s="698">
        <f>SUMIFS('1.DC_Ra soat'!$L:$L,'1.DC_Ra soat'!$F:$F,'1.PL (VND) '!BF$4,'1.DC_Ra soat'!$H:$H,'1.BS (VND)'!$D41)-SUMIFS('1.DC_Ra soat'!$L:$L,'1.DC_Ra soat'!$F:$F,'1.PL (VND) '!BF$4,'1.DC_Ra soat'!$I:$I,'1.BS (VND)'!$D41)</f>
        <v>0</v>
      </c>
      <c r="BB41" s="699"/>
      <c r="BC41" s="698">
        <f>SUMIFS('1.DC_Ra soat'!$L:$L,'1.DC_Ra soat'!$F:$F,'1.PL (VND) '!BI$4,'1.DC_Ra soat'!$H:$H,'1.BS (VND)'!$D41)-SUMIFS('1.DC_Ra soat'!$L:$L,'1.DC_Ra soat'!$F:$F,'1.PL (VND) '!BI$4,'1.DC_Ra soat'!$I:$I,'1.BS (VND)'!$D41)</f>
        <v>0</v>
      </c>
      <c r="BD41" s="698">
        <f>SUMIFS('1.DC_Ra soat'!$L:$L,'1.DC_Ra soat'!$F:$F,'1.PL (VND) '!BJ$4,'1.DC_Ra soat'!$H:$H,'1.BS (VND)'!$D41)-SUMIFS('1.DC_Ra soat'!$L:$L,'1.DC_Ra soat'!$F:$F,'1.PL (VND) '!BJ$4,'1.DC_Ra soat'!$I:$I,'1.BS (VND)'!$D41)</f>
        <v>0</v>
      </c>
      <c r="BE41" s="698">
        <f>SUMIFS('1.DC_Ra soat'!$L:$L,'1.DC_Ra soat'!$F:$F,'1.PL (VND) '!BK$4,'1.DC_Ra soat'!$H:$H,'1.BS (VND)'!$D41)-SUMIFS('1.DC_Ra soat'!$L:$L,'1.DC_Ra soat'!$F:$F,'1.PL (VND) '!BK$4,'1.DC_Ra soat'!$I:$I,'1.BS (VND)'!$D41)</f>
        <v>0</v>
      </c>
      <c r="BF41" s="698">
        <f>SUMIFS('1.DC_Ra soat'!$L:$L,'1.DC_Ra soat'!$F:$F,'1.PL (VND) '!BL$4,'1.DC_Ra soat'!$H:$H,'1.BS (VND)'!$D41)-SUMIFS('1.DC_Ra soat'!$L:$L,'1.DC_Ra soat'!$F:$F,'1.PL (VND) '!BL$4,'1.DC_Ra soat'!$I:$I,'1.BS (VND)'!$D41)</f>
        <v>0</v>
      </c>
      <c r="BG41" s="699"/>
      <c r="BH41" s="698">
        <f>SUMIFS('1.DC_Ra soat'!$L:$L,'1.DC_Ra soat'!$F:$F,'1.PL (VND) '!BO$4,'1.DC_Ra soat'!$H:$H,'1.BS (VND)'!$D41)-SUMIFS('1.DC_Ra soat'!$L:$L,'1.DC_Ra soat'!$F:$F,'1.PL (VND) '!BO$4,'1.DC_Ra soat'!$I:$I,'1.BS (VND)'!$D41)</f>
        <v>0</v>
      </c>
      <c r="BI41" s="698">
        <f>SUMIFS('1.DC_Ra soat'!$L:$L,'1.DC_Ra soat'!$F:$F,'1.PL (VND) '!BP$4,'1.DC_Ra soat'!$H:$H,'1.BS (VND)'!$D41)-SUMIFS('1.DC_Ra soat'!$L:$L,'1.DC_Ra soat'!$F:$F,'1.PL (VND) '!BP$4,'1.DC_Ra soat'!$I:$I,'1.BS (VND)'!$D41)</f>
        <v>0</v>
      </c>
      <c r="BJ41" s="698">
        <f>SUMIFS('1.DC_Ra soat'!$L:$L,'1.DC_Ra soat'!$F:$F,'1.PL (VND) '!BQ$4,'1.DC_Ra soat'!$H:$H,'1.BS (VND)'!$D41)-SUMIFS('1.DC_Ra soat'!$L:$L,'1.DC_Ra soat'!$F:$F,'1.PL (VND) '!BQ$4,'1.DC_Ra soat'!$I:$I,'1.BS (VND)'!$D41)</f>
        <v>0</v>
      </c>
      <c r="BK41" s="698">
        <f>SUMIFS('1.DC_Ra soat'!$L:$L,'1.DC_Ra soat'!$F:$F,'1.PL (VND) '!BR$4,'1.DC_Ra soat'!$H:$H,'1.BS (VND)'!$D41)-SUMIFS('1.DC_Ra soat'!$L:$L,'1.DC_Ra soat'!$F:$F,'1.PL (VND) '!BR$4,'1.DC_Ra soat'!$I:$I,'1.BS (VND)'!$D41)</f>
        <v>0</v>
      </c>
      <c r="BM41" s="698">
        <f t="shared" si="62"/>
        <v>0</v>
      </c>
      <c r="BN41" s="698">
        <f t="shared" si="63"/>
        <v>0</v>
      </c>
      <c r="BO41" s="698">
        <f t="shared" si="64"/>
        <v>0</v>
      </c>
      <c r="BP41" s="697">
        <f t="shared" si="65"/>
        <v>0</v>
      </c>
      <c r="BQ41" s="699"/>
      <c r="BR41" s="698">
        <f t="shared" si="66"/>
        <v>0</v>
      </c>
      <c r="BS41" s="698">
        <f t="shared" si="67"/>
        <v>0</v>
      </c>
      <c r="BT41" s="698">
        <f t="shared" si="68"/>
        <v>0</v>
      </c>
      <c r="BU41" s="698">
        <f t="shared" si="69"/>
        <v>0</v>
      </c>
      <c r="BV41" s="699"/>
      <c r="BW41" s="698">
        <f t="shared" si="70"/>
        <v>0</v>
      </c>
      <c r="BX41" s="698">
        <f t="shared" si="71"/>
        <v>0</v>
      </c>
      <c r="BY41" s="698">
        <f t="shared" si="72"/>
        <v>0</v>
      </c>
      <c r="BZ41" s="697">
        <f t="shared" si="73"/>
        <v>0</v>
      </c>
      <c r="CA41" s="699"/>
      <c r="CB41" s="697">
        <f t="shared" si="74"/>
        <v>0</v>
      </c>
      <c r="CC41" s="697">
        <f t="shared" si="75"/>
        <v>0</v>
      </c>
      <c r="CD41" s="697">
        <f t="shared" si="76"/>
        <v>0</v>
      </c>
      <c r="CE41" s="697">
        <f t="shared" si="77"/>
        <v>0</v>
      </c>
      <c r="CF41" s="699"/>
      <c r="CG41" s="697">
        <f t="shared" si="78"/>
        <v>0</v>
      </c>
      <c r="CH41" s="697">
        <f t="shared" si="79"/>
        <v>0</v>
      </c>
      <c r="CI41" s="697">
        <f t="shared" si="80"/>
        <v>0</v>
      </c>
      <c r="CJ41" s="697">
        <f t="shared" si="81"/>
        <v>0</v>
      </c>
      <c r="CK41" s="699"/>
      <c r="CL41" s="698">
        <f t="shared" si="82"/>
        <v>0</v>
      </c>
      <c r="CM41" s="698">
        <f t="shared" si="83"/>
        <v>0</v>
      </c>
      <c r="CN41" s="698">
        <f t="shared" si="84"/>
        <v>0</v>
      </c>
      <c r="CO41" s="697">
        <f t="shared" si="85"/>
        <v>0</v>
      </c>
      <c r="CQ41" s="698">
        <f>SUMIF('1.PL (VND) '!$BL$6:$CD$6,'1.PL (VND) '!CP$6,$BM41:$CE41)</f>
        <v>0</v>
      </c>
      <c r="CR41" s="698">
        <f>SUMIF('1.PL (VND) '!$BL$6:$CD$6,'1.PL (VND) '!CQ$6,$BM41:$CE41)</f>
        <v>0</v>
      </c>
      <c r="CS41" s="698">
        <f>SUMIF('1.PL (VND) '!$BL$6:$CD$6,'1.PL (VND) '!CR$6,$BM41:$CE41)</f>
        <v>0</v>
      </c>
      <c r="CT41" s="698">
        <f>SUMIF('1.PL (VND) '!$BL$6:$CD$6,'1.PL (VND) '!CS$6,$BM41:$CE41)</f>
        <v>0</v>
      </c>
      <c r="CV41" s="702">
        <f>-SUMIFS('1.DC_Ra soat'!$L:$L,'1.DC_Ra soat'!$F:$F,'1.PL (VND) '!DK$4,'1.DC_Ra soat'!$H:$H,'1.BS (VND)'!$D41)+SUMIFS('1.DC_Ra soat'!$L:$L,'1.DC_Ra soat'!$F:$F,'1.PL (VND) '!DK$4,'1.DC_Ra soat'!$I:$I,'1.BS (VND)'!$D41)</f>
        <v>0</v>
      </c>
      <c r="CW41" s="702">
        <f>-SUMIFS('1.DC_Ra soat'!$L:$L,'1.DC_Ra soat'!$F:$F,'1.PL (VND) '!DL$4,'1.DC_Ra soat'!$H:$H,'1.BS (VND)'!$D41)+SUMIFS('1.DC_Ra soat'!$L:$L,'1.DC_Ra soat'!$F:$F,'1.PL (VND) '!DL$4,'1.DC_Ra soat'!$I:$I,'1.BS (VND)'!$D41)</f>
        <v>0</v>
      </c>
      <c r="CX41" s="702">
        <f>-SUMIFS('1.DC_Ra soat'!$L:$L,'1.DC_Ra soat'!$F:$F,'1.PL (VND) '!DM$4,'1.DC_Ra soat'!$H:$H,'1.BS (VND)'!$D41)+SUMIFS('1.DC_Ra soat'!$L:$L,'1.DC_Ra soat'!$F:$F,'1.PL (VND) '!DM$4,'1.DC_Ra soat'!$I:$I,'1.BS (VND)'!$D41)</f>
        <v>0</v>
      </c>
      <c r="CY41" s="702">
        <f>-SUMIFS('1.DC_Ra soat'!$L:$L,'1.DC_Ra soat'!$F:$F,'1.PL (VND) '!DN$4,'1.DC_Ra soat'!$H:$H,'1.BS (VND)'!$D41)+SUMIFS('1.DC_Ra soat'!$L:$L,'1.DC_Ra soat'!$F:$F,'1.PL (VND) '!DN$4,'1.DC_Ra soat'!$I:$I,'1.BS (VND)'!$D41)</f>
        <v>0</v>
      </c>
      <c r="DA41" s="698">
        <f t="shared" si="86"/>
        <v>0</v>
      </c>
      <c r="DB41" s="698">
        <f t="shared" si="87"/>
        <v>0</v>
      </c>
      <c r="DC41" s="698">
        <f t="shared" si="88"/>
        <v>0</v>
      </c>
      <c r="DD41" s="698">
        <f t="shared" si="89"/>
        <v>0</v>
      </c>
    </row>
    <row r="42" spans="1:112" s="700" customFormat="1" x14ac:dyDescent="0.25">
      <c r="A42" s="248" t="str">
        <f t="shared" si="40"/>
        <v>hide</v>
      </c>
      <c r="C42" s="703" t="s">
        <v>358</v>
      </c>
      <c r="D42" s="704" t="s">
        <v>359</v>
      </c>
      <c r="E42" s="721"/>
      <c r="F42" s="721"/>
      <c r="G42" s="721"/>
      <c r="H42" s="722">
        <v>0</v>
      </c>
      <c r="I42" s="699"/>
      <c r="J42" s="698"/>
      <c r="K42" s="698"/>
      <c r="L42" s="698"/>
      <c r="M42" s="241">
        <v>0</v>
      </c>
      <c r="N42" s="699"/>
      <c r="O42" s="698"/>
      <c r="P42" s="698"/>
      <c r="Q42" s="698"/>
      <c r="R42" s="698"/>
      <c r="S42" s="699"/>
      <c r="T42" s="698"/>
      <c r="U42" s="698"/>
      <c r="V42" s="698"/>
      <c r="W42" s="698"/>
      <c r="X42" s="699"/>
      <c r="Y42" s="698"/>
      <c r="Z42" s="698"/>
      <c r="AA42" s="698"/>
      <c r="AB42" s="698"/>
      <c r="AC42" s="699"/>
      <c r="AD42" s="698"/>
      <c r="AE42" s="698"/>
      <c r="AF42" s="698"/>
      <c r="AG42" s="698"/>
      <c r="AI42" s="698">
        <f>SUMIFS('1.DC_Ra soat'!$L:$L,'1.DC_Ra soat'!$F:$F,AI$4,'1.DC_Ra soat'!$H:$H,'1.BS (VND)'!$D42)-SUMIFS('1.DC_Ra soat'!$L:$L,'1.DC_Ra soat'!$F:$F,AI$4,'1.DC_Ra soat'!$I:$I,'1.BS (VND)'!$D42)</f>
        <v>0</v>
      </c>
      <c r="AJ42" s="698">
        <f>SUMIFS('1.DC_Ra soat'!$L:$L,'1.DC_Ra soat'!$F:$F,AJ$4,'1.DC_Ra soat'!$H:$H,'1.BS (VND)'!$D42)-SUMIFS('1.DC_Ra soat'!$L:$L,'1.DC_Ra soat'!$F:$F,AJ$4,'1.DC_Ra soat'!$I:$I,'1.BS (VND)'!$D42)</f>
        <v>0</v>
      </c>
      <c r="AK42" s="698">
        <f>SUMIFS('1.DC_Ra soat'!$L:$L,'1.DC_Ra soat'!$F:$F,AK$4,'1.DC_Ra soat'!$H:$H,'1.BS (VND)'!$D42)-SUMIFS('1.DC_Ra soat'!$L:$L,'1.DC_Ra soat'!$F:$F,AK$4,'1.DC_Ra soat'!$I:$I,'1.BS (VND)'!$D42)</f>
        <v>0</v>
      </c>
      <c r="AL42" s="698">
        <f>SUMIFS('1.DC_Ra soat'!$L:$L,'1.DC_Ra soat'!$F:$F,AL$4,'1.DC_Ra soat'!$H:$H,'1.BS (VND)'!$D42)-SUMIFS('1.DC_Ra soat'!$L:$L,'1.DC_Ra soat'!$F:$F,AL$4,'1.DC_Ra soat'!$I:$I,'1.BS (VND)'!$D42)</f>
        <v>0</v>
      </c>
      <c r="AM42" s="699"/>
      <c r="AN42" s="698">
        <f>SUMIFS('1.DC_Ra soat'!$L:$L,'1.DC_Ra soat'!$F:$F,AN$4,'1.DC_Ra soat'!$H:$H,'1.BS (VND)'!$D42)-SUMIFS('1.DC_Ra soat'!$L:$L,'1.DC_Ra soat'!$F:$F,AN$4,'1.DC_Ra soat'!$I:$I,'1.BS (VND)'!$D42)</f>
        <v>0</v>
      </c>
      <c r="AO42" s="698">
        <f>SUMIFS('1.DC_Ra soat'!$L:$L,'1.DC_Ra soat'!$F:$F,AO$4,'1.DC_Ra soat'!$H:$H,'1.BS (VND)'!$D42)-SUMIFS('1.DC_Ra soat'!$L:$L,'1.DC_Ra soat'!$F:$F,AO$4,'1.DC_Ra soat'!$I:$I,'1.BS (VND)'!$D42)</f>
        <v>0</v>
      </c>
      <c r="AP42" s="698">
        <f>SUMIFS('1.DC_Ra soat'!$L:$L,'1.DC_Ra soat'!$F:$F,AP$4,'1.DC_Ra soat'!$H:$H,'1.BS (VND)'!$D42)-SUMIFS('1.DC_Ra soat'!$L:$L,'1.DC_Ra soat'!$F:$F,AP$4,'1.DC_Ra soat'!$I:$I,'1.BS (VND)'!$D42)</f>
        <v>0</v>
      </c>
      <c r="AQ42" s="698">
        <f>SUMIFS('1.DC_Ra soat'!$L:$L,'1.DC_Ra soat'!$F:$F,AQ$4,'1.DC_Ra soat'!$H:$H,'1.BS (VND)'!$D42)-SUMIFS('1.DC_Ra soat'!$L:$L,'1.DC_Ra soat'!$F:$F,AQ$4,'1.DC_Ra soat'!$I:$I,'1.BS (VND)'!$D42)</f>
        <v>0</v>
      </c>
      <c r="AR42" s="699"/>
      <c r="AS42" s="698">
        <f>SUMIFS('1.DC_Ra soat'!$L:$L,'1.DC_Ra soat'!$F:$F,AS$4,'1.DC_Ra soat'!$H:$H,'1.BS (VND)'!$D42)-SUMIFS('1.DC_Ra soat'!$L:$L,'1.DC_Ra soat'!$F:$F,AS$4,'1.DC_Ra soat'!$I:$I,'1.BS (VND)'!$D42)</f>
        <v>0</v>
      </c>
      <c r="AT42" s="698">
        <f>SUMIFS('1.DC_Ra soat'!$L:$L,'1.DC_Ra soat'!$F:$F,AT$4,'1.DC_Ra soat'!$H:$H,'1.BS (VND)'!$D42)-SUMIFS('1.DC_Ra soat'!$L:$L,'1.DC_Ra soat'!$F:$F,AT$4,'1.DC_Ra soat'!$I:$I,'1.BS (VND)'!$D42)</f>
        <v>0</v>
      </c>
      <c r="AU42" s="698">
        <f>SUMIFS('1.DC_Ra soat'!$L:$L,'1.DC_Ra soat'!$F:$F,AU$4,'1.DC_Ra soat'!$H:$H,'1.BS (VND)'!$D42)-SUMIFS('1.DC_Ra soat'!$L:$L,'1.DC_Ra soat'!$F:$F,AU$4,'1.DC_Ra soat'!$I:$I,'1.BS (VND)'!$D42)</f>
        <v>0</v>
      </c>
      <c r="AV42" s="698">
        <f>SUMIFS('1.DC_Ra soat'!$L:$L,'1.DC_Ra soat'!$F:$F,AV$4,'1.DC_Ra soat'!$H:$H,'1.BS (VND)'!$D42)-SUMIFS('1.DC_Ra soat'!$L:$L,'1.DC_Ra soat'!$F:$F,AV$4,'1.DC_Ra soat'!$I:$I,'1.BS (VND)'!$D42)</f>
        <v>0</v>
      </c>
      <c r="AW42" s="699"/>
      <c r="AX42" s="698">
        <f>SUMIFS('1.DC_Ra soat'!$L:$L,'1.DC_Ra soat'!$F:$F,'1.PL (VND) '!BC$4,'1.DC_Ra soat'!$H:$H,'1.BS (VND)'!$D42)-SUMIFS('1.DC_Ra soat'!$L:$L,'1.DC_Ra soat'!$F:$F,'1.PL (VND) '!BC$4,'1.DC_Ra soat'!$I:$I,'1.BS (VND)'!$D42)</f>
        <v>0</v>
      </c>
      <c r="AY42" s="698">
        <f>SUMIFS('1.DC_Ra soat'!$L:$L,'1.DC_Ra soat'!$F:$F,'1.PL (VND) '!BD$4,'1.DC_Ra soat'!$H:$H,'1.BS (VND)'!$D42)-SUMIFS('1.DC_Ra soat'!$L:$L,'1.DC_Ra soat'!$F:$F,'1.PL (VND) '!BD$4,'1.DC_Ra soat'!$I:$I,'1.BS (VND)'!$D42)</f>
        <v>0</v>
      </c>
      <c r="AZ42" s="698">
        <f>SUMIFS('1.DC_Ra soat'!$L:$L,'1.DC_Ra soat'!$F:$F,'1.PL (VND) '!BE$4,'1.DC_Ra soat'!$H:$H,'1.BS (VND)'!$D42)-SUMIFS('1.DC_Ra soat'!$L:$L,'1.DC_Ra soat'!$F:$F,'1.PL (VND) '!BE$4,'1.DC_Ra soat'!$I:$I,'1.BS (VND)'!$D42)</f>
        <v>0</v>
      </c>
      <c r="BA42" s="698">
        <f>SUMIFS('1.DC_Ra soat'!$L:$L,'1.DC_Ra soat'!$F:$F,'1.PL (VND) '!BF$4,'1.DC_Ra soat'!$H:$H,'1.BS (VND)'!$D42)-SUMIFS('1.DC_Ra soat'!$L:$L,'1.DC_Ra soat'!$F:$F,'1.PL (VND) '!BF$4,'1.DC_Ra soat'!$I:$I,'1.BS (VND)'!$D42)</f>
        <v>0</v>
      </c>
      <c r="BB42" s="699"/>
      <c r="BC42" s="698">
        <f>SUMIFS('1.DC_Ra soat'!$L:$L,'1.DC_Ra soat'!$F:$F,'1.PL (VND) '!BI$4,'1.DC_Ra soat'!$H:$H,'1.BS (VND)'!$D42)-SUMIFS('1.DC_Ra soat'!$L:$L,'1.DC_Ra soat'!$F:$F,'1.PL (VND) '!BI$4,'1.DC_Ra soat'!$I:$I,'1.BS (VND)'!$D42)</f>
        <v>0</v>
      </c>
      <c r="BD42" s="698">
        <f>SUMIFS('1.DC_Ra soat'!$L:$L,'1.DC_Ra soat'!$F:$F,'1.PL (VND) '!BJ$4,'1.DC_Ra soat'!$H:$H,'1.BS (VND)'!$D42)-SUMIFS('1.DC_Ra soat'!$L:$L,'1.DC_Ra soat'!$F:$F,'1.PL (VND) '!BJ$4,'1.DC_Ra soat'!$I:$I,'1.BS (VND)'!$D42)</f>
        <v>0</v>
      </c>
      <c r="BE42" s="698">
        <f>SUMIFS('1.DC_Ra soat'!$L:$L,'1.DC_Ra soat'!$F:$F,'1.PL (VND) '!BK$4,'1.DC_Ra soat'!$H:$H,'1.BS (VND)'!$D42)-SUMIFS('1.DC_Ra soat'!$L:$L,'1.DC_Ra soat'!$F:$F,'1.PL (VND) '!BK$4,'1.DC_Ra soat'!$I:$I,'1.BS (VND)'!$D42)</f>
        <v>0</v>
      </c>
      <c r="BF42" s="698">
        <f>SUMIFS('1.DC_Ra soat'!$L:$L,'1.DC_Ra soat'!$F:$F,'1.PL (VND) '!BL$4,'1.DC_Ra soat'!$H:$H,'1.BS (VND)'!$D42)-SUMIFS('1.DC_Ra soat'!$L:$L,'1.DC_Ra soat'!$F:$F,'1.PL (VND) '!BL$4,'1.DC_Ra soat'!$I:$I,'1.BS (VND)'!$D42)</f>
        <v>0</v>
      </c>
      <c r="BG42" s="699"/>
      <c r="BH42" s="698">
        <f>SUMIFS('1.DC_Ra soat'!$L:$L,'1.DC_Ra soat'!$F:$F,'1.PL (VND) '!BO$4,'1.DC_Ra soat'!$H:$H,'1.BS (VND)'!$D42)-SUMIFS('1.DC_Ra soat'!$L:$L,'1.DC_Ra soat'!$F:$F,'1.PL (VND) '!BO$4,'1.DC_Ra soat'!$I:$I,'1.BS (VND)'!$D42)</f>
        <v>0</v>
      </c>
      <c r="BI42" s="698">
        <f>SUMIFS('1.DC_Ra soat'!$L:$L,'1.DC_Ra soat'!$F:$F,'1.PL (VND) '!BP$4,'1.DC_Ra soat'!$H:$H,'1.BS (VND)'!$D42)-SUMIFS('1.DC_Ra soat'!$L:$L,'1.DC_Ra soat'!$F:$F,'1.PL (VND) '!BP$4,'1.DC_Ra soat'!$I:$I,'1.BS (VND)'!$D42)</f>
        <v>0</v>
      </c>
      <c r="BJ42" s="698">
        <f>SUMIFS('1.DC_Ra soat'!$L:$L,'1.DC_Ra soat'!$F:$F,'1.PL (VND) '!BQ$4,'1.DC_Ra soat'!$H:$H,'1.BS (VND)'!$D42)-SUMIFS('1.DC_Ra soat'!$L:$L,'1.DC_Ra soat'!$F:$F,'1.PL (VND) '!BQ$4,'1.DC_Ra soat'!$I:$I,'1.BS (VND)'!$D42)</f>
        <v>0</v>
      </c>
      <c r="BK42" s="698">
        <f>SUMIFS('1.DC_Ra soat'!$L:$L,'1.DC_Ra soat'!$F:$F,'1.PL (VND) '!BR$4,'1.DC_Ra soat'!$H:$H,'1.BS (VND)'!$D42)-SUMIFS('1.DC_Ra soat'!$L:$L,'1.DC_Ra soat'!$F:$F,'1.PL (VND) '!BR$4,'1.DC_Ra soat'!$I:$I,'1.BS (VND)'!$D42)</f>
        <v>0</v>
      </c>
      <c r="BM42" s="698">
        <f t="shared" si="62"/>
        <v>0</v>
      </c>
      <c r="BN42" s="698">
        <f t="shared" si="63"/>
        <v>0</v>
      </c>
      <c r="BO42" s="698">
        <f t="shared" si="64"/>
        <v>0</v>
      </c>
      <c r="BP42" s="697">
        <f t="shared" si="65"/>
        <v>0</v>
      </c>
      <c r="BQ42" s="699"/>
      <c r="BR42" s="698">
        <f t="shared" si="66"/>
        <v>0</v>
      </c>
      <c r="BS42" s="698">
        <f t="shared" si="67"/>
        <v>0</v>
      </c>
      <c r="BT42" s="698">
        <f t="shared" si="68"/>
        <v>0</v>
      </c>
      <c r="BU42" s="698">
        <f t="shared" si="69"/>
        <v>0</v>
      </c>
      <c r="BV42" s="699"/>
      <c r="BW42" s="698">
        <f t="shared" si="70"/>
        <v>0</v>
      </c>
      <c r="BX42" s="698">
        <f t="shared" si="71"/>
        <v>0</v>
      </c>
      <c r="BY42" s="698">
        <f t="shared" si="72"/>
        <v>0</v>
      </c>
      <c r="BZ42" s="697">
        <f t="shared" si="73"/>
        <v>0</v>
      </c>
      <c r="CA42" s="699"/>
      <c r="CB42" s="697">
        <f t="shared" si="74"/>
        <v>0</v>
      </c>
      <c r="CC42" s="697">
        <f t="shared" si="75"/>
        <v>0</v>
      </c>
      <c r="CD42" s="697">
        <f t="shared" si="76"/>
        <v>0</v>
      </c>
      <c r="CE42" s="697">
        <f t="shared" si="77"/>
        <v>0</v>
      </c>
      <c r="CF42" s="699"/>
      <c r="CG42" s="697">
        <f t="shared" si="78"/>
        <v>0</v>
      </c>
      <c r="CH42" s="697">
        <f t="shared" si="79"/>
        <v>0</v>
      </c>
      <c r="CI42" s="697">
        <f t="shared" si="80"/>
        <v>0</v>
      </c>
      <c r="CJ42" s="697">
        <f t="shared" si="81"/>
        <v>0</v>
      </c>
      <c r="CK42" s="699"/>
      <c r="CL42" s="698">
        <f t="shared" si="82"/>
        <v>0</v>
      </c>
      <c r="CM42" s="698">
        <f t="shared" si="83"/>
        <v>0</v>
      </c>
      <c r="CN42" s="698">
        <f t="shared" si="84"/>
        <v>0</v>
      </c>
      <c r="CO42" s="697">
        <f t="shared" si="85"/>
        <v>0</v>
      </c>
      <c r="CQ42" s="698">
        <f>SUMIF('1.PL (VND) '!$BL$6:$CD$6,'1.PL (VND) '!CP$6,$BM42:$CE42)</f>
        <v>0</v>
      </c>
      <c r="CR42" s="698">
        <f>SUMIF('1.PL (VND) '!$BL$6:$CD$6,'1.PL (VND) '!CQ$6,$BM42:$CE42)</f>
        <v>0</v>
      </c>
      <c r="CS42" s="698">
        <f>SUMIF('1.PL (VND) '!$BL$6:$CD$6,'1.PL (VND) '!CR$6,$BM42:$CE42)</f>
        <v>0</v>
      </c>
      <c r="CT42" s="698">
        <f>SUMIF('1.PL (VND) '!$BL$6:$CD$6,'1.PL (VND) '!CS$6,$BM42:$CE42)</f>
        <v>0</v>
      </c>
      <c r="CV42" s="702">
        <f>-SUMIFS('1.DC_Ra soat'!$L:$L,'1.DC_Ra soat'!$F:$F,'1.PL (VND) '!DK$4,'1.DC_Ra soat'!$H:$H,'1.BS (VND)'!$D42)+SUMIFS('1.DC_Ra soat'!$L:$L,'1.DC_Ra soat'!$F:$F,'1.PL (VND) '!DK$4,'1.DC_Ra soat'!$I:$I,'1.BS (VND)'!$D42)</f>
        <v>0</v>
      </c>
      <c r="CW42" s="702">
        <f>-SUMIFS('1.DC_Ra soat'!$L:$L,'1.DC_Ra soat'!$F:$F,'1.PL (VND) '!DL$4,'1.DC_Ra soat'!$H:$H,'1.BS (VND)'!$D42)+SUMIFS('1.DC_Ra soat'!$L:$L,'1.DC_Ra soat'!$F:$F,'1.PL (VND) '!DL$4,'1.DC_Ra soat'!$I:$I,'1.BS (VND)'!$D42)</f>
        <v>0</v>
      </c>
      <c r="CX42" s="702">
        <f>-SUMIFS('1.DC_Ra soat'!$L:$L,'1.DC_Ra soat'!$F:$F,'1.PL (VND) '!DM$4,'1.DC_Ra soat'!$H:$H,'1.BS (VND)'!$D42)+SUMIFS('1.DC_Ra soat'!$L:$L,'1.DC_Ra soat'!$F:$F,'1.PL (VND) '!DM$4,'1.DC_Ra soat'!$I:$I,'1.BS (VND)'!$D42)</f>
        <v>0</v>
      </c>
      <c r="CY42" s="702">
        <f>-SUMIFS('1.DC_Ra soat'!$L:$L,'1.DC_Ra soat'!$F:$F,'1.PL (VND) '!DN$4,'1.DC_Ra soat'!$H:$H,'1.BS (VND)'!$D42)+SUMIFS('1.DC_Ra soat'!$L:$L,'1.DC_Ra soat'!$F:$F,'1.PL (VND) '!DN$4,'1.DC_Ra soat'!$I:$I,'1.BS (VND)'!$D42)</f>
        <v>0</v>
      </c>
      <c r="DA42" s="698">
        <f t="shared" si="86"/>
        <v>0</v>
      </c>
      <c r="DB42" s="698">
        <f t="shared" si="87"/>
        <v>0</v>
      </c>
      <c r="DC42" s="698">
        <f t="shared" si="88"/>
        <v>0</v>
      </c>
      <c r="DD42" s="698">
        <f t="shared" si="89"/>
        <v>0</v>
      </c>
    </row>
    <row r="43" spans="1:112" x14ac:dyDescent="0.25">
      <c r="A43" s="248">
        <f t="shared" si="40"/>
        <v>1</v>
      </c>
      <c r="C43" s="259" t="s">
        <v>360</v>
      </c>
      <c r="D43" s="260" t="s">
        <v>361</v>
      </c>
      <c r="E43" s="719">
        <f>SUM(E44,E47,E50)</f>
        <v>70354868465</v>
      </c>
      <c r="F43" s="719">
        <f>SUM(F44,F47,F50)</f>
        <v>71423302014</v>
      </c>
      <c r="G43" s="719">
        <f>SUM(G44,G47,G50)</f>
        <v>73959007887</v>
      </c>
      <c r="H43" s="720">
        <f>H44+H47+H50</f>
        <v>73959007887</v>
      </c>
      <c r="I43" s="230"/>
      <c r="J43" s="241">
        <f>SUM(J44,J47,J50)</f>
        <v>0</v>
      </c>
      <c r="K43" s="241">
        <f>SUM(K44,K47,K50)</f>
        <v>24222985920</v>
      </c>
      <c r="L43" s="241">
        <f>SUM(L44,L47,L50)</f>
        <v>37006309423</v>
      </c>
      <c r="M43" s="241">
        <f>SUM(M44,M47,M50)</f>
        <v>38373582150</v>
      </c>
      <c r="N43" s="230"/>
      <c r="O43" s="241">
        <f>SUM(O44,O47,O50)</f>
        <v>14406782538</v>
      </c>
      <c r="P43" s="241">
        <f>SUM(P44,P47,P50)</f>
        <v>11845734922</v>
      </c>
      <c r="Q43" s="241">
        <f>SUM(Q44,Q47,Q50)</f>
        <v>6174866171</v>
      </c>
      <c r="R43" s="241">
        <f>SUM(R44,R47,R50)</f>
        <v>4293596837</v>
      </c>
      <c r="S43" s="230"/>
      <c r="T43" s="241">
        <f>SUM(T44,T47,T50)</f>
        <v>16716666667</v>
      </c>
      <c r="U43" s="241">
        <f>SUM(U44,U47,U50)</f>
        <v>16636991667</v>
      </c>
      <c r="V43" s="241">
        <f>SUM(V44,V47,V50)</f>
        <v>15356666667</v>
      </c>
      <c r="W43" s="241">
        <f>SUM(W44,W47,W50)</f>
        <v>14676666667</v>
      </c>
      <c r="X43" s="230"/>
      <c r="Y43" s="241">
        <f>SUM(Y44,Y47,Y50)</f>
        <v>0</v>
      </c>
      <c r="Z43" s="241">
        <f>SUM(Z44,Z47,Z50)</f>
        <v>0</v>
      </c>
      <c r="AA43" s="241">
        <f>SUM(AA44,AA47,AA50)</f>
        <v>0</v>
      </c>
      <c r="AB43" s="241"/>
      <c r="AC43" s="230"/>
      <c r="AD43" s="241">
        <f>SUM(AD44,AD47,AD50)</f>
        <v>0</v>
      </c>
      <c r="AE43" s="241">
        <f>SUM(AE44,AE47,AE50)</f>
        <v>0</v>
      </c>
      <c r="AF43" s="241">
        <f>SUM(AF44,AF47,AF50)</f>
        <v>0</v>
      </c>
      <c r="AG43" s="241">
        <f>SUM(AG44,AG47,AG50)</f>
        <v>0</v>
      </c>
      <c r="AH43" s="213"/>
      <c r="AI43" s="249">
        <f>SUM(AI44,AI47,AI50)</f>
        <v>0</v>
      </c>
      <c r="AJ43" s="249">
        <f>SUM(AJ44,AJ47,AJ50)</f>
        <v>0</v>
      </c>
      <c r="AK43" s="249">
        <f>SUM(AK44,AK47,AK50)</f>
        <v>-5249296703</v>
      </c>
      <c r="AL43" s="249">
        <f t="shared" ref="AL43" si="90">SUM(AL44,AL47,AL50)</f>
        <v>-6322900591</v>
      </c>
      <c r="AM43" s="230"/>
      <c r="AN43" s="249">
        <f>SUM(AN44,AN47,AN50)</f>
        <v>0</v>
      </c>
      <c r="AO43" s="249">
        <f>SUM(AO44,AO47,AO50)</f>
        <v>0</v>
      </c>
      <c r="AP43" s="249">
        <f>SUM(AP44,AP47,AP50)</f>
        <v>0</v>
      </c>
      <c r="AQ43" s="249">
        <f t="shared" ref="AQ43" si="91">SUM(AQ44,AQ47,AQ50)</f>
        <v>0</v>
      </c>
      <c r="AR43" s="230"/>
      <c r="AS43" s="249">
        <f>SUM(AS44,AS47,AS50)</f>
        <v>0</v>
      </c>
      <c r="AT43" s="249">
        <f>SUM(AT44,AT47,AT50)</f>
        <v>0</v>
      </c>
      <c r="AU43" s="249">
        <f>SUM(AU44,AU47,AU50)</f>
        <v>0</v>
      </c>
      <c r="AV43" s="249">
        <f t="shared" ref="AV43" si="92">SUM(AV44,AV47,AV50)</f>
        <v>0</v>
      </c>
      <c r="AW43" s="230"/>
      <c r="AX43" s="249">
        <f>SUM(AX44,AX47,AX50)</f>
        <v>0</v>
      </c>
      <c r="AY43" s="249">
        <f>SUM(AY44,AY47,AY50)</f>
        <v>0</v>
      </c>
      <c r="AZ43" s="249">
        <f>SUM(AZ44,AZ47,AZ50)</f>
        <v>0</v>
      </c>
      <c r="BA43" s="249">
        <f>SUM(BA44,BA47,BA50)</f>
        <v>0</v>
      </c>
      <c r="BB43" s="230"/>
      <c r="BC43" s="249">
        <f>SUM(BC44,BC47,BC50)</f>
        <v>0</v>
      </c>
      <c r="BD43" s="249">
        <f>SUM(BD44,BD47,BD50)</f>
        <v>0</v>
      </c>
      <c r="BE43" s="249">
        <f>SUM(BE44,BE47,BE50)</f>
        <v>0</v>
      </c>
      <c r="BF43" s="249">
        <f>SUM(BF44,BF47,BF50)</f>
        <v>0</v>
      </c>
      <c r="BG43" s="230"/>
      <c r="BH43" s="249">
        <f>SUM(BH44,BH47,BH50)</f>
        <v>0</v>
      </c>
      <c r="BI43" s="249">
        <f>SUM(BI44,BI47,BI50)</f>
        <v>0</v>
      </c>
      <c r="BJ43" s="249">
        <f>SUM(BJ44,BJ47,BJ50)</f>
        <v>0</v>
      </c>
      <c r="BK43" s="249">
        <f t="shared" ref="BK43" si="93">SUM(BK44,BK47,BK50)</f>
        <v>0</v>
      </c>
      <c r="BM43" s="241">
        <f t="shared" si="62"/>
        <v>70354868465</v>
      </c>
      <c r="BN43" s="241">
        <f t="shared" si="63"/>
        <v>71423302014</v>
      </c>
      <c r="BO43" s="241">
        <f t="shared" si="64"/>
        <v>68709711184</v>
      </c>
      <c r="BP43" s="241">
        <f t="shared" si="65"/>
        <v>67636107296</v>
      </c>
      <c r="BQ43" s="230"/>
      <c r="BR43" s="241">
        <f t="shared" si="66"/>
        <v>0</v>
      </c>
      <c r="BS43" s="241">
        <f t="shared" si="67"/>
        <v>24222985920</v>
      </c>
      <c r="BT43" s="241">
        <f t="shared" si="68"/>
        <v>37006309423</v>
      </c>
      <c r="BU43" s="241">
        <f t="shared" si="69"/>
        <v>38373582150</v>
      </c>
      <c r="BV43" s="230"/>
      <c r="BW43" s="241">
        <f t="shared" si="70"/>
        <v>14406782538</v>
      </c>
      <c r="BX43" s="241">
        <f t="shared" si="71"/>
        <v>11845734922</v>
      </c>
      <c r="BY43" s="241">
        <f t="shared" si="72"/>
        <v>6174866171</v>
      </c>
      <c r="BZ43" s="241">
        <f t="shared" si="73"/>
        <v>4293596837</v>
      </c>
      <c r="CA43" s="230"/>
      <c r="CB43" s="241">
        <f t="shared" si="74"/>
        <v>16716666667</v>
      </c>
      <c r="CC43" s="241">
        <f t="shared" si="75"/>
        <v>16636991667</v>
      </c>
      <c r="CD43" s="241">
        <f t="shared" si="76"/>
        <v>15356666667</v>
      </c>
      <c r="CE43" s="241">
        <f t="shared" si="77"/>
        <v>14676666667</v>
      </c>
      <c r="CF43" s="230"/>
      <c r="CG43" s="241">
        <f t="shared" si="78"/>
        <v>0</v>
      </c>
      <c r="CH43" s="241">
        <f t="shared" si="79"/>
        <v>0</v>
      </c>
      <c r="CI43" s="241">
        <f t="shared" si="80"/>
        <v>0</v>
      </c>
      <c r="CJ43" s="241">
        <f t="shared" si="81"/>
        <v>0</v>
      </c>
      <c r="CK43" s="230"/>
      <c r="CL43" s="241">
        <f t="shared" si="82"/>
        <v>0</v>
      </c>
      <c r="CM43" s="241">
        <f t="shared" si="83"/>
        <v>0</v>
      </c>
      <c r="CN43" s="241">
        <f t="shared" si="84"/>
        <v>0</v>
      </c>
      <c r="CO43" s="241">
        <f t="shared" si="85"/>
        <v>0</v>
      </c>
      <c r="CQ43" s="241">
        <f>SUMIF('1.PL (VND) '!$BL$6:$CD$6,'1.PL (VND) '!CP$6,$BM43:$CE43)</f>
        <v>101478317670</v>
      </c>
      <c r="CR43" s="241">
        <f>SUMIF('1.PL (VND) '!$BL$6:$CD$6,'1.PL (VND) '!CQ$6,$BM43:$CE43)</f>
        <v>124129014523</v>
      </c>
      <c r="CS43" s="241">
        <f>SUMIF('1.PL (VND) '!$BL$6:$CD$6,'1.PL (VND) '!CR$6,$BM43:$CE43)</f>
        <v>127247553445</v>
      </c>
      <c r="CT43" s="241">
        <f>SUMIF('1.PL (VND) '!$BL$6:$CD$6,'1.PL (VND) '!CS$6,$BM43:$CE43)</f>
        <v>124979952950</v>
      </c>
      <c r="CV43" s="241">
        <f>SUM(CV44,CV47,CV50)</f>
        <v>0</v>
      </c>
      <c r="CW43" s="241">
        <f>SUM(CW44,CW47,CW50)</f>
        <v>0</v>
      </c>
      <c r="CX43" s="241">
        <f>SUM(CX44,CX47,CX50)</f>
        <v>0</v>
      </c>
      <c r="CY43" s="241"/>
      <c r="DA43" s="241">
        <f t="shared" si="86"/>
        <v>101478317670</v>
      </c>
      <c r="DB43" s="241">
        <f t="shared" si="87"/>
        <v>124129014523</v>
      </c>
      <c r="DC43" s="241">
        <f t="shared" si="88"/>
        <v>127247553445</v>
      </c>
      <c r="DD43" s="241">
        <f t="shared" si="89"/>
        <v>124979952950</v>
      </c>
      <c r="DH43" s="245"/>
    </row>
    <row r="44" spans="1:112" s="248" customFormat="1" x14ac:dyDescent="0.25">
      <c r="A44" s="248">
        <f t="shared" si="40"/>
        <v>1</v>
      </c>
      <c r="C44" s="259" t="s">
        <v>580</v>
      </c>
      <c r="D44" s="260" t="s">
        <v>362</v>
      </c>
      <c r="E44" s="719">
        <f>SUM(E45:E46)</f>
        <v>70354868465</v>
      </c>
      <c r="F44" s="719">
        <f>SUM(F45:F46)</f>
        <v>71423302014</v>
      </c>
      <c r="G44" s="719">
        <f>SUM(G45:G46)</f>
        <v>73959007887</v>
      </c>
      <c r="H44" s="720">
        <f>SUM(H45:H46)</f>
        <v>73959007887</v>
      </c>
      <c r="I44" s="230"/>
      <c r="J44" s="241">
        <f>SUM(J45:J46)</f>
        <v>0</v>
      </c>
      <c r="K44" s="241">
        <f>SUM(K45:K46)</f>
        <v>24222985920</v>
      </c>
      <c r="L44" s="241">
        <f>SUM(L45:L46)</f>
        <v>37006309423</v>
      </c>
      <c r="M44" s="241">
        <f>SUM(M45:M46)</f>
        <v>38373582150</v>
      </c>
      <c r="N44" s="230"/>
      <c r="O44" s="241">
        <f>SUM(O45:O46)</f>
        <v>14406782538</v>
      </c>
      <c r="P44" s="241">
        <f>SUM(P45:P46)</f>
        <v>11845734922</v>
      </c>
      <c r="Q44" s="241">
        <f>SUM(Q45:Q46)</f>
        <v>6174866171</v>
      </c>
      <c r="R44" s="241">
        <f>SUM(R45:R46)</f>
        <v>4293596837</v>
      </c>
      <c r="S44" s="230"/>
      <c r="T44" s="241">
        <f>SUM(T45:T46)</f>
        <v>16716666667</v>
      </c>
      <c r="U44" s="241">
        <f>SUM(U45:U46)</f>
        <v>16636991667</v>
      </c>
      <c r="V44" s="241">
        <f>SUM(V45:V46)</f>
        <v>15356666667</v>
      </c>
      <c r="W44" s="241">
        <f>SUM(W45:W46)</f>
        <v>14676666667</v>
      </c>
      <c r="X44" s="230"/>
      <c r="Y44" s="241">
        <f>SUM(Y45:Y46)</f>
        <v>0</v>
      </c>
      <c r="Z44" s="241">
        <f>SUM(Z45:Z46)</f>
        <v>0</v>
      </c>
      <c r="AA44" s="241">
        <f>SUM(AA45:AA46)</f>
        <v>0</v>
      </c>
      <c r="AB44" s="241"/>
      <c r="AC44" s="230"/>
      <c r="AD44" s="241">
        <f>SUM(AD45:AD46)</f>
        <v>0</v>
      </c>
      <c r="AE44" s="241">
        <f>SUM(AE45:AE46)</f>
        <v>0</v>
      </c>
      <c r="AF44" s="241">
        <f>SUM(AF45:AF46)</f>
        <v>0</v>
      </c>
      <c r="AG44" s="241">
        <f>SUM(AG45:AG46)</f>
        <v>0</v>
      </c>
      <c r="AI44" s="249">
        <f>SUM(AI45:AI46)</f>
        <v>0</v>
      </c>
      <c r="AJ44" s="249">
        <f>SUM(AJ45:AJ46)</f>
        <v>0</v>
      </c>
      <c r="AK44" s="249">
        <f>SUM(AK45:AK46)</f>
        <v>-5249296703</v>
      </c>
      <c r="AL44" s="249">
        <f t="shared" ref="AL44" si="94">SUM(AL45:AL46)</f>
        <v>-6322900591</v>
      </c>
      <c r="AM44" s="230"/>
      <c r="AN44" s="249">
        <f>SUM(AN45:AN46)</f>
        <v>0</v>
      </c>
      <c r="AO44" s="249">
        <f>SUM(AO45:AO46)</f>
        <v>0</v>
      </c>
      <c r="AP44" s="249">
        <f>SUM(AP45:AP46)</f>
        <v>0</v>
      </c>
      <c r="AQ44" s="249">
        <f t="shared" ref="AQ44" si="95">SUM(AQ45:AQ46)</f>
        <v>0</v>
      </c>
      <c r="AR44" s="230"/>
      <c r="AS44" s="249">
        <f>SUM(AS45:AS46)</f>
        <v>0</v>
      </c>
      <c r="AT44" s="249">
        <f>SUM(AT45:AT46)</f>
        <v>0</v>
      </c>
      <c r="AU44" s="249">
        <f>SUM(AU45:AU46)</f>
        <v>0</v>
      </c>
      <c r="AV44" s="249">
        <f t="shared" ref="AV44" si="96">SUM(AV45:AV46)</f>
        <v>0</v>
      </c>
      <c r="AW44" s="230"/>
      <c r="AX44" s="249">
        <f>SUM(AX45:AX46)</f>
        <v>0</v>
      </c>
      <c r="AY44" s="249">
        <f>SUM(AY45:AY46)</f>
        <v>0</v>
      </c>
      <c r="AZ44" s="249">
        <f>SUM(AZ45:AZ46)</f>
        <v>0</v>
      </c>
      <c r="BA44" s="249">
        <f>SUM(BA45:BA46)</f>
        <v>0</v>
      </c>
      <c r="BB44" s="230"/>
      <c r="BC44" s="249">
        <f>SUM(BC45:BC46)</f>
        <v>0</v>
      </c>
      <c r="BD44" s="249">
        <f>SUM(BD45:BD46)</f>
        <v>0</v>
      </c>
      <c r="BE44" s="249">
        <f>SUM(BE45:BE46)</f>
        <v>0</v>
      </c>
      <c r="BF44" s="249">
        <f>SUM(BF45:BF46)</f>
        <v>0</v>
      </c>
      <c r="BG44" s="230"/>
      <c r="BH44" s="249">
        <f>SUM(BH45:BH46)</f>
        <v>0</v>
      </c>
      <c r="BI44" s="249">
        <f>SUM(BI45:BI46)</f>
        <v>0</v>
      </c>
      <c r="BJ44" s="249">
        <f>SUM(BJ45:BJ46)</f>
        <v>0</v>
      </c>
      <c r="BK44" s="249">
        <f t="shared" ref="BK44" si="97">SUM(BK45:BK46)</f>
        <v>0</v>
      </c>
      <c r="BM44" s="241">
        <f t="shared" si="62"/>
        <v>70354868465</v>
      </c>
      <c r="BN44" s="241">
        <f t="shared" si="63"/>
        <v>71423302014</v>
      </c>
      <c r="BO44" s="241">
        <f t="shared" si="64"/>
        <v>68709711184</v>
      </c>
      <c r="BP44" s="241">
        <f t="shared" si="65"/>
        <v>67636107296</v>
      </c>
      <c r="BQ44" s="230"/>
      <c r="BR44" s="241">
        <f t="shared" si="66"/>
        <v>0</v>
      </c>
      <c r="BS44" s="241">
        <f t="shared" si="67"/>
        <v>24222985920</v>
      </c>
      <c r="BT44" s="241">
        <f t="shared" si="68"/>
        <v>37006309423</v>
      </c>
      <c r="BU44" s="241">
        <f t="shared" si="69"/>
        <v>38373582150</v>
      </c>
      <c r="BV44" s="230"/>
      <c r="BW44" s="241">
        <f t="shared" si="70"/>
        <v>14406782538</v>
      </c>
      <c r="BX44" s="241">
        <f t="shared" si="71"/>
        <v>11845734922</v>
      </c>
      <c r="BY44" s="241">
        <f t="shared" si="72"/>
        <v>6174866171</v>
      </c>
      <c r="BZ44" s="241">
        <f t="shared" si="73"/>
        <v>4293596837</v>
      </c>
      <c r="CA44" s="230"/>
      <c r="CB44" s="241">
        <f t="shared" si="74"/>
        <v>16716666667</v>
      </c>
      <c r="CC44" s="241">
        <f t="shared" si="75"/>
        <v>16636991667</v>
      </c>
      <c r="CD44" s="241">
        <f t="shared" si="76"/>
        <v>15356666667</v>
      </c>
      <c r="CE44" s="241">
        <f t="shared" si="77"/>
        <v>14676666667</v>
      </c>
      <c r="CF44" s="230"/>
      <c r="CG44" s="241">
        <f t="shared" si="78"/>
        <v>0</v>
      </c>
      <c r="CH44" s="241">
        <f t="shared" si="79"/>
        <v>0</v>
      </c>
      <c r="CI44" s="241">
        <f t="shared" si="80"/>
        <v>0</v>
      </c>
      <c r="CJ44" s="241">
        <f t="shared" si="81"/>
        <v>0</v>
      </c>
      <c r="CK44" s="230"/>
      <c r="CL44" s="241">
        <f t="shared" si="82"/>
        <v>0</v>
      </c>
      <c r="CM44" s="241">
        <f t="shared" si="83"/>
        <v>0</v>
      </c>
      <c r="CN44" s="241">
        <f t="shared" si="84"/>
        <v>0</v>
      </c>
      <c r="CO44" s="241">
        <f t="shared" si="85"/>
        <v>0</v>
      </c>
      <c r="CQ44" s="241">
        <f>SUMIF('1.PL (VND) '!$BL$6:$CD$6,'1.PL (VND) '!CP$6,$BM44:$CE44)</f>
        <v>101478317670</v>
      </c>
      <c r="CR44" s="241">
        <f>SUMIF('1.PL (VND) '!$BL$6:$CD$6,'1.PL (VND) '!CQ$6,$BM44:$CE44)</f>
        <v>124129014523</v>
      </c>
      <c r="CS44" s="241">
        <f>SUMIF('1.PL (VND) '!$BL$6:$CD$6,'1.PL (VND) '!CR$6,$BM44:$CE44)</f>
        <v>127247553445</v>
      </c>
      <c r="CT44" s="241">
        <f>SUMIF('1.PL (VND) '!$BL$6:$CD$6,'1.PL (VND) '!CS$6,$BM44:$CE44)</f>
        <v>124979952950</v>
      </c>
      <c r="CV44" s="241">
        <f>SUM(CV45:CV46)</f>
        <v>0</v>
      </c>
      <c r="CW44" s="241">
        <f>SUM(CW45:CW46)</f>
        <v>0</v>
      </c>
      <c r="CX44" s="241">
        <f>SUM(CX45:CX46)</f>
        <v>0</v>
      </c>
      <c r="CY44" s="241"/>
      <c r="DA44" s="241">
        <f t="shared" si="86"/>
        <v>101478317670</v>
      </c>
      <c r="DB44" s="241">
        <f t="shared" si="87"/>
        <v>124129014523</v>
      </c>
      <c r="DC44" s="241">
        <f t="shared" si="88"/>
        <v>127247553445</v>
      </c>
      <c r="DD44" s="241">
        <f t="shared" si="89"/>
        <v>124979952950</v>
      </c>
      <c r="DH44" s="245"/>
    </row>
    <row r="45" spans="1:112" s="700" customFormat="1" x14ac:dyDescent="0.25">
      <c r="A45" s="248">
        <f t="shared" si="40"/>
        <v>1</v>
      </c>
      <c r="C45" s="703" t="s">
        <v>363</v>
      </c>
      <c r="D45" s="704" t="s">
        <v>364</v>
      </c>
      <c r="E45" s="721">
        <v>98220613944</v>
      </c>
      <c r="F45" s="721">
        <v>105661195764</v>
      </c>
      <c r="G45" s="721">
        <v>116938993206</v>
      </c>
      <c r="H45" s="722">
        <v>116938993206</v>
      </c>
      <c r="I45" s="699"/>
      <c r="J45" s="698"/>
      <c r="K45" s="698">
        <v>25215497996</v>
      </c>
      <c r="L45" s="698">
        <v>41652349848</v>
      </c>
      <c r="M45" s="241">
        <v>43019622575</v>
      </c>
      <c r="N45" s="699"/>
      <c r="O45" s="698">
        <v>18089770550</v>
      </c>
      <c r="P45" s="698">
        <v>18567043278</v>
      </c>
      <c r="Q45" s="698">
        <v>11287616005</v>
      </c>
      <c r="R45" s="698">
        <v>11287616005</v>
      </c>
      <c r="S45" s="699"/>
      <c r="T45" s="698">
        <v>17000000000</v>
      </c>
      <c r="U45" s="698">
        <v>17654900000</v>
      </c>
      <c r="V45" s="698">
        <v>17000000000</v>
      </c>
      <c r="W45" s="698">
        <v>17000000000</v>
      </c>
      <c r="X45" s="699"/>
      <c r="Y45" s="698"/>
      <c r="Z45" s="698"/>
      <c r="AA45" s="698"/>
      <c r="AB45" s="698"/>
      <c r="AC45" s="699"/>
      <c r="AD45" s="698"/>
      <c r="AE45" s="698"/>
      <c r="AF45" s="698"/>
      <c r="AG45" s="698"/>
      <c r="AI45" s="698">
        <f>SUMIFS('1.DC_Ra soat'!$L:$L,'1.DC_Ra soat'!$F:$F,AI$4,'1.DC_Ra soat'!$H:$H,'1.BS (VND)'!$D45)-SUMIFS('1.DC_Ra soat'!$L:$L,'1.DC_Ra soat'!$F:$F,AI$4,'1.DC_Ra soat'!$I:$I,'1.BS (VND)'!$D45)</f>
        <v>0</v>
      </c>
      <c r="AJ45" s="698">
        <f>SUMIFS('1.DC_Ra soat'!$L:$L,'1.DC_Ra soat'!$F:$F,AJ$4,'1.DC_Ra soat'!$H:$H,'1.BS (VND)'!$D45)-SUMIFS('1.DC_Ra soat'!$L:$L,'1.DC_Ra soat'!$F:$F,AJ$4,'1.DC_Ra soat'!$I:$I,'1.BS (VND)'!$D45)</f>
        <v>0</v>
      </c>
      <c r="AK45" s="698">
        <f>SUMIFS('1.DC_Ra soat'!$L:$L,'1.DC_Ra soat'!$F:$F,AK$4,'1.DC_Ra soat'!$H:$H,'1.BS (VND)'!$D45)-SUMIFS('1.DC_Ra soat'!$L:$L,'1.DC_Ra soat'!$F:$F,AK$4,'1.DC_Ra soat'!$I:$I,'1.BS (VND)'!$D45)</f>
        <v>0</v>
      </c>
      <c r="AL45" s="698">
        <f>SUMIFS('1.DC_Ra soat'!$L:$L,'1.DC_Ra soat'!$F:$F,AL$4,'1.DC_Ra soat'!$H:$H,'1.BS (VND)'!$D45)-SUMIFS('1.DC_Ra soat'!$L:$L,'1.DC_Ra soat'!$F:$F,AL$4,'1.DC_Ra soat'!$I:$I,'1.BS (VND)'!$D45)</f>
        <v>0</v>
      </c>
      <c r="AM45" s="699"/>
      <c r="AN45" s="698">
        <f>SUMIFS('1.DC_Ra soat'!$L:$L,'1.DC_Ra soat'!$F:$F,AN$4,'1.DC_Ra soat'!$H:$H,'1.BS (VND)'!$D45)-SUMIFS('1.DC_Ra soat'!$L:$L,'1.DC_Ra soat'!$F:$F,AN$4,'1.DC_Ra soat'!$I:$I,'1.BS (VND)'!$D45)</f>
        <v>0</v>
      </c>
      <c r="AO45" s="698">
        <f>SUMIFS('1.DC_Ra soat'!$L:$L,'1.DC_Ra soat'!$F:$F,AO$4,'1.DC_Ra soat'!$H:$H,'1.BS (VND)'!$D45)-SUMIFS('1.DC_Ra soat'!$L:$L,'1.DC_Ra soat'!$F:$F,AO$4,'1.DC_Ra soat'!$I:$I,'1.BS (VND)'!$D45)</f>
        <v>0</v>
      </c>
      <c r="AP45" s="698">
        <f>SUMIFS('1.DC_Ra soat'!$L:$L,'1.DC_Ra soat'!$F:$F,AP$4,'1.DC_Ra soat'!$H:$H,'1.BS (VND)'!$D45)-SUMIFS('1.DC_Ra soat'!$L:$L,'1.DC_Ra soat'!$F:$F,AP$4,'1.DC_Ra soat'!$I:$I,'1.BS (VND)'!$D45)</f>
        <v>0</v>
      </c>
      <c r="AQ45" s="698">
        <f>SUMIFS('1.DC_Ra soat'!$L:$L,'1.DC_Ra soat'!$F:$F,AQ$4,'1.DC_Ra soat'!$H:$H,'1.BS (VND)'!$D45)-SUMIFS('1.DC_Ra soat'!$L:$L,'1.DC_Ra soat'!$F:$F,AQ$4,'1.DC_Ra soat'!$I:$I,'1.BS (VND)'!$D45)</f>
        <v>0</v>
      </c>
      <c r="AR45" s="699"/>
      <c r="AS45" s="698">
        <f>SUMIFS('1.DC_Ra soat'!$L:$L,'1.DC_Ra soat'!$F:$F,AS$4,'1.DC_Ra soat'!$H:$H,'1.BS (VND)'!$D45)-SUMIFS('1.DC_Ra soat'!$L:$L,'1.DC_Ra soat'!$F:$F,AS$4,'1.DC_Ra soat'!$I:$I,'1.BS (VND)'!$D45)</f>
        <v>0</v>
      </c>
      <c r="AT45" s="698">
        <f>SUMIFS('1.DC_Ra soat'!$L:$L,'1.DC_Ra soat'!$F:$F,AT$4,'1.DC_Ra soat'!$H:$H,'1.BS (VND)'!$D45)-SUMIFS('1.DC_Ra soat'!$L:$L,'1.DC_Ra soat'!$F:$F,AT$4,'1.DC_Ra soat'!$I:$I,'1.BS (VND)'!$D45)</f>
        <v>0</v>
      </c>
      <c r="AU45" s="698">
        <f>SUMIFS('1.DC_Ra soat'!$L:$L,'1.DC_Ra soat'!$F:$F,AU$4,'1.DC_Ra soat'!$H:$H,'1.BS (VND)'!$D45)-SUMIFS('1.DC_Ra soat'!$L:$L,'1.DC_Ra soat'!$F:$F,AU$4,'1.DC_Ra soat'!$I:$I,'1.BS (VND)'!$D45)</f>
        <v>0</v>
      </c>
      <c r="AV45" s="698">
        <f>SUMIFS('1.DC_Ra soat'!$L:$L,'1.DC_Ra soat'!$F:$F,AV$4,'1.DC_Ra soat'!$H:$H,'1.BS (VND)'!$D45)-SUMIFS('1.DC_Ra soat'!$L:$L,'1.DC_Ra soat'!$F:$F,AV$4,'1.DC_Ra soat'!$I:$I,'1.BS (VND)'!$D45)</f>
        <v>0</v>
      </c>
      <c r="AW45" s="699"/>
      <c r="AX45" s="698">
        <f>SUMIFS('1.DC_Ra soat'!$L:$L,'1.DC_Ra soat'!$F:$F,'1.PL (VND) '!BC$4,'1.DC_Ra soat'!$H:$H,'1.BS (VND)'!$D45)-SUMIFS('1.DC_Ra soat'!$L:$L,'1.DC_Ra soat'!$F:$F,'1.PL (VND) '!BC$4,'1.DC_Ra soat'!$I:$I,'1.BS (VND)'!$D45)</f>
        <v>0</v>
      </c>
      <c r="AY45" s="698">
        <f>SUMIFS('1.DC_Ra soat'!$L:$L,'1.DC_Ra soat'!$F:$F,'1.PL (VND) '!BD$4,'1.DC_Ra soat'!$H:$H,'1.BS (VND)'!$D45)-SUMIFS('1.DC_Ra soat'!$L:$L,'1.DC_Ra soat'!$F:$F,'1.PL (VND) '!BD$4,'1.DC_Ra soat'!$I:$I,'1.BS (VND)'!$D45)</f>
        <v>0</v>
      </c>
      <c r="AZ45" s="698">
        <f>SUMIFS('1.DC_Ra soat'!$L:$L,'1.DC_Ra soat'!$F:$F,'1.PL (VND) '!BE$4,'1.DC_Ra soat'!$H:$H,'1.BS (VND)'!$D45)-SUMIFS('1.DC_Ra soat'!$L:$L,'1.DC_Ra soat'!$F:$F,'1.PL (VND) '!BE$4,'1.DC_Ra soat'!$I:$I,'1.BS (VND)'!$D45)</f>
        <v>0</v>
      </c>
      <c r="BA45" s="698">
        <f>SUMIFS('1.DC_Ra soat'!$L:$L,'1.DC_Ra soat'!$F:$F,'1.PL (VND) '!BF$4,'1.DC_Ra soat'!$H:$H,'1.BS (VND)'!$D45)-SUMIFS('1.DC_Ra soat'!$L:$L,'1.DC_Ra soat'!$F:$F,'1.PL (VND) '!BF$4,'1.DC_Ra soat'!$I:$I,'1.BS (VND)'!$D45)</f>
        <v>0</v>
      </c>
      <c r="BB45" s="699"/>
      <c r="BC45" s="698">
        <f>SUMIFS('1.DC_Ra soat'!$L:$L,'1.DC_Ra soat'!$F:$F,'1.PL (VND) '!BI$4,'1.DC_Ra soat'!$H:$H,'1.BS (VND)'!$D45)-SUMIFS('1.DC_Ra soat'!$L:$L,'1.DC_Ra soat'!$F:$F,'1.PL (VND) '!BI$4,'1.DC_Ra soat'!$I:$I,'1.BS (VND)'!$D45)</f>
        <v>0</v>
      </c>
      <c r="BD45" s="698">
        <f>SUMIFS('1.DC_Ra soat'!$L:$L,'1.DC_Ra soat'!$F:$F,'1.PL (VND) '!BJ$4,'1.DC_Ra soat'!$H:$H,'1.BS (VND)'!$D45)-SUMIFS('1.DC_Ra soat'!$L:$L,'1.DC_Ra soat'!$F:$F,'1.PL (VND) '!BJ$4,'1.DC_Ra soat'!$I:$I,'1.BS (VND)'!$D45)</f>
        <v>0</v>
      </c>
      <c r="BE45" s="698">
        <f>SUMIFS('1.DC_Ra soat'!$L:$L,'1.DC_Ra soat'!$F:$F,'1.PL (VND) '!BK$4,'1.DC_Ra soat'!$H:$H,'1.BS (VND)'!$D45)-SUMIFS('1.DC_Ra soat'!$L:$L,'1.DC_Ra soat'!$F:$F,'1.PL (VND) '!BK$4,'1.DC_Ra soat'!$I:$I,'1.BS (VND)'!$D45)</f>
        <v>0</v>
      </c>
      <c r="BF45" s="698">
        <f>SUMIFS('1.DC_Ra soat'!$L:$L,'1.DC_Ra soat'!$F:$F,'1.PL (VND) '!BL$4,'1.DC_Ra soat'!$H:$H,'1.BS (VND)'!$D45)-SUMIFS('1.DC_Ra soat'!$L:$L,'1.DC_Ra soat'!$F:$F,'1.PL (VND) '!BL$4,'1.DC_Ra soat'!$I:$I,'1.BS (VND)'!$D45)</f>
        <v>0</v>
      </c>
      <c r="BG45" s="699"/>
      <c r="BH45" s="698">
        <f>SUMIFS('1.DC_Ra soat'!$L:$L,'1.DC_Ra soat'!$F:$F,'1.PL (VND) '!BO$4,'1.DC_Ra soat'!$H:$H,'1.BS (VND)'!$D45)-SUMIFS('1.DC_Ra soat'!$L:$L,'1.DC_Ra soat'!$F:$F,'1.PL (VND) '!BO$4,'1.DC_Ra soat'!$I:$I,'1.BS (VND)'!$D45)</f>
        <v>0</v>
      </c>
      <c r="BI45" s="698">
        <f>SUMIFS('1.DC_Ra soat'!$L:$L,'1.DC_Ra soat'!$F:$F,'1.PL (VND) '!BP$4,'1.DC_Ra soat'!$H:$H,'1.BS (VND)'!$D45)-SUMIFS('1.DC_Ra soat'!$L:$L,'1.DC_Ra soat'!$F:$F,'1.PL (VND) '!BP$4,'1.DC_Ra soat'!$I:$I,'1.BS (VND)'!$D45)</f>
        <v>0</v>
      </c>
      <c r="BJ45" s="698">
        <f>SUMIFS('1.DC_Ra soat'!$L:$L,'1.DC_Ra soat'!$F:$F,'1.PL (VND) '!BQ$4,'1.DC_Ra soat'!$H:$H,'1.BS (VND)'!$D45)-SUMIFS('1.DC_Ra soat'!$L:$L,'1.DC_Ra soat'!$F:$F,'1.PL (VND) '!BQ$4,'1.DC_Ra soat'!$I:$I,'1.BS (VND)'!$D45)</f>
        <v>0</v>
      </c>
      <c r="BK45" s="698">
        <f>SUMIFS('1.DC_Ra soat'!$L:$L,'1.DC_Ra soat'!$F:$F,'1.PL (VND) '!BR$4,'1.DC_Ra soat'!$H:$H,'1.BS (VND)'!$D45)-SUMIFS('1.DC_Ra soat'!$L:$L,'1.DC_Ra soat'!$F:$F,'1.PL (VND) '!BR$4,'1.DC_Ra soat'!$I:$I,'1.BS (VND)'!$D45)</f>
        <v>0</v>
      </c>
      <c r="BM45" s="698">
        <f t="shared" si="62"/>
        <v>98220613944</v>
      </c>
      <c r="BN45" s="698">
        <f t="shared" si="63"/>
        <v>105661195764</v>
      </c>
      <c r="BO45" s="698">
        <f t="shared" si="64"/>
        <v>116938993206</v>
      </c>
      <c r="BP45" s="697">
        <f t="shared" si="65"/>
        <v>116938993206</v>
      </c>
      <c r="BQ45" s="699"/>
      <c r="BR45" s="698">
        <f t="shared" si="66"/>
        <v>0</v>
      </c>
      <c r="BS45" s="698">
        <f t="shared" si="67"/>
        <v>25215497996</v>
      </c>
      <c r="BT45" s="698">
        <f t="shared" si="68"/>
        <v>41652349848</v>
      </c>
      <c r="BU45" s="698">
        <f t="shared" si="69"/>
        <v>43019622575</v>
      </c>
      <c r="BV45" s="699"/>
      <c r="BW45" s="698">
        <f t="shared" si="70"/>
        <v>18089770550</v>
      </c>
      <c r="BX45" s="698">
        <f t="shared" si="71"/>
        <v>18567043278</v>
      </c>
      <c r="BY45" s="698">
        <f t="shared" si="72"/>
        <v>11287616005</v>
      </c>
      <c r="BZ45" s="697">
        <f t="shared" si="73"/>
        <v>11287616005</v>
      </c>
      <c r="CA45" s="699"/>
      <c r="CB45" s="697">
        <f t="shared" si="74"/>
        <v>17000000000</v>
      </c>
      <c r="CC45" s="697">
        <f t="shared" si="75"/>
        <v>17654900000</v>
      </c>
      <c r="CD45" s="697">
        <f t="shared" si="76"/>
        <v>17000000000</v>
      </c>
      <c r="CE45" s="697">
        <f t="shared" si="77"/>
        <v>17000000000</v>
      </c>
      <c r="CF45" s="699"/>
      <c r="CG45" s="697">
        <f t="shared" si="78"/>
        <v>0</v>
      </c>
      <c r="CH45" s="697">
        <f t="shared" si="79"/>
        <v>0</v>
      </c>
      <c r="CI45" s="697">
        <f t="shared" si="80"/>
        <v>0</v>
      </c>
      <c r="CJ45" s="697">
        <f t="shared" si="81"/>
        <v>0</v>
      </c>
      <c r="CK45" s="699"/>
      <c r="CL45" s="698">
        <f t="shared" si="82"/>
        <v>0</v>
      </c>
      <c r="CM45" s="698">
        <f t="shared" si="83"/>
        <v>0</v>
      </c>
      <c r="CN45" s="698">
        <f t="shared" si="84"/>
        <v>0</v>
      </c>
      <c r="CO45" s="697">
        <f t="shared" si="85"/>
        <v>0</v>
      </c>
      <c r="CQ45" s="698">
        <f>SUMIF('1.PL (VND) '!$BL$6:$CD$6,'1.PL (VND) '!CP$6,$BM45:$CE45)</f>
        <v>133310384494</v>
      </c>
      <c r="CR45" s="698">
        <f>SUMIF('1.PL (VND) '!$BL$6:$CD$6,'1.PL (VND) '!CQ$6,$BM45:$CE45)</f>
        <v>167098637038</v>
      </c>
      <c r="CS45" s="698">
        <f>SUMIF('1.PL (VND) '!$BL$6:$CD$6,'1.PL (VND) '!CR$6,$BM45:$CE45)</f>
        <v>186878959059</v>
      </c>
      <c r="CT45" s="698">
        <f>SUMIF('1.PL (VND) '!$BL$6:$CD$6,'1.PL (VND) '!CS$6,$BM45:$CE45)</f>
        <v>188246231786</v>
      </c>
      <c r="CV45" s="702">
        <f>-SUMIFS('1.DC_Ra soat'!$L:$L,'1.DC_Ra soat'!$F:$F,'1.PL (VND) '!DK$4,'1.DC_Ra soat'!$H:$H,'1.BS (VND)'!$D45)+SUMIFS('1.DC_Ra soat'!$L:$L,'1.DC_Ra soat'!$F:$F,'1.PL (VND) '!DK$4,'1.DC_Ra soat'!$I:$I,'1.BS (VND)'!$D45)</f>
        <v>0</v>
      </c>
      <c r="CW45" s="702">
        <f>-SUMIFS('1.DC_Ra soat'!$L:$L,'1.DC_Ra soat'!$F:$F,'1.PL (VND) '!DL$4,'1.DC_Ra soat'!$H:$H,'1.BS (VND)'!$D45)+SUMIFS('1.DC_Ra soat'!$L:$L,'1.DC_Ra soat'!$F:$F,'1.PL (VND) '!DL$4,'1.DC_Ra soat'!$I:$I,'1.BS (VND)'!$D45)</f>
        <v>0</v>
      </c>
      <c r="CX45" s="702">
        <f>-SUMIFS('1.DC_Ra soat'!$L:$L,'1.DC_Ra soat'!$F:$F,'1.PL (VND) '!DM$4,'1.DC_Ra soat'!$H:$H,'1.BS (VND)'!$D45)+SUMIFS('1.DC_Ra soat'!$L:$L,'1.DC_Ra soat'!$F:$F,'1.PL (VND) '!DM$4,'1.DC_Ra soat'!$I:$I,'1.BS (VND)'!$D45)</f>
        <v>0</v>
      </c>
      <c r="CY45" s="702">
        <f>-SUMIFS('1.DC_Ra soat'!$L:$L,'1.DC_Ra soat'!$F:$F,'1.PL (VND) '!DN$4,'1.DC_Ra soat'!$H:$H,'1.BS (VND)'!$D45)+SUMIFS('1.DC_Ra soat'!$L:$L,'1.DC_Ra soat'!$F:$F,'1.PL (VND) '!DN$4,'1.DC_Ra soat'!$I:$I,'1.BS (VND)'!$D45)</f>
        <v>0</v>
      </c>
      <c r="DA45" s="698">
        <f t="shared" si="86"/>
        <v>133310384494</v>
      </c>
      <c r="DB45" s="698">
        <f t="shared" si="87"/>
        <v>167098637038</v>
      </c>
      <c r="DC45" s="698">
        <f t="shared" si="88"/>
        <v>186878959059</v>
      </c>
      <c r="DD45" s="698">
        <f t="shared" si="89"/>
        <v>188246231786</v>
      </c>
      <c r="DH45" s="701"/>
    </row>
    <row r="46" spans="1:112" s="700" customFormat="1" x14ac:dyDescent="0.25">
      <c r="A46" s="248">
        <f t="shared" si="40"/>
        <v>1</v>
      </c>
      <c r="C46" s="703" t="s">
        <v>365</v>
      </c>
      <c r="D46" s="704" t="s">
        <v>366</v>
      </c>
      <c r="E46" s="721">
        <v>-27865745479</v>
      </c>
      <c r="F46" s="721">
        <v>-34237893750</v>
      </c>
      <c r="G46" s="721">
        <v>-42979985319</v>
      </c>
      <c r="H46" s="722">
        <v>-42979985319</v>
      </c>
      <c r="I46" s="699"/>
      <c r="J46" s="698"/>
      <c r="K46" s="698">
        <v>-992512076</v>
      </c>
      <c r="L46" s="698">
        <v>-4646040425</v>
      </c>
      <c r="M46" s="241">
        <v>-4646040425</v>
      </c>
      <c r="N46" s="699"/>
      <c r="O46" s="698">
        <v>-3682988012</v>
      </c>
      <c r="P46" s="698">
        <v>-6721308356</v>
      </c>
      <c r="Q46" s="698">
        <v>-5112749834</v>
      </c>
      <c r="R46" s="698">
        <v>-6994019168</v>
      </c>
      <c r="S46" s="699"/>
      <c r="T46" s="698">
        <v>-283333333</v>
      </c>
      <c r="U46" s="698">
        <v>-1017908333</v>
      </c>
      <c r="V46" s="698">
        <v>-1643333333</v>
      </c>
      <c r="W46" s="698">
        <v>-2323333333</v>
      </c>
      <c r="X46" s="699"/>
      <c r="Y46" s="698"/>
      <c r="Z46" s="698"/>
      <c r="AA46" s="698"/>
      <c r="AB46" s="698"/>
      <c r="AC46" s="699"/>
      <c r="AD46" s="698"/>
      <c r="AE46" s="698"/>
      <c r="AF46" s="698"/>
      <c r="AG46" s="698"/>
      <c r="AI46" s="698">
        <f>SUMIFS('1.DC_Ra soat'!$L:$L,'1.DC_Ra soat'!$F:$F,AI$4,'1.DC_Ra soat'!$H:$H,'1.BS (VND)'!$D46)-SUMIFS('1.DC_Ra soat'!$L:$L,'1.DC_Ra soat'!$F:$F,AI$4,'1.DC_Ra soat'!$I:$I,'1.BS (VND)'!$D46)</f>
        <v>0</v>
      </c>
      <c r="AJ46" s="698">
        <f>SUMIFS('1.DC_Ra soat'!$L:$L,'1.DC_Ra soat'!$F:$F,AJ$4,'1.DC_Ra soat'!$H:$H,'1.BS (VND)'!$D46)-SUMIFS('1.DC_Ra soat'!$L:$L,'1.DC_Ra soat'!$F:$F,AJ$4,'1.DC_Ra soat'!$I:$I,'1.BS (VND)'!$D46)</f>
        <v>0</v>
      </c>
      <c r="AK46" s="698">
        <f>SUMIFS('1.DC_Ra soat'!$L:$L,'1.DC_Ra soat'!$F:$F,AK$4,'1.DC_Ra soat'!$H:$H,'1.BS (VND)'!$D46)-SUMIFS('1.DC_Ra soat'!$L:$L,'1.DC_Ra soat'!$F:$F,AK$4,'1.DC_Ra soat'!$I:$I,'1.BS (VND)'!$D46)</f>
        <v>-5249296703</v>
      </c>
      <c r="AL46" s="750">
        <f>SUMIFS('1.DC_Ra soat'!$L:$L,'1.DC_Ra soat'!$F:$F,AL$4,'1.DC_Ra soat'!$H:$H,'1.BS (VND)'!$D46)-SUMIFS('1.DC_Ra soat'!$L:$L,'1.DC_Ra soat'!$F:$F,AL$4,'1.DC_Ra soat'!$I:$I,'1.BS (VND)'!$D46)</f>
        <v>-6322900591</v>
      </c>
      <c r="AM46" s="699"/>
      <c r="AN46" s="698">
        <f>SUMIFS('1.DC_Ra soat'!$L:$L,'1.DC_Ra soat'!$F:$F,AN$4,'1.DC_Ra soat'!$H:$H,'1.BS (VND)'!$D46)-SUMIFS('1.DC_Ra soat'!$L:$L,'1.DC_Ra soat'!$F:$F,AN$4,'1.DC_Ra soat'!$I:$I,'1.BS (VND)'!$D46)</f>
        <v>0</v>
      </c>
      <c r="AO46" s="698">
        <f>SUMIFS('1.DC_Ra soat'!$L:$L,'1.DC_Ra soat'!$F:$F,AO$4,'1.DC_Ra soat'!$H:$H,'1.BS (VND)'!$D46)-SUMIFS('1.DC_Ra soat'!$L:$L,'1.DC_Ra soat'!$F:$F,AO$4,'1.DC_Ra soat'!$I:$I,'1.BS (VND)'!$D46)</f>
        <v>0</v>
      </c>
      <c r="AP46" s="698">
        <f>SUMIFS('1.DC_Ra soat'!$L:$L,'1.DC_Ra soat'!$F:$F,AP$4,'1.DC_Ra soat'!$H:$H,'1.BS (VND)'!$D46)-SUMIFS('1.DC_Ra soat'!$L:$L,'1.DC_Ra soat'!$F:$F,AP$4,'1.DC_Ra soat'!$I:$I,'1.BS (VND)'!$D46)</f>
        <v>0</v>
      </c>
      <c r="AQ46" s="698">
        <f>SUMIFS('1.DC_Ra soat'!$L:$L,'1.DC_Ra soat'!$F:$F,AQ$4,'1.DC_Ra soat'!$H:$H,'1.BS (VND)'!$D46)-SUMIFS('1.DC_Ra soat'!$L:$L,'1.DC_Ra soat'!$F:$F,AQ$4,'1.DC_Ra soat'!$I:$I,'1.BS (VND)'!$D46)</f>
        <v>0</v>
      </c>
      <c r="AR46" s="699"/>
      <c r="AS46" s="698">
        <f>SUMIFS('1.DC_Ra soat'!$L:$L,'1.DC_Ra soat'!$F:$F,AS$4,'1.DC_Ra soat'!$H:$H,'1.BS (VND)'!$D46)-SUMIFS('1.DC_Ra soat'!$L:$L,'1.DC_Ra soat'!$F:$F,AS$4,'1.DC_Ra soat'!$I:$I,'1.BS (VND)'!$D46)</f>
        <v>0</v>
      </c>
      <c r="AT46" s="698">
        <f>SUMIFS('1.DC_Ra soat'!$L:$L,'1.DC_Ra soat'!$F:$F,AT$4,'1.DC_Ra soat'!$H:$H,'1.BS (VND)'!$D46)-SUMIFS('1.DC_Ra soat'!$L:$L,'1.DC_Ra soat'!$F:$F,AT$4,'1.DC_Ra soat'!$I:$I,'1.BS (VND)'!$D46)</f>
        <v>0</v>
      </c>
      <c r="AU46" s="698">
        <f>SUMIFS('1.DC_Ra soat'!$L:$L,'1.DC_Ra soat'!$F:$F,AU$4,'1.DC_Ra soat'!$H:$H,'1.BS (VND)'!$D46)-SUMIFS('1.DC_Ra soat'!$L:$L,'1.DC_Ra soat'!$F:$F,AU$4,'1.DC_Ra soat'!$I:$I,'1.BS (VND)'!$D46)</f>
        <v>0</v>
      </c>
      <c r="AV46" s="698">
        <f>SUMIFS('1.DC_Ra soat'!$L:$L,'1.DC_Ra soat'!$F:$F,AV$4,'1.DC_Ra soat'!$H:$H,'1.BS (VND)'!$D46)-SUMIFS('1.DC_Ra soat'!$L:$L,'1.DC_Ra soat'!$F:$F,AV$4,'1.DC_Ra soat'!$I:$I,'1.BS (VND)'!$D46)</f>
        <v>0</v>
      </c>
      <c r="AW46" s="699"/>
      <c r="AX46" s="698">
        <f>SUMIFS('1.DC_Ra soat'!$L:$L,'1.DC_Ra soat'!$F:$F,'1.PL (VND) '!BC$4,'1.DC_Ra soat'!$H:$H,'1.BS (VND)'!$D46)-SUMIFS('1.DC_Ra soat'!$L:$L,'1.DC_Ra soat'!$F:$F,'1.PL (VND) '!BC$4,'1.DC_Ra soat'!$I:$I,'1.BS (VND)'!$D46)</f>
        <v>0</v>
      </c>
      <c r="AY46" s="698">
        <f>SUMIFS('1.DC_Ra soat'!$L:$L,'1.DC_Ra soat'!$F:$F,'1.PL (VND) '!BD$4,'1.DC_Ra soat'!$H:$H,'1.BS (VND)'!$D46)-SUMIFS('1.DC_Ra soat'!$L:$L,'1.DC_Ra soat'!$F:$F,'1.PL (VND) '!BD$4,'1.DC_Ra soat'!$I:$I,'1.BS (VND)'!$D46)</f>
        <v>0</v>
      </c>
      <c r="AZ46" s="698">
        <f>SUMIFS('1.DC_Ra soat'!$L:$L,'1.DC_Ra soat'!$F:$F,'1.PL (VND) '!BE$4,'1.DC_Ra soat'!$H:$H,'1.BS (VND)'!$D46)-SUMIFS('1.DC_Ra soat'!$L:$L,'1.DC_Ra soat'!$F:$F,'1.PL (VND) '!BE$4,'1.DC_Ra soat'!$I:$I,'1.BS (VND)'!$D46)</f>
        <v>0</v>
      </c>
      <c r="BA46" s="698">
        <f>SUMIFS('1.DC_Ra soat'!$L:$L,'1.DC_Ra soat'!$F:$F,'1.PL (VND) '!BF$4,'1.DC_Ra soat'!$H:$H,'1.BS (VND)'!$D46)-SUMIFS('1.DC_Ra soat'!$L:$L,'1.DC_Ra soat'!$F:$F,'1.PL (VND) '!BF$4,'1.DC_Ra soat'!$I:$I,'1.BS (VND)'!$D46)</f>
        <v>0</v>
      </c>
      <c r="BB46" s="699"/>
      <c r="BC46" s="698">
        <f>SUMIFS('1.DC_Ra soat'!$L:$L,'1.DC_Ra soat'!$F:$F,'1.PL (VND) '!BI$4,'1.DC_Ra soat'!$H:$H,'1.BS (VND)'!$D46)-SUMIFS('1.DC_Ra soat'!$L:$L,'1.DC_Ra soat'!$F:$F,'1.PL (VND) '!BI$4,'1.DC_Ra soat'!$I:$I,'1.BS (VND)'!$D46)</f>
        <v>0</v>
      </c>
      <c r="BD46" s="698">
        <f>SUMIFS('1.DC_Ra soat'!$L:$L,'1.DC_Ra soat'!$F:$F,'1.PL (VND) '!BJ$4,'1.DC_Ra soat'!$H:$H,'1.BS (VND)'!$D46)-SUMIFS('1.DC_Ra soat'!$L:$L,'1.DC_Ra soat'!$F:$F,'1.PL (VND) '!BJ$4,'1.DC_Ra soat'!$I:$I,'1.BS (VND)'!$D46)</f>
        <v>0</v>
      </c>
      <c r="BE46" s="698">
        <f>SUMIFS('1.DC_Ra soat'!$L:$L,'1.DC_Ra soat'!$F:$F,'1.PL (VND) '!BK$4,'1.DC_Ra soat'!$H:$H,'1.BS (VND)'!$D46)-SUMIFS('1.DC_Ra soat'!$L:$L,'1.DC_Ra soat'!$F:$F,'1.PL (VND) '!BK$4,'1.DC_Ra soat'!$I:$I,'1.BS (VND)'!$D46)</f>
        <v>0</v>
      </c>
      <c r="BF46" s="698">
        <f>SUMIFS('1.DC_Ra soat'!$L:$L,'1.DC_Ra soat'!$F:$F,'1.PL (VND) '!BL$4,'1.DC_Ra soat'!$H:$H,'1.BS (VND)'!$D46)-SUMIFS('1.DC_Ra soat'!$L:$L,'1.DC_Ra soat'!$F:$F,'1.PL (VND) '!BL$4,'1.DC_Ra soat'!$I:$I,'1.BS (VND)'!$D46)</f>
        <v>0</v>
      </c>
      <c r="BG46" s="699"/>
      <c r="BH46" s="698">
        <f>SUMIFS('1.DC_Ra soat'!$L:$L,'1.DC_Ra soat'!$F:$F,'1.PL (VND) '!BO$4,'1.DC_Ra soat'!$H:$H,'1.BS (VND)'!$D46)-SUMIFS('1.DC_Ra soat'!$L:$L,'1.DC_Ra soat'!$F:$F,'1.PL (VND) '!BO$4,'1.DC_Ra soat'!$I:$I,'1.BS (VND)'!$D46)</f>
        <v>0</v>
      </c>
      <c r="BI46" s="698">
        <f>SUMIFS('1.DC_Ra soat'!$L:$L,'1.DC_Ra soat'!$F:$F,'1.PL (VND) '!BP$4,'1.DC_Ra soat'!$H:$H,'1.BS (VND)'!$D46)-SUMIFS('1.DC_Ra soat'!$L:$L,'1.DC_Ra soat'!$F:$F,'1.PL (VND) '!BP$4,'1.DC_Ra soat'!$I:$I,'1.BS (VND)'!$D46)</f>
        <v>0</v>
      </c>
      <c r="BJ46" s="698">
        <f>SUMIFS('1.DC_Ra soat'!$L:$L,'1.DC_Ra soat'!$F:$F,'1.PL (VND) '!BQ$4,'1.DC_Ra soat'!$H:$H,'1.BS (VND)'!$D46)-SUMIFS('1.DC_Ra soat'!$L:$L,'1.DC_Ra soat'!$F:$F,'1.PL (VND) '!BQ$4,'1.DC_Ra soat'!$I:$I,'1.BS (VND)'!$D46)</f>
        <v>0</v>
      </c>
      <c r="BK46" s="698">
        <f>SUMIFS('1.DC_Ra soat'!$L:$L,'1.DC_Ra soat'!$F:$F,'1.PL (VND) '!BR$4,'1.DC_Ra soat'!$H:$H,'1.BS (VND)'!$D46)-SUMIFS('1.DC_Ra soat'!$L:$L,'1.DC_Ra soat'!$F:$F,'1.PL (VND) '!BR$4,'1.DC_Ra soat'!$I:$I,'1.BS (VND)'!$D46)</f>
        <v>0</v>
      </c>
      <c r="BM46" s="698">
        <f t="shared" si="62"/>
        <v>-27865745479</v>
      </c>
      <c r="BN46" s="698">
        <f t="shared" si="63"/>
        <v>-34237893750</v>
      </c>
      <c r="BO46" s="698">
        <f t="shared" si="64"/>
        <v>-48229282022</v>
      </c>
      <c r="BP46" s="697">
        <f t="shared" si="65"/>
        <v>-49302885910</v>
      </c>
      <c r="BQ46" s="699"/>
      <c r="BR46" s="698">
        <f t="shared" si="66"/>
        <v>0</v>
      </c>
      <c r="BS46" s="698">
        <f t="shared" si="67"/>
        <v>-992512076</v>
      </c>
      <c r="BT46" s="698">
        <f t="shared" si="68"/>
        <v>-4646040425</v>
      </c>
      <c r="BU46" s="698">
        <f t="shared" si="69"/>
        <v>-4646040425</v>
      </c>
      <c r="BV46" s="699"/>
      <c r="BW46" s="698">
        <f t="shared" si="70"/>
        <v>-3682988012</v>
      </c>
      <c r="BX46" s="698">
        <f t="shared" si="71"/>
        <v>-6721308356</v>
      </c>
      <c r="BY46" s="698">
        <f t="shared" si="72"/>
        <v>-5112749834</v>
      </c>
      <c r="BZ46" s="697">
        <f t="shared" si="73"/>
        <v>-6994019168</v>
      </c>
      <c r="CA46" s="699"/>
      <c r="CB46" s="697">
        <f t="shared" si="74"/>
        <v>-283333333</v>
      </c>
      <c r="CC46" s="697">
        <f t="shared" si="75"/>
        <v>-1017908333</v>
      </c>
      <c r="CD46" s="697">
        <f t="shared" si="76"/>
        <v>-1643333333</v>
      </c>
      <c r="CE46" s="697">
        <f t="shared" si="77"/>
        <v>-2323333333</v>
      </c>
      <c r="CF46" s="699"/>
      <c r="CG46" s="697">
        <f t="shared" si="78"/>
        <v>0</v>
      </c>
      <c r="CH46" s="697">
        <f t="shared" si="79"/>
        <v>0</v>
      </c>
      <c r="CI46" s="697">
        <f t="shared" si="80"/>
        <v>0</v>
      </c>
      <c r="CJ46" s="697">
        <f t="shared" si="81"/>
        <v>0</v>
      </c>
      <c r="CK46" s="699"/>
      <c r="CL46" s="698">
        <f t="shared" si="82"/>
        <v>0</v>
      </c>
      <c r="CM46" s="698">
        <f t="shared" si="83"/>
        <v>0</v>
      </c>
      <c r="CN46" s="698">
        <f t="shared" si="84"/>
        <v>0</v>
      </c>
      <c r="CO46" s="697">
        <f t="shared" si="85"/>
        <v>0</v>
      </c>
      <c r="CQ46" s="698">
        <f>SUMIF('1.PL (VND) '!$BL$6:$CD$6,'1.PL (VND) '!CP$6,$BM46:$CE46)</f>
        <v>-31832066824</v>
      </c>
      <c r="CR46" s="698">
        <f>SUMIF('1.PL (VND) '!$BL$6:$CD$6,'1.PL (VND) '!CQ$6,$BM46:$CE46)</f>
        <v>-42969622515</v>
      </c>
      <c r="CS46" s="698">
        <f>SUMIF('1.PL (VND) '!$BL$6:$CD$6,'1.PL (VND) '!CR$6,$BM46:$CE46)</f>
        <v>-59631405614</v>
      </c>
      <c r="CT46" s="698">
        <f>SUMIF('1.PL (VND) '!$BL$6:$CD$6,'1.PL (VND) '!CS$6,$BM46:$CE46)</f>
        <v>-63266278836</v>
      </c>
      <c r="CV46" s="702">
        <f>-SUMIFS('1.DC_Ra soat'!$L:$L,'1.DC_Ra soat'!$F:$F,'1.PL (VND) '!DK$4,'1.DC_Ra soat'!$H:$H,'1.BS (VND)'!$D46)+SUMIFS('1.DC_Ra soat'!$L:$L,'1.DC_Ra soat'!$F:$F,'1.PL (VND) '!DK$4,'1.DC_Ra soat'!$I:$I,'1.BS (VND)'!$D46)</f>
        <v>0</v>
      </c>
      <c r="CW46" s="702">
        <f>-SUMIFS('1.DC_Ra soat'!$L:$L,'1.DC_Ra soat'!$F:$F,'1.PL (VND) '!DL$4,'1.DC_Ra soat'!$H:$H,'1.BS (VND)'!$D46)+SUMIFS('1.DC_Ra soat'!$L:$L,'1.DC_Ra soat'!$F:$F,'1.PL (VND) '!DL$4,'1.DC_Ra soat'!$I:$I,'1.BS (VND)'!$D46)</f>
        <v>0</v>
      </c>
      <c r="CX46" s="702">
        <f>-SUMIFS('1.DC_Ra soat'!$L:$L,'1.DC_Ra soat'!$F:$F,'1.PL (VND) '!DM$4,'1.DC_Ra soat'!$H:$H,'1.BS (VND)'!$D46)+SUMIFS('1.DC_Ra soat'!$L:$L,'1.DC_Ra soat'!$F:$F,'1.PL (VND) '!DM$4,'1.DC_Ra soat'!$I:$I,'1.BS (VND)'!$D46)</f>
        <v>0</v>
      </c>
      <c r="CY46" s="702">
        <f>-SUMIFS('1.DC_Ra soat'!$L:$L,'1.DC_Ra soat'!$F:$F,'1.PL (VND) '!DN$4,'1.DC_Ra soat'!$H:$H,'1.BS (VND)'!$D46)+SUMIFS('1.DC_Ra soat'!$L:$L,'1.DC_Ra soat'!$F:$F,'1.PL (VND) '!DN$4,'1.DC_Ra soat'!$I:$I,'1.BS (VND)'!$D46)</f>
        <v>0</v>
      </c>
      <c r="DA46" s="698">
        <f t="shared" si="86"/>
        <v>-31832066824</v>
      </c>
      <c r="DB46" s="698">
        <f t="shared" si="87"/>
        <v>-42969622515</v>
      </c>
      <c r="DC46" s="698">
        <f t="shared" si="88"/>
        <v>-59631405614</v>
      </c>
      <c r="DD46" s="698">
        <f t="shared" si="89"/>
        <v>-63266278836</v>
      </c>
      <c r="DH46" s="701"/>
    </row>
    <row r="47" spans="1:112" s="248" customFormat="1" x14ac:dyDescent="0.25">
      <c r="A47" s="248" t="str">
        <f t="shared" si="40"/>
        <v>hide</v>
      </c>
      <c r="C47" s="259" t="s">
        <v>581</v>
      </c>
      <c r="D47" s="260" t="s">
        <v>367</v>
      </c>
      <c r="E47" s="725">
        <f>SUM(E48:E49)</f>
        <v>0</v>
      </c>
      <c r="F47" s="725">
        <f>SUM(F48:F49)</f>
        <v>0</v>
      </c>
      <c r="G47" s="725">
        <f>SUM(G48:G49)</f>
        <v>0</v>
      </c>
      <c r="H47" s="726">
        <f>SUM(H48:H49)</f>
        <v>0</v>
      </c>
      <c r="I47" s="230"/>
      <c r="J47" s="241"/>
      <c r="K47" s="241"/>
      <c r="L47" s="241"/>
      <c r="M47" s="241">
        <v>0</v>
      </c>
      <c r="N47" s="230"/>
      <c r="O47" s="241"/>
      <c r="P47" s="241"/>
      <c r="Q47" s="241"/>
      <c r="R47" s="241"/>
      <c r="S47" s="230"/>
      <c r="T47" s="241"/>
      <c r="U47" s="241"/>
      <c r="V47" s="241"/>
      <c r="W47" s="241"/>
      <c r="X47" s="230"/>
      <c r="Y47" s="241"/>
      <c r="Z47" s="241"/>
      <c r="AA47" s="241"/>
      <c r="AB47" s="241"/>
      <c r="AC47" s="230"/>
      <c r="AD47" s="241"/>
      <c r="AE47" s="241"/>
      <c r="AF47" s="241"/>
      <c r="AG47" s="241"/>
      <c r="AI47" s="250">
        <f>SUM(AI48:AI49)</f>
        <v>0</v>
      </c>
      <c r="AJ47" s="250">
        <f>SUM(AJ48:AJ49)</f>
        <v>0</v>
      </c>
      <c r="AK47" s="250">
        <f>SUM(AK48:AK49)</f>
        <v>0</v>
      </c>
      <c r="AL47" s="250">
        <f t="shared" ref="AL47" si="98">SUM(AL48:AL49)</f>
        <v>0</v>
      </c>
      <c r="AM47" s="230"/>
      <c r="AN47" s="241"/>
      <c r="AO47" s="241"/>
      <c r="AP47" s="241"/>
      <c r="AQ47" s="241"/>
      <c r="AR47" s="230"/>
      <c r="AS47" s="244">
        <f>SUMIFS('1.DC_Ra soat'!$L:$L,'1.DC_Ra soat'!$F:$F,AS$4,'1.DC_Ra soat'!$H:$H,'1.BS (VND)'!$D47)-SUMIFS('1.DC_Ra soat'!$L:$L,'1.DC_Ra soat'!$F:$F,AS$4,'1.DC_Ra soat'!$I:$I,'1.BS (VND)'!$D47)</f>
        <v>0</v>
      </c>
      <c r="AT47" s="244">
        <f>SUMIFS('1.DC_Ra soat'!$L:$L,'1.DC_Ra soat'!$F:$F,AT$4,'1.DC_Ra soat'!$H:$H,'1.BS (VND)'!$D47)-SUMIFS('1.DC_Ra soat'!$L:$L,'1.DC_Ra soat'!$F:$F,AT$4,'1.DC_Ra soat'!$I:$I,'1.BS (VND)'!$D47)</f>
        <v>0</v>
      </c>
      <c r="AU47" s="244">
        <f>SUMIFS('1.DC_Ra soat'!$L:$L,'1.DC_Ra soat'!$F:$F,AU$4,'1.DC_Ra soat'!$H:$H,'1.BS (VND)'!$D47)-SUMIFS('1.DC_Ra soat'!$L:$L,'1.DC_Ra soat'!$F:$F,AU$4,'1.DC_Ra soat'!$I:$I,'1.BS (VND)'!$D47)</f>
        <v>0</v>
      </c>
      <c r="AV47" s="244">
        <f>SUMIFS('1.DC_Ra soat'!$L:$L,'1.DC_Ra soat'!$F:$F,AV$4,'1.DC_Ra soat'!$H:$H,'1.BS (VND)'!$D47)-SUMIFS('1.DC_Ra soat'!$L:$L,'1.DC_Ra soat'!$F:$F,AV$4,'1.DC_Ra soat'!$I:$I,'1.BS (VND)'!$D47)</f>
        <v>0</v>
      </c>
      <c r="AW47" s="230"/>
      <c r="AX47" s="241"/>
      <c r="AY47" s="241"/>
      <c r="AZ47" s="241"/>
      <c r="BA47" s="241"/>
      <c r="BB47" s="230"/>
      <c r="BC47" s="241"/>
      <c r="BD47" s="241"/>
      <c r="BE47" s="241"/>
      <c r="BF47" s="241"/>
      <c r="BG47" s="230"/>
      <c r="BH47" s="241"/>
      <c r="BI47" s="241"/>
      <c r="BJ47" s="241"/>
      <c r="BK47" s="247"/>
      <c r="BM47" s="241">
        <f t="shared" si="62"/>
        <v>0</v>
      </c>
      <c r="BN47" s="241">
        <f t="shared" si="63"/>
        <v>0</v>
      </c>
      <c r="BO47" s="241">
        <f t="shared" si="64"/>
        <v>0</v>
      </c>
      <c r="BP47" s="247">
        <f t="shared" si="65"/>
        <v>0</v>
      </c>
      <c r="BQ47" s="230"/>
      <c r="BR47" s="241">
        <f t="shared" si="66"/>
        <v>0</v>
      </c>
      <c r="BS47" s="241">
        <f t="shared" si="67"/>
        <v>0</v>
      </c>
      <c r="BT47" s="241">
        <f t="shared" si="68"/>
        <v>0</v>
      </c>
      <c r="BU47" s="241">
        <f t="shared" si="69"/>
        <v>0</v>
      </c>
      <c r="BV47" s="230"/>
      <c r="BW47" s="241">
        <f t="shared" si="70"/>
        <v>0</v>
      </c>
      <c r="BX47" s="241">
        <f t="shared" si="71"/>
        <v>0</v>
      </c>
      <c r="BY47" s="241">
        <f t="shared" si="72"/>
        <v>0</v>
      </c>
      <c r="BZ47" s="247">
        <f t="shared" si="73"/>
        <v>0</v>
      </c>
      <c r="CA47" s="230"/>
      <c r="CB47" s="247">
        <f t="shared" si="74"/>
        <v>0</v>
      </c>
      <c r="CC47" s="247">
        <f t="shared" si="75"/>
        <v>0</v>
      </c>
      <c r="CD47" s="247">
        <f t="shared" si="76"/>
        <v>0</v>
      </c>
      <c r="CE47" s="247">
        <f t="shared" si="77"/>
        <v>0</v>
      </c>
      <c r="CF47" s="230"/>
      <c r="CG47" s="247">
        <f t="shared" si="78"/>
        <v>0</v>
      </c>
      <c r="CH47" s="247">
        <f t="shared" si="79"/>
        <v>0</v>
      </c>
      <c r="CI47" s="247">
        <f t="shared" si="80"/>
        <v>0</v>
      </c>
      <c r="CJ47" s="247">
        <f t="shared" si="81"/>
        <v>0</v>
      </c>
      <c r="CK47" s="230"/>
      <c r="CL47" s="241">
        <f t="shared" si="82"/>
        <v>0</v>
      </c>
      <c r="CM47" s="241">
        <f t="shared" si="83"/>
        <v>0</v>
      </c>
      <c r="CN47" s="241">
        <f t="shared" si="84"/>
        <v>0</v>
      </c>
      <c r="CO47" s="247">
        <f t="shared" si="85"/>
        <v>0</v>
      </c>
      <c r="CQ47" s="241">
        <f>SUMIF('1.PL (VND) '!$BL$6:$CD$6,'1.PL (VND) '!CP$6,$BM47:$CE47)</f>
        <v>0</v>
      </c>
      <c r="CR47" s="241">
        <f>SUMIF('1.PL (VND) '!$BL$6:$CD$6,'1.PL (VND) '!CQ$6,$BM47:$CE47)</f>
        <v>0</v>
      </c>
      <c r="CS47" s="241">
        <f>SUMIF('1.PL (VND) '!$BL$6:$CD$6,'1.PL (VND) '!CR$6,$BM47:$CE47)</f>
        <v>0</v>
      </c>
      <c r="CT47" s="241">
        <f>SUMIF('1.PL (VND) '!$BL$6:$CD$6,'1.PL (VND) '!CS$6,$BM47:$CE47)</f>
        <v>0</v>
      </c>
      <c r="CV47" s="241"/>
      <c r="CW47" s="241"/>
      <c r="CX47" s="241"/>
      <c r="CY47" s="247"/>
      <c r="DA47" s="241">
        <f t="shared" si="86"/>
        <v>0</v>
      </c>
      <c r="DB47" s="241">
        <f t="shared" si="87"/>
        <v>0</v>
      </c>
      <c r="DC47" s="241">
        <f t="shared" si="88"/>
        <v>0</v>
      </c>
      <c r="DD47" s="241">
        <f t="shared" si="89"/>
        <v>0</v>
      </c>
    </row>
    <row r="48" spans="1:112" s="700" customFormat="1" x14ac:dyDescent="0.25">
      <c r="A48" s="248" t="str">
        <f t="shared" si="40"/>
        <v>hide</v>
      </c>
      <c r="C48" s="703" t="s">
        <v>363</v>
      </c>
      <c r="D48" s="704" t="s">
        <v>368</v>
      </c>
      <c r="E48" s="721"/>
      <c r="F48" s="721"/>
      <c r="G48" s="721"/>
      <c r="H48" s="722"/>
      <c r="I48" s="699"/>
      <c r="J48" s="698"/>
      <c r="K48" s="698"/>
      <c r="L48" s="698"/>
      <c r="M48" s="241">
        <v>0</v>
      </c>
      <c r="N48" s="699"/>
      <c r="O48" s="698"/>
      <c r="P48" s="698"/>
      <c r="Q48" s="698"/>
      <c r="R48" s="698"/>
      <c r="S48" s="699"/>
      <c r="T48" s="698"/>
      <c r="U48" s="698"/>
      <c r="V48" s="698"/>
      <c r="W48" s="698"/>
      <c r="X48" s="699"/>
      <c r="Y48" s="698"/>
      <c r="Z48" s="698"/>
      <c r="AA48" s="698"/>
      <c r="AB48" s="698"/>
      <c r="AC48" s="699"/>
      <c r="AD48" s="698"/>
      <c r="AE48" s="698"/>
      <c r="AF48" s="698"/>
      <c r="AG48" s="698"/>
      <c r="AI48" s="698">
        <f>SUMIFS('1.DC_Ra soat'!$L:$L,'1.DC_Ra soat'!$F:$F,AI$4,'1.DC_Ra soat'!$H:$H,'1.BS (VND)'!$D48)-SUMIFS('1.DC_Ra soat'!$L:$L,'1.DC_Ra soat'!$F:$F,AI$4,'1.DC_Ra soat'!$I:$I,'1.BS (VND)'!$D48)</f>
        <v>0</v>
      </c>
      <c r="AJ48" s="698">
        <f>SUMIFS('1.DC_Ra soat'!$L:$L,'1.DC_Ra soat'!$F:$F,AJ$4,'1.DC_Ra soat'!$H:$H,'1.BS (VND)'!$D48)-SUMIFS('1.DC_Ra soat'!$L:$L,'1.DC_Ra soat'!$F:$F,AJ$4,'1.DC_Ra soat'!$I:$I,'1.BS (VND)'!$D48)</f>
        <v>0</v>
      </c>
      <c r="AK48" s="698">
        <f>SUMIFS('1.DC_Ra soat'!$L:$L,'1.DC_Ra soat'!$F:$F,AK$4,'1.DC_Ra soat'!$H:$H,'1.BS (VND)'!$D48)-SUMIFS('1.DC_Ra soat'!$L:$L,'1.DC_Ra soat'!$F:$F,AK$4,'1.DC_Ra soat'!$I:$I,'1.BS (VND)'!$D48)</f>
        <v>0</v>
      </c>
      <c r="AL48" s="698">
        <f>SUMIFS('1.DC_Ra soat'!$L:$L,'1.DC_Ra soat'!$F:$F,AL$4,'1.DC_Ra soat'!$H:$H,'1.BS (VND)'!$D48)-SUMIFS('1.DC_Ra soat'!$L:$L,'1.DC_Ra soat'!$F:$F,AL$4,'1.DC_Ra soat'!$I:$I,'1.BS (VND)'!$D48)</f>
        <v>0</v>
      </c>
      <c r="AM48" s="699"/>
      <c r="AN48" s="698">
        <f>SUMIFS('1.DC_Ra soat'!$L:$L,'1.DC_Ra soat'!$F:$F,AN$4,'1.DC_Ra soat'!$H:$H,'1.BS (VND)'!$D48)-SUMIFS('1.DC_Ra soat'!$L:$L,'1.DC_Ra soat'!$F:$F,AN$4,'1.DC_Ra soat'!$I:$I,'1.BS (VND)'!$D48)</f>
        <v>0</v>
      </c>
      <c r="AO48" s="698">
        <f>SUMIFS('1.DC_Ra soat'!$L:$L,'1.DC_Ra soat'!$F:$F,AO$4,'1.DC_Ra soat'!$H:$H,'1.BS (VND)'!$D48)-SUMIFS('1.DC_Ra soat'!$L:$L,'1.DC_Ra soat'!$F:$F,AO$4,'1.DC_Ra soat'!$I:$I,'1.BS (VND)'!$D48)</f>
        <v>0</v>
      </c>
      <c r="AP48" s="698">
        <f>SUMIFS('1.DC_Ra soat'!$L:$L,'1.DC_Ra soat'!$F:$F,AP$4,'1.DC_Ra soat'!$H:$H,'1.BS (VND)'!$D48)-SUMIFS('1.DC_Ra soat'!$L:$L,'1.DC_Ra soat'!$F:$F,AP$4,'1.DC_Ra soat'!$I:$I,'1.BS (VND)'!$D48)</f>
        <v>0</v>
      </c>
      <c r="AQ48" s="698">
        <f>SUMIFS('1.DC_Ra soat'!$L:$L,'1.DC_Ra soat'!$F:$F,AQ$4,'1.DC_Ra soat'!$H:$H,'1.BS (VND)'!$D48)-SUMIFS('1.DC_Ra soat'!$L:$L,'1.DC_Ra soat'!$F:$F,AQ$4,'1.DC_Ra soat'!$I:$I,'1.BS (VND)'!$D48)</f>
        <v>0</v>
      </c>
      <c r="AR48" s="699"/>
      <c r="AS48" s="698">
        <f>SUMIFS('1.DC_Ra soat'!$L:$L,'1.DC_Ra soat'!$F:$F,AS$4,'1.DC_Ra soat'!$H:$H,'1.BS (VND)'!$D48)-SUMIFS('1.DC_Ra soat'!$L:$L,'1.DC_Ra soat'!$F:$F,AS$4,'1.DC_Ra soat'!$I:$I,'1.BS (VND)'!$D48)</f>
        <v>0</v>
      </c>
      <c r="AT48" s="698">
        <f>SUMIFS('1.DC_Ra soat'!$L:$L,'1.DC_Ra soat'!$F:$F,AT$4,'1.DC_Ra soat'!$H:$H,'1.BS (VND)'!$D48)-SUMIFS('1.DC_Ra soat'!$L:$L,'1.DC_Ra soat'!$F:$F,AT$4,'1.DC_Ra soat'!$I:$I,'1.BS (VND)'!$D48)</f>
        <v>0</v>
      </c>
      <c r="AU48" s="698">
        <f>SUMIFS('1.DC_Ra soat'!$L:$L,'1.DC_Ra soat'!$F:$F,AU$4,'1.DC_Ra soat'!$H:$H,'1.BS (VND)'!$D48)-SUMIFS('1.DC_Ra soat'!$L:$L,'1.DC_Ra soat'!$F:$F,AU$4,'1.DC_Ra soat'!$I:$I,'1.BS (VND)'!$D48)</f>
        <v>0</v>
      </c>
      <c r="AV48" s="698">
        <f>SUMIFS('1.DC_Ra soat'!$L:$L,'1.DC_Ra soat'!$F:$F,AV$4,'1.DC_Ra soat'!$H:$H,'1.BS (VND)'!$D48)-SUMIFS('1.DC_Ra soat'!$L:$L,'1.DC_Ra soat'!$F:$F,AV$4,'1.DC_Ra soat'!$I:$I,'1.BS (VND)'!$D48)</f>
        <v>0</v>
      </c>
      <c r="AW48" s="699"/>
      <c r="AX48" s="698">
        <f>SUMIFS('1.DC_Ra soat'!$L:$L,'1.DC_Ra soat'!$F:$F,'1.PL (VND) '!BC$4,'1.DC_Ra soat'!$H:$H,'1.BS (VND)'!$D48)-SUMIFS('1.DC_Ra soat'!$L:$L,'1.DC_Ra soat'!$F:$F,'1.PL (VND) '!BC$4,'1.DC_Ra soat'!$I:$I,'1.BS (VND)'!$D48)</f>
        <v>0</v>
      </c>
      <c r="AY48" s="698">
        <f>SUMIFS('1.DC_Ra soat'!$L:$L,'1.DC_Ra soat'!$F:$F,'1.PL (VND) '!BD$4,'1.DC_Ra soat'!$H:$H,'1.BS (VND)'!$D48)-SUMIFS('1.DC_Ra soat'!$L:$L,'1.DC_Ra soat'!$F:$F,'1.PL (VND) '!BD$4,'1.DC_Ra soat'!$I:$I,'1.BS (VND)'!$D48)</f>
        <v>0</v>
      </c>
      <c r="AZ48" s="698">
        <f>SUMIFS('1.DC_Ra soat'!$L:$L,'1.DC_Ra soat'!$F:$F,'1.PL (VND) '!BE$4,'1.DC_Ra soat'!$H:$H,'1.BS (VND)'!$D48)-SUMIFS('1.DC_Ra soat'!$L:$L,'1.DC_Ra soat'!$F:$F,'1.PL (VND) '!BE$4,'1.DC_Ra soat'!$I:$I,'1.BS (VND)'!$D48)</f>
        <v>0</v>
      </c>
      <c r="BA48" s="698">
        <f>SUMIFS('1.DC_Ra soat'!$L:$L,'1.DC_Ra soat'!$F:$F,'1.PL (VND) '!BF$4,'1.DC_Ra soat'!$H:$H,'1.BS (VND)'!$D48)-SUMIFS('1.DC_Ra soat'!$L:$L,'1.DC_Ra soat'!$F:$F,'1.PL (VND) '!BF$4,'1.DC_Ra soat'!$I:$I,'1.BS (VND)'!$D48)</f>
        <v>0</v>
      </c>
      <c r="BB48" s="699"/>
      <c r="BC48" s="698">
        <f>SUMIFS('1.DC_Ra soat'!$L:$L,'1.DC_Ra soat'!$F:$F,'1.PL (VND) '!BI$4,'1.DC_Ra soat'!$H:$H,'1.BS (VND)'!$D48)-SUMIFS('1.DC_Ra soat'!$L:$L,'1.DC_Ra soat'!$F:$F,'1.PL (VND) '!BI$4,'1.DC_Ra soat'!$I:$I,'1.BS (VND)'!$D48)</f>
        <v>0</v>
      </c>
      <c r="BD48" s="698">
        <f>SUMIFS('1.DC_Ra soat'!$L:$L,'1.DC_Ra soat'!$F:$F,'1.PL (VND) '!BJ$4,'1.DC_Ra soat'!$H:$H,'1.BS (VND)'!$D48)-SUMIFS('1.DC_Ra soat'!$L:$L,'1.DC_Ra soat'!$F:$F,'1.PL (VND) '!BJ$4,'1.DC_Ra soat'!$I:$I,'1.BS (VND)'!$D48)</f>
        <v>0</v>
      </c>
      <c r="BE48" s="698">
        <f>SUMIFS('1.DC_Ra soat'!$L:$L,'1.DC_Ra soat'!$F:$F,'1.PL (VND) '!BK$4,'1.DC_Ra soat'!$H:$H,'1.BS (VND)'!$D48)-SUMIFS('1.DC_Ra soat'!$L:$L,'1.DC_Ra soat'!$F:$F,'1.PL (VND) '!BK$4,'1.DC_Ra soat'!$I:$I,'1.BS (VND)'!$D48)</f>
        <v>0</v>
      </c>
      <c r="BF48" s="698">
        <f>SUMIFS('1.DC_Ra soat'!$L:$L,'1.DC_Ra soat'!$F:$F,'1.PL (VND) '!BL$4,'1.DC_Ra soat'!$H:$H,'1.BS (VND)'!$D48)-SUMIFS('1.DC_Ra soat'!$L:$L,'1.DC_Ra soat'!$F:$F,'1.PL (VND) '!BL$4,'1.DC_Ra soat'!$I:$I,'1.BS (VND)'!$D48)</f>
        <v>0</v>
      </c>
      <c r="BG48" s="699"/>
      <c r="BH48" s="698">
        <f>SUMIFS('1.DC_Ra soat'!$L:$L,'1.DC_Ra soat'!$F:$F,'1.PL (VND) '!BO$4,'1.DC_Ra soat'!$H:$H,'1.BS (VND)'!$D48)-SUMIFS('1.DC_Ra soat'!$L:$L,'1.DC_Ra soat'!$F:$F,'1.PL (VND) '!BO$4,'1.DC_Ra soat'!$I:$I,'1.BS (VND)'!$D48)</f>
        <v>0</v>
      </c>
      <c r="BI48" s="698">
        <f>SUMIFS('1.DC_Ra soat'!$L:$L,'1.DC_Ra soat'!$F:$F,'1.PL (VND) '!BP$4,'1.DC_Ra soat'!$H:$H,'1.BS (VND)'!$D48)-SUMIFS('1.DC_Ra soat'!$L:$L,'1.DC_Ra soat'!$F:$F,'1.PL (VND) '!BP$4,'1.DC_Ra soat'!$I:$I,'1.BS (VND)'!$D48)</f>
        <v>0</v>
      </c>
      <c r="BJ48" s="698">
        <f>SUMIFS('1.DC_Ra soat'!$L:$L,'1.DC_Ra soat'!$F:$F,'1.PL (VND) '!BQ$4,'1.DC_Ra soat'!$H:$H,'1.BS (VND)'!$D48)-SUMIFS('1.DC_Ra soat'!$L:$L,'1.DC_Ra soat'!$F:$F,'1.PL (VND) '!BQ$4,'1.DC_Ra soat'!$I:$I,'1.BS (VND)'!$D48)</f>
        <v>0</v>
      </c>
      <c r="BK48" s="698">
        <f>SUMIFS('1.DC_Ra soat'!$L:$L,'1.DC_Ra soat'!$F:$F,'1.PL (VND) '!BR$4,'1.DC_Ra soat'!$H:$H,'1.BS (VND)'!$D48)-SUMIFS('1.DC_Ra soat'!$L:$L,'1.DC_Ra soat'!$F:$F,'1.PL (VND) '!BR$4,'1.DC_Ra soat'!$I:$I,'1.BS (VND)'!$D48)</f>
        <v>0</v>
      </c>
      <c r="BM48" s="698">
        <f t="shared" si="62"/>
        <v>0</v>
      </c>
      <c r="BN48" s="698">
        <f t="shared" si="63"/>
        <v>0</v>
      </c>
      <c r="BO48" s="698">
        <f t="shared" si="64"/>
        <v>0</v>
      </c>
      <c r="BP48" s="697">
        <f t="shared" si="65"/>
        <v>0</v>
      </c>
      <c r="BQ48" s="699"/>
      <c r="BR48" s="698">
        <f t="shared" si="66"/>
        <v>0</v>
      </c>
      <c r="BS48" s="698">
        <f t="shared" si="67"/>
        <v>0</v>
      </c>
      <c r="BT48" s="698">
        <f t="shared" si="68"/>
        <v>0</v>
      </c>
      <c r="BU48" s="698">
        <f t="shared" si="69"/>
        <v>0</v>
      </c>
      <c r="BV48" s="699"/>
      <c r="BW48" s="698">
        <f t="shared" si="70"/>
        <v>0</v>
      </c>
      <c r="BX48" s="698">
        <f t="shared" si="71"/>
        <v>0</v>
      </c>
      <c r="BY48" s="698">
        <f t="shared" si="72"/>
        <v>0</v>
      </c>
      <c r="BZ48" s="697">
        <f t="shared" si="73"/>
        <v>0</v>
      </c>
      <c r="CA48" s="699"/>
      <c r="CB48" s="697">
        <f t="shared" si="74"/>
        <v>0</v>
      </c>
      <c r="CC48" s="697">
        <f t="shared" si="75"/>
        <v>0</v>
      </c>
      <c r="CD48" s="697">
        <f t="shared" si="76"/>
        <v>0</v>
      </c>
      <c r="CE48" s="697">
        <f t="shared" si="77"/>
        <v>0</v>
      </c>
      <c r="CF48" s="699"/>
      <c r="CG48" s="697">
        <f t="shared" si="78"/>
        <v>0</v>
      </c>
      <c r="CH48" s="697">
        <f t="shared" si="79"/>
        <v>0</v>
      </c>
      <c r="CI48" s="697">
        <f t="shared" si="80"/>
        <v>0</v>
      </c>
      <c r="CJ48" s="697">
        <f t="shared" si="81"/>
        <v>0</v>
      </c>
      <c r="CK48" s="699"/>
      <c r="CL48" s="698">
        <f t="shared" si="82"/>
        <v>0</v>
      </c>
      <c r="CM48" s="698">
        <f t="shared" si="83"/>
        <v>0</v>
      </c>
      <c r="CN48" s="698">
        <f t="shared" si="84"/>
        <v>0</v>
      </c>
      <c r="CO48" s="697">
        <f t="shared" si="85"/>
        <v>0</v>
      </c>
      <c r="CQ48" s="698">
        <f>SUMIF('1.PL (VND) '!$BL$6:$CD$6,'1.PL (VND) '!CP$6,$BM48:$CE48)</f>
        <v>0</v>
      </c>
      <c r="CR48" s="698">
        <f>SUMIF('1.PL (VND) '!$BL$6:$CD$6,'1.PL (VND) '!CQ$6,$BM48:$CE48)</f>
        <v>0</v>
      </c>
      <c r="CS48" s="698">
        <f>SUMIF('1.PL (VND) '!$BL$6:$CD$6,'1.PL (VND) '!CR$6,$BM48:$CE48)</f>
        <v>0</v>
      </c>
      <c r="CT48" s="698">
        <f>SUMIF('1.PL (VND) '!$BL$6:$CD$6,'1.PL (VND) '!CS$6,$BM48:$CE48)</f>
        <v>0</v>
      </c>
      <c r="CV48" s="702">
        <f>-SUMIFS('1.DC_Ra soat'!$L:$L,'1.DC_Ra soat'!$F:$F,'1.PL (VND) '!DK$4,'1.DC_Ra soat'!$H:$H,'1.BS (VND)'!$D48)+SUMIFS('1.DC_Ra soat'!$L:$L,'1.DC_Ra soat'!$F:$F,'1.PL (VND) '!DK$4,'1.DC_Ra soat'!$I:$I,'1.BS (VND)'!$D48)</f>
        <v>0</v>
      </c>
      <c r="CW48" s="702">
        <f>-SUMIFS('1.DC_Ra soat'!$L:$L,'1.DC_Ra soat'!$F:$F,'1.PL (VND) '!DL$4,'1.DC_Ra soat'!$H:$H,'1.BS (VND)'!$D48)+SUMIFS('1.DC_Ra soat'!$L:$L,'1.DC_Ra soat'!$F:$F,'1.PL (VND) '!DL$4,'1.DC_Ra soat'!$I:$I,'1.BS (VND)'!$D48)</f>
        <v>0</v>
      </c>
      <c r="CX48" s="702">
        <f>-SUMIFS('1.DC_Ra soat'!$L:$L,'1.DC_Ra soat'!$F:$F,'1.PL (VND) '!DM$4,'1.DC_Ra soat'!$H:$H,'1.BS (VND)'!$D48)+SUMIFS('1.DC_Ra soat'!$L:$L,'1.DC_Ra soat'!$F:$F,'1.PL (VND) '!DM$4,'1.DC_Ra soat'!$I:$I,'1.BS (VND)'!$D48)</f>
        <v>0</v>
      </c>
      <c r="CY48" s="702">
        <f>-SUMIFS('1.DC_Ra soat'!$L:$L,'1.DC_Ra soat'!$F:$F,'1.PL (VND) '!DN$4,'1.DC_Ra soat'!$H:$H,'1.BS (VND)'!$D48)+SUMIFS('1.DC_Ra soat'!$L:$L,'1.DC_Ra soat'!$F:$F,'1.PL (VND) '!DN$4,'1.DC_Ra soat'!$I:$I,'1.BS (VND)'!$D48)</f>
        <v>0</v>
      </c>
      <c r="DA48" s="698">
        <f t="shared" si="86"/>
        <v>0</v>
      </c>
      <c r="DB48" s="698">
        <f t="shared" si="87"/>
        <v>0</v>
      </c>
      <c r="DC48" s="698">
        <f t="shared" si="88"/>
        <v>0</v>
      </c>
      <c r="DD48" s="698">
        <f t="shared" si="89"/>
        <v>0</v>
      </c>
    </row>
    <row r="49" spans="1:112" s="700" customFormat="1" x14ac:dyDescent="0.25">
      <c r="A49" s="248" t="str">
        <f t="shared" si="40"/>
        <v>hide</v>
      </c>
      <c r="C49" s="703" t="s">
        <v>365</v>
      </c>
      <c r="D49" s="704" t="s">
        <v>369</v>
      </c>
      <c r="E49" s="721"/>
      <c r="F49" s="721"/>
      <c r="G49" s="721"/>
      <c r="H49" s="722"/>
      <c r="I49" s="699"/>
      <c r="J49" s="698"/>
      <c r="K49" s="698"/>
      <c r="L49" s="698"/>
      <c r="M49" s="241">
        <v>0</v>
      </c>
      <c r="N49" s="699"/>
      <c r="O49" s="698"/>
      <c r="P49" s="698"/>
      <c r="Q49" s="698"/>
      <c r="R49" s="698"/>
      <c r="S49" s="699"/>
      <c r="T49" s="698"/>
      <c r="U49" s="698"/>
      <c r="V49" s="698"/>
      <c r="W49" s="698"/>
      <c r="X49" s="699"/>
      <c r="Y49" s="698"/>
      <c r="Z49" s="698"/>
      <c r="AA49" s="698"/>
      <c r="AB49" s="698"/>
      <c r="AC49" s="699"/>
      <c r="AD49" s="698"/>
      <c r="AE49" s="698"/>
      <c r="AF49" s="698"/>
      <c r="AG49" s="698"/>
      <c r="AI49" s="698">
        <f>SUMIFS('1.DC_Ra soat'!$L:$L,'1.DC_Ra soat'!$F:$F,AI$4,'1.DC_Ra soat'!$H:$H,'1.BS (VND)'!$D49)-SUMIFS('1.DC_Ra soat'!$L:$L,'1.DC_Ra soat'!$F:$F,AI$4,'1.DC_Ra soat'!$I:$I,'1.BS (VND)'!$D49)</f>
        <v>0</v>
      </c>
      <c r="AJ49" s="698">
        <f>SUMIFS('1.DC_Ra soat'!$L:$L,'1.DC_Ra soat'!$F:$F,AJ$4,'1.DC_Ra soat'!$H:$H,'1.BS (VND)'!$D49)-SUMIFS('1.DC_Ra soat'!$L:$L,'1.DC_Ra soat'!$F:$F,AJ$4,'1.DC_Ra soat'!$I:$I,'1.BS (VND)'!$D49)</f>
        <v>0</v>
      </c>
      <c r="AK49" s="698">
        <f>SUMIFS('1.DC_Ra soat'!$L:$L,'1.DC_Ra soat'!$F:$F,AK$4,'1.DC_Ra soat'!$H:$H,'1.BS (VND)'!$D49)-SUMIFS('1.DC_Ra soat'!$L:$L,'1.DC_Ra soat'!$F:$F,AK$4,'1.DC_Ra soat'!$I:$I,'1.BS (VND)'!$D49)</f>
        <v>0</v>
      </c>
      <c r="AL49" s="698">
        <f>SUMIFS('1.DC_Ra soat'!$L:$L,'1.DC_Ra soat'!$F:$F,AL$4,'1.DC_Ra soat'!$H:$H,'1.BS (VND)'!$D49)-SUMIFS('1.DC_Ra soat'!$L:$L,'1.DC_Ra soat'!$F:$F,AL$4,'1.DC_Ra soat'!$I:$I,'1.BS (VND)'!$D49)</f>
        <v>0</v>
      </c>
      <c r="AM49" s="699"/>
      <c r="AN49" s="698">
        <f>SUMIFS('1.DC_Ra soat'!$L:$L,'1.DC_Ra soat'!$F:$F,AN$4,'1.DC_Ra soat'!$H:$H,'1.BS (VND)'!$D49)-SUMIFS('1.DC_Ra soat'!$L:$L,'1.DC_Ra soat'!$F:$F,AN$4,'1.DC_Ra soat'!$I:$I,'1.BS (VND)'!$D49)</f>
        <v>0</v>
      </c>
      <c r="AO49" s="698">
        <f>SUMIFS('1.DC_Ra soat'!$L:$L,'1.DC_Ra soat'!$F:$F,AO$4,'1.DC_Ra soat'!$H:$H,'1.BS (VND)'!$D49)-SUMIFS('1.DC_Ra soat'!$L:$L,'1.DC_Ra soat'!$F:$F,AO$4,'1.DC_Ra soat'!$I:$I,'1.BS (VND)'!$D49)</f>
        <v>0</v>
      </c>
      <c r="AP49" s="698">
        <f>SUMIFS('1.DC_Ra soat'!$L:$L,'1.DC_Ra soat'!$F:$F,AP$4,'1.DC_Ra soat'!$H:$H,'1.BS (VND)'!$D49)-SUMIFS('1.DC_Ra soat'!$L:$L,'1.DC_Ra soat'!$F:$F,AP$4,'1.DC_Ra soat'!$I:$I,'1.BS (VND)'!$D49)</f>
        <v>0</v>
      </c>
      <c r="AQ49" s="698">
        <f>SUMIFS('1.DC_Ra soat'!$L:$L,'1.DC_Ra soat'!$F:$F,AQ$4,'1.DC_Ra soat'!$H:$H,'1.BS (VND)'!$D49)-SUMIFS('1.DC_Ra soat'!$L:$L,'1.DC_Ra soat'!$F:$F,AQ$4,'1.DC_Ra soat'!$I:$I,'1.BS (VND)'!$D49)</f>
        <v>0</v>
      </c>
      <c r="AR49" s="699"/>
      <c r="AS49" s="698">
        <f>SUMIFS('1.DC_Ra soat'!$L:$L,'1.DC_Ra soat'!$F:$F,AS$4,'1.DC_Ra soat'!$H:$H,'1.BS (VND)'!$D49)-SUMIFS('1.DC_Ra soat'!$L:$L,'1.DC_Ra soat'!$F:$F,AS$4,'1.DC_Ra soat'!$I:$I,'1.BS (VND)'!$D49)</f>
        <v>0</v>
      </c>
      <c r="AT49" s="698">
        <f>SUMIFS('1.DC_Ra soat'!$L:$L,'1.DC_Ra soat'!$F:$F,AT$4,'1.DC_Ra soat'!$H:$H,'1.BS (VND)'!$D49)-SUMIFS('1.DC_Ra soat'!$L:$L,'1.DC_Ra soat'!$F:$F,AT$4,'1.DC_Ra soat'!$I:$I,'1.BS (VND)'!$D49)</f>
        <v>0</v>
      </c>
      <c r="AU49" s="698">
        <f>SUMIFS('1.DC_Ra soat'!$L:$L,'1.DC_Ra soat'!$F:$F,AU$4,'1.DC_Ra soat'!$H:$H,'1.BS (VND)'!$D49)-SUMIFS('1.DC_Ra soat'!$L:$L,'1.DC_Ra soat'!$F:$F,AU$4,'1.DC_Ra soat'!$I:$I,'1.BS (VND)'!$D49)</f>
        <v>0</v>
      </c>
      <c r="AV49" s="698">
        <f>SUMIFS('1.DC_Ra soat'!$L:$L,'1.DC_Ra soat'!$F:$F,AV$4,'1.DC_Ra soat'!$H:$H,'1.BS (VND)'!$D49)-SUMIFS('1.DC_Ra soat'!$L:$L,'1.DC_Ra soat'!$F:$F,AV$4,'1.DC_Ra soat'!$I:$I,'1.BS (VND)'!$D49)</f>
        <v>0</v>
      </c>
      <c r="AW49" s="699"/>
      <c r="AX49" s="698">
        <f>SUMIFS('1.DC_Ra soat'!$L:$L,'1.DC_Ra soat'!$F:$F,'1.PL (VND) '!BC$4,'1.DC_Ra soat'!$H:$H,'1.BS (VND)'!$D49)-SUMIFS('1.DC_Ra soat'!$L:$L,'1.DC_Ra soat'!$F:$F,'1.PL (VND) '!BC$4,'1.DC_Ra soat'!$I:$I,'1.BS (VND)'!$D49)</f>
        <v>0</v>
      </c>
      <c r="AY49" s="698">
        <f>SUMIFS('1.DC_Ra soat'!$L:$L,'1.DC_Ra soat'!$F:$F,'1.PL (VND) '!BD$4,'1.DC_Ra soat'!$H:$H,'1.BS (VND)'!$D49)-SUMIFS('1.DC_Ra soat'!$L:$L,'1.DC_Ra soat'!$F:$F,'1.PL (VND) '!BD$4,'1.DC_Ra soat'!$I:$I,'1.BS (VND)'!$D49)</f>
        <v>0</v>
      </c>
      <c r="AZ49" s="698">
        <f>SUMIFS('1.DC_Ra soat'!$L:$L,'1.DC_Ra soat'!$F:$F,'1.PL (VND) '!BE$4,'1.DC_Ra soat'!$H:$H,'1.BS (VND)'!$D49)-SUMIFS('1.DC_Ra soat'!$L:$L,'1.DC_Ra soat'!$F:$F,'1.PL (VND) '!BE$4,'1.DC_Ra soat'!$I:$I,'1.BS (VND)'!$D49)</f>
        <v>0</v>
      </c>
      <c r="BA49" s="698">
        <f>SUMIFS('1.DC_Ra soat'!$L:$L,'1.DC_Ra soat'!$F:$F,'1.PL (VND) '!BF$4,'1.DC_Ra soat'!$H:$H,'1.BS (VND)'!$D49)-SUMIFS('1.DC_Ra soat'!$L:$L,'1.DC_Ra soat'!$F:$F,'1.PL (VND) '!BF$4,'1.DC_Ra soat'!$I:$I,'1.BS (VND)'!$D49)</f>
        <v>0</v>
      </c>
      <c r="BB49" s="699"/>
      <c r="BC49" s="698">
        <f>SUMIFS('1.DC_Ra soat'!$L:$L,'1.DC_Ra soat'!$F:$F,'1.PL (VND) '!BI$4,'1.DC_Ra soat'!$H:$H,'1.BS (VND)'!$D49)-SUMIFS('1.DC_Ra soat'!$L:$L,'1.DC_Ra soat'!$F:$F,'1.PL (VND) '!BI$4,'1.DC_Ra soat'!$I:$I,'1.BS (VND)'!$D49)</f>
        <v>0</v>
      </c>
      <c r="BD49" s="698">
        <f>SUMIFS('1.DC_Ra soat'!$L:$L,'1.DC_Ra soat'!$F:$F,'1.PL (VND) '!BJ$4,'1.DC_Ra soat'!$H:$H,'1.BS (VND)'!$D49)-SUMIFS('1.DC_Ra soat'!$L:$L,'1.DC_Ra soat'!$F:$F,'1.PL (VND) '!BJ$4,'1.DC_Ra soat'!$I:$I,'1.BS (VND)'!$D49)</f>
        <v>0</v>
      </c>
      <c r="BE49" s="698">
        <f>SUMIFS('1.DC_Ra soat'!$L:$L,'1.DC_Ra soat'!$F:$F,'1.PL (VND) '!BK$4,'1.DC_Ra soat'!$H:$H,'1.BS (VND)'!$D49)-SUMIFS('1.DC_Ra soat'!$L:$L,'1.DC_Ra soat'!$F:$F,'1.PL (VND) '!BK$4,'1.DC_Ra soat'!$I:$I,'1.BS (VND)'!$D49)</f>
        <v>0</v>
      </c>
      <c r="BF49" s="698">
        <f>SUMIFS('1.DC_Ra soat'!$L:$L,'1.DC_Ra soat'!$F:$F,'1.PL (VND) '!BL$4,'1.DC_Ra soat'!$H:$H,'1.BS (VND)'!$D49)-SUMIFS('1.DC_Ra soat'!$L:$L,'1.DC_Ra soat'!$F:$F,'1.PL (VND) '!BL$4,'1.DC_Ra soat'!$I:$I,'1.BS (VND)'!$D49)</f>
        <v>0</v>
      </c>
      <c r="BG49" s="699"/>
      <c r="BH49" s="698">
        <f>SUMIFS('1.DC_Ra soat'!$L:$L,'1.DC_Ra soat'!$F:$F,'1.PL (VND) '!BO$4,'1.DC_Ra soat'!$H:$H,'1.BS (VND)'!$D49)-SUMIFS('1.DC_Ra soat'!$L:$L,'1.DC_Ra soat'!$F:$F,'1.PL (VND) '!BO$4,'1.DC_Ra soat'!$I:$I,'1.BS (VND)'!$D49)</f>
        <v>0</v>
      </c>
      <c r="BI49" s="698">
        <f>SUMIFS('1.DC_Ra soat'!$L:$L,'1.DC_Ra soat'!$F:$F,'1.PL (VND) '!BP$4,'1.DC_Ra soat'!$H:$H,'1.BS (VND)'!$D49)-SUMIFS('1.DC_Ra soat'!$L:$L,'1.DC_Ra soat'!$F:$F,'1.PL (VND) '!BP$4,'1.DC_Ra soat'!$I:$I,'1.BS (VND)'!$D49)</f>
        <v>0</v>
      </c>
      <c r="BJ49" s="698">
        <f>SUMIFS('1.DC_Ra soat'!$L:$L,'1.DC_Ra soat'!$F:$F,'1.PL (VND) '!BQ$4,'1.DC_Ra soat'!$H:$H,'1.BS (VND)'!$D49)-SUMIFS('1.DC_Ra soat'!$L:$L,'1.DC_Ra soat'!$F:$F,'1.PL (VND) '!BQ$4,'1.DC_Ra soat'!$I:$I,'1.BS (VND)'!$D49)</f>
        <v>0</v>
      </c>
      <c r="BK49" s="698">
        <f>SUMIFS('1.DC_Ra soat'!$L:$L,'1.DC_Ra soat'!$F:$F,'1.PL (VND) '!BR$4,'1.DC_Ra soat'!$H:$H,'1.BS (VND)'!$D49)-SUMIFS('1.DC_Ra soat'!$L:$L,'1.DC_Ra soat'!$F:$F,'1.PL (VND) '!BR$4,'1.DC_Ra soat'!$I:$I,'1.BS (VND)'!$D49)</f>
        <v>0</v>
      </c>
      <c r="BM49" s="698">
        <f t="shared" si="62"/>
        <v>0</v>
      </c>
      <c r="BN49" s="698">
        <f t="shared" si="63"/>
        <v>0</v>
      </c>
      <c r="BO49" s="698">
        <f t="shared" si="64"/>
        <v>0</v>
      </c>
      <c r="BP49" s="697">
        <f t="shared" si="65"/>
        <v>0</v>
      </c>
      <c r="BQ49" s="699"/>
      <c r="BR49" s="698">
        <f t="shared" si="66"/>
        <v>0</v>
      </c>
      <c r="BS49" s="698">
        <f t="shared" si="67"/>
        <v>0</v>
      </c>
      <c r="BT49" s="698">
        <f t="shared" si="68"/>
        <v>0</v>
      </c>
      <c r="BU49" s="698">
        <f t="shared" si="69"/>
        <v>0</v>
      </c>
      <c r="BV49" s="699"/>
      <c r="BW49" s="698">
        <f t="shared" si="70"/>
        <v>0</v>
      </c>
      <c r="BX49" s="698">
        <f t="shared" si="71"/>
        <v>0</v>
      </c>
      <c r="BY49" s="698">
        <f t="shared" si="72"/>
        <v>0</v>
      </c>
      <c r="BZ49" s="697">
        <f t="shared" si="73"/>
        <v>0</v>
      </c>
      <c r="CA49" s="699"/>
      <c r="CB49" s="697">
        <f t="shared" si="74"/>
        <v>0</v>
      </c>
      <c r="CC49" s="697">
        <f t="shared" si="75"/>
        <v>0</v>
      </c>
      <c r="CD49" s="697">
        <f t="shared" si="76"/>
        <v>0</v>
      </c>
      <c r="CE49" s="697">
        <f t="shared" si="77"/>
        <v>0</v>
      </c>
      <c r="CF49" s="699"/>
      <c r="CG49" s="697">
        <f t="shared" si="78"/>
        <v>0</v>
      </c>
      <c r="CH49" s="697">
        <f t="shared" si="79"/>
        <v>0</v>
      </c>
      <c r="CI49" s="697">
        <f t="shared" si="80"/>
        <v>0</v>
      </c>
      <c r="CJ49" s="697">
        <f t="shared" si="81"/>
        <v>0</v>
      </c>
      <c r="CK49" s="699"/>
      <c r="CL49" s="698">
        <f t="shared" si="82"/>
        <v>0</v>
      </c>
      <c r="CM49" s="698">
        <f t="shared" si="83"/>
        <v>0</v>
      </c>
      <c r="CN49" s="698">
        <f t="shared" si="84"/>
        <v>0</v>
      </c>
      <c r="CO49" s="697">
        <f t="shared" si="85"/>
        <v>0</v>
      </c>
      <c r="CQ49" s="698">
        <f>SUMIF('1.PL (VND) '!$BL$6:$CD$6,'1.PL (VND) '!CP$6,$BM49:$CE49)</f>
        <v>0</v>
      </c>
      <c r="CR49" s="698">
        <f>SUMIF('1.PL (VND) '!$BL$6:$CD$6,'1.PL (VND) '!CQ$6,$BM49:$CE49)</f>
        <v>0</v>
      </c>
      <c r="CS49" s="698">
        <f>SUMIF('1.PL (VND) '!$BL$6:$CD$6,'1.PL (VND) '!CR$6,$BM49:$CE49)</f>
        <v>0</v>
      </c>
      <c r="CT49" s="698">
        <f>SUMIF('1.PL (VND) '!$BL$6:$CD$6,'1.PL (VND) '!CS$6,$BM49:$CE49)</f>
        <v>0</v>
      </c>
      <c r="CV49" s="702">
        <f>-SUMIFS('1.DC_Ra soat'!$L:$L,'1.DC_Ra soat'!$F:$F,'1.PL (VND) '!DK$4,'1.DC_Ra soat'!$H:$H,'1.BS (VND)'!$D49)+SUMIFS('1.DC_Ra soat'!$L:$L,'1.DC_Ra soat'!$F:$F,'1.PL (VND) '!DK$4,'1.DC_Ra soat'!$I:$I,'1.BS (VND)'!$D49)</f>
        <v>0</v>
      </c>
      <c r="CW49" s="702">
        <f>-SUMIFS('1.DC_Ra soat'!$L:$L,'1.DC_Ra soat'!$F:$F,'1.PL (VND) '!DL$4,'1.DC_Ra soat'!$H:$H,'1.BS (VND)'!$D49)+SUMIFS('1.DC_Ra soat'!$L:$L,'1.DC_Ra soat'!$F:$F,'1.PL (VND) '!DL$4,'1.DC_Ra soat'!$I:$I,'1.BS (VND)'!$D49)</f>
        <v>0</v>
      </c>
      <c r="CX49" s="702">
        <f>-SUMIFS('1.DC_Ra soat'!$L:$L,'1.DC_Ra soat'!$F:$F,'1.PL (VND) '!DM$4,'1.DC_Ra soat'!$H:$H,'1.BS (VND)'!$D49)+SUMIFS('1.DC_Ra soat'!$L:$L,'1.DC_Ra soat'!$F:$F,'1.PL (VND) '!DM$4,'1.DC_Ra soat'!$I:$I,'1.BS (VND)'!$D49)</f>
        <v>0</v>
      </c>
      <c r="CY49" s="702">
        <f>-SUMIFS('1.DC_Ra soat'!$L:$L,'1.DC_Ra soat'!$F:$F,'1.PL (VND) '!DN$4,'1.DC_Ra soat'!$H:$H,'1.BS (VND)'!$D49)+SUMIFS('1.DC_Ra soat'!$L:$L,'1.DC_Ra soat'!$F:$F,'1.PL (VND) '!DN$4,'1.DC_Ra soat'!$I:$I,'1.BS (VND)'!$D49)</f>
        <v>0</v>
      </c>
      <c r="DA49" s="698">
        <f t="shared" si="86"/>
        <v>0</v>
      </c>
      <c r="DB49" s="698">
        <f t="shared" si="87"/>
        <v>0</v>
      </c>
      <c r="DC49" s="698">
        <f t="shared" si="88"/>
        <v>0</v>
      </c>
      <c r="DD49" s="698">
        <f t="shared" si="89"/>
        <v>0</v>
      </c>
    </row>
    <row r="50" spans="1:112" s="248" customFormat="1" x14ac:dyDescent="0.25">
      <c r="A50" s="248" t="str">
        <f t="shared" si="40"/>
        <v>hide</v>
      </c>
      <c r="C50" s="259" t="s">
        <v>582</v>
      </c>
      <c r="D50" s="260" t="s">
        <v>370</v>
      </c>
      <c r="E50" s="725">
        <f>SUM(E51:E52)</f>
        <v>0</v>
      </c>
      <c r="F50" s="725">
        <f>SUM(F51:F52)</f>
        <v>0</v>
      </c>
      <c r="G50" s="725">
        <f>SUM(G51:G52)</f>
        <v>0</v>
      </c>
      <c r="H50" s="726">
        <f>SUM(H51:H52)</f>
        <v>0</v>
      </c>
      <c r="I50" s="230"/>
      <c r="J50" s="241"/>
      <c r="K50" s="241"/>
      <c r="L50" s="241"/>
      <c r="M50" s="241">
        <v>0</v>
      </c>
      <c r="N50" s="230"/>
      <c r="O50" s="241"/>
      <c r="P50" s="241"/>
      <c r="Q50" s="241"/>
      <c r="R50" s="241"/>
      <c r="S50" s="230"/>
      <c r="T50" s="241"/>
      <c r="U50" s="241"/>
      <c r="V50" s="241"/>
      <c r="W50" s="241"/>
      <c r="X50" s="230"/>
      <c r="Y50" s="241"/>
      <c r="Z50" s="241"/>
      <c r="AA50" s="241"/>
      <c r="AB50" s="241"/>
      <c r="AC50" s="230"/>
      <c r="AD50" s="241"/>
      <c r="AE50" s="241"/>
      <c r="AF50" s="241"/>
      <c r="AG50" s="241"/>
      <c r="AI50" s="250">
        <f>SUM(AI51:AI52)</f>
        <v>0</v>
      </c>
      <c r="AJ50" s="250">
        <f>SUM(AJ51:AJ52)</f>
        <v>0</v>
      </c>
      <c r="AK50" s="250">
        <f>SUM(AK51:AK52)</f>
        <v>0</v>
      </c>
      <c r="AL50" s="250">
        <f t="shared" ref="AL50" si="99">SUM(AL51:AL52)</f>
        <v>0</v>
      </c>
      <c r="AM50" s="230"/>
      <c r="AN50" s="241"/>
      <c r="AO50" s="241"/>
      <c r="AP50" s="241"/>
      <c r="AQ50" s="241"/>
      <c r="AR50" s="230"/>
      <c r="AS50" s="241"/>
      <c r="AT50" s="241"/>
      <c r="AU50" s="241"/>
      <c r="AV50" s="241"/>
      <c r="AW50" s="230"/>
      <c r="AX50" s="241"/>
      <c r="AY50" s="241"/>
      <c r="AZ50" s="241"/>
      <c r="BA50" s="241"/>
      <c r="BB50" s="230"/>
      <c r="BC50" s="241"/>
      <c r="BD50" s="241"/>
      <c r="BE50" s="241"/>
      <c r="BF50" s="241"/>
      <c r="BG50" s="230"/>
      <c r="BH50" s="241"/>
      <c r="BI50" s="241"/>
      <c r="BJ50" s="241"/>
      <c r="BK50" s="247"/>
      <c r="BM50" s="241">
        <f t="shared" si="62"/>
        <v>0</v>
      </c>
      <c r="BN50" s="241">
        <f t="shared" si="63"/>
        <v>0</v>
      </c>
      <c r="BO50" s="241">
        <f t="shared" si="64"/>
        <v>0</v>
      </c>
      <c r="BP50" s="247">
        <f t="shared" si="65"/>
        <v>0</v>
      </c>
      <c r="BQ50" s="230"/>
      <c r="BR50" s="241">
        <f t="shared" si="66"/>
        <v>0</v>
      </c>
      <c r="BS50" s="241">
        <f t="shared" si="67"/>
        <v>0</v>
      </c>
      <c r="BT50" s="241">
        <f t="shared" si="68"/>
        <v>0</v>
      </c>
      <c r="BU50" s="241">
        <f t="shared" si="69"/>
        <v>0</v>
      </c>
      <c r="BV50" s="230"/>
      <c r="BW50" s="241">
        <f t="shared" si="70"/>
        <v>0</v>
      </c>
      <c r="BX50" s="241">
        <f t="shared" si="71"/>
        <v>0</v>
      </c>
      <c r="BY50" s="241">
        <f t="shared" si="72"/>
        <v>0</v>
      </c>
      <c r="BZ50" s="247">
        <f t="shared" si="73"/>
        <v>0</v>
      </c>
      <c r="CA50" s="230"/>
      <c r="CB50" s="247">
        <f t="shared" si="74"/>
        <v>0</v>
      </c>
      <c r="CC50" s="247">
        <f t="shared" si="75"/>
        <v>0</v>
      </c>
      <c r="CD50" s="247">
        <f t="shared" si="76"/>
        <v>0</v>
      </c>
      <c r="CE50" s="247">
        <f t="shared" si="77"/>
        <v>0</v>
      </c>
      <c r="CF50" s="230"/>
      <c r="CG50" s="247">
        <f t="shared" si="78"/>
        <v>0</v>
      </c>
      <c r="CH50" s="247">
        <f t="shared" si="79"/>
        <v>0</v>
      </c>
      <c r="CI50" s="247">
        <f t="shared" si="80"/>
        <v>0</v>
      </c>
      <c r="CJ50" s="247">
        <f t="shared" si="81"/>
        <v>0</v>
      </c>
      <c r="CK50" s="230"/>
      <c r="CL50" s="241">
        <f t="shared" si="82"/>
        <v>0</v>
      </c>
      <c r="CM50" s="241">
        <f t="shared" si="83"/>
        <v>0</v>
      </c>
      <c r="CN50" s="241">
        <f t="shared" si="84"/>
        <v>0</v>
      </c>
      <c r="CO50" s="247">
        <f t="shared" si="85"/>
        <v>0</v>
      </c>
      <c r="CQ50" s="241">
        <f>SUMIF('1.PL (VND) '!$BL$6:$CD$6,'1.PL (VND) '!CP$6,$BM50:$CE50)</f>
        <v>0</v>
      </c>
      <c r="CR50" s="241">
        <f>SUMIF('1.PL (VND) '!$BL$6:$CD$6,'1.PL (VND) '!CQ$6,$BM50:$CE50)</f>
        <v>0</v>
      </c>
      <c r="CS50" s="241">
        <f>SUMIF('1.PL (VND) '!$BL$6:$CD$6,'1.PL (VND) '!CR$6,$BM50:$CE50)</f>
        <v>0</v>
      </c>
      <c r="CT50" s="241">
        <f>SUMIF('1.PL (VND) '!$BL$6:$CD$6,'1.PL (VND) '!CS$6,$BM50:$CE50)</f>
        <v>0</v>
      </c>
      <c r="CV50" s="241"/>
      <c r="CW50" s="241"/>
      <c r="CX50" s="241"/>
      <c r="CY50" s="247"/>
      <c r="DA50" s="241">
        <f t="shared" si="86"/>
        <v>0</v>
      </c>
      <c r="DB50" s="241">
        <f t="shared" si="87"/>
        <v>0</v>
      </c>
      <c r="DC50" s="241">
        <f t="shared" si="88"/>
        <v>0</v>
      </c>
      <c r="DD50" s="241">
        <f t="shared" si="89"/>
        <v>0</v>
      </c>
    </row>
    <row r="51" spans="1:112" s="700" customFormat="1" x14ac:dyDescent="0.25">
      <c r="A51" s="248" t="str">
        <f t="shared" si="40"/>
        <v>hide</v>
      </c>
      <c r="C51" s="703" t="s">
        <v>363</v>
      </c>
      <c r="D51" s="704" t="s">
        <v>371</v>
      </c>
      <c r="E51" s="721"/>
      <c r="F51" s="721"/>
      <c r="G51" s="721"/>
      <c r="H51" s="722"/>
      <c r="I51" s="699"/>
      <c r="J51" s="698"/>
      <c r="K51" s="698"/>
      <c r="L51" s="698"/>
      <c r="M51" s="241">
        <v>0</v>
      </c>
      <c r="N51" s="699"/>
      <c r="O51" s="698"/>
      <c r="P51" s="698"/>
      <c r="Q51" s="698"/>
      <c r="R51" s="698"/>
      <c r="S51" s="699"/>
      <c r="T51" s="698"/>
      <c r="U51" s="698"/>
      <c r="V51" s="698"/>
      <c r="W51" s="698"/>
      <c r="X51" s="699"/>
      <c r="Y51" s="698"/>
      <c r="Z51" s="698"/>
      <c r="AA51" s="698"/>
      <c r="AB51" s="698"/>
      <c r="AC51" s="699"/>
      <c r="AD51" s="698"/>
      <c r="AE51" s="698"/>
      <c r="AF51" s="698"/>
      <c r="AG51" s="698"/>
      <c r="AI51" s="698">
        <f>SUMIFS('1.DC_Ra soat'!$L:$L,'1.DC_Ra soat'!$F:$F,AI$4,'1.DC_Ra soat'!$H:$H,'1.BS (VND)'!$D51)-SUMIFS('1.DC_Ra soat'!$L:$L,'1.DC_Ra soat'!$F:$F,AI$4,'1.DC_Ra soat'!$I:$I,'1.BS (VND)'!$D51)</f>
        <v>0</v>
      </c>
      <c r="AJ51" s="698">
        <f>SUMIFS('1.DC_Ra soat'!$L:$L,'1.DC_Ra soat'!$F:$F,AJ$4,'1.DC_Ra soat'!$H:$H,'1.BS (VND)'!$D51)-SUMIFS('1.DC_Ra soat'!$L:$L,'1.DC_Ra soat'!$F:$F,AJ$4,'1.DC_Ra soat'!$I:$I,'1.BS (VND)'!$D51)</f>
        <v>0</v>
      </c>
      <c r="AK51" s="698">
        <f>SUMIFS('1.DC_Ra soat'!$L:$L,'1.DC_Ra soat'!$F:$F,AK$4,'1.DC_Ra soat'!$H:$H,'1.BS (VND)'!$D51)-SUMIFS('1.DC_Ra soat'!$L:$L,'1.DC_Ra soat'!$F:$F,AK$4,'1.DC_Ra soat'!$I:$I,'1.BS (VND)'!$D51)</f>
        <v>0</v>
      </c>
      <c r="AL51" s="698">
        <f>SUMIFS('1.DC_Ra soat'!$L:$L,'1.DC_Ra soat'!$F:$F,AL$4,'1.DC_Ra soat'!$H:$H,'1.BS (VND)'!$D51)-SUMIFS('1.DC_Ra soat'!$L:$L,'1.DC_Ra soat'!$F:$F,AL$4,'1.DC_Ra soat'!$I:$I,'1.BS (VND)'!$D51)</f>
        <v>0</v>
      </c>
      <c r="AM51" s="699"/>
      <c r="AN51" s="698">
        <f>SUMIFS('1.DC_Ra soat'!$L:$L,'1.DC_Ra soat'!$F:$F,AN$4,'1.DC_Ra soat'!$H:$H,'1.BS (VND)'!$D51)-SUMIFS('1.DC_Ra soat'!$L:$L,'1.DC_Ra soat'!$F:$F,AN$4,'1.DC_Ra soat'!$I:$I,'1.BS (VND)'!$D51)</f>
        <v>0</v>
      </c>
      <c r="AO51" s="698">
        <f>SUMIFS('1.DC_Ra soat'!$L:$L,'1.DC_Ra soat'!$F:$F,AO$4,'1.DC_Ra soat'!$H:$H,'1.BS (VND)'!$D51)-SUMIFS('1.DC_Ra soat'!$L:$L,'1.DC_Ra soat'!$F:$F,AO$4,'1.DC_Ra soat'!$I:$I,'1.BS (VND)'!$D51)</f>
        <v>0</v>
      </c>
      <c r="AP51" s="698">
        <f>SUMIFS('1.DC_Ra soat'!$L:$L,'1.DC_Ra soat'!$F:$F,AP$4,'1.DC_Ra soat'!$H:$H,'1.BS (VND)'!$D51)-SUMIFS('1.DC_Ra soat'!$L:$L,'1.DC_Ra soat'!$F:$F,AP$4,'1.DC_Ra soat'!$I:$I,'1.BS (VND)'!$D51)</f>
        <v>0</v>
      </c>
      <c r="AQ51" s="698">
        <f>SUMIFS('1.DC_Ra soat'!$L:$L,'1.DC_Ra soat'!$F:$F,AQ$4,'1.DC_Ra soat'!$H:$H,'1.BS (VND)'!$D51)-SUMIFS('1.DC_Ra soat'!$L:$L,'1.DC_Ra soat'!$F:$F,AQ$4,'1.DC_Ra soat'!$I:$I,'1.BS (VND)'!$D51)</f>
        <v>0</v>
      </c>
      <c r="AR51" s="699"/>
      <c r="AS51" s="698">
        <f>SUMIFS('1.DC_Ra soat'!$L:$L,'1.DC_Ra soat'!$F:$F,AS$4,'1.DC_Ra soat'!$H:$H,'1.BS (VND)'!$D51)-SUMIFS('1.DC_Ra soat'!$L:$L,'1.DC_Ra soat'!$F:$F,AS$4,'1.DC_Ra soat'!$I:$I,'1.BS (VND)'!$D51)</f>
        <v>0</v>
      </c>
      <c r="AT51" s="698">
        <f>SUMIFS('1.DC_Ra soat'!$L:$L,'1.DC_Ra soat'!$F:$F,AT$4,'1.DC_Ra soat'!$H:$H,'1.BS (VND)'!$D51)-SUMIFS('1.DC_Ra soat'!$L:$L,'1.DC_Ra soat'!$F:$F,AT$4,'1.DC_Ra soat'!$I:$I,'1.BS (VND)'!$D51)</f>
        <v>0</v>
      </c>
      <c r="AU51" s="698">
        <f>SUMIFS('1.DC_Ra soat'!$L:$L,'1.DC_Ra soat'!$F:$F,AU$4,'1.DC_Ra soat'!$H:$H,'1.BS (VND)'!$D51)-SUMIFS('1.DC_Ra soat'!$L:$L,'1.DC_Ra soat'!$F:$F,AU$4,'1.DC_Ra soat'!$I:$I,'1.BS (VND)'!$D51)</f>
        <v>0</v>
      </c>
      <c r="AV51" s="698">
        <f>SUMIFS('1.DC_Ra soat'!$L:$L,'1.DC_Ra soat'!$F:$F,AV$4,'1.DC_Ra soat'!$H:$H,'1.BS (VND)'!$D51)-SUMIFS('1.DC_Ra soat'!$L:$L,'1.DC_Ra soat'!$F:$F,AV$4,'1.DC_Ra soat'!$I:$I,'1.BS (VND)'!$D51)</f>
        <v>0</v>
      </c>
      <c r="AW51" s="699"/>
      <c r="AX51" s="698">
        <f>SUMIFS('1.DC_Ra soat'!$L:$L,'1.DC_Ra soat'!$F:$F,'1.PL (VND) '!BC$4,'1.DC_Ra soat'!$H:$H,'1.BS (VND)'!$D51)-SUMIFS('1.DC_Ra soat'!$L:$L,'1.DC_Ra soat'!$F:$F,'1.PL (VND) '!BC$4,'1.DC_Ra soat'!$I:$I,'1.BS (VND)'!$D51)</f>
        <v>0</v>
      </c>
      <c r="AY51" s="698">
        <f>SUMIFS('1.DC_Ra soat'!$L:$L,'1.DC_Ra soat'!$F:$F,'1.PL (VND) '!BD$4,'1.DC_Ra soat'!$H:$H,'1.BS (VND)'!$D51)-SUMIFS('1.DC_Ra soat'!$L:$L,'1.DC_Ra soat'!$F:$F,'1.PL (VND) '!BD$4,'1.DC_Ra soat'!$I:$I,'1.BS (VND)'!$D51)</f>
        <v>0</v>
      </c>
      <c r="AZ51" s="698">
        <f>SUMIFS('1.DC_Ra soat'!$L:$L,'1.DC_Ra soat'!$F:$F,'1.PL (VND) '!BE$4,'1.DC_Ra soat'!$H:$H,'1.BS (VND)'!$D51)-SUMIFS('1.DC_Ra soat'!$L:$L,'1.DC_Ra soat'!$F:$F,'1.PL (VND) '!BE$4,'1.DC_Ra soat'!$I:$I,'1.BS (VND)'!$D51)</f>
        <v>0</v>
      </c>
      <c r="BA51" s="698">
        <f>SUMIFS('1.DC_Ra soat'!$L:$L,'1.DC_Ra soat'!$F:$F,'1.PL (VND) '!BF$4,'1.DC_Ra soat'!$H:$H,'1.BS (VND)'!$D51)-SUMIFS('1.DC_Ra soat'!$L:$L,'1.DC_Ra soat'!$F:$F,'1.PL (VND) '!BF$4,'1.DC_Ra soat'!$I:$I,'1.BS (VND)'!$D51)</f>
        <v>0</v>
      </c>
      <c r="BB51" s="699"/>
      <c r="BC51" s="698">
        <f>SUMIFS('1.DC_Ra soat'!$L:$L,'1.DC_Ra soat'!$F:$F,'1.PL (VND) '!BI$4,'1.DC_Ra soat'!$H:$H,'1.BS (VND)'!$D51)-SUMIFS('1.DC_Ra soat'!$L:$L,'1.DC_Ra soat'!$F:$F,'1.PL (VND) '!BI$4,'1.DC_Ra soat'!$I:$I,'1.BS (VND)'!$D51)</f>
        <v>0</v>
      </c>
      <c r="BD51" s="698">
        <f>SUMIFS('1.DC_Ra soat'!$L:$L,'1.DC_Ra soat'!$F:$F,'1.PL (VND) '!BJ$4,'1.DC_Ra soat'!$H:$H,'1.BS (VND)'!$D51)-SUMIFS('1.DC_Ra soat'!$L:$L,'1.DC_Ra soat'!$F:$F,'1.PL (VND) '!BJ$4,'1.DC_Ra soat'!$I:$I,'1.BS (VND)'!$D51)</f>
        <v>0</v>
      </c>
      <c r="BE51" s="698">
        <f>SUMIFS('1.DC_Ra soat'!$L:$L,'1.DC_Ra soat'!$F:$F,'1.PL (VND) '!BK$4,'1.DC_Ra soat'!$H:$H,'1.BS (VND)'!$D51)-SUMIFS('1.DC_Ra soat'!$L:$L,'1.DC_Ra soat'!$F:$F,'1.PL (VND) '!BK$4,'1.DC_Ra soat'!$I:$I,'1.BS (VND)'!$D51)</f>
        <v>0</v>
      </c>
      <c r="BF51" s="698">
        <f>SUMIFS('1.DC_Ra soat'!$L:$L,'1.DC_Ra soat'!$F:$F,'1.PL (VND) '!BL$4,'1.DC_Ra soat'!$H:$H,'1.BS (VND)'!$D51)-SUMIFS('1.DC_Ra soat'!$L:$L,'1.DC_Ra soat'!$F:$F,'1.PL (VND) '!BL$4,'1.DC_Ra soat'!$I:$I,'1.BS (VND)'!$D51)</f>
        <v>0</v>
      </c>
      <c r="BG51" s="699"/>
      <c r="BH51" s="698">
        <f>SUMIFS('1.DC_Ra soat'!$L:$L,'1.DC_Ra soat'!$F:$F,'1.PL (VND) '!BO$4,'1.DC_Ra soat'!$H:$H,'1.BS (VND)'!$D51)-SUMIFS('1.DC_Ra soat'!$L:$L,'1.DC_Ra soat'!$F:$F,'1.PL (VND) '!BO$4,'1.DC_Ra soat'!$I:$I,'1.BS (VND)'!$D51)</f>
        <v>0</v>
      </c>
      <c r="BI51" s="698">
        <f>SUMIFS('1.DC_Ra soat'!$L:$L,'1.DC_Ra soat'!$F:$F,'1.PL (VND) '!BP$4,'1.DC_Ra soat'!$H:$H,'1.BS (VND)'!$D51)-SUMIFS('1.DC_Ra soat'!$L:$L,'1.DC_Ra soat'!$F:$F,'1.PL (VND) '!BP$4,'1.DC_Ra soat'!$I:$I,'1.BS (VND)'!$D51)</f>
        <v>0</v>
      </c>
      <c r="BJ51" s="698">
        <f>SUMIFS('1.DC_Ra soat'!$L:$L,'1.DC_Ra soat'!$F:$F,'1.PL (VND) '!BQ$4,'1.DC_Ra soat'!$H:$H,'1.BS (VND)'!$D51)-SUMIFS('1.DC_Ra soat'!$L:$L,'1.DC_Ra soat'!$F:$F,'1.PL (VND) '!BQ$4,'1.DC_Ra soat'!$I:$I,'1.BS (VND)'!$D51)</f>
        <v>0</v>
      </c>
      <c r="BK51" s="698">
        <f>SUMIFS('1.DC_Ra soat'!$L:$L,'1.DC_Ra soat'!$F:$F,'1.PL (VND) '!BR$4,'1.DC_Ra soat'!$H:$H,'1.BS (VND)'!$D51)-SUMIFS('1.DC_Ra soat'!$L:$L,'1.DC_Ra soat'!$F:$F,'1.PL (VND) '!BR$4,'1.DC_Ra soat'!$I:$I,'1.BS (VND)'!$D51)</f>
        <v>0</v>
      </c>
      <c r="BM51" s="698">
        <f t="shared" si="62"/>
        <v>0</v>
      </c>
      <c r="BN51" s="698">
        <f t="shared" si="63"/>
        <v>0</v>
      </c>
      <c r="BO51" s="698">
        <f t="shared" si="64"/>
        <v>0</v>
      </c>
      <c r="BP51" s="697">
        <f t="shared" si="65"/>
        <v>0</v>
      </c>
      <c r="BQ51" s="699"/>
      <c r="BR51" s="698">
        <f t="shared" si="66"/>
        <v>0</v>
      </c>
      <c r="BS51" s="698">
        <f t="shared" si="67"/>
        <v>0</v>
      </c>
      <c r="BT51" s="698">
        <f t="shared" si="68"/>
        <v>0</v>
      </c>
      <c r="BU51" s="698">
        <f t="shared" si="69"/>
        <v>0</v>
      </c>
      <c r="BV51" s="699"/>
      <c r="BW51" s="698">
        <f t="shared" si="70"/>
        <v>0</v>
      </c>
      <c r="BX51" s="698">
        <f t="shared" si="71"/>
        <v>0</v>
      </c>
      <c r="BY51" s="698">
        <f t="shared" si="72"/>
        <v>0</v>
      </c>
      <c r="BZ51" s="697">
        <f t="shared" si="73"/>
        <v>0</v>
      </c>
      <c r="CA51" s="699"/>
      <c r="CB51" s="697">
        <f t="shared" si="74"/>
        <v>0</v>
      </c>
      <c r="CC51" s="697">
        <f t="shared" si="75"/>
        <v>0</v>
      </c>
      <c r="CD51" s="697">
        <f t="shared" si="76"/>
        <v>0</v>
      </c>
      <c r="CE51" s="697">
        <f t="shared" si="77"/>
        <v>0</v>
      </c>
      <c r="CF51" s="699"/>
      <c r="CG51" s="697">
        <f t="shared" si="78"/>
        <v>0</v>
      </c>
      <c r="CH51" s="697">
        <f t="shared" si="79"/>
        <v>0</v>
      </c>
      <c r="CI51" s="697">
        <f t="shared" si="80"/>
        <v>0</v>
      </c>
      <c r="CJ51" s="697">
        <f t="shared" si="81"/>
        <v>0</v>
      </c>
      <c r="CK51" s="699"/>
      <c r="CL51" s="698">
        <f t="shared" si="82"/>
        <v>0</v>
      </c>
      <c r="CM51" s="698">
        <f t="shared" si="83"/>
        <v>0</v>
      </c>
      <c r="CN51" s="698">
        <f t="shared" si="84"/>
        <v>0</v>
      </c>
      <c r="CO51" s="697">
        <f t="shared" si="85"/>
        <v>0</v>
      </c>
      <c r="CQ51" s="698">
        <f>SUMIF('1.PL (VND) '!$BL$6:$CD$6,'1.PL (VND) '!CP$6,$BM51:$CE51)</f>
        <v>0</v>
      </c>
      <c r="CR51" s="698">
        <f>SUMIF('1.PL (VND) '!$BL$6:$CD$6,'1.PL (VND) '!CQ$6,$BM51:$CE51)</f>
        <v>0</v>
      </c>
      <c r="CS51" s="698">
        <f>SUMIF('1.PL (VND) '!$BL$6:$CD$6,'1.PL (VND) '!CR$6,$BM51:$CE51)</f>
        <v>0</v>
      </c>
      <c r="CT51" s="698">
        <f>SUMIF('1.PL (VND) '!$BL$6:$CD$6,'1.PL (VND) '!CS$6,$BM51:$CE51)</f>
        <v>0</v>
      </c>
      <c r="CV51" s="702">
        <f>-SUMIFS('1.DC_Ra soat'!$L:$L,'1.DC_Ra soat'!$F:$F,'1.PL (VND) '!DK$4,'1.DC_Ra soat'!$H:$H,'1.BS (VND)'!$D51)+SUMIFS('1.DC_Ra soat'!$L:$L,'1.DC_Ra soat'!$F:$F,'1.PL (VND) '!DK$4,'1.DC_Ra soat'!$I:$I,'1.BS (VND)'!$D51)</f>
        <v>0</v>
      </c>
      <c r="CW51" s="702">
        <f>-SUMIFS('1.DC_Ra soat'!$L:$L,'1.DC_Ra soat'!$F:$F,'1.PL (VND) '!DL$4,'1.DC_Ra soat'!$H:$H,'1.BS (VND)'!$D51)+SUMIFS('1.DC_Ra soat'!$L:$L,'1.DC_Ra soat'!$F:$F,'1.PL (VND) '!DL$4,'1.DC_Ra soat'!$I:$I,'1.BS (VND)'!$D51)</f>
        <v>0</v>
      </c>
      <c r="CX51" s="702">
        <f>-SUMIFS('1.DC_Ra soat'!$L:$L,'1.DC_Ra soat'!$F:$F,'1.PL (VND) '!DM$4,'1.DC_Ra soat'!$H:$H,'1.BS (VND)'!$D51)+SUMIFS('1.DC_Ra soat'!$L:$L,'1.DC_Ra soat'!$F:$F,'1.PL (VND) '!DM$4,'1.DC_Ra soat'!$I:$I,'1.BS (VND)'!$D51)</f>
        <v>0</v>
      </c>
      <c r="CY51" s="702">
        <f>-SUMIFS('1.DC_Ra soat'!$L:$L,'1.DC_Ra soat'!$F:$F,'1.PL (VND) '!DN$4,'1.DC_Ra soat'!$H:$H,'1.BS (VND)'!$D51)+SUMIFS('1.DC_Ra soat'!$L:$L,'1.DC_Ra soat'!$F:$F,'1.PL (VND) '!DN$4,'1.DC_Ra soat'!$I:$I,'1.BS (VND)'!$D51)</f>
        <v>0</v>
      </c>
      <c r="DA51" s="698">
        <f t="shared" si="86"/>
        <v>0</v>
      </c>
      <c r="DB51" s="698">
        <f t="shared" si="87"/>
        <v>0</v>
      </c>
      <c r="DC51" s="698">
        <f t="shared" si="88"/>
        <v>0</v>
      </c>
      <c r="DD51" s="698">
        <f t="shared" si="89"/>
        <v>0</v>
      </c>
    </row>
    <row r="52" spans="1:112" s="700" customFormat="1" x14ac:dyDescent="0.25">
      <c r="A52" s="248" t="str">
        <f t="shared" si="40"/>
        <v>hide</v>
      </c>
      <c r="C52" s="703" t="s">
        <v>365</v>
      </c>
      <c r="D52" s="704" t="s">
        <v>372</v>
      </c>
      <c r="E52" s="721"/>
      <c r="F52" s="721"/>
      <c r="G52" s="721"/>
      <c r="H52" s="722"/>
      <c r="I52" s="699"/>
      <c r="J52" s="698"/>
      <c r="K52" s="698"/>
      <c r="L52" s="698"/>
      <c r="M52" s="241">
        <v>0</v>
      </c>
      <c r="N52" s="699"/>
      <c r="O52" s="698"/>
      <c r="P52" s="698"/>
      <c r="Q52" s="698"/>
      <c r="R52" s="698"/>
      <c r="S52" s="699"/>
      <c r="T52" s="698"/>
      <c r="U52" s="698"/>
      <c r="V52" s="698"/>
      <c r="W52" s="698"/>
      <c r="X52" s="699"/>
      <c r="Y52" s="698"/>
      <c r="Z52" s="698"/>
      <c r="AA52" s="698"/>
      <c r="AB52" s="698"/>
      <c r="AC52" s="699"/>
      <c r="AD52" s="698"/>
      <c r="AE52" s="698"/>
      <c r="AF52" s="698"/>
      <c r="AG52" s="698"/>
      <c r="AI52" s="698">
        <f>SUMIFS('1.DC_Ra soat'!$L:$L,'1.DC_Ra soat'!$F:$F,AI$4,'1.DC_Ra soat'!$H:$H,'1.BS (VND)'!$D52)-SUMIFS('1.DC_Ra soat'!$L:$L,'1.DC_Ra soat'!$F:$F,AI$4,'1.DC_Ra soat'!$I:$I,'1.BS (VND)'!$D52)</f>
        <v>0</v>
      </c>
      <c r="AJ52" s="698">
        <f>SUMIFS('1.DC_Ra soat'!$L:$L,'1.DC_Ra soat'!$F:$F,AJ$4,'1.DC_Ra soat'!$H:$H,'1.BS (VND)'!$D52)-SUMIFS('1.DC_Ra soat'!$L:$L,'1.DC_Ra soat'!$F:$F,AJ$4,'1.DC_Ra soat'!$I:$I,'1.BS (VND)'!$D52)</f>
        <v>0</v>
      </c>
      <c r="AK52" s="698">
        <f>SUMIFS('1.DC_Ra soat'!$L:$L,'1.DC_Ra soat'!$F:$F,AK$4,'1.DC_Ra soat'!$H:$H,'1.BS (VND)'!$D52)-SUMIFS('1.DC_Ra soat'!$L:$L,'1.DC_Ra soat'!$F:$F,AK$4,'1.DC_Ra soat'!$I:$I,'1.BS (VND)'!$D52)</f>
        <v>0</v>
      </c>
      <c r="AL52" s="698">
        <f>SUMIFS('1.DC_Ra soat'!$L:$L,'1.DC_Ra soat'!$F:$F,AL$4,'1.DC_Ra soat'!$H:$H,'1.BS (VND)'!$D52)-SUMIFS('1.DC_Ra soat'!$L:$L,'1.DC_Ra soat'!$F:$F,AL$4,'1.DC_Ra soat'!$I:$I,'1.BS (VND)'!$D52)</f>
        <v>0</v>
      </c>
      <c r="AM52" s="699"/>
      <c r="AN52" s="698">
        <f>SUMIFS('1.DC_Ra soat'!$L:$L,'1.DC_Ra soat'!$F:$F,AN$4,'1.DC_Ra soat'!$H:$H,'1.BS (VND)'!$D52)-SUMIFS('1.DC_Ra soat'!$L:$L,'1.DC_Ra soat'!$F:$F,AN$4,'1.DC_Ra soat'!$I:$I,'1.BS (VND)'!$D52)</f>
        <v>0</v>
      </c>
      <c r="AO52" s="698">
        <f>SUMIFS('1.DC_Ra soat'!$L:$L,'1.DC_Ra soat'!$F:$F,AO$4,'1.DC_Ra soat'!$H:$H,'1.BS (VND)'!$D52)-SUMIFS('1.DC_Ra soat'!$L:$L,'1.DC_Ra soat'!$F:$F,AO$4,'1.DC_Ra soat'!$I:$I,'1.BS (VND)'!$D52)</f>
        <v>0</v>
      </c>
      <c r="AP52" s="698">
        <f>SUMIFS('1.DC_Ra soat'!$L:$L,'1.DC_Ra soat'!$F:$F,AP$4,'1.DC_Ra soat'!$H:$H,'1.BS (VND)'!$D52)-SUMIFS('1.DC_Ra soat'!$L:$L,'1.DC_Ra soat'!$F:$F,AP$4,'1.DC_Ra soat'!$I:$I,'1.BS (VND)'!$D52)</f>
        <v>0</v>
      </c>
      <c r="AQ52" s="698">
        <f>SUMIFS('1.DC_Ra soat'!$L:$L,'1.DC_Ra soat'!$F:$F,AQ$4,'1.DC_Ra soat'!$H:$H,'1.BS (VND)'!$D52)-SUMIFS('1.DC_Ra soat'!$L:$L,'1.DC_Ra soat'!$F:$F,AQ$4,'1.DC_Ra soat'!$I:$I,'1.BS (VND)'!$D52)</f>
        <v>0</v>
      </c>
      <c r="AR52" s="699"/>
      <c r="AS52" s="698">
        <f>SUMIFS('1.DC_Ra soat'!$L:$L,'1.DC_Ra soat'!$F:$F,AS$4,'1.DC_Ra soat'!$H:$H,'1.BS (VND)'!$D52)-SUMIFS('1.DC_Ra soat'!$L:$L,'1.DC_Ra soat'!$F:$F,AS$4,'1.DC_Ra soat'!$I:$I,'1.BS (VND)'!$D52)</f>
        <v>0</v>
      </c>
      <c r="AT52" s="698">
        <f>SUMIFS('1.DC_Ra soat'!$L:$L,'1.DC_Ra soat'!$F:$F,AT$4,'1.DC_Ra soat'!$H:$H,'1.BS (VND)'!$D52)-SUMIFS('1.DC_Ra soat'!$L:$L,'1.DC_Ra soat'!$F:$F,AT$4,'1.DC_Ra soat'!$I:$I,'1.BS (VND)'!$D52)</f>
        <v>0</v>
      </c>
      <c r="AU52" s="698">
        <f>SUMIFS('1.DC_Ra soat'!$L:$L,'1.DC_Ra soat'!$F:$F,AU$4,'1.DC_Ra soat'!$H:$H,'1.BS (VND)'!$D52)-SUMIFS('1.DC_Ra soat'!$L:$L,'1.DC_Ra soat'!$F:$F,AU$4,'1.DC_Ra soat'!$I:$I,'1.BS (VND)'!$D52)</f>
        <v>0</v>
      </c>
      <c r="AV52" s="698">
        <f>SUMIFS('1.DC_Ra soat'!$L:$L,'1.DC_Ra soat'!$F:$F,AV$4,'1.DC_Ra soat'!$H:$H,'1.BS (VND)'!$D52)-SUMIFS('1.DC_Ra soat'!$L:$L,'1.DC_Ra soat'!$F:$F,AV$4,'1.DC_Ra soat'!$I:$I,'1.BS (VND)'!$D52)</f>
        <v>0</v>
      </c>
      <c r="AW52" s="699"/>
      <c r="AX52" s="698">
        <f>SUMIFS('1.DC_Ra soat'!$L:$L,'1.DC_Ra soat'!$F:$F,'1.PL (VND) '!BC$4,'1.DC_Ra soat'!$H:$H,'1.BS (VND)'!$D52)-SUMIFS('1.DC_Ra soat'!$L:$L,'1.DC_Ra soat'!$F:$F,'1.PL (VND) '!BC$4,'1.DC_Ra soat'!$I:$I,'1.BS (VND)'!$D52)</f>
        <v>0</v>
      </c>
      <c r="AY52" s="698">
        <f>SUMIFS('1.DC_Ra soat'!$L:$L,'1.DC_Ra soat'!$F:$F,'1.PL (VND) '!BD$4,'1.DC_Ra soat'!$H:$H,'1.BS (VND)'!$D52)-SUMIFS('1.DC_Ra soat'!$L:$L,'1.DC_Ra soat'!$F:$F,'1.PL (VND) '!BD$4,'1.DC_Ra soat'!$I:$I,'1.BS (VND)'!$D52)</f>
        <v>0</v>
      </c>
      <c r="AZ52" s="698">
        <f>SUMIFS('1.DC_Ra soat'!$L:$L,'1.DC_Ra soat'!$F:$F,'1.PL (VND) '!BE$4,'1.DC_Ra soat'!$H:$H,'1.BS (VND)'!$D52)-SUMIFS('1.DC_Ra soat'!$L:$L,'1.DC_Ra soat'!$F:$F,'1.PL (VND) '!BE$4,'1.DC_Ra soat'!$I:$I,'1.BS (VND)'!$D52)</f>
        <v>0</v>
      </c>
      <c r="BA52" s="698">
        <f>SUMIFS('1.DC_Ra soat'!$L:$L,'1.DC_Ra soat'!$F:$F,'1.PL (VND) '!BF$4,'1.DC_Ra soat'!$H:$H,'1.BS (VND)'!$D52)-SUMIFS('1.DC_Ra soat'!$L:$L,'1.DC_Ra soat'!$F:$F,'1.PL (VND) '!BF$4,'1.DC_Ra soat'!$I:$I,'1.BS (VND)'!$D52)</f>
        <v>0</v>
      </c>
      <c r="BB52" s="699"/>
      <c r="BC52" s="698">
        <f>SUMIFS('1.DC_Ra soat'!$L:$L,'1.DC_Ra soat'!$F:$F,'1.PL (VND) '!BI$4,'1.DC_Ra soat'!$H:$H,'1.BS (VND)'!$D52)-SUMIFS('1.DC_Ra soat'!$L:$L,'1.DC_Ra soat'!$F:$F,'1.PL (VND) '!BI$4,'1.DC_Ra soat'!$I:$I,'1.BS (VND)'!$D52)</f>
        <v>0</v>
      </c>
      <c r="BD52" s="698">
        <f>SUMIFS('1.DC_Ra soat'!$L:$L,'1.DC_Ra soat'!$F:$F,'1.PL (VND) '!BJ$4,'1.DC_Ra soat'!$H:$H,'1.BS (VND)'!$D52)-SUMIFS('1.DC_Ra soat'!$L:$L,'1.DC_Ra soat'!$F:$F,'1.PL (VND) '!BJ$4,'1.DC_Ra soat'!$I:$I,'1.BS (VND)'!$D52)</f>
        <v>0</v>
      </c>
      <c r="BE52" s="698">
        <f>SUMIFS('1.DC_Ra soat'!$L:$L,'1.DC_Ra soat'!$F:$F,'1.PL (VND) '!BK$4,'1.DC_Ra soat'!$H:$H,'1.BS (VND)'!$D52)-SUMIFS('1.DC_Ra soat'!$L:$L,'1.DC_Ra soat'!$F:$F,'1.PL (VND) '!BK$4,'1.DC_Ra soat'!$I:$I,'1.BS (VND)'!$D52)</f>
        <v>0</v>
      </c>
      <c r="BF52" s="698">
        <f>SUMIFS('1.DC_Ra soat'!$L:$L,'1.DC_Ra soat'!$F:$F,'1.PL (VND) '!BL$4,'1.DC_Ra soat'!$H:$H,'1.BS (VND)'!$D52)-SUMIFS('1.DC_Ra soat'!$L:$L,'1.DC_Ra soat'!$F:$F,'1.PL (VND) '!BL$4,'1.DC_Ra soat'!$I:$I,'1.BS (VND)'!$D52)</f>
        <v>0</v>
      </c>
      <c r="BG52" s="699"/>
      <c r="BH52" s="698">
        <f>SUMIFS('1.DC_Ra soat'!$L:$L,'1.DC_Ra soat'!$F:$F,'1.PL (VND) '!BO$4,'1.DC_Ra soat'!$H:$H,'1.BS (VND)'!$D52)-SUMIFS('1.DC_Ra soat'!$L:$L,'1.DC_Ra soat'!$F:$F,'1.PL (VND) '!BO$4,'1.DC_Ra soat'!$I:$I,'1.BS (VND)'!$D52)</f>
        <v>0</v>
      </c>
      <c r="BI52" s="698">
        <f>SUMIFS('1.DC_Ra soat'!$L:$L,'1.DC_Ra soat'!$F:$F,'1.PL (VND) '!BP$4,'1.DC_Ra soat'!$H:$H,'1.BS (VND)'!$D52)-SUMIFS('1.DC_Ra soat'!$L:$L,'1.DC_Ra soat'!$F:$F,'1.PL (VND) '!BP$4,'1.DC_Ra soat'!$I:$I,'1.BS (VND)'!$D52)</f>
        <v>0</v>
      </c>
      <c r="BJ52" s="698">
        <f>SUMIFS('1.DC_Ra soat'!$L:$L,'1.DC_Ra soat'!$F:$F,'1.PL (VND) '!BQ$4,'1.DC_Ra soat'!$H:$H,'1.BS (VND)'!$D52)-SUMIFS('1.DC_Ra soat'!$L:$L,'1.DC_Ra soat'!$F:$F,'1.PL (VND) '!BQ$4,'1.DC_Ra soat'!$I:$I,'1.BS (VND)'!$D52)</f>
        <v>0</v>
      </c>
      <c r="BK52" s="698">
        <f>SUMIFS('1.DC_Ra soat'!$L:$L,'1.DC_Ra soat'!$F:$F,'1.PL (VND) '!BR$4,'1.DC_Ra soat'!$H:$H,'1.BS (VND)'!$D52)-SUMIFS('1.DC_Ra soat'!$L:$L,'1.DC_Ra soat'!$F:$F,'1.PL (VND) '!BR$4,'1.DC_Ra soat'!$I:$I,'1.BS (VND)'!$D52)</f>
        <v>0</v>
      </c>
      <c r="BM52" s="698">
        <f t="shared" si="62"/>
        <v>0</v>
      </c>
      <c r="BN52" s="698">
        <f t="shared" si="63"/>
        <v>0</v>
      </c>
      <c r="BO52" s="698">
        <f t="shared" si="64"/>
        <v>0</v>
      </c>
      <c r="BP52" s="697">
        <f t="shared" si="65"/>
        <v>0</v>
      </c>
      <c r="BQ52" s="699"/>
      <c r="BR52" s="698">
        <f t="shared" si="66"/>
        <v>0</v>
      </c>
      <c r="BS52" s="698">
        <f t="shared" si="67"/>
        <v>0</v>
      </c>
      <c r="BT52" s="698">
        <f t="shared" si="68"/>
        <v>0</v>
      </c>
      <c r="BU52" s="698">
        <f t="shared" si="69"/>
        <v>0</v>
      </c>
      <c r="BV52" s="699"/>
      <c r="BW52" s="698">
        <f t="shared" si="70"/>
        <v>0</v>
      </c>
      <c r="BX52" s="698">
        <f t="shared" si="71"/>
        <v>0</v>
      </c>
      <c r="BY52" s="698">
        <f t="shared" si="72"/>
        <v>0</v>
      </c>
      <c r="BZ52" s="697">
        <f t="shared" si="73"/>
        <v>0</v>
      </c>
      <c r="CA52" s="699"/>
      <c r="CB52" s="697">
        <f t="shared" si="74"/>
        <v>0</v>
      </c>
      <c r="CC52" s="697">
        <f t="shared" si="75"/>
        <v>0</v>
      </c>
      <c r="CD52" s="697">
        <f t="shared" si="76"/>
        <v>0</v>
      </c>
      <c r="CE52" s="697">
        <f t="shared" si="77"/>
        <v>0</v>
      </c>
      <c r="CF52" s="699"/>
      <c r="CG52" s="697">
        <f t="shared" si="78"/>
        <v>0</v>
      </c>
      <c r="CH52" s="697">
        <f t="shared" si="79"/>
        <v>0</v>
      </c>
      <c r="CI52" s="697">
        <f t="shared" si="80"/>
        <v>0</v>
      </c>
      <c r="CJ52" s="697">
        <f t="shared" si="81"/>
        <v>0</v>
      </c>
      <c r="CK52" s="699"/>
      <c r="CL52" s="698">
        <f t="shared" si="82"/>
        <v>0</v>
      </c>
      <c r="CM52" s="698">
        <f t="shared" si="83"/>
        <v>0</v>
      </c>
      <c r="CN52" s="698">
        <f t="shared" si="84"/>
        <v>0</v>
      </c>
      <c r="CO52" s="697">
        <f t="shared" si="85"/>
        <v>0</v>
      </c>
      <c r="CQ52" s="698">
        <f>SUMIF('1.PL (VND) '!$BL$6:$CD$6,'1.PL (VND) '!CP$6,$BM52:$CE52)</f>
        <v>0</v>
      </c>
      <c r="CR52" s="698">
        <f>SUMIF('1.PL (VND) '!$BL$6:$CD$6,'1.PL (VND) '!CQ$6,$BM52:$CE52)</f>
        <v>0</v>
      </c>
      <c r="CS52" s="698">
        <f>SUMIF('1.PL (VND) '!$BL$6:$CD$6,'1.PL (VND) '!CR$6,$BM52:$CE52)</f>
        <v>0</v>
      </c>
      <c r="CT52" s="698">
        <f>SUMIF('1.PL (VND) '!$BL$6:$CD$6,'1.PL (VND) '!CS$6,$BM52:$CE52)</f>
        <v>0</v>
      </c>
      <c r="CV52" s="702">
        <f>-SUMIFS('1.DC_Ra soat'!$L:$L,'1.DC_Ra soat'!$F:$F,'1.PL (VND) '!DK$4,'1.DC_Ra soat'!$H:$H,'1.BS (VND)'!$D52)+SUMIFS('1.DC_Ra soat'!$L:$L,'1.DC_Ra soat'!$F:$F,'1.PL (VND) '!DK$4,'1.DC_Ra soat'!$I:$I,'1.BS (VND)'!$D52)</f>
        <v>0</v>
      </c>
      <c r="CW52" s="702">
        <f>-SUMIFS('1.DC_Ra soat'!$L:$L,'1.DC_Ra soat'!$F:$F,'1.PL (VND) '!DL$4,'1.DC_Ra soat'!$H:$H,'1.BS (VND)'!$D52)+SUMIFS('1.DC_Ra soat'!$L:$L,'1.DC_Ra soat'!$F:$F,'1.PL (VND) '!DL$4,'1.DC_Ra soat'!$I:$I,'1.BS (VND)'!$D52)</f>
        <v>0</v>
      </c>
      <c r="CX52" s="702">
        <f>-SUMIFS('1.DC_Ra soat'!$L:$L,'1.DC_Ra soat'!$F:$F,'1.PL (VND) '!DM$4,'1.DC_Ra soat'!$H:$H,'1.BS (VND)'!$D52)+SUMIFS('1.DC_Ra soat'!$L:$L,'1.DC_Ra soat'!$F:$F,'1.PL (VND) '!DM$4,'1.DC_Ra soat'!$I:$I,'1.BS (VND)'!$D52)</f>
        <v>0</v>
      </c>
      <c r="CY52" s="702">
        <f>-SUMIFS('1.DC_Ra soat'!$L:$L,'1.DC_Ra soat'!$F:$F,'1.PL (VND) '!DN$4,'1.DC_Ra soat'!$H:$H,'1.BS (VND)'!$D52)+SUMIFS('1.DC_Ra soat'!$L:$L,'1.DC_Ra soat'!$F:$F,'1.PL (VND) '!DN$4,'1.DC_Ra soat'!$I:$I,'1.BS (VND)'!$D52)</f>
        <v>0</v>
      </c>
      <c r="DA52" s="698">
        <f t="shared" si="86"/>
        <v>0</v>
      </c>
      <c r="DB52" s="698">
        <f t="shared" si="87"/>
        <v>0</v>
      </c>
      <c r="DC52" s="698">
        <f t="shared" si="88"/>
        <v>0</v>
      </c>
      <c r="DD52" s="698">
        <f t="shared" si="89"/>
        <v>0</v>
      </c>
    </row>
    <row r="53" spans="1:112" ht="14.65" customHeight="1" x14ac:dyDescent="0.25">
      <c r="A53" s="248" t="str">
        <f t="shared" si="40"/>
        <v>hide</v>
      </c>
      <c r="C53" s="259" t="s">
        <v>373</v>
      </c>
      <c r="D53" s="260" t="s">
        <v>374</v>
      </c>
      <c r="E53" s="727"/>
      <c r="F53" s="727"/>
      <c r="G53" s="727"/>
      <c r="H53" s="728"/>
      <c r="I53" s="240"/>
      <c r="J53" s="244"/>
      <c r="K53" s="244"/>
      <c r="L53" s="244"/>
      <c r="M53" s="241">
        <v>0</v>
      </c>
      <c r="N53" s="240"/>
      <c r="O53" s="244"/>
      <c r="P53" s="244"/>
      <c r="Q53" s="244"/>
      <c r="R53" s="244"/>
      <c r="S53" s="240"/>
      <c r="T53" s="244"/>
      <c r="U53" s="244"/>
      <c r="V53" s="244"/>
      <c r="W53" s="244"/>
      <c r="X53" s="240"/>
      <c r="Y53" s="244"/>
      <c r="Z53" s="244"/>
      <c r="AA53" s="244"/>
      <c r="AB53" s="244"/>
      <c r="AC53" s="240"/>
      <c r="AD53" s="244"/>
      <c r="AE53" s="244"/>
      <c r="AF53" s="244"/>
      <c r="AG53" s="244"/>
      <c r="AH53" s="213"/>
      <c r="AI53" s="244">
        <f>SUMIFS('1.DC_Ra soat'!$L:$L,'1.DC_Ra soat'!$F:$F,AI$4,'1.DC_Ra soat'!$H:$H,'1.BS (VND)'!$D53)-SUMIFS('1.DC_Ra soat'!$L:$L,'1.DC_Ra soat'!$F:$F,AI$4,'1.DC_Ra soat'!$I:$I,'1.BS (VND)'!$D53)</f>
        <v>0</v>
      </c>
      <c r="AJ53" s="244">
        <f>SUMIFS('1.DC_Ra soat'!$L:$L,'1.DC_Ra soat'!$F:$F,AJ$4,'1.DC_Ra soat'!$H:$H,'1.BS (VND)'!$D53)-SUMIFS('1.DC_Ra soat'!$L:$L,'1.DC_Ra soat'!$F:$F,AJ$4,'1.DC_Ra soat'!$I:$I,'1.BS (VND)'!$D53)</f>
        <v>0</v>
      </c>
      <c r="AK53" s="244">
        <f>SUMIFS('1.DC_Ra soat'!$L:$L,'1.DC_Ra soat'!$F:$F,AK$4,'1.DC_Ra soat'!$H:$H,'1.BS (VND)'!$D53)-SUMIFS('1.DC_Ra soat'!$L:$L,'1.DC_Ra soat'!$F:$F,AK$4,'1.DC_Ra soat'!$I:$I,'1.BS (VND)'!$D53)</f>
        <v>0</v>
      </c>
      <c r="AL53" s="244">
        <f>SUMIFS('1.DC_Ra soat'!$L:$L,'1.DC_Ra soat'!$F:$F,AL$4,'1.DC_Ra soat'!$H:$H,'1.BS (VND)'!$D53)-SUMIFS('1.DC_Ra soat'!$L:$L,'1.DC_Ra soat'!$F:$F,AL$4,'1.DC_Ra soat'!$I:$I,'1.BS (VND)'!$D53)</f>
        <v>0</v>
      </c>
      <c r="AM53" s="240"/>
      <c r="AN53" s="244">
        <f>SUMIFS('1.DC_Ra soat'!$L:$L,'1.DC_Ra soat'!$F:$F,AN$4,'1.DC_Ra soat'!$H:$H,'1.BS (VND)'!$D53)-SUMIFS('1.DC_Ra soat'!$L:$L,'1.DC_Ra soat'!$F:$F,AN$4,'1.DC_Ra soat'!$I:$I,'1.BS (VND)'!$D53)</f>
        <v>0</v>
      </c>
      <c r="AO53" s="244">
        <f>SUMIFS('1.DC_Ra soat'!$L:$L,'1.DC_Ra soat'!$F:$F,AO$4,'1.DC_Ra soat'!$H:$H,'1.BS (VND)'!$D53)-SUMIFS('1.DC_Ra soat'!$L:$L,'1.DC_Ra soat'!$F:$F,AO$4,'1.DC_Ra soat'!$I:$I,'1.BS (VND)'!$D53)</f>
        <v>0</v>
      </c>
      <c r="AP53" s="244">
        <f>SUMIFS('1.DC_Ra soat'!$L:$L,'1.DC_Ra soat'!$F:$F,AP$4,'1.DC_Ra soat'!$H:$H,'1.BS (VND)'!$D53)-SUMIFS('1.DC_Ra soat'!$L:$L,'1.DC_Ra soat'!$F:$F,AP$4,'1.DC_Ra soat'!$I:$I,'1.BS (VND)'!$D53)</f>
        <v>0</v>
      </c>
      <c r="AQ53" s="244">
        <f>SUMIFS('1.DC_Ra soat'!$L:$L,'1.DC_Ra soat'!$F:$F,AQ$4,'1.DC_Ra soat'!$H:$H,'1.BS (VND)'!$D53)-SUMIFS('1.DC_Ra soat'!$L:$L,'1.DC_Ra soat'!$F:$F,AQ$4,'1.DC_Ra soat'!$I:$I,'1.BS (VND)'!$D53)</f>
        <v>0</v>
      </c>
      <c r="AR53" s="240"/>
      <c r="AS53" s="244">
        <f>SUMIFS('1.DC_Ra soat'!$L:$L,'1.DC_Ra soat'!$F:$F,AS$4,'1.DC_Ra soat'!$H:$H,'1.BS (VND)'!$D53)-SUMIFS('1.DC_Ra soat'!$L:$L,'1.DC_Ra soat'!$F:$F,AS$4,'1.DC_Ra soat'!$I:$I,'1.BS (VND)'!$D53)</f>
        <v>0</v>
      </c>
      <c r="AT53" s="244">
        <f>SUMIFS('1.DC_Ra soat'!$L:$L,'1.DC_Ra soat'!$F:$F,AT$4,'1.DC_Ra soat'!$H:$H,'1.BS (VND)'!$D53)-SUMIFS('1.DC_Ra soat'!$L:$L,'1.DC_Ra soat'!$F:$F,AT$4,'1.DC_Ra soat'!$I:$I,'1.BS (VND)'!$D53)</f>
        <v>0</v>
      </c>
      <c r="AU53" s="244">
        <f>SUMIFS('1.DC_Ra soat'!$L:$L,'1.DC_Ra soat'!$F:$F,AU$4,'1.DC_Ra soat'!$H:$H,'1.BS (VND)'!$D53)-SUMIFS('1.DC_Ra soat'!$L:$L,'1.DC_Ra soat'!$F:$F,AU$4,'1.DC_Ra soat'!$I:$I,'1.BS (VND)'!$D53)</f>
        <v>0</v>
      </c>
      <c r="AV53" s="244">
        <f>SUMIFS('1.DC_Ra soat'!$L:$L,'1.DC_Ra soat'!$F:$F,AV$4,'1.DC_Ra soat'!$H:$H,'1.BS (VND)'!$D53)-SUMIFS('1.DC_Ra soat'!$L:$L,'1.DC_Ra soat'!$F:$F,AV$4,'1.DC_Ra soat'!$I:$I,'1.BS (VND)'!$D53)</f>
        <v>0</v>
      </c>
      <c r="AW53" s="240"/>
      <c r="AX53" s="244">
        <f>SUMIFS('1.DC_Ra soat'!$L:$L,'1.DC_Ra soat'!$F:$F,'1.PL (VND) '!BC$4,'1.DC_Ra soat'!$H:$H,'1.BS (VND)'!$D53)-SUMIFS('1.DC_Ra soat'!$L:$L,'1.DC_Ra soat'!$F:$F,'1.PL (VND) '!BC$4,'1.DC_Ra soat'!$I:$I,'1.BS (VND)'!$D53)</f>
        <v>0</v>
      </c>
      <c r="AY53" s="244">
        <f>SUMIFS('1.DC_Ra soat'!$L:$L,'1.DC_Ra soat'!$F:$F,'1.PL (VND) '!BD$4,'1.DC_Ra soat'!$H:$H,'1.BS (VND)'!$D53)-SUMIFS('1.DC_Ra soat'!$L:$L,'1.DC_Ra soat'!$F:$F,'1.PL (VND) '!BD$4,'1.DC_Ra soat'!$I:$I,'1.BS (VND)'!$D53)</f>
        <v>0</v>
      </c>
      <c r="AZ53" s="244">
        <f>SUMIFS('1.DC_Ra soat'!$L:$L,'1.DC_Ra soat'!$F:$F,'1.PL (VND) '!BE$4,'1.DC_Ra soat'!$H:$H,'1.BS (VND)'!$D53)-SUMIFS('1.DC_Ra soat'!$L:$L,'1.DC_Ra soat'!$F:$F,'1.PL (VND) '!BE$4,'1.DC_Ra soat'!$I:$I,'1.BS (VND)'!$D53)</f>
        <v>0</v>
      </c>
      <c r="BA53" s="244">
        <f>SUMIFS('1.DC_Ra soat'!$L:$L,'1.DC_Ra soat'!$F:$F,'1.PL (VND) '!BF$4,'1.DC_Ra soat'!$H:$H,'1.BS (VND)'!$D53)-SUMIFS('1.DC_Ra soat'!$L:$L,'1.DC_Ra soat'!$F:$F,'1.PL (VND) '!BF$4,'1.DC_Ra soat'!$I:$I,'1.BS (VND)'!$D53)</f>
        <v>0</v>
      </c>
      <c r="BB53" s="240"/>
      <c r="BC53" s="244">
        <f>SUMIFS('1.DC_Ra soat'!$L:$L,'1.DC_Ra soat'!$F:$F,'1.PL (VND) '!BI$4,'1.DC_Ra soat'!$H:$H,'1.BS (VND)'!$D53)-SUMIFS('1.DC_Ra soat'!$L:$L,'1.DC_Ra soat'!$F:$F,'1.PL (VND) '!BI$4,'1.DC_Ra soat'!$I:$I,'1.BS (VND)'!$D53)</f>
        <v>0</v>
      </c>
      <c r="BD53" s="244">
        <f>SUMIFS('1.DC_Ra soat'!$L:$L,'1.DC_Ra soat'!$F:$F,'1.PL (VND) '!BJ$4,'1.DC_Ra soat'!$H:$H,'1.BS (VND)'!$D53)-SUMIFS('1.DC_Ra soat'!$L:$L,'1.DC_Ra soat'!$F:$F,'1.PL (VND) '!BJ$4,'1.DC_Ra soat'!$I:$I,'1.BS (VND)'!$D53)</f>
        <v>0</v>
      </c>
      <c r="BE53" s="244">
        <f>SUMIFS('1.DC_Ra soat'!$L:$L,'1.DC_Ra soat'!$F:$F,'1.PL (VND) '!BK$4,'1.DC_Ra soat'!$H:$H,'1.BS (VND)'!$D53)-SUMIFS('1.DC_Ra soat'!$L:$L,'1.DC_Ra soat'!$F:$F,'1.PL (VND) '!BK$4,'1.DC_Ra soat'!$I:$I,'1.BS (VND)'!$D53)</f>
        <v>0</v>
      </c>
      <c r="BF53" s="244">
        <f>SUMIFS('1.DC_Ra soat'!$L:$L,'1.DC_Ra soat'!$F:$F,'1.PL (VND) '!BL$4,'1.DC_Ra soat'!$H:$H,'1.BS (VND)'!$D53)-SUMIFS('1.DC_Ra soat'!$L:$L,'1.DC_Ra soat'!$F:$F,'1.PL (VND) '!BL$4,'1.DC_Ra soat'!$I:$I,'1.BS (VND)'!$D53)</f>
        <v>0</v>
      </c>
      <c r="BG53" s="240"/>
      <c r="BH53" s="244">
        <f>SUMIFS('1.DC_Ra soat'!$L:$L,'1.DC_Ra soat'!$F:$F,'1.PL (VND) '!BO$4,'1.DC_Ra soat'!$H:$H,'1.BS (VND)'!$D53)-SUMIFS('1.DC_Ra soat'!$L:$L,'1.DC_Ra soat'!$F:$F,'1.PL (VND) '!BO$4,'1.DC_Ra soat'!$I:$I,'1.BS (VND)'!$D53)</f>
        <v>0</v>
      </c>
      <c r="BI53" s="244">
        <f>SUMIFS('1.DC_Ra soat'!$L:$L,'1.DC_Ra soat'!$F:$F,'1.PL (VND) '!BP$4,'1.DC_Ra soat'!$H:$H,'1.BS (VND)'!$D53)-SUMIFS('1.DC_Ra soat'!$L:$L,'1.DC_Ra soat'!$F:$F,'1.PL (VND) '!BP$4,'1.DC_Ra soat'!$I:$I,'1.BS (VND)'!$D53)</f>
        <v>0</v>
      </c>
      <c r="BJ53" s="244">
        <f>SUMIFS('1.DC_Ra soat'!$L:$L,'1.DC_Ra soat'!$F:$F,'1.PL (VND) '!BQ$4,'1.DC_Ra soat'!$H:$H,'1.BS (VND)'!$D53)-SUMIFS('1.DC_Ra soat'!$L:$L,'1.DC_Ra soat'!$F:$F,'1.PL (VND) '!BQ$4,'1.DC_Ra soat'!$I:$I,'1.BS (VND)'!$D53)</f>
        <v>0</v>
      </c>
      <c r="BK53" s="244">
        <f>SUMIFS('1.DC_Ra soat'!$L:$L,'1.DC_Ra soat'!$F:$F,'1.PL (VND) '!BR$4,'1.DC_Ra soat'!$H:$H,'1.BS (VND)'!$D53)-SUMIFS('1.DC_Ra soat'!$L:$L,'1.DC_Ra soat'!$F:$F,'1.PL (VND) '!BR$4,'1.DC_Ra soat'!$I:$I,'1.BS (VND)'!$D53)</f>
        <v>0</v>
      </c>
      <c r="BM53" s="244">
        <f t="shared" si="62"/>
        <v>0</v>
      </c>
      <c r="BN53" s="244">
        <f t="shared" si="63"/>
        <v>0</v>
      </c>
      <c r="BO53" s="244">
        <f t="shared" si="64"/>
        <v>0</v>
      </c>
      <c r="BP53" s="243">
        <f t="shared" si="65"/>
        <v>0</v>
      </c>
      <c r="BQ53" s="240"/>
      <c r="BR53" s="244">
        <f t="shared" si="66"/>
        <v>0</v>
      </c>
      <c r="BS53" s="244">
        <f t="shared" si="67"/>
        <v>0</v>
      </c>
      <c r="BT53" s="244">
        <f t="shared" si="68"/>
        <v>0</v>
      </c>
      <c r="BU53" s="244">
        <f t="shared" si="69"/>
        <v>0</v>
      </c>
      <c r="BV53" s="240"/>
      <c r="BW53" s="244">
        <f t="shared" si="70"/>
        <v>0</v>
      </c>
      <c r="BX53" s="244">
        <f t="shared" si="71"/>
        <v>0</v>
      </c>
      <c r="BY53" s="244">
        <f t="shared" si="72"/>
        <v>0</v>
      </c>
      <c r="BZ53" s="243">
        <f t="shared" si="73"/>
        <v>0</v>
      </c>
      <c r="CA53" s="240"/>
      <c r="CB53" s="243">
        <f t="shared" si="74"/>
        <v>0</v>
      </c>
      <c r="CC53" s="243">
        <f t="shared" si="75"/>
        <v>0</v>
      </c>
      <c r="CD53" s="243">
        <f t="shared" si="76"/>
        <v>0</v>
      </c>
      <c r="CE53" s="243">
        <f t="shared" si="77"/>
        <v>0</v>
      </c>
      <c r="CF53" s="240"/>
      <c r="CG53" s="243">
        <f t="shared" si="78"/>
        <v>0</v>
      </c>
      <c r="CH53" s="243">
        <f t="shared" si="79"/>
        <v>0</v>
      </c>
      <c r="CI53" s="243">
        <f t="shared" si="80"/>
        <v>0</v>
      </c>
      <c r="CJ53" s="243">
        <f t="shared" si="81"/>
        <v>0</v>
      </c>
      <c r="CK53" s="240"/>
      <c r="CL53" s="244">
        <f t="shared" si="82"/>
        <v>0</v>
      </c>
      <c r="CM53" s="244">
        <f t="shared" si="83"/>
        <v>0</v>
      </c>
      <c r="CN53" s="244">
        <f t="shared" si="84"/>
        <v>0</v>
      </c>
      <c r="CO53" s="243">
        <f t="shared" si="85"/>
        <v>0</v>
      </c>
      <c r="CQ53" s="244">
        <f>SUMIF('1.PL (VND) '!$BL$6:$CD$6,'1.PL (VND) '!CP$6,$BM53:$CE53)</f>
        <v>0</v>
      </c>
      <c r="CR53" s="244">
        <f>SUMIF('1.PL (VND) '!$BL$6:$CD$6,'1.PL (VND) '!CQ$6,$BM53:$CE53)</f>
        <v>0</v>
      </c>
      <c r="CS53" s="244">
        <f>SUMIF('1.PL (VND) '!$BL$6:$CD$6,'1.PL (VND) '!CR$6,$BM53:$CE53)</f>
        <v>0</v>
      </c>
      <c r="CT53" s="244">
        <f>SUMIF('1.PL (VND) '!$BL$6:$CD$6,'1.PL (VND) '!CS$6,$BM53:$CE53)</f>
        <v>0</v>
      </c>
      <c r="CV53" s="246">
        <f>SUMIF('1.PL (VND) '!$BL$6:$CN$6,'1.PL (VND) '!CU$6,$BM53:$CO53)</f>
        <v>0</v>
      </c>
      <c r="CW53" s="246">
        <f>SUMIF('1.PL (VND) '!$BL$6:$CN$6,'1.PL (VND) '!CV$6,$BM53:$CO53)</f>
        <v>0</v>
      </c>
      <c r="CX53" s="246">
        <f>SUMIF('1.PL (VND) '!$BL$6:$CN$6,'1.PL (VND) '!CW$6,$BM53:$CO53)</f>
        <v>0</v>
      </c>
      <c r="CY53" s="246">
        <f>SUMIF('1.PL (VND) '!$BL$6:$CN$6,'1.PL (VND) '!CX$6,$BM53:$CO53)</f>
        <v>0</v>
      </c>
      <c r="DA53" s="244">
        <f t="shared" si="86"/>
        <v>0</v>
      </c>
      <c r="DB53" s="244">
        <f t="shared" si="87"/>
        <v>0</v>
      </c>
      <c r="DC53" s="244">
        <f t="shared" si="88"/>
        <v>0</v>
      </c>
      <c r="DD53" s="244">
        <f t="shared" si="89"/>
        <v>0</v>
      </c>
    </row>
    <row r="54" spans="1:112" s="700" customFormat="1" x14ac:dyDescent="0.25">
      <c r="A54" s="248" t="str">
        <f t="shared" si="40"/>
        <v>hide</v>
      </c>
      <c r="C54" s="703" t="s">
        <v>363</v>
      </c>
      <c r="D54" s="704" t="s">
        <v>375</v>
      </c>
      <c r="E54" s="721"/>
      <c r="F54" s="721"/>
      <c r="G54" s="721"/>
      <c r="H54" s="722"/>
      <c r="I54" s="699"/>
      <c r="J54" s="698"/>
      <c r="K54" s="698"/>
      <c r="L54" s="698"/>
      <c r="M54" s="241">
        <v>0</v>
      </c>
      <c r="N54" s="699"/>
      <c r="O54" s="698"/>
      <c r="P54" s="698"/>
      <c r="Q54" s="698"/>
      <c r="R54" s="698"/>
      <c r="S54" s="699"/>
      <c r="T54" s="698"/>
      <c r="U54" s="698"/>
      <c r="V54" s="698"/>
      <c r="W54" s="698"/>
      <c r="X54" s="699"/>
      <c r="Y54" s="698"/>
      <c r="Z54" s="698"/>
      <c r="AA54" s="698"/>
      <c r="AB54" s="698"/>
      <c r="AC54" s="699"/>
      <c r="AD54" s="698"/>
      <c r="AE54" s="698"/>
      <c r="AF54" s="698"/>
      <c r="AG54" s="698"/>
      <c r="AI54" s="698">
        <f>SUMIFS('1.DC_Ra soat'!$L:$L,'1.DC_Ra soat'!$F:$F,AI$4,'1.DC_Ra soat'!$H:$H,'1.BS (VND)'!$D54)-SUMIFS('1.DC_Ra soat'!$L:$L,'1.DC_Ra soat'!$F:$F,AI$4,'1.DC_Ra soat'!$I:$I,'1.BS (VND)'!$D54)</f>
        <v>0</v>
      </c>
      <c r="AJ54" s="698">
        <f>SUMIFS('1.DC_Ra soat'!$L:$L,'1.DC_Ra soat'!$F:$F,AJ$4,'1.DC_Ra soat'!$H:$H,'1.BS (VND)'!$D54)-SUMIFS('1.DC_Ra soat'!$L:$L,'1.DC_Ra soat'!$F:$F,AJ$4,'1.DC_Ra soat'!$I:$I,'1.BS (VND)'!$D54)</f>
        <v>0</v>
      </c>
      <c r="AK54" s="698">
        <f>SUMIFS('1.DC_Ra soat'!$L:$L,'1.DC_Ra soat'!$F:$F,AK$4,'1.DC_Ra soat'!$H:$H,'1.BS (VND)'!$D54)-SUMIFS('1.DC_Ra soat'!$L:$L,'1.DC_Ra soat'!$F:$F,AK$4,'1.DC_Ra soat'!$I:$I,'1.BS (VND)'!$D54)</f>
        <v>0</v>
      </c>
      <c r="AL54" s="698">
        <f>SUMIFS('1.DC_Ra soat'!$L:$L,'1.DC_Ra soat'!$F:$F,AL$4,'1.DC_Ra soat'!$H:$H,'1.BS (VND)'!$D54)-SUMIFS('1.DC_Ra soat'!$L:$L,'1.DC_Ra soat'!$F:$F,AL$4,'1.DC_Ra soat'!$I:$I,'1.BS (VND)'!$D54)</f>
        <v>0</v>
      </c>
      <c r="AM54" s="699"/>
      <c r="AN54" s="698">
        <f>SUMIFS('1.DC_Ra soat'!$L:$L,'1.DC_Ra soat'!$F:$F,AN$4,'1.DC_Ra soat'!$H:$H,'1.BS (VND)'!$D54)-SUMIFS('1.DC_Ra soat'!$L:$L,'1.DC_Ra soat'!$F:$F,AN$4,'1.DC_Ra soat'!$I:$I,'1.BS (VND)'!$D54)</f>
        <v>0</v>
      </c>
      <c r="AO54" s="698">
        <f>SUMIFS('1.DC_Ra soat'!$L:$L,'1.DC_Ra soat'!$F:$F,AO$4,'1.DC_Ra soat'!$H:$H,'1.BS (VND)'!$D54)-SUMIFS('1.DC_Ra soat'!$L:$L,'1.DC_Ra soat'!$F:$F,AO$4,'1.DC_Ra soat'!$I:$I,'1.BS (VND)'!$D54)</f>
        <v>0</v>
      </c>
      <c r="AP54" s="698">
        <f>SUMIFS('1.DC_Ra soat'!$L:$L,'1.DC_Ra soat'!$F:$F,AP$4,'1.DC_Ra soat'!$H:$H,'1.BS (VND)'!$D54)-SUMIFS('1.DC_Ra soat'!$L:$L,'1.DC_Ra soat'!$F:$F,AP$4,'1.DC_Ra soat'!$I:$I,'1.BS (VND)'!$D54)</f>
        <v>0</v>
      </c>
      <c r="AQ54" s="698">
        <f>SUMIFS('1.DC_Ra soat'!$L:$L,'1.DC_Ra soat'!$F:$F,AQ$4,'1.DC_Ra soat'!$H:$H,'1.BS (VND)'!$D54)-SUMIFS('1.DC_Ra soat'!$L:$L,'1.DC_Ra soat'!$F:$F,AQ$4,'1.DC_Ra soat'!$I:$I,'1.BS (VND)'!$D54)</f>
        <v>0</v>
      </c>
      <c r="AR54" s="699"/>
      <c r="AS54" s="698">
        <f>SUMIFS('1.DC_Ra soat'!$L:$L,'1.DC_Ra soat'!$F:$F,AS$4,'1.DC_Ra soat'!$H:$H,'1.BS (VND)'!$D54)-SUMIFS('1.DC_Ra soat'!$L:$L,'1.DC_Ra soat'!$F:$F,AS$4,'1.DC_Ra soat'!$I:$I,'1.BS (VND)'!$D54)</f>
        <v>0</v>
      </c>
      <c r="AT54" s="698">
        <f>SUMIFS('1.DC_Ra soat'!$L:$L,'1.DC_Ra soat'!$F:$F,AT$4,'1.DC_Ra soat'!$H:$H,'1.BS (VND)'!$D54)-SUMIFS('1.DC_Ra soat'!$L:$L,'1.DC_Ra soat'!$F:$F,AT$4,'1.DC_Ra soat'!$I:$I,'1.BS (VND)'!$D54)</f>
        <v>0</v>
      </c>
      <c r="AU54" s="698">
        <f>SUMIFS('1.DC_Ra soat'!$L:$L,'1.DC_Ra soat'!$F:$F,AU$4,'1.DC_Ra soat'!$H:$H,'1.BS (VND)'!$D54)-SUMIFS('1.DC_Ra soat'!$L:$L,'1.DC_Ra soat'!$F:$F,AU$4,'1.DC_Ra soat'!$I:$I,'1.BS (VND)'!$D54)</f>
        <v>0</v>
      </c>
      <c r="AV54" s="698">
        <f>SUMIFS('1.DC_Ra soat'!$L:$L,'1.DC_Ra soat'!$F:$F,AV$4,'1.DC_Ra soat'!$H:$H,'1.BS (VND)'!$D54)-SUMIFS('1.DC_Ra soat'!$L:$L,'1.DC_Ra soat'!$F:$F,AV$4,'1.DC_Ra soat'!$I:$I,'1.BS (VND)'!$D54)</f>
        <v>0</v>
      </c>
      <c r="AW54" s="699"/>
      <c r="AX54" s="698">
        <f>SUMIFS('1.DC_Ra soat'!$L:$L,'1.DC_Ra soat'!$F:$F,'1.PL (VND) '!BC$4,'1.DC_Ra soat'!$H:$H,'1.BS (VND)'!$D54)-SUMIFS('1.DC_Ra soat'!$L:$L,'1.DC_Ra soat'!$F:$F,'1.PL (VND) '!BC$4,'1.DC_Ra soat'!$I:$I,'1.BS (VND)'!$D54)</f>
        <v>0</v>
      </c>
      <c r="AY54" s="698">
        <f>SUMIFS('1.DC_Ra soat'!$L:$L,'1.DC_Ra soat'!$F:$F,'1.PL (VND) '!BD$4,'1.DC_Ra soat'!$H:$H,'1.BS (VND)'!$D54)-SUMIFS('1.DC_Ra soat'!$L:$L,'1.DC_Ra soat'!$F:$F,'1.PL (VND) '!BD$4,'1.DC_Ra soat'!$I:$I,'1.BS (VND)'!$D54)</f>
        <v>0</v>
      </c>
      <c r="AZ54" s="698">
        <f>SUMIFS('1.DC_Ra soat'!$L:$L,'1.DC_Ra soat'!$F:$F,'1.PL (VND) '!BE$4,'1.DC_Ra soat'!$H:$H,'1.BS (VND)'!$D54)-SUMIFS('1.DC_Ra soat'!$L:$L,'1.DC_Ra soat'!$F:$F,'1.PL (VND) '!BE$4,'1.DC_Ra soat'!$I:$I,'1.BS (VND)'!$D54)</f>
        <v>0</v>
      </c>
      <c r="BA54" s="698">
        <f>SUMIFS('1.DC_Ra soat'!$L:$L,'1.DC_Ra soat'!$F:$F,'1.PL (VND) '!BF$4,'1.DC_Ra soat'!$H:$H,'1.BS (VND)'!$D54)-SUMIFS('1.DC_Ra soat'!$L:$L,'1.DC_Ra soat'!$F:$F,'1.PL (VND) '!BF$4,'1.DC_Ra soat'!$I:$I,'1.BS (VND)'!$D54)</f>
        <v>0</v>
      </c>
      <c r="BB54" s="699"/>
      <c r="BC54" s="698">
        <f>SUMIFS('1.DC_Ra soat'!$L:$L,'1.DC_Ra soat'!$F:$F,'1.PL (VND) '!BI$4,'1.DC_Ra soat'!$H:$H,'1.BS (VND)'!$D54)-SUMIFS('1.DC_Ra soat'!$L:$L,'1.DC_Ra soat'!$F:$F,'1.PL (VND) '!BI$4,'1.DC_Ra soat'!$I:$I,'1.BS (VND)'!$D54)</f>
        <v>0</v>
      </c>
      <c r="BD54" s="698">
        <f>SUMIFS('1.DC_Ra soat'!$L:$L,'1.DC_Ra soat'!$F:$F,'1.PL (VND) '!BJ$4,'1.DC_Ra soat'!$H:$H,'1.BS (VND)'!$D54)-SUMIFS('1.DC_Ra soat'!$L:$L,'1.DC_Ra soat'!$F:$F,'1.PL (VND) '!BJ$4,'1.DC_Ra soat'!$I:$I,'1.BS (VND)'!$D54)</f>
        <v>0</v>
      </c>
      <c r="BE54" s="698">
        <f>SUMIFS('1.DC_Ra soat'!$L:$L,'1.DC_Ra soat'!$F:$F,'1.PL (VND) '!BK$4,'1.DC_Ra soat'!$H:$H,'1.BS (VND)'!$D54)-SUMIFS('1.DC_Ra soat'!$L:$L,'1.DC_Ra soat'!$F:$F,'1.PL (VND) '!BK$4,'1.DC_Ra soat'!$I:$I,'1.BS (VND)'!$D54)</f>
        <v>0</v>
      </c>
      <c r="BF54" s="698">
        <f>SUMIFS('1.DC_Ra soat'!$L:$L,'1.DC_Ra soat'!$F:$F,'1.PL (VND) '!BL$4,'1.DC_Ra soat'!$H:$H,'1.BS (VND)'!$D54)-SUMIFS('1.DC_Ra soat'!$L:$L,'1.DC_Ra soat'!$F:$F,'1.PL (VND) '!BL$4,'1.DC_Ra soat'!$I:$I,'1.BS (VND)'!$D54)</f>
        <v>0</v>
      </c>
      <c r="BG54" s="699"/>
      <c r="BH54" s="698">
        <f>SUMIFS('1.DC_Ra soat'!$L:$L,'1.DC_Ra soat'!$F:$F,'1.PL (VND) '!BO$4,'1.DC_Ra soat'!$H:$H,'1.BS (VND)'!$D54)-SUMIFS('1.DC_Ra soat'!$L:$L,'1.DC_Ra soat'!$F:$F,'1.PL (VND) '!BO$4,'1.DC_Ra soat'!$I:$I,'1.BS (VND)'!$D54)</f>
        <v>0</v>
      </c>
      <c r="BI54" s="698">
        <f>SUMIFS('1.DC_Ra soat'!$L:$L,'1.DC_Ra soat'!$F:$F,'1.PL (VND) '!BP$4,'1.DC_Ra soat'!$H:$H,'1.BS (VND)'!$D54)-SUMIFS('1.DC_Ra soat'!$L:$L,'1.DC_Ra soat'!$F:$F,'1.PL (VND) '!BP$4,'1.DC_Ra soat'!$I:$I,'1.BS (VND)'!$D54)</f>
        <v>0</v>
      </c>
      <c r="BJ54" s="698">
        <f>SUMIFS('1.DC_Ra soat'!$L:$L,'1.DC_Ra soat'!$F:$F,'1.PL (VND) '!BQ$4,'1.DC_Ra soat'!$H:$H,'1.BS (VND)'!$D54)-SUMIFS('1.DC_Ra soat'!$L:$L,'1.DC_Ra soat'!$F:$F,'1.PL (VND) '!BQ$4,'1.DC_Ra soat'!$I:$I,'1.BS (VND)'!$D54)</f>
        <v>0</v>
      </c>
      <c r="BK54" s="698">
        <f>SUMIFS('1.DC_Ra soat'!$L:$L,'1.DC_Ra soat'!$F:$F,'1.PL (VND) '!BR$4,'1.DC_Ra soat'!$H:$H,'1.BS (VND)'!$D54)-SUMIFS('1.DC_Ra soat'!$L:$L,'1.DC_Ra soat'!$F:$F,'1.PL (VND) '!BR$4,'1.DC_Ra soat'!$I:$I,'1.BS (VND)'!$D54)</f>
        <v>0</v>
      </c>
      <c r="BM54" s="698">
        <f t="shared" si="62"/>
        <v>0</v>
      </c>
      <c r="BN54" s="698">
        <f t="shared" si="63"/>
        <v>0</v>
      </c>
      <c r="BO54" s="698">
        <f t="shared" si="64"/>
        <v>0</v>
      </c>
      <c r="BP54" s="697">
        <f t="shared" si="65"/>
        <v>0</v>
      </c>
      <c r="BQ54" s="699"/>
      <c r="BR54" s="698">
        <f t="shared" si="66"/>
        <v>0</v>
      </c>
      <c r="BS54" s="698">
        <f t="shared" si="67"/>
        <v>0</v>
      </c>
      <c r="BT54" s="698">
        <f t="shared" si="68"/>
        <v>0</v>
      </c>
      <c r="BU54" s="698">
        <f t="shared" si="69"/>
        <v>0</v>
      </c>
      <c r="BV54" s="699"/>
      <c r="BW54" s="698">
        <f t="shared" si="70"/>
        <v>0</v>
      </c>
      <c r="BX54" s="698">
        <f t="shared" si="71"/>
        <v>0</v>
      </c>
      <c r="BY54" s="698">
        <f t="shared" si="72"/>
        <v>0</v>
      </c>
      <c r="BZ54" s="697">
        <f t="shared" si="73"/>
        <v>0</v>
      </c>
      <c r="CA54" s="699"/>
      <c r="CB54" s="697">
        <f t="shared" si="74"/>
        <v>0</v>
      </c>
      <c r="CC54" s="697">
        <f t="shared" si="75"/>
        <v>0</v>
      </c>
      <c r="CD54" s="697">
        <f t="shared" si="76"/>
        <v>0</v>
      </c>
      <c r="CE54" s="697">
        <f t="shared" si="77"/>
        <v>0</v>
      </c>
      <c r="CF54" s="699"/>
      <c r="CG54" s="697">
        <f t="shared" si="78"/>
        <v>0</v>
      </c>
      <c r="CH54" s="697">
        <f t="shared" si="79"/>
        <v>0</v>
      </c>
      <c r="CI54" s="697">
        <f t="shared" si="80"/>
        <v>0</v>
      </c>
      <c r="CJ54" s="697">
        <f t="shared" si="81"/>
        <v>0</v>
      </c>
      <c r="CK54" s="699"/>
      <c r="CL54" s="698">
        <f t="shared" si="82"/>
        <v>0</v>
      </c>
      <c r="CM54" s="698">
        <f t="shared" si="83"/>
        <v>0</v>
      </c>
      <c r="CN54" s="698">
        <f t="shared" si="84"/>
        <v>0</v>
      </c>
      <c r="CO54" s="697">
        <f t="shared" si="85"/>
        <v>0</v>
      </c>
      <c r="CQ54" s="698">
        <f>SUMIF('1.PL (VND) '!$BL$6:$CD$6,'1.PL (VND) '!CP$6,$BM54:$CE54)</f>
        <v>0</v>
      </c>
      <c r="CR54" s="698">
        <f>SUMIF('1.PL (VND) '!$BL$6:$CD$6,'1.PL (VND) '!CQ$6,$BM54:$CE54)</f>
        <v>0</v>
      </c>
      <c r="CS54" s="698">
        <f>SUMIF('1.PL (VND) '!$BL$6:$CD$6,'1.PL (VND) '!CR$6,$BM54:$CE54)</f>
        <v>0</v>
      </c>
      <c r="CT54" s="698">
        <f>SUMIF('1.PL (VND) '!$BL$6:$CD$6,'1.PL (VND) '!CS$6,$BM54:$CE54)</f>
        <v>0</v>
      </c>
      <c r="CV54" s="702">
        <f>-SUMIFS('1.DC_Ra soat'!$L:$L,'1.DC_Ra soat'!$F:$F,'1.PL (VND) '!DK$4,'1.DC_Ra soat'!$H:$H,'1.BS (VND)'!$D54)+SUMIFS('1.DC_Ra soat'!$L:$L,'1.DC_Ra soat'!$F:$F,'1.PL (VND) '!DK$4,'1.DC_Ra soat'!$I:$I,'1.BS (VND)'!$D54)</f>
        <v>0</v>
      </c>
      <c r="CW54" s="702">
        <f>-SUMIFS('1.DC_Ra soat'!$L:$L,'1.DC_Ra soat'!$F:$F,'1.PL (VND) '!DL$4,'1.DC_Ra soat'!$H:$H,'1.BS (VND)'!$D54)+SUMIFS('1.DC_Ra soat'!$L:$L,'1.DC_Ra soat'!$F:$F,'1.PL (VND) '!DL$4,'1.DC_Ra soat'!$I:$I,'1.BS (VND)'!$D54)</f>
        <v>0</v>
      </c>
      <c r="CX54" s="702">
        <f>-SUMIFS('1.DC_Ra soat'!$L:$L,'1.DC_Ra soat'!$F:$F,'1.PL (VND) '!DM$4,'1.DC_Ra soat'!$H:$H,'1.BS (VND)'!$D54)+SUMIFS('1.DC_Ra soat'!$L:$L,'1.DC_Ra soat'!$F:$F,'1.PL (VND) '!DM$4,'1.DC_Ra soat'!$I:$I,'1.BS (VND)'!$D54)</f>
        <v>0</v>
      </c>
      <c r="CY54" s="702">
        <f>-SUMIFS('1.DC_Ra soat'!$L:$L,'1.DC_Ra soat'!$F:$F,'1.PL (VND) '!DN$4,'1.DC_Ra soat'!$H:$H,'1.BS (VND)'!$D54)+SUMIFS('1.DC_Ra soat'!$L:$L,'1.DC_Ra soat'!$F:$F,'1.PL (VND) '!DN$4,'1.DC_Ra soat'!$I:$I,'1.BS (VND)'!$D54)</f>
        <v>0</v>
      </c>
      <c r="DA54" s="698">
        <f t="shared" si="86"/>
        <v>0</v>
      </c>
      <c r="DB54" s="698">
        <f t="shared" si="87"/>
        <v>0</v>
      </c>
      <c r="DC54" s="698">
        <f t="shared" si="88"/>
        <v>0</v>
      </c>
      <c r="DD54" s="698">
        <f t="shared" si="89"/>
        <v>0</v>
      </c>
    </row>
    <row r="55" spans="1:112" s="700" customFormat="1" x14ac:dyDescent="0.25">
      <c r="A55" s="248" t="str">
        <f t="shared" si="40"/>
        <v>hide</v>
      </c>
      <c r="C55" s="703" t="s">
        <v>365</v>
      </c>
      <c r="D55" s="704" t="s">
        <v>376</v>
      </c>
      <c r="E55" s="721"/>
      <c r="F55" s="721"/>
      <c r="G55" s="721"/>
      <c r="H55" s="722"/>
      <c r="I55" s="699"/>
      <c r="J55" s="698"/>
      <c r="K55" s="698"/>
      <c r="L55" s="698"/>
      <c r="M55" s="241">
        <v>0</v>
      </c>
      <c r="N55" s="699"/>
      <c r="O55" s="698"/>
      <c r="P55" s="698"/>
      <c r="Q55" s="698"/>
      <c r="R55" s="698"/>
      <c r="S55" s="699"/>
      <c r="T55" s="698"/>
      <c r="U55" s="698"/>
      <c r="V55" s="698"/>
      <c r="W55" s="698"/>
      <c r="X55" s="699"/>
      <c r="Y55" s="698"/>
      <c r="Z55" s="698"/>
      <c r="AA55" s="698"/>
      <c r="AB55" s="698"/>
      <c r="AC55" s="699"/>
      <c r="AD55" s="698"/>
      <c r="AE55" s="698"/>
      <c r="AF55" s="698"/>
      <c r="AG55" s="698"/>
      <c r="AI55" s="698">
        <f>SUMIFS('1.DC_Ra soat'!$L:$L,'1.DC_Ra soat'!$F:$F,AI$4,'1.DC_Ra soat'!$H:$H,'1.BS (VND)'!$D55)-SUMIFS('1.DC_Ra soat'!$L:$L,'1.DC_Ra soat'!$F:$F,AI$4,'1.DC_Ra soat'!$I:$I,'1.BS (VND)'!$D55)</f>
        <v>0</v>
      </c>
      <c r="AJ55" s="698">
        <f>SUMIFS('1.DC_Ra soat'!$L:$L,'1.DC_Ra soat'!$F:$F,AJ$4,'1.DC_Ra soat'!$H:$H,'1.BS (VND)'!$D55)-SUMIFS('1.DC_Ra soat'!$L:$L,'1.DC_Ra soat'!$F:$F,AJ$4,'1.DC_Ra soat'!$I:$I,'1.BS (VND)'!$D55)</f>
        <v>0</v>
      </c>
      <c r="AK55" s="698">
        <f>SUMIFS('1.DC_Ra soat'!$L:$L,'1.DC_Ra soat'!$F:$F,AK$4,'1.DC_Ra soat'!$H:$H,'1.BS (VND)'!$D55)-SUMIFS('1.DC_Ra soat'!$L:$L,'1.DC_Ra soat'!$F:$F,AK$4,'1.DC_Ra soat'!$I:$I,'1.BS (VND)'!$D55)</f>
        <v>0</v>
      </c>
      <c r="AL55" s="698">
        <f>SUMIFS('1.DC_Ra soat'!$L:$L,'1.DC_Ra soat'!$F:$F,AL$4,'1.DC_Ra soat'!$H:$H,'1.BS (VND)'!$D55)-SUMIFS('1.DC_Ra soat'!$L:$L,'1.DC_Ra soat'!$F:$F,AL$4,'1.DC_Ra soat'!$I:$I,'1.BS (VND)'!$D55)</f>
        <v>0</v>
      </c>
      <c r="AM55" s="699"/>
      <c r="AN55" s="698">
        <f>SUMIFS('1.DC_Ra soat'!$L:$L,'1.DC_Ra soat'!$F:$F,AN$4,'1.DC_Ra soat'!$H:$H,'1.BS (VND)'!$D55)-SUMIFS('1.DC_Ra soat'!$L:$L,'1.DC_Ra soat'!$F:$F,AN$4,'1.DC_Ra soat'!$I:$I,'1.BS (VND)'!$D55)</f>
        <v>0</v>
      </c>
      <c r="AO55" s="698">
        <f>SUMIFS('1.DC_Ra soat'!$L:$L,'1.DC_Ra soat'!$F:$F,AO$4,'1.DC_Ra soat'!$H:$H,'1.BS (VND)'!$D55)-SUMIFS('1.DC_Ra soat'!$L:$L,'1.DC_Ra soat'!$F:$F,AO$4,'1.DC_Ra soat'!$I:$I,'1.BS (VND)'!$D55)</f>
        <v>0</v>
      </c>
      <c r="AP55" s="698">
        <f>SUMIFS('1.DC_Ra soat'!$L:$L,'1.DC_Ra soat'!$F:$F,AP$4,'1.DC_Ra soat'!$H:$H,'1.BS (VND)'!$D55)-SUMIFS('1.DC_Ra soat'!$L:$L,'1.DC_Ra soat'!$F:$F,AP$4,'1.DC_Ra soat'!$I:$I,'1.BS (VND)'!$D55)</f>
        <v>0</v>
      </c>
      <c r="AQ55" s="698">
        <f>SUMIFS('1.DC_Ra soat'!$L:$L,'1.DC_Ra soat'!$F:$F,AQ$4,'1.DC_Ra soat'!$H:$H,'1.BS (VND)'!$D55)-SUMIFS('1.DC_Ra soat'!$L:$L,'1.DC_Ra soat'!$F:$F,AQ$4,'1.DC_Ra soat'!$I:$I,'1.BS (VND)'!$D55)</f>
        <v>0</v>
      </c>
      <c r="AR55" s="699"/>
      <c r="AS55" s="698">
        <f>SUMIFS('1.DC_Ra soat'!$L:$L,'1.DC_Ra soat'!$F:$F,AS$4,'1.DC_Ra soat'!$H:$H,'1.BS (VND)'!$D55)-SUMIFS('1.DC_Ra soat'!$L:$L,'1.DC_Ra soat'!$F:$F,AS$4,'1.DC_Ra soat'!$I:$I,'1.BS (VND)'!$D55)</f>
        <v>0</v>
      </c>
      <c r="AT55" s="698">
        <f>SUMIFS('1.DC_Ra soat'!$L:$L,'1.DC_Ra soat'!$F:$F,AT$4,'1.DC_Ra soat'!$H:$H,'1.BS (VND)'!$D55)-SUMIFS('1.DC_Ra soat'!$L:$L,'1.DC_Ra soat'!$F:$F,AT$4,'1.DC_Ra soat'!$I:$I,'1.BS (VND)'!$D55)</f>
        <v>0</v>
      </c>
      <c r="AU55" s="698">
        <f>SUMIFS('1.DC_Ra soat'!$L:$L,'1.DC_Ra soat'!$F:$F,AU$4,'1.DC_Ra soat'!$H:$H,'1.BS (VND)'!$D55)-SUMIFS('1.DC_Ra soat'!$L:$L,'1.DC_Ra soat'!$F:$F,AU$4,'1.DC_Ra soat'!$I:$I,'1.BS (VND)'!$D55)</f>
        <v>0</v>
      </c>
      <c r="AV55" s="698">
        <f>SUMIFS('1.DC_Ra soat'!$L:$L,'1.DC_Ra soat'!$F:$F,AV$4,'1.DC_Ra soat'!$H:$H,'1.BS (VND)'!$D55)-SUMIFS('1.DC_Ra soat'!$L:$L,'1.DC_Ra soat'!$F:$F,AV$4,'1.DC_Ra soat'!$I:$I,'1.BS (VND)'!$D55)</f>
        <v>0</v>
      </c>
      <c r="AW55" s="699"/>
      <c r="AX55" s="698">
        <f>SUMIFS('1.DC_Ra soat'!$L:$L,'1.DC_Ra soat'!$F:$F,'1.PL (VND) '!BC$4,'1.DC_Ra soat'!$H:$H,'1.BS (VND)'!$D55)-SUMIFS('1.DC_Ra soat'!$L:$L,'1.DC_Ra soat'!$F:$F,'1.PL (VND) '!BC$4,'1.DC_Ra soat'!$I:$I,'1.BS (VND)'!$D55)</f>
        <v>0</v>
      </c>
      <c r="AY55" s="698">
        <f>SUMIFS('1.DC_Ra soat'!$L:$L,'1.DC_Ra soat'!$F:$F,'1.PL (VND) '!BD$4,'1.DC_Ra soat'!$H:$H,'1.BS (VND)'!$D55)-SUMIFS('1.DC_Ra soat'!$L:$L,'1.DC_Ra soat'!$F:$F,'1.PL (VND) '!BD$4,'1.DC_Ra soat'!$I:$I,'1.BS (VND)'!$D55)</f>
        <v>0</v>
      </c>
      <c r="AZ55" s="698">
        <f>SUMIFS('1.DC_Ra soat'!$L:$L,'1.DC_Ra soat'!$F:$F,'1.PL (VND) '!BE$4,'1.DC_Ra soat'!$H:$H,'1.BS (VND)'!$D55)-SUMIFS('1.DC_Ra soat'!$L:$L,'1.DC_Ra soat'!$F:$F,'1.PL (VND) '!BE$4,'1.DC_Ra soat'!$I:$I,'1.BS (VND)'!$D55)</f>
        <v>0</v>
      </c>
      <c r="BA55" s="698">
        <f>SUMIFS('1.DC_Ra soat'!$L:$L,'1.DC_Ra soat'!$F:$F,'1.PL (VND) '!BF$4,'1.DC_Ra soat'!$H:$H,'1.BS (VND)'!$D55)-SUMIFS('1.DC_Ra soat'!$L:$L,'1.DC_Ra soat'!$F:$F,'1.PL (VND) '!BF$4,'1.DC_Ra soat'!$I:$I,'1.BS (VND)'!$D55)</f>
        <v>0</v>
      </c>
      <c r="BB55" s="699"/>
      <c r="BC55" s="698">
        <f>SUMIFS('1.DC_Ra soat'!$L:$L,'1.DC_Ra soat'!$F:$F,'1.PL (VND) '!BI$4,'1.DC_Ra soat'!$H:$H,'1.BS (VND)'!$D55)-SUMIFS('1.DC_Ra soat'!$L:$L,'1.DC_Ra soat'!$F:$F,'1.PL (VND) '!BI$4,'1.DC_Ra soat'!$I:$I,'1.BS (VND)'!$D55)</f>
        <v>0</v>
      </c>
      <c r="BD55" s="698">
        <f>SUMIFS('1.DC_Ra soat'!$L:$L,'1.DC_Ra soat'!$F:$F,'1.PL (VND) '!BJ$4,'1.DC_Ra soat'!$H:$H,'1.BS (VND)'!$D55)-SUMIFS('1.DC_Ra soat'!$L:$L,'1.DC_Ra soat'!$F:$F,'1.PL (VND) '!BJ$4,'1.DC_Ra soat'!$I:$I,'1.BS (VND)'!$D55)</f>
        <v>0</v>
      </c>
      <c r="BE55" s="698">
        <f>SUMIFS('1.DC_Ra soat'!$L:$L,'1.DC_Ra soat'!$F:$F,'1.PL (VND) '!BK$4,'1.DC_Ra soat'!$H:$H,'1.BS (VND)'!$D55)-SUMIFS('1.DC_Ra soat'!$L:$L,'1.DC_Ra soat'!$F:$F,'1.PL (VND) '!BK$4,'1.DC_Ra soat'!$I:$I,'1.BS (VND)'!$D55)</f>
        <v>0</v>
      </c>
      <c r="BF55" s="698">
        <f>SUMIFS('1.DC_Ra soat'!$L:$L,'1.DC_Ra soat'!$F:$F,'1.PL (VND) '!BL$4,'1.DC_Ra soat'!$H:$H,'1.BS (VND)'!$D55)-SUMIFS('1.DC_Ra soat'!$L:$L,'1.DC_Ra soat'!$F:$F,'1.PL (VND) '!BL$4,'1.DC_Ra soat'!$I:$I,'1.BS (VND)'!$D55)</f>
        <v>0</v>
      </c>
      <c r="BG55" s="699"/>
      <c r="BH55" s="698">
        <f>SUMIFS('1.DC_Ra soat'!$L:$L,'1.DC_Ra soat'!$F:$F,'1.PL (VND) '!BO$4,'1.DC_Ra soat'!$H:$H,'1.BS (VND)'!$D55)-SUMIFS('1.DC_Ra soat'!$L:$L,'1.DC_Ra soat'!$F:$F,'1.PL (VND) '!BO$4,'1.DC_Ra soat'!$I:$I,'1.BS (VND)'!$D55)</f>
        <v>0</v>
      </c>
      <c r="BI55" s="698">
        <f>SUMIFS('1.DC_Ra soat'!$L:$L,'1.DC_Ra soat'!$F:$F,'1.PL (VND) '!BP$4,'1.DC_Ra soat'!$H:$H,'1.BS (VND)'!$D55)-SUMIFS('1.DC_Ra soat'!$L:$L,'1.DC_Ra soat'!$F:$F,'1.PL (VND) '!BP$4,'1.DC_Ra soat'!$I:$I,'1.BS (VND)'!$D55)</f>
        <v>0</v>
      </c>
      <c r="BJ55" s="698">
        <f>SUMIFS('1.DC_Ra soat'!$L:$L,'1.DC_Ra soat'!$F:$F,'1.PL (VND) '!BQ$4,'1.DC_Ra soat'!$H:$H,'1.BS (VND)'!$D55)-SUMIFS('1.DC_Ra soat'!$L:$L,'1.DC_Ra soat'!$F:$F,'1.PL (VND) '!BQ$4,'1.DC_Ra soat'!$I:$I,'1.BS (VND)'!$D55)</f>
        <v>0</v>
      </c>
      <c r="BK55" s="698">
        <f>SUMIFS('1.DC_Ra soat'!$L:$L,'1.DC_Ra soat'!$F:$F,'1.PL (VND) '!BR$4,'1.DC_Ra soat'!$H:$H,'1.BS (VND)'!$D55)-SUMIFS('1.DC_Ra soat'!$L:$L,'1.DC_Ra soat'!$F:$F,'1.PL (VND) '!BR$4,'1.DC_Ra soat'!$I:$I,'1.BS (VND)'!$D55)</f>
        <v>0</v>
      </c>
      <c r="BM55" s="698">
        <f t="shared" si="62"/>
        <v>0</v>
      </c>
      <c r="BN55" s="698">
        <f t="shared" si="63"/>
        <v>0</v>
      </c>
      <c r="BO55" s="698">
        <f t="shared" si="64"/>
        <v>0</v>
      </c>
      <c r="BP55" s="697">
        <f t="shared" si="65"/>
        <v>0</v>
      </c>
      <c r="BQ55" s="699"/>
      <c r="BR55" s="698">
        <f t="shared" si="66"/>
        <v>0</v>
      </c>
      <c r="BS55" s="698">
        <f t="shared" si="67"/>
        <v>0</v>
      </c>
      <c r="BT55" s="698">
        <f t="shared" si="68"/>
        <v>0</v>
      </c>
      <c r="BU55" s="698">
        <f t="shared" si="69"/>
        <v>0</v>
      </c>
      <c r="BV55" s="699"/>
      <c r="BW55" s="698">
        <f t="shared" si="70"/>
        <v>0</v>
      </c>
      <c r="BX55" s="698">
        <f t="shared" si="71"/>
        <v>0</v>
      </c>
      <c r="BY55" s="698">
        <f t="shared" si="72"/>
        <v>0</v>
      </c>
      <c r="BZ55" s="697">
        <f t="shared" si="73"/>
        <v>0</v>
      </c>
      <c r="CA55" s="699"/>
      <c r="CB55" s="697">
        <f t="shared" si="74"/>
        <v>0</v>
      </c>
      <c r="CC55" s="697">
        <f t="shared" si="75"/>
        <v>0</v>
      </c>
      <c r="CD55" s="697">
        <f t="shared" si="76"/>
        <v>0</v>
      </c>
      <c r="CE55" s="697">
        <f t="shared" si="77"/>
        <v>0</v>
      </c>
      <c r="CF55" s="699"/>
      <c r="CG55" s="697">
        <f t="shared" si="78"/>
        <v>0</v>
      </c>
      <c r="CH55" s="697">
        <f t="shared" si="79"/>
        <v>0</v>
      </c>
      <c r="CI55" s="697">
        <f t="shared" si="80"/>
        <v>0</v>
      </c>
      <c r="CJ55" s="697">
        <f t="shared" si="81"/>
        <v>0</v>
      </c>
      <c r="CK55" s="699"/>
      <c r="CL55" s="698">
        <f t="shared" si="82"/>
        <v>0</v>
      </c>
      <c r="CM55" s="698">
        <f t="shared" si="83"/>
        <v>0</v>
      </c>
      <c r="CN55" s="698">
        <f t="shared" si="84"/>
        <v>0</v>
      </c>
      <c r="CO55" s="697">
        <f t="shared" si="85"/>
        <v>0</v>
      </c>
      <c r="CQ55" s="698">
        <f>SUMIF('1.PL (VND) '!$BL$6:$CD$6,'1.PL (VND) '!CP$6,$BM55:$CE55)</f>
        <v>0</v>
      </c>
      <c r="CR55" s="698">
        <f>SUMIF('1.PL (VND) '!$BL$6:$CD$6,'1.PL (VND) '!CQ$6,$BM55:$CE55)</f>
        <v>0</v>
      </c>
      <c r="CS55" s="698">
        <f>SUMIF('1.PL (VND) '!$BL$6:$CD$6,'1.PL (VND) '!CR$6,$BM55:$CE55)</f>
        <v>0</v>
      </c>
      <c r="CT55" s="698">
        <f>SUMIF('1.PL (VND) '!$BL$6:$CD$6,'1.PL (VND) '!CS$6,$BM55:$CE55)</f>
        <v>0</v>
      </c>
      <c r="CV55" s="702">
        <f>-SUMIFS('1.DC_Ra soat'!$L:$L,'1.DC_Ra soat'!$F:$F,'1.PL (VND) '!DK$4,'1.DC_Ra soat'!$H:$H,'1.BS (VND)'!$D55)+SUMIFS('1.DC_Ra soat'!$L:$L,'1.DC_Ra soat'!$F:$F,'1.PL (VND) '!DK$4,'1.DC_Ra soat'!$I:$I,'1.BS (VND)'!$D55)</f>
        <v>0</v>
      </c>
      <c r="CW55" s="702">
        <f>-SUMIFS('1.DC_Ra soat'!$L:$L,'1.DC_Ra soat'!$F:$F,'1.PL (VND) '!DL$4,'1.DC_Ra soat'!$H:$H,'1.BS (VND)'!$D55)+SUMIFS('1.DC_Ra soat'!$L:$L,'1.DC_Ra soat'!$F:$F,'1.PL (VND) '!DL$4,'1.DC_Ra soat'!$I:$I,'1.BS (VND)'!$D55)</f>
        <v>0</v>
      </c>
      <c r="CX55" s="702">
        <f>-SUMIFS('1.DC_Ra soat'!$L:$L,'1.DC_Ra soat'!$F:$F,'1.PL (VND) '!DM$4,'1.DC_Ra soat'!$H:$H,'1.BS (VND)'!$D55)+SUMIFS('1.DC_Ra soat'!$L:$L,'1.DC_Ra soat'!$F:$F,'1.PL (VND) '!DM$4,'1.DC_Ra soat'!$I:$I,'1.BS (VND)'!$D55)</f>
        <v>0</v>
      </c>
      <c r="CY55" s="702">
        <f>-SUMIFS('1.DC_Ra soat'!$L:$L,'1.DC_Ra soat'!$F:$F,'1.PL (VND) '!DN$4,'1.DC_Ra soat'!$H:$H,'1.BS (VND)'!$D55)+SUMIFS('1.DC_Ra soat'!$L:$L,'1.DC_Ra soat'!$F:$F,'1.PL (VND) '!DN$4,'1.DC_Ra soat'!$I:$I,'1.BS (VND)'!$D55)</f>
        <v>0</v>
      </c>
      <c r="DA55" s="698">
        <f t="shared" si="86"/>
        <v>0</v>
      </c>
      <c r="DB55" s="698">
        <f t="shared" si="87"/>
        <v>0</v>
      </c>
      <c r="DC55" s="698">
        <f t="shared" si="88"/>
        <v>0</v>
      </c>
      <c r="DD55" s="698">
        <f t="shared" si="89"/>
        <v>0</v>
      </c>
    </row>
    <row r="56" spans="1:112" s="248" customFormat="1" x14ac:dyDescent="0.25">
      <c r="A56" s="248">
        <f t="shared" si="40"/>
        <v>1</v>
      </c>
      <c r="C56" s="259" t="s">
        <v>377</v>
      </c>
      <c r="D56" s="260" t="s">
        <v>378</v>
      </c>
      <c r="E56" s="725">
        <f>SUM(E57:E58)</f>
        <v>0</v>
      </c>
      <c r="F56" s="725">
        <f>SUM(F57:F58)</f>
        <v>0</v>
      </c>
      <c r="G56" s="725">
        <f>SUM(G57:G58)</f>
        <v>25515620351</v>
      </c>
      <c r="H56" s="726">
        <f>H57+H58</f>
        <v>25534842447</v>
      </c>
      <c r="I56" s="230"/>
      <c r="J56" s="241"/>
      <c r="K56" s="241">
        <f>SUM(K57:K58)</f>
        <v>15554763726</v>
      </c>
      <c r="L56" s="241">
        <f>SUM(L57:L58)</f>
        <v>15554763726</v>
      </c>
      <c r="M56" s="241">
        <f>SUM(M57:M58)</f>
        <v>15554763726</v>
      </c>
      <c r="N56" s="230"/>
      <c r="O56" s="241">
        <f>SUM(O57:O58)</f>
        <v>0</v>
      </c>
      <c r="P56" s="241">
        <f>SUM(P57:P58)</f>
        <v>0</v>
      </c>
      <c r="Q56" s="241">
        <f t="shared" ref="Q56:AG56" si="100">SUM(Q57:Q58)</f>
        <v>0</v>
      </c>
      <c r="R56" s="241">
        <f t="shared" si="100"/>
        <v>0</v>
      </c>
      <c r="S56" s="230"/>
      <c r="T56" s="241">
        <f t="shared" si="100"/>
        <v>0</v>
      </c>
      <c r="U56" s="241">
        <f t="shared" si="100"/>
        <v>0</v>
      </c>
      <c r="V56" s="241">
        <f t="shared" si="100"/>
        <v>0</v>
      </c>
      <c r="W56" s="241">
        <f t="shared" si="100"/>
        <v>0</v>
      </c>
      <c r="X56" s="230"/>
      <c r="Y56" s="241">
        <f t="shared" si="100"/>
        <v>0</v>
      </c>
      <c r="Z56" s="241">
        <f t="shared" si="100"/>
        <v>0</v>
      </c>
      <c r="AA56" s="241">
        <f t="shared" si="100"/>
        <v>0</v>
      </c>
      <c r="AB56" s="241">
        <f t="shared" si="100"/>
        <v>0</v>
      </c>
      <c r="AC56" s="230"/>
      <c r="AD56" s="241">
        <f t="shared" si="100"/>
        <v>0</v>
      </c>
      <c r="AE56" s="241">
        <f t="shared" si="100"/>
        <v>0</v>
      </c>
      <c r="AF56" s="241">
        <f t="shared" si="100"/>
        <v>0</v>
      </c>
      <c r="AG56" s="241">
        <f t="shared" si="100"/>
        <v>0</v>
      </c>
      <c r="AI56" s="250">
        <f>SUM(AI57:AI58)</f>
        <v>0</v>
      </c>
      <c r="AJ56" s="250">
        <f>SUM(AJ57:AJ58)</f>
        <v>0</v>
      </c>
      <c r="AK56" s="250">
        <f>SUM(AK57:AK58)</f>
        <v>-2100000000</v>
      </c>
      <c r="AL56" s="250">
        <f t="shared" ref="AL56" si="101">SUM(AL57:AL58)</f>
        <v>-2100000000</v>
      </c>
      <c r="AM56" s="230"/>
      <c r="AN56" s="249">
        <f>SUM(AN57:AN58)</f>
        <v>0</v>
      </c>
      <c r="AO56" s="249">
        <f>SUM(AO57:AO58)</f>
        <v>0</v>
      </c>
      <c r="AP56" s="249">
        <f>SUM(AP57:AP58)</f>
        <v>0</v>
      </c>
      <c r="AQ56" s="249">
        <f t="shared" ref="AQ56" si="102">SUM(AQ57:AQ58)</f>
        <v>0</v>
      </c>
      <c r="AR56" s="230"/>
      <c r="AS56" s="249">
        <f>SUM(AS57:AS58)</f>
        <v>0</v>
      </c>
      <c r="AT56" s="249">
        <f>SUM(AT57:AT58)</f>
        <v>0</v>
      </c>
      <c r="AU56" s="249">
        <f t="shared" ref="AU56:AV56" si="103">SUM(AU57:AU58)</f>
        <v>0</v>
      </c>
      <c r="AV56" s="249">
        <f t="shared" si="103"/>
        <v>0</v>
      </c>
      <c r="AW56" s="230"/>
      <c r="AX56" s="249">
        <f>SUM(AX57:AX58)</f>
        <v>0</v>
      </c>
      <c r="AY56" s="249">
        <f>SUM(AY57:AY58)</f>
        <v>0</v>
      </c>
      <c r="AZ56" s="249">
        <f t="shared" ref="AZ56" si="104">SUM(AZ57:AZ58)</f>
        <v>0</v>
      </c>
      <c r="BA56" s="249">
        <f t="shared" ref="BA56" si="105">SUM(BA57:BA58)</f>
        <v>0</v>
      </c>
      <c r="BB56" s="230"/>
      <c r="BC56" s="249">
        <f>SUM(BC57:BC58)</f>
        <v>0</v>
      </c>
      <c r="BD56" s="249">
        <f>SUM(BD57:BD58)</f>
        <v>0</v>
      </c>
      <c r="BE56" s="249">
        <f t="shared" ref="BE56:BH56" si="106">SUM(BE57:BE58)</f>
        <v>0</v>
      </c>
      <c r="BF56" s="249">
        <f t="shared" si="106"/>
        <v>0</v>
      </c>
      <c r="BG56" s="230"/>
      <c r="BH56" s="249">
        <f t="shared" si="106"/>
        <v>0</v>
      </c>
      <c r="BI56" s="249">
        <f t="shared" ref="BI56" si="107">SUM(BI57:BI58)</f>
        <v>0</v>
      </c>
      <c r="BJ56" s="249">
        <f t="shared" ref="BJ56" si="108">SUM(BJ57:BJ58)</f>
        <v>0</v>
      </c>
      <c r="BK56" s="249">
        <f t="shared" ref="BK56" si="109">SUM(BK57:BK58)</f>
        <v>0</v>
      </c>
      <c r="BM56" s="241">
        <f t="shared" si="62"/>
        <v>0</v>
      </c>
      <c r="BN56" s="241">
        <f t="shared" si="63"/>
        <v>0</v>
      </c>
      <c r="BO56" s="241">
        <f t="shared" si="64"/>
        <v>23415620351</v>
      </c>
      <c r="BP56" s="247">
        <f t="shared" si="65"/>
        <v>23434842447</v>
      </c>
      <c r="BQ56" s="230"/>
      <c r="BR56" s="241">
        <f t="shared" si="66"/>
        <v>0</v>
      </c>
      <c r="BS56" s="241">
        <f t="shared" si="67"/>
        <v>15554763726</v>
      </c>
      <c r="BT56" s="241">
        <f t="shared" si="68"/>
        <v>15554763726</v>
      </c>
      <c r="BU56" s="241">
        <f t="shared" si="69"/>
        <v>15554763726</v>
      </c>
      <c r="BV56" s="230"/>
      <c r="BW56" s="241">
        <f t="shared" si="70"/>
        <v>0</v>
      </c>
      <c r="BX56" s="241">
        <f t="shared" si="71"/>
        <v>0</v>
      </c>
      <c r="BY56" s="241">
        <f t="shared" si="72"/>
        <v>0</v>
      </c>
      <c r="BZ56" s="247">
        <f t="shared" si="73"/>
        <v>0</v>
      </c>
      <c r="CA56" s="230"/>
      <c r="CB56" s="247">
        <f t="shared" si="74"/>
        <v>0</v>
      </c>
      <c r="CC56" s="247">
        <f t="shared" si="75"/>
        <v>0</v>
      </c>
      <c r="CD56" s="247">
        <f t="shared" si="76"/>
        <v>0</v>
      </c>
      <c r="CE56" s="247">
        <f t="shared" si="77"/>
        <v>0</v>
      </c>
      <c r="CF56" s="230"/>
      <c r="CG56" s="247">
        <f t="shared" si="78"/>
        <v>0</v>
      </c>
      <c r="CH56" s="247">
        <f t="shared" si="79"/>
        <v>0</v>
      </c>
      <c r="CI56" s="247">
        <f t="shared" si="80"/>
        <v>0</v>
      </c>
      <c r="CJ56" s="247">
        <f t="shared" si="81"/>
        <v>0</v>
      </c>
      <c r="CK56" s="230"/>
      <c r="CL56" s="241">
        <f t="shared" si="82"/>
        <v>0</v>
      </c>
      <c r="CM56" s="241">
        <f t="shared" si="83"/>
        <v>0</v>
      </c>
      <c r="CN56" s="241">
        <f t="shared" si="84"/>
        <v>0</v>
      </c>
      <c r="CO56" s="247">
        <f t="shared" si="85"/>
        <v>0</v>
      </c>
      <c r="CQ56" s="241">
        <f>SUMIF('1.PL (VND) '!$BL$6:$CD$6,'1.PL (VND) '!CP$6,$BM56:$CE56)</f>
        <v>0</v>
      </c>
      <c r="CR56" s="241">
        <f>SUMIF('1.PL (VND) '!$BL$6:$CD$6,'1.PL (VND) '!CQ$6,$BM56:$CE56)</f>
        <v>15554763726</v>
      </c>
      <c r="CS56" s="241">
        <f>SUMIF('1.PL (VND) '!$BL$6:$CD$6,'1.PL (VND) '!CR$6,$BM56:$CE56)</f>
        <v>38970384077</v>
      </c>
      <c r="CT56" s="241">
        <f>SUMIF('1.PL (VND) '!$BL$6:$CD$6,'1.PL (VND) '!CS$6,$BM56:$CE56)</f>
        <v>38989606173</v>
      </c>
      <c r="CV56" s="251"/>
      <c r="CW56" s="251"/>
      <c r="CX56" s="251"/>
      <c r="CY56" s="710"/>
      <c r="DA56" s="241">
        <f t="shared" si="86"/>
        <v>0</v>
      </c>
      <c r="DB56" s="241">
        <f t="shared" si="87"/>
        <v>15554763726</v>
      </c>
      <c r="DC56" s="241">
        <f t="shared" si="88"/>
        <v>38970384077</v>
      </c>
      <c r="DD56" s="241">
        <f t="shared" si="89"/>
        <v>38989606173</v>
      </c>
      <c r="DH56" s="267"/>
    </row>
    <row r="57" spans="1:112" s="700" customFormat="1" x14ac:dyDescent="0.25">
      <c r="A57" s="248" t="str">
        <f t="shared" si="40"/>
        <v>hide</v>
      </c>
      <c r="C57" s="703" t="s">
        <v>379</v>
      </c>
      <c r="D57" s="704" t="s">
        <v>380</v>
      </c>
      <c r="E57" s="721"/>
      <c r="F57" s="721"/>
      <c r="G57" s="721"/>
      <c r="H57" s="722">
        <v>0</v>
      </c>
      <c r="I57" s="699"/>
      <c r="J57" s="698"/>
      <c r="K57" s="698"/>
      <c r="L57" s="698"/>
      <c r="M57" s="241">
        <v>0</v>
      </c>
      <c r="N57" s="699"/>
      <c r="O57" s="698"/>
      <c r="P57" s="698"/>
      <c r="Q57" s="698"/>
      <c r="R57" s="698"/>
      <c r="S57" s="699"/>
      <c r="T57" s="698"/>
      <c r="U57" s="698"/>
      <c r="V57" s="698"/>
      <c r="W57" s="698"/>
      <c r="X57" s="699"/>
      <c r="Y57" s="698"/>
      <c r="Z57" s="698"/>
      <c r="AA57" s="698"/>
      <c r="AB57" s="698"/>
      <c r="AC57" s="699"/>
      <c r="AD57" s="698"/>
      <c r="AE57" s="698"/>
      <c r="AF57" s="698"/>
      <c r="AG57" s="698"/>
      <c r="AI57" s="698">
        <f>SUMIFS('1.DC_Ra soat'!$L:$L,'1.DC_Ra soat'!$F:$F,AI$4,'1.DC_Ra soat'!$H:$H,'1.BS (VND)'!$D57)-SUMIFS('1.DC_Ra soat'!$L:$L,'1.DC_Ra soat'!$F:$F,AI$4,'1.DC_Ra soat'!$I:$I,'1.BS (VND)'!$D57)</f>
        <v>0</v>
      </c>
      <c r="AJ57" s="698">
        <f>SUMIFS('1.DC_Ra soat'!$L:$L,'1.DC_Ra soat'!$F:$F,AJ$4,'1.DC_Ra soat'!$H:$H,'1.BS (VND)'!$D57)-SUMIFS('1.DC_Ra soat'!$L:$L,'1.DC_Ra soat'!$F:$F,AJ$4,'1.DC_Ra soat'!$I:$I,'1.BS (VND)'!$D57)</f>
        <v>0</v>
      </c>
      <c r="AK57" s="698">
        <f>SUMIFS('1.DC_Ra soat'!$L:$L,'1.DC_Ra soat'!$F:$F,AK$4,'1.DC_Ra soat'!$H:$H,'1.BS (VND)'!$D57)-SUMIFS('1.DC_Ra soat'!$L:$L,'1.DC_Ra soat'!$F:$F,AK$4,'1.DC_Ra soat'!$I:$I,'1.BS (VND)'!$D57)</f>
        <v>0</v>
      </c>
      <c r="AL57" s="698">
        <f>SUMIFS('1.DC_Ra soat'!$L:$L,'1.DC_Ra soat'!$F:$F,AL$4,'1.DC_Ra soat'!$H:$H,'1.BS (VND)'!$D57)-SUMIFS('1.DC_Ra soat'!$L:$L,'1.DC_Ra soat'!$F:$F,AL$4,'1.DC_Ra soat'!$I:$I,'1.BS (VND)'!$D57)</f>
        <v>0</v>
      </c>
      <c r="AM57" s="699"/>
      <c r="AN57" s="698">
        <f>SUMIFS('1.DC_Ra soat'!$L:$L,'1.DC_Ra soat'!$F:$F,AN$4,'1.DC_Ra soat'!$H:$H,'1.BS (VND)'!$D57)-SUMIFS('1.DC_Ra soat'!$L:$L,'1.DC_Ra soat'!$F:$F,AN$4,'1.DC_Ra soat'!$I:$I,'1.BS (VND)'!$D57)</f>
        <v>0</v>
      </c>
      <c r="AO57" s="698">
        <f>SUMIFS('1.DC_Ra soat'!$L:$L,'1.DC_Ra soat'!$F:$F,AO$4,'1.DC_Ra soat'!$H:$H,'1.BS (VND)'!$D57)-SUMIFS('1.DC_Ra soat'!$L:$L,'1.DC_Ra soat'!$F:$F,AO$4,'1.DC_Ra soat'!$I:$I,'1.BS (VND)'!$D57)</f>
        <v>0</v>
      </c>
      <c r="AP57" s="698">
        <f>SUMIFS('1.DC_Ra soat'!$L:$L,'1.DC_Ra soat'!$F:$F,AP$4,'1.DC_Ra soat'!$H:$H,'1.BS (VND)'!$D57)-SUMIFS('1.DC_Ra soat'!$L:$L,'1.DC_Ra soat'!$F:$F,AP$4,'1.DC_Ra soat'!$I:$I,'1.BS (VND)'!$D57)</f>
        <v>0</v>
      </c>
      <c r="AQ57" s="698">
        <f>SUMIFS('1.DC_Ra soat'!$L:$L,'1.DC_Ra soat'!$F:$F,AQ$4,'1.DC_Ra soat'!$H:$H,'1.BS (VND)'!$D57)-SUMIFS('1.DC_Ra soat'!$L:$L,'1.DC_Ra soat'!$F:$F,AQ$4,'1.DC_Ra soat'!$I:$I,'1.BS (VND)'!$D57)</f>
        <v>0</v>
      </c>
      <c r="AR57" s="699"/>
      <c r="AS57" s="698">
        <f>SUMIFS('1.DC_Ra soat'!$L:$L,'1.DC_Ra soat'!$F:$F,AS$4,'1.DC_Ra soat'!$H:$H,'1.BS (VND)'!$D57)-SUMIFS('1.DC_Ra soat'!$L:$L,'1.DC_Ra soat'!$F:$F,AS$4,'1.DC_Ra soat'!$I:$I,'1.BS (VND)'!$D57)</f>
        <v>0</v>
      </c>
      <c r="AT57" s="698">
        <f>SUMIFS('1.DC_Ra soat'!$L:$L,'1.DC_Ra soat'!$F:$F,AT$4,'1.DC_Ra soat'!$H:$H,'1.BS (VND)'!$D57)-SUMIFS('1.DC_Ra soat'!$L:$L,'1.DC_Ra soat'!$F:$F,AT$4,'1.DC_Ra soat'!$I:$I,'1.BS (VND)'!$D57)</f>
        <v>0</v>
      </c>
      <c r="AU57" s="698">
        <f>SUMIFS('1.DC_Ra soat'!$L:$L,'1.DC_Ra soat'!$F:$F,AU$4,'1.DC_Ra soat'!$H:$H,'1.BS (VND)'!$D57)-SUMIFS('1.DC_Ra soat'!$L:$L,'1.DC_Ra soat'!$F:$F,AU$4,'1.DC_Ra soat'!$I:$I,'1.BS (VND)'!$D57)</f>
        <v>0</v>
      </c>
      <c r="AV57" s="698">
        <f>SUMIFS('1.DC_Ra soat'!$L:$L,'1.DC_Ra soat'!$F:$F,AV$4,'1.DC_Ra soat'!$H:$H,'1.BS (VND)'!$D57)-SUMIFS('1.DC_Ra soat'!$L:$L,'1.DC_Ra soat'!$F:$F,AV$4,'1.DC_Ra soat'!$I:$I,'1.BS (VND)'!$D57)</f>
        <v>0</v>
      </c>
      <c r="AW57" s="699"/>
      <c r="AX57" s="698">
        <f>SUMIFS('1.DC_Ra soat'!$L:$L,'1.DC_Ra soat'!$F:$F,'1.PL (VND) '!BC$4,'1.DC_Ra soat'!$H:$H,'1.BS (VND)'!$D57)-SUMIFS('1.DC_Ra soat'!$L:$L,'1.DC_Ra soat'!$F:$F,'1.PL (VND) '!BC$4,'1.DC_Ra soat'!$I:$I,'1.BS (VND)'!$D57)</f>
        <v>0</v>
      </c>
      <c r="AY57" s="698">
        <f>SUMIFS('1.DC_Ra soat'!$L:$L,'1.DC_Ra soat'!$F:$F,'1.PL (VND) '!BD$4,'1.DC_Ra soat'!$H:$H,'1.BS (VND)'!$D57)-SUMIFS('1.DC_Ra soat'!$L:$L,'1.DC_Ra soat'!$F:$F,'1.PL (VND) '!BD$4,'1.DC_Ra soat'!$I:$I,'1.BS (VND)'!$D57)</f>
        <v>0</v>
      </c>
      <c r="AZ57" s="698">
        <f>SUMIFS('1.DC_Ra soat'!$L:$L,'1.DC_Ra soat'!$F:$F,'1.PL (VND) '!BE$4,'1.DC_Ra soat'!$H:$H,'1.BS (VND)'!$D57)-SUMIFS('1.DC_Ra soat'!$L:$L,'1.DC_Ra soat'!$F:$F,'1.PL (VND) '!BE$4,'1.DC_Ra soat'!$I:$I,'1.BS (VND)'!$D57)</f>
        <v>0</v>
      </c>
      <c r="BA57" s="698">
        <f>SUMIFS('1.DC_Ra soat'!$L:$L,'1.DC_Ra soat'!$F:$F,'1.PL (VND) '!BF$4,'1.DC_Ra soat'!$H:$H,'1.BS (VND)'!$D57)-SUMIFS('1.DC_Ra soat'!$L:$L,'1.DC_Ra soat'!$F:$F,'1.PL (VND) '!BF$4,'1.DC_Ra soat'!$I:$I,'1.BS (VND)'!$D57)</f>
        <v>0</v>
      </c>
      <c r="BB57" s="699"/>
      <c r="BC57" s="698">
        <f>SUMIFS('1.DC_Ra soat'!$L:$L,'1.DC_Ra soat'!$F:$F,'1.PL (VND) '!BI$4,'1.DC_Ra soat'!$H:$H,'1.BS (VND)'!$D57)-SUMIFS('1.DC_Ra soat'!$L:$L,'1.DC_Ra soat'!$F:$F,'1.PL (VND) '!BI$4,'1.DC_Ra soat'!$I:$I,'1.BS (VND)'!$D57)</f>
        <v>0</v>
      </c>
      <c r="BD57" s="698">
        <f>SUMIFS('1.DC_Ra soat'!$L:$L,'1.DC_Ra soat'!$F:$F,'1.PL (VND) '!BJ$4,'1.DC_Ra soat'!$H:$H,'1.BS (VND)'!$D57)-SUMIFS('1.DC_Ra soat'!$L:$L,'1.DC_Ra soat'!$F:$F,'1.PL (VND) '!BJ$4,'1.DC_Ra soat'!$I:$I,'1.BS (VND)'!$D57)</f>
        <v>0</v>
      </c>
      <c r="BE57" s="698">
        <f>SUMIFS('1.DC_Ra soat'!$L:$L,'1.DC_Ra soat'!$F:$F,'1.PL (VND) '!BK$4,'1.DC_Ra soat'!$H:$H,'1.BS (VND)'!$D57)-SUMIFS('1.DC_Ra soat'!$L:$L,'1.DC_Ra soat'!$F:$F,'1.PL (VND) '!BK$4,'1.DC_Ra soat'!$I:$I,'1.BS (VND)'!$D57)</f>
        <v>0</v>
      </c>
      <c r="BF57" s="698">
        <f>SUMIFS('1.DC_Ra soat'!$L:$L,'1.DC_Ra soat'!$F:$F,'1.PL (VND) '!BL$4,'1.DC_Ra soat'!$H:$H,'1.BS (VND)'!$D57)-SUMIFS('1.DC_Ra soat'!$L:$L,'1.DC_Ra soat'!$F:$F,'1.PL (VND) '!BL$4,'1.DC_Ra soat'!$I:$I,'1.BS (VND)'!$D57)</f>
        <v>0</v>
      </c>
      <c r="BG57" s="699"/>
      <c r="BH57" s="698">
        <f>SUMIFS('1.DC_Ra soat'!$L:$L,'1.DC_Ra soat'!$F:$F,'1.PL (VND) '!BO$4,'1.DC_Ra soat'!$H:$H,'1.BS (VND)'!$D57)-SUMIFS('1.DC_Ra soat'!$L:$L,'1.DC_Ra soat'!$F:$F,'1.PL (VND) '!BO$4,'1.DC_Ra soat'!$I:$I,'1.BS (VND)'!$D57)</f>
        <v>0</v>
      </c>
      <c r="BI57" s="698">
        <f>SUMIFS('1.DC_Ra soat'!$L:$L,'1.DC_Ra soat'!$F:$F,'1.PL (VND) '!BP$4,'1.DC_Ra soat'!$H:$H,'1.BS (VND)'!$D57)-SUMIFS('1.DC_Ra soat'!$L:$L,'1.DC_Ra soat'!$F:$F,'1.PL (VND) '!BP$4,'1.DC_Ra soat'!$I:$I,'1.BS (VND)'!$D57)</f>
        <v>0</v>
      </c>
      <c r="BJ57" s="698">
        <f>SUMIFS('1.DC_Ra soat'!$L:$L,'1.DC_Ra soat'!$F:$F,'1.PL (VND) '!BQ$4,'1.DC_Ra soat'!$H:$H,'1.BS (VND)'!$D57)-SUMIFS('1.DC_Ra soat'!$L:$L,'1.DC_Ra soat'!$F:$F,'1.PL (VND) '!BQ$4,'1.DC_Ra soat'!$I:$I,'1.BS (VND)'!$D57)</f>
        <v>0</v>
      </c>
      <c r="BK57" s="698">
        <f>SUMIFS('1.DC_Ra soat'!$L:$L,'1.DC_Ra soat'!$F:$F,'1.PL (VND) '!BR$4,'1.DC_Ra soat'!$H:$H,'1.BS (VND)'!$D57)-SUMIFS('1.DC_Ra soat'!$L:$L,'1.DC_Ra soat'!$F:$F,'1.PL (VND) '!BR$4,'1.DC_Ra soat'!$I:$I,'1.BS (VND)'!$D57)</f>
        <v>0</v>
      </c>
      <c r="BM57" s="698">
        <f t="shared" si="62"/>
        <v>0</v>
      </c>
      <c r="BN57" s="698">
        <f t="shared" si="63"/>
        <v>0</v>
      </c>
      <c r="BO57" s="698">
        <f t="shared" si="64"/>
        <v>0</v>
      </c>
      <c r="BP57" s="697">
        <f t="shared" si="65"/>
        <v>0</v>
      </c>
      <c r="BQ57" s="699"/>
      <c r="BR57" s="698">
        <f t="shared" si="66"/>
        <v>0</v>
      </c>
      <c r="BS57" s="698">
        <f t="shared" si="67"/>
        <v>0</v>
      </c>
      <c r="BT57" s="698">
        <f t="shared" si="68"/>
        <v>0</v>
      </c>
      <c r="BU57" s="698">
        <f t="shared" si="69"/>
        <v>0</v>
      </c>
      <c r="BV57" s="699"/>
      <c r="BW57" s="698">
        <f t="shared" si="70"/>
        <v>0</v>
      </c>
      <c r="BX57" s="698">
        <f t="shared" si="71"/>
        <v>0</v>
      </c>
      <c r="BY57" s="698">
        <f t="shared" si="72"/>
        <v>0</v>
      </c>
      <c r="BZ57" s="697">
        <f t="shared" si="73"/>
        <v>0</v>
      </c>
      <c r="CA57" s="699"/>
      <c r="CB57" s="697">
        <f t="shared" si="74"/>
        <v>0</v>
      </c>
      <c r="CC57" s="697">
        <f t="shared" si="75"/>
        <v>0</v>
      </c>
      <c r="CD57" s="697">
        <f t="shared" si="76"/>
        <v>0</v>
      </c>
      <c r="CE57" s="697">
        <f t="shared" si="77"/>
        <v>0</v>
      </c>
      <c r="CF57" s="699"/>
      <c r="CG57" s="697">
        <f t="shared" si="78"/>
        <v>0</v>
      </c>
      <c r="CH57" s="697">
        <f t="shared" si="79"/>
        <v>0</v>
      </c>
      <c r="CI57" s="697">
        <f t="shared" si="80"/>
        <v>0</v>
      </c>
      <c r="CJ57" s="697">
        <f t="shared" si="81"/>
        <v>0</v>
      </c>
      <c r="CK57" s="699"/>
      <c r="CL57" s="698">
        <f t="shared" si="82"/>
        <v>0</v>
      </c>
      <c r="CM57" s="698">
        <f t="shared" si="83"/>
        <v>0</v>
      </c>
      <c r="CN57" s="698">
        <f t="shared" si="84"/>
        <v>0</v>
      </c>
      <c r="CO57" s="697">
        <f t="shared" si="85"/>
        <v>0</v>
      </c>
      <c r="CQ57" s="698">
        <f>SUMIF('1.PL (VND) '!$BL$6:$CD$6,'1.PL (VND) '!CP$6,$BM57:$CE57)</f>
        <v>0</v>
      </c>
      <c r="CR57" s="698">
        <f>SUMIF('1.PL (VND) '!$BL$6:$CD$6,'1.PL (VND) '!CQ$6,$BM57:$CE57)</f>
        <v>0</v>
      </c>
      <c r="CS57" s="698">
        <f>SUMIF('1.PL (VND) '!$BL$6:$CD$6,'1.PL (VND) '!CR$6,$BM57:$CE57)</f>
        <v>0</v>
      </c>
      <c r="CT57" s="698">
        <f>SUMIF('1.PL (VND) '!$BL$6:$CD$6,'1.PL (VND) '!CS$6,$BM57:$CE57)</f>
        <v>0</v>
      </c>
      <c r="CV57" s="702">
        <f>-SUMIFS('1.DC_Ra soat'!$L:$L,'1.DC_Ra soat'!$F:$F,'1.PL (VND) '!DK$4,'1.DC_Ra soat'!$H:$H,'1.BS (VND)'!$D57)+SUMIFS('1.DC_Ra soat'!$L:$L,'1.DC_Ra soat'!$F:$F,'1.PL (VND) '!DK$4,'1.DC_Ra soat'!$I:$I,'1.BS (VND)'!$D57)</f>
        <v>0</v>
      </c>
      <c r="CW57" s="702">
        <f>-SUMIFS('1.DC_Ra soat'!$L:$L,'1.DC_Ra soat'!$F:$F,'1.PL (VND) '!DL$4,'1.DC_Ra soat'!$H:$H,'1.BS (VND)'!$D57)+SUMIFS('1.DC_Ra soat'!$L:$L,'1.DC_Ra soat'!$F:$F,'1.PL (VND) '!DL$4,'1.DC_Ra soat'!$I:$I,'1.BS (VND)'!$D57)</f>
        <v>0</v>
      </c>
      <c r="CX57" s="702">
        <f>-SUMIFS('1.DC_Ra soat'!$L:$L,'1.DC_Ra soat'!$F:$F,'1.PL (VND) '!DM$4,'1.DC_Ra soat'!$H:$H,'1.BS (VND)'!$D57)+SUMIFS('1.DC_Ra soat'!$L:$L,'1.DC_Ra soat'!$F:$F,'1.PL (VND) '!DM$4,'1.DC_Ra soat'!$I:$I,'1.BS (VND)'!$D57)</f>
        <v>0</v>
      </c>
      <c r="CY57" s="702">
        <f>-SUMIFS('1.DC_Ra soat'!$L:$L,'1.DC_Ra soat'!$F:$F,'1.PL (VND) '!DN$4,'1.DC_Ra soat'!$H:$H,'1.BS (VND)'!$D57)+SUMIFS('1.DC_Ra soat'!$L:$L,'1.DC_Ra soat'!$F:$F,'1.PL (VND) '!DN$4,'1.DC_Ra soat'!$I:$I,'1.BS (VND)'!$D57)</f>
        <v>0</v>
      </c>
      <c r="DA57" s="698">
        <f t="shared" si="86"/>
        <v>0</v>
      </c>
      <c r="DB57" s="698">
        <f t="shared" si="87"/>
        <v>0</v>
      </c>
      <c r="DC57" s="698">
        <f t="shared" si="88"/>
        <v>0</v>
      </c>
      <c r="DD57" s="698">
        <f t="shared" si="89"/>
        <v>0</v>
      </c>
    </row>
    <row r="58" spans="1:112" s="1021" customFormat="1" x14ac:dyDescent="0.25">
      <c r="A58" s="1021">
        <f t="shared" si="40"/>
        <v>1</v>
      </c>
      <c r="C58" s="1022" t="s">
        <v>381</v>
      </c>
      <c r="D58" s="1023" t="s">
        <v>382</v>
      </c>
      <c r="E58" s="1024"/>
      <c r="F58" s="1024"/>
      <c r="G58" s="1024">
        <v>25515620351</v>
      </c>
      <c r="H58" s="1025">
        <v>25534842447</v>
      </c>
      <c r="I58" s="1026"/>
      <c r="J58" s="1027"/>
      <c r="K58" s="1027">
        <v>15554763726</v>
      </c>
      <c r="L58" s="1027">
        <v>15554763726</v>
      </c>
      <c r="M58" s="1027">
        <v>15554763726</v>
      </c>
      <c r="N58" s="1026"/>
      <c r="O58" s="1027"/>
      <c r="P58" s="1027"/>
      <c r="Q58" s="1027"/>
      <c r="R58" s="1027"/>
      <c r="S58" s="1026"/>
      <c r="T58" s="1027"/>
      <c r="U58" s="1027"/>
      <c r="V58" s="1027"/>
      <c r="W58" s="1027"/>
      <c r="X58" s="1026"/>
      <c r="Y58" s="1027"/>
      <c r="Z58" s="1027"/>
      <c r="AA58" s="1027"/>
      <c r="AB58" s="1027"/>
      <c r="AC58" s="1026"/>
      <c r="AD58" s="1027"/>
      <c r="AE58" s="1027"/>
      <c r="AF58" s="1027"/>
      <c r="AG58" s="1027"/>
      <c r="AI58" s="1027">
        <f>SUMIFS('1.DC_Ra soat'!$L:$L,'1.DC_Ra soat'!$F:$F,AI$4,'1.DC_Ra soat'!$H:$H,'1.BS (VND)'!$D58)-SUMIFS('1.DC_Ra soat'!$L:$L,'1.DC_Ra soat'!$F:$F,AI$4,'1.DC_Ra soat'!$I:$I,'1.BS (VND)'!$D58)</f>
        <v>0</v>
      </c>
      <c r="AJ58" s="1027">
        <f>SUMIFS('1.DC_Ra soat'!$L:$L,'1.DC_Ra soat'!$F:$F,AJ$4,'1.DC_Ra soat'!$H:$H,'1.BS (VND)'!$D58)-SUMIFS('1.DC_Ra soat'!$L:$L,'1.DC_Ra soat'!$F:$F,AJ$4,'1.DC_Ra soat'!$I:$I,'1.BS (VND)'!$D58)</f>
        <v>0</v>
      </c>
      <c r="AK58" s="1027">
        <f>SUMIFS('1.DC_Ra soat'!$L:$L,'1.DC_Ra soat'!$F:$F,AK$4,'1.DC_Ra soat'!$H:$H,'1.BS (VND)'!$D58)-SUMIFS('1.DC_Ra soat'!$L:$L,'1.DC_Ra soat'!$F:$F,AK$4,'1.DC_Ra soat'!$I:$I,'1.BS (VND)'!$D58)</f>
        <v>-2100000000</v>
      </c>
      <c r="AL58" s="1027">
        <f>SUMIFS('1.DC_Ra soat'!$L:$L,'1.DC_Ra soat'!$F:$F,AL$4,'1.DC_Ra soat'!$H:$H,'1.BS (VND)'!$D58)-SUMIFS('1.DC_Ra soat'!$L:$L,'1.DC_Ra soat'!$F:$F,AL$4,'1.DC_Ra soat'!$I:$I,'1.BS (VND)'!$D58)</f>
        <v>-2100000000</v>
      </c>
      <c r="AM58" s="1026"/>
      <c r="AN58" s="1027">
        <f>SUMIFS('1.DC_Ra soat'!$L:$L,'1.DC_Ra soat'!$F:$F,AN$4,'1.DC_Ra soat'!$H:$H,'1.BS (VND)'!$D58)-SUMIFS('1.DC_Ra soat'!$L:$L,'1.DC_Ra soat'!$F:$F,AN$4,'1.DC_Ra soat'!$I:$I,'1.BS (VND)'!$D58)</f>
        <v>0</v>
      </c>
      <c r="AO58" s="1027">
        <f>SUMIFS('1.DC_Ra soat'!$L:$L,'1.DC_Ra soat'!$F:$F,AO$4,'1.DC_Ra soat'!$H:$H,'1.BS (VND)'!$D58)-SUMIFS('1.DC_Ra soat'!$L:$L,'1.DC_Ra soat'!$F:$F,AO$4,'1.DC_Ra soat'!$I:$I,'1.BS (VND)'!$D58)</f>
        <v>0</v>
      </c>
      <c r="AP58" s="1027">
        <f>SUMIFS('1.DC_Ra soat'!$L:$L,'1.DC_Ra soat'!$F:$F,AP$4,'1.DC_Ra soat'!$H:$H,'1.BS (VND)'!$D58)-SUMIFS('1.DC_Ra soat'!$L:$L,'1.DC_Ra soat'!$F:$F,AP$4,'1.DC_Ra soat'!$I:$I,'1.BS (VND)'!$D58)</f>
        <v>0</v>
      </c>
      <c r="AQ58" s="1027">
        <f>SUMIFS('1.DC_Ra soat'!$L:$L,'1.DC_Ra soat'!$F:$F,AQ$4,'1.DC_Ra soat'!$H:$H,'1.BS (VND)'!$D58)-SUMIFS('1.DC_Ra soat'!$L:$L,'1.DC_Ra soat'!$F:$F,AQ$4,'1.DC_Ra soat'!$I:$I,'1.BS (VND)'!$D58)</f>
        <v>0</v>
      </c>
      <c r="AR58" s="1026"/>
      <c r="AS58" s="1027">
        <f>SUMIFS('1.DC_Ra soat'!$L:$L,'1.DC_Ra soat'!$F:$F,AS$4,'1.DC_Ra soat'!$H:$H,'1.BS (VND)'!$D58)-SUMIFS('1.DC_Ra soat'!$L:$L,'1.DC_Ra soat'!$F:$F,AS$4,'1.DC_Ra soat'!$I:$I,'1.BS (VND)'!$D58)</f>
        <v>0</v>
      </c>
      <c r="AT58" s="1027">
        <f>SUMIFS('1.DC_Ra soat'!$L:$L,'1.DC_Ra soat'!$F:$F,AT$4,'1.DC_Ra soat'!$H:$H,'1.BS (VND)'!$D58)-SUMIFS('1.DC_Ra soat'!$L:$L,'1.DC_Ra soat'!$F:$F,AT$4,'1.DC_Ra soat'!$I:$I,'1.BS (VND)'!$D58)</f>
        <v>0</v>
      </c>
      <c r="AU58" s="1027">
        <f>SUMIFS('1.DC_Ra soat'!$L:$L,'1.DC_Ra soat'!$F:$F,AU$4,'1.DC_Ra soat'!$H:$H,'1.BS (VND)'!$D58)-SUMIFS('1.DC_Ra soat'!$L:$L,'1.DC_Ra soat'!$F:$F,AU$4,'1.DC_Ra soat'!$I:$I,'1.BS (VND)'!$D58)</f>
        <v>0</v>
      </c>
      <c r="AV58" s="1027">
        <f>SUMIFS('1.DC_Ra soat'!$L:$L,'1.DC_Ra soat'!$F:$F,AV$4,'1.DC_Ra soat'!$H:$H,'1.BS (VND)'!$D58)-SUMIFS('1.DC_Ra soat'!$L:$L,'1.DC_Ra soat'!$F:$F,AV$4,'1.DC_Ra soat'!$I:$I,'1.BS (VND)'!$D58)</f>
        <v>0</v>
      </c>
      <c r="AW58" s="1026"/>
      <c r="AX58" s="1027">
        <f>SUMIFS('1.DC_Ra soat'!$L:$L,'1.DC_Ra soat'!$F:$F,'1.PL (VND) '!BC$4,'1.DC_Ra soat'!$H:$H,'1.BS (VND)'!$D58)-SUMIFS('1.DC_Ra soat'!$L:$L,'1.DC_Ra soat'!$F:$F,'1.PL (VND) '!BC$4,'1.DC_Ra soat'!$I:$I,'1.BS (VND)'!$D58)</f>
        <v>0</v>
      </c>
      <c r="AY58" s="1027">
        <f>SUMIFS('1.DC_Ra soat'!$L:$L,'1.DC_Ra soat'!$F:$F,'1.PL (VND) '!BD$4,'1.DC_Ra soat'!$H:$H,'1.BS (VND)'!$D58)-SUMIFS('1.DC_Ra soat'!$L:$L,'1.DC_Ra soat'!$F:$F,'1.PL (VND) '!BD$4,'1.DC_Ra soat'!$I:$I,'1.BS (VND)'!$D58)</f>
        <v>0</v>
      </c>
      <c r="AZ58" s="1027">
        <f>SUMIFS('1.DC_Ra soat'!$L:$L,'1.DC_Ra soat'!$F:$F,'1.PL (VND) '!BE$4,'1.DC_Ra soat'!$H:$H,'1.BS (VND)'!$D58)-SUMIFS('1.DC_Ra soat'!$L:$L,'1.DC_Ra soat'!$F:$F,'1.PL (VND) '!BE$4,'1.DC_Ra soat'!$I:$I,'1.BS (VND)'!$D58)</f>
        <v>0</v>
      </c>
      <c r="BA58" s="1027">
        <f>SUMIFS('1.DC_Ra soat'!$L:$L,'1.DC_Ra soat'!$F:$F,'1.PL (VND) '!BF$4,'1.DC_Ra soat'!$H:$H,'1.BS (VND)'!$D58)-SUMIFS('1.DC_Ra soat'!$L:$L,'1.DC_Ra soat'!$F:$F,'1.PL (VND) '!BF$4,'1.DC_Ra soat'!$I:$I,'1.BS (VND)'!$D58)</f>
        <v>0</v>
      </c>
      <c r="BB58" s="1026"/>
      <c r="BC58" s="1027">
        <f>SUMIFS('1.DC_Ra soat'!$L:$L,'1.DC_Ra soat'!$F:$F,'1.PL (VND) '!BI$4,'1.DC_Ra soat'!$H:$H,'1.BS (VND)'!$D58)-SUMIFS('1.DC_Ra soat'!$L:$L,'1.DC_Ra soat'!$F:$F,'1.PL (VND) '!BI$4,'1.DC_Ra soat'!$I:$I,'1.BS (VND)'!$D58)</f>
        <v>0</v>
      </c>
      <c r="BD58" s="1027">
        <f>SUMIFS('1.DC_Ra soat'!$L:$L,'1.DC_Ra soat'!$F:$F,'1.PL (VND) '!BJ$4,'1.DC_Ra soat'!$H:$H,'1.BS (VND)'!$D58)-SUMIFS('1.DC_Ra soat'!$L:$L,'1.DC_Ra soat'!$F:$F,'1.PL (VND) '!BJ$4,'1.DC_Ra soat'!$I:$I,'1.BS (VND)'!$D58)</f>
        <v>0</v>
      </c>
      <c r="BE58" s="1027">
        <f>SUMIFS('1.DC_Ra soat'!$L:$L,'1.DC_Ra soat'!$F:$F,'1.PL (VND) '!BK$4,'1.DC_Ra soat'!$H:$H,'1.BS (VND)'!$D58)-SUMIFS('1.DC_Ra soat'!$L:$L,'1.DC_Ra soat'!$F:$F,'1.PL (VND) '!BK$4,'1.DC_Ra soat'!$I:$I,'1.BS (VND)'!$D58)</f>
        <v>0</v>
      </c>
      <c r="BF58" s="1027">
        <f>SUMIFS('1.DC_Ra soat'!$L:$L,'1.DC_Ra soat'!$F:$F,'1.PL (VND) '!BL$4,'1.DC_Ra soat'!$H:$H,'1.BS (VND)'!$D58)-SUMIFS('1.DC_Ra soat'!$L:$L,'1.DC_Ra soat'!$F:$F,'1.PL (VND) '!BL$4,'1.DC_Ra soat'!$I:$I,'1.BS (VND)'!$D58)</f>
        <v>0</v>
      </c>
      <c r="BG58" s="1026"/>
      <c r="BH58" s="1027">
        <f>SUMIFS('1.DC_Ra soat'!$L:$L,'1.DC_Ra soat'!$F:$F,'1.PL (VND) '!BO$4,'1.DC_Ra soat'!$H:$H,'1.BS (VND)'!$D58)-SUMIFS('1.DC_Ra soat'!$L:$L,'1.DC_Ra soat'!$F:$F,'1.PL (VND) '!BO$4,'1.DC_Ra soat'!$I:$I,'1.BS (VND)'!$D58)</f>
        <v>0</v>
      </c>
      <c r="BI58" s="1027">
        <f>SUMIFS('1.DC_Ra soat'!$L:$L,'1.DC_Ra soat'!$F:$F,'1.PL (VND) '!BP$4,'1.DC_Ra soat'!$H:$H,'1.BS (VND)'!$D58)-SUMIFS('1.DC_Ra soat'!$L:$L,'1.DC_Ra soat'!$F:$F,'1.PL (VND) '!BP$4,'1.DC_Ra soat'!$I:$I,'1.BS (VND)'!$D58)</f>
        <v>0</v>
      </c>
      <c r="BJ58" s="1027">
        <f>SUMIFS('1.DC_Ra soat'!$L:$L,'1.DC_Ra soat'!$F:$F,'1.PL (VND) '!BQ$4,'1.DC_Ra soat'!$H:$H,'1.BS (VND)'!$D58)-SUMIFS('1.DC_Ra soat'!$L:$L,'1.DC_Ra soat'!$F:$F,'1.PL (VND) '!BQ$4,'1.DC_Ra soat'!$I:$I,'1.BS (VND)'!$D58)</f>
        <v>0</v>
      </c>
      <c r="BK58" s="1027">
        <f>SUMIFS('1.DC_Ra soat'!$L:$L,'1.DC_Ra soat'!$F:$F,'1.PL (VND) '!BR$4,'1.DC_Ra soat'!$H:$H,'1.BS (VND)'!$D58)-SUMIFS('1.DC_Ra soat'!$L:$L,'1.DC_Ra soat'!$F:$F,'1.PL (VND) '!BR$4,'1.DC_Ra soat'!$I:$I,'1.BS (VND)'!$D58)</f>
        <v>0</v>
      </c>
      <c r="BM58" s="1027">
        <f t="shared" si="62"/>
        <v>0</v>
      </c>
      <c r="BN58" s="1027">
        <f t="shared" si="63"/>
        <v>0</v>
      </c>
      <c r="BO58" s="1027">
        <f t="shared" si="64"/>
        <v>23415620351</v>
      </c>
      <c r="BP58" s="1028">
        <f t="shared" si="65"/>
        <v>23434842447</v>
      </c>
      <c r="BQ58" s="1026"/>
      <c r="BR58" s="1027">
        <f t="shared" si="66"/>
        <v>0</v>
      </c>
      <c r="BS58" s="1027">
        <f t="shared" si="67"/>
        <v>15554763726</v>
      </c>
      <c r="BT58" s="1027">
        <f t="shared" si="68"/>
        <v>15554763726</v>
      </c>
      <c r="BU58" s="1027">
        <f t="shared" si="69"/>
        <v>15554763726</v>
      </c>
      <c r="BV58" s="1026"/>
      <c r="BW58" s="1027">
        <f t="shared" si="70"/>
        <v>0</v>
      </c>
      <c r="BX58" s="1027">
        <f t="shared" si="71"/>
        <v>0</v>
      </c>
      <c r="BY58" s="1027">
        <f t="shared" si="72"/>
        <v>0</v>
      </c>
      <c r="BZ58" s="1028">
        <f t="shared" si="73"/>
        <v>0</v>
      </c>
      <c r="CA58" s="1026"/>
      <c r="CB58" s="1028">
        <f t="shared" si="74"/>
        <v>0</v>
      </c>
      <c r="CC58" s="1028">
        <f t="shared" si="75"/>
        <v>0</v>
      </c>
      <c r="CD58" s="1028">
        <f t="shared" si="76"/>
        <v>0</v>
      </c>
      <c r="CE58" s="1028">
        <f t="shared" si="77"/>
        <v>0</v>
      </c>
      <c r="CF58" s="1026"/>
      <c r="CG58" s="1028">
        <f t="shared" si="78"/>
        <v>0</v>
      </c>
      <c r="CH58" s="1028">
        <f t="shared" si="79"/>
        <v>0</v>
      </c>
      <c r="CI58" s="1028">
        <f t="shared" si="80"/>
        <v>0</v>
      </c>
      <c r="CJ58" s="1028">
        <f t="shared" si="81"/>
        <v>0</v>
      </c>
      <c r="CK58" s="1026"/>
      <c r="CL58" s="1027">
        <f t="shared" si="82"/>
        <v>0</v>
      </c>
      <c r="CM58" s="1027">
        <f t="shared" si="83"/>
        <v>0</v>
      </c>
      <c r="CN58" s="1027">
        <f t="shared" si="84"/>
        <v>0</v>
      </c>
      <c r="CO58" s="1028">
        <f t="shared" si="85"/>
        <v>0</v>
      </c>
      <c r="CQ58" s="1027">
        <f>SUMIF('1.PL (VND) '!$BL$6:$CD$6,'1.PL (VND) '!CP$6,$BM58:$CE58)</f>
        <v>0</v>
      </c>
      <c r="CR58" s="1027">
        <f>SUMIF('1.PL (VND) '!$BL$6:$CD$6,'1.PL (VND) '!CQ$6,$BM58:$CE58)</f>
        <v>15554763726</v>
      </c>
      <c r="CS58" s="1027">
        <f>SUMIF('1.PL (VND) '!$BL$6:$CD$6,'1.PL (VND) '!CR$6,$BM58:$CE58)</f>
        <v>38970384077</v>
      </c>
      <c r="CT58" s="1027">
        <f>SUMIF('1.PL (VND) '!$BL$6:$CD$6,'1.PL (VND) '!CS$6,$BM58:$CE58)</f>
        <v>38989606173</v>
      </c>
      <c r="CV58" s="1029">
        <f>-SUMIFS('1.DC_Ra soat'!$L:$L,'1.DC_Ra soat'!$F:$F,'1.PL (VND) '!DK$4,'1.DC_Ra soat'!$H:$H,'1.BS (VND)'!$D58)+SUMIFS('1.DC_Ra soat'!$L:$L,'1.DC_Ra soat'!$F:$F,'1.PL (VND) '!DK$4,'1.DC_Ra soat'!$I:$I,'1.BS (VND)'!$D58)</f>
        <v>0</v>
      </c>
      <c r="CW58" s="1029">
        <f>-SUMIFS('1.DC_Ra soat'!$L:$L,'1.DC_Ra soat'!$F:$F,'1.PL (VND) '!DL$4,'1.DC_Ra soat'!$H:$H,'1.BS (VND)'!$D58)+SUMIFS('1.DC_Ra soat'!$L:$L,'1.DC_Ra soat'!$F:$F,'1.PL (VND) '!DL$4,'1.DC_Ra soat'!$I:$I,'1.BS (VND)'!$D58)</f>
        <v>0</v>
      </c>
      <c r="CX58" s="1029">
        <f>-SUMIFS('1.DC_Ra soat'!$L:$L,'1.DC_Ra soat'!$F:$F,'1.PL (VND) '!DM$4,'1.DC_Ra soat'!$H:$H,'1.BS (VND)'!$D58)+SUMIFS('1.DC_Ra soat'!$L:$L,'1.DC_Ra soat'!$F:$F,'1.PL (VND) '!DM$4,'1.DC_Ra soat'!$I:$I,'1.BS (VND)'!$D58)</f>
        <v>0</v>
      </c>
      <c r="CY58" s="1029">
        <f>-SUMIFS('1.DC_Ra soat'!$L:$L,'1.DC_Ra soat'!$F:$F,'1.PL (VND) '!DN$4,'1.DC_Ra soat'!$H:$H,'1.BS (VND)'!$D58)+SUMIFS('1.DC_Ra soat'!$L:$L,'1.DC_Ra soat'!$F:$F,'1.PL (VND) '!DN$4,'1.DC_Ra soat'!$I:$I,'1.BS (VND)'!$D58)</f>
        <v>0</v>
      </c>
      <c r="DA58" s="1027">
        <f t="shared" si="86"/>
        <v>0</v>
      </c>
      <c r="DB58" s="1027">
        <f t="shared" si="87"/>
        <v>15554763726</v>
      </c>
      <c r="DC58" s="1027">
        <f t="shared" si="88"/>
        <v>38970384077</v>
      </c>
      <c r="DD58" s="1027">
        <f t="shared" si="89"/>
        <v>38989606173</v>
      </c>
      <c r="DH58" s="1030"/>
    </row>
    <row r="59" spans="1:112" s="248" customFormat="1" x14ac:dyDescent="0.25">
      <c r="A59" s="248">
        <f t="shared" si="40"/>
        <v>1</v>
      </c>
      <c r="C59" s="259" t="s">
        <v>383</v>
      </c>
      <c r="D59" s="260" t="s">
        <v>384</v>
      </c>
      <c r="E59" s="725">
        <f>SUM(E60:E64)</f>
        <v>0</v>
      </c>
      <c r="F59" s="725">
        <f>SUM(F60:F64)</f>
        <v>0</v>
      </c>
      <c r="G59" s="725">
        <f>SUM(G60:G64)</f>
        <v>0</v>
      </c>
      <c r="H59" s="726">
        <f>H60+H61+H62+H63+H64</f>
        <v>0</v>
      </c>
      <c r="I59" s="230"/>
      <c r="J59" s="725">
        <f t="shared" ref="J59:M59" si="110">SUM(J60:J64)</f>
        <v>0</v>
      </c>
      <c r="K59" s="725">
        <f t="shared" si="110"/>
        <v>0</v>
      </c>
      <c r="L59" s="725">
        <f t="shared" si="110"/>
        <v>0</v>
      </c>
      <c r="M59" s="725">
        <f t="shared" si="110"/>
        <v>0</v>
      </c>
      <c r="N59" s="230"/>
      <c r="O59" s="725">
        <f t="shared" ref="O59:R59" si="111">SUM(O60:O64)</f>
        <v>0</v>
      </c>
      <c r="P59" s="725">
        <f t="shared" si="111"/>
        <v>0</v>
      </c>
      <c r="Q59" s="725">
        <f t="shared" si="111"/>
        <v>0</v>
      </c>
      <c r="R59" s="725">
        <f t="shared" si="111"/>
        <v>0</v>
      </c>
      <c r="S59" s="230"/>
      <c r="T59" s="725">
        <f t="shared" ref="T59:W59" si="112">SUM(T60:T64)</f>
        <v>0</v>
      </c>
      <c r="U59" s="725">
        <f t="shared" si="112"/>
        <v>0</v>
      </c>
      <c r="V59" s="725">
        <f t="shared" si="112"/>
        <v>0</v>
      </c>
      <c r="W59" s="725">
        <f t="shared" si="112"/>
        <v>0</v>
      </c>
      <c r="X59" s="230"/>
      <c r="Y59" s="725">
        <f t="shared" ref="Y59:AB59" si="113">SUM(Y60:Y64)</f>
        <v>0</v>
      </c>
      <c r="Z59" s="725">
        <f t="shared" si="113"/>
        <v>0</v>
      </c>
      <c r="AA59" s="725">
        <f t="shared" si="113"/>
        <v>0</v>
      </c>
      <c r="AB59" s="725">
        <f t="shared" si="113"/>
        <v>0</v>
      </c>
      <c r="AC59" s="230"/>
      <c r="AD59" s="725">
        <f t="shared" ref="AD59:AG59" si="114">SUM(AD60:AD64)</f>
        <v>0</v>
      </c>
      <c r="AE59" s="725">
        <f t="shared" si="114"/>
        <v>0</v>
      </c>
      <c r="AF59" s="725">
        <f t="shared" si="114"/>
        <v>0</v>
      </c>
      <c r="AG59" s="725">
        <f t="shared" si="114"/>
        <v>0</v>
      </c>
      <c r="AI59" s="250">
        <f>SUM(AI60:AI64)</f>
        <v>0</v>
      </c>
      <c r="AJ59" s="250">
        <f>SUM(AJ60:AJ64)</f>
        <v>0</v>
      </c>
      <c r="AK59" s="250">
        <f>SUM(AK60:AK64)</f>
        <v>-3400420923</v>
      </c>
      <c r="AL59" s="250">
        <f t="shared" ref="AL59" si="115">SUM(AL60:AL64)</f>
        <v>-3400420923</v>
      </c>
      <c r="AM59" s="230"/>
      <c r="AN59" s="831"/>
      <c r="AO59" s="832">
        <f t="shared" ref="AO59:BA59" si="116">SUM(AO60:AO64)</f>
        <v>0</v>
      </c>
      <c r="AP59" s="832">
        <f t="shared" si="116"/>
        <v>0</v>
      </c>
      <c r="AQ59" s="832">
        <f t="shared" si="116"/>
        <v>-741540549</v>
      </c>
      <c r="AR59" s="230"/>
      <c r="AS59" s="250">
        <f t="shared" si="116"/>
        <v>0</v>
      </c>
      <c r="AT59" s="250">
        <f t="shared" si="116"/>
        <v>0</v>
      </c>
      <c r="AU59" s="250">
        <f t="shared" si="116"/>
        <v>-846888229</v>
      </c>
      <c r="AV59" s="250">
        <f t="shared" si="116"/>
        <v>-846888229</v>
      </c>
      <c r="AW59" s="230"/>
      <c r="AX59" s="250">
        <f t="shared" si="116"/>
        <v>0</v>
      </c>
      <c r="AY59" s="250">
        <f t="shared" si="116"/>
        <v>0</v>
      </c>
      <c r="AZ59" s="250">
        <f t="shared" si="116"/>
        <v>-1262355349</v>
      </c>
      <c r="BA59" s="250">
        <f t="shared" si="116"/>
        <v>-1262355349</v>
      </c>
      <c r="BB59" s="230"/>
      <c r="BC59" s="241"/>
      <c r="BD59" s="241"/>
      <c r="BE59" s="241"/>
      <c r="BF59" s="241"/>
      <c r="BG59" s="230"/>
      <c r="BH59" s="241"/>
      <c r="BI59" s="241"/>
      <c r="BJ59" s="241"/>
      <c r="BK59" s="241"/>
      <c r="BM59" s="241">
        <f t="shared" si="62"/>
        <v>0</v>
      </c>
      <c r="BN59" s="241">
        <f t="shared" si="63"/>
        <v>0</v>
      </c>
      <c r="BO59" s="241">
        <f t="shared" si="64"/>
        <v>-3400420923</v>
      </c>
      <c r="BP59" s="247">
        <f t="shared" si="65"/>
        <v>-3400420923</v>
      </c>
      <c r="BQ59" s="230"/>
      <c r="BR59" s="241">
        <f t="shared" si="66"/>
        <v>0</v>
      </c>
      <c r="BS59" s="241">
        <f t="shared" si="67"/>
        <v>0</v>
      </c>
      <c r="BT59" s="241">
        <f t="shared" si="68"/>
        <v>0</v>
      </c>
      <c r="BU59" s="241">
        <f t="shared" si="69"/>
        <v>-741540549</v>
      </c>
      <c r="BV59" s="230"/>
      <c r="BW59" s="241">
        <f t="shared" si="70"/>
        <v>0</v>
      </c>
      <c r="BX59" s="241">
        <f t="shared" si="71"/>
        <v>0</v>
      </c>
      <c r="BY59" s="241">
        <f t="shared" si="72"/>
        <v>-846888229</v>
      </c>
      <c r="BZ59" s="247">
        <f t="shared" si="73"/>
        <v>-846888229</v>
      </c>
      <c r="CA59" s="230"/>
      <c r="CB59" s="247">
        <f t="shared" si="74"/>
        <v>0</v>
      </c>
      <c r="CC59" s="247">
        <f t="shared" si="75"/>
        <v>0</v>
      </c>
      <c r="CD59" s="247">
        <f t="shared" si="76"/>
        <v>-1262355349</v>
      </c>
      <c r="CE59" s="247">
        <f t="shared" si="77"/>
        <v>-1262355349</v>
      </c>
      <c r="CF59" s="230"/>
      <c r="CG59" s="247">
        <f t="shared" si="78"/>
        <v>0</v>
      </c>
      <c r="CH59" s="247">
        <f t="shared" si="79"/>
        <v>0</v>
      </c>
      <c r="CI59" s="247">
        <f t="shared" si="80"/>
        <v>0</v>
      </c>
      <c r="CJ59" s="247">
        <f t="shared" si="81"/>
        <v>0</v>
      </c>
      <c r="CK59" s="230"/>
      <c r="CL59" s="241">
        <f t="shared" si="82"/>
        <v>0</v>
      </c>
      <c r="CM59" s="241">
        <f t="shared" si="83"/>
        <v>0</v>
      </c>
      <c r="CN59" s="241">
        <f t="shared" si="84"/>
        <v>0</v>
      </c>
      <c r="CO59" s="247">
        <f t="shared" si="85"/>
        <v>0</v>
      </c>
      <c r="CQ59" s="241">
        <f>SUMIF('1.PL (VND) '!$BL$6:$CD$6,'1.PL (VND) '!CP$6,$BM59:$CE59)</f>
        <v>0</v>
      </c>
      <c r="CR59" s="241">
        <f>SUMIF('1.PL (VND) '!$BL$6:$CD$6,'1.PL (VND) '!CQ$6,$BM59:$CE59)</f>
        <v>0</v>
      </c>
      <c r="CS59" s="241">
        <f>SUMIF('1.PL (VND) '!$BL$6:$CD$6,'1.PL (VND) '!CR$6,$BM59:$CE59)</f>
        <v>-5509664501</v>
      </c>
      <c r="CT59" s="241">
        <f>SUMIF('1.PL (VND) '!$BL$6:$CD$6,'1.PL (VND) '!CS$6,$BM59:$CE59)</f>
        <v>-6251205050</v>
      </c>
      <c r="CV59" s="241"/>
      <c r="CW59" s="241"/>
      <c r="CX59" s="241"/>
      <c r="CY59" s="247"/>
      <c r="DA59" s="241">
        <f t="shared" si="86"/>
        <v>0</v>
      </c>
      <c r="DB59" s="241">
        <f t="shared" si="87"/>
        <v>0</v>
      </c>
      <c r="DC59" s="241">
        <f t="shared" si="88"/>
        <v>-5509664501</v>
      </c>
      <c r="DD59" s="241">
        <f t="shared" si="89"/>
        <v>-6251205050</v>
      </c>
      <c r="DH59" s="267"/>
    </row>
    <row r="60" spans="1:112" s="740" customFormat="1" x14ac:dyDescent="0.25">
      <c r="A60" s="248" t="str">
        <f t="shared" si="40"/>
        <v>hide</v>
      </c>
      <c r="C60" s="741" t="s">
        <v>385</v>
      </c>
      <c r="D60" s="742" t="s">
        <v>386</v>
      </c>
      <c r="E60" s="743"/>
      <c r="F60" s="743"/>
      <c r="G60" s="743"/>
      <c r="H60" s="744">
        <v>0</v>
      </c>
      <c r="I60" s="745"/>
      <c r="J60" s="746"/>
      <c r="K60" s="746"/>
      <c r="L60" s="746"/>
      <c r="M60" s="739">
        <v>0</v>
      </c>
      <c r="N60" s="745"/>
      <c r="O60" s="746"/>
      <c r="P60" s="746"/>
      <c r="Q60" s="746"/>
      <c r="R60" s="746"/>
      <c r="S60" s="745"/>
      <c r="T60" s="746"/>
      <c r="U60" s="746"/>
      <c r="V60" s="746"/>
      <c r="W60" s="746"/>
      <c r="X60" s="745"/>
      <c r="Y60" s="746"/>
      <c r="Z60" s="746"/>
      <c r="AA60" s="746"/>
      <c r="AB60" s="746"/>
      <c r="AC60" s="745"/>
      <c r="AD60" s="746"/>
      <c r="AE60" s="746"/>
      <c r="AF60" s="746"/>
      <c r="AG60" s="746"/>
      <c r="AI60" s="746">
        <f>SUMIFS('1.DC_Ra soat'!$L:$L,'1.DC_Ra soat'!$F:$F,AI$4,'1.DC_Ra soat'!$H:$H,'1.BS (VND)'!$D60)-SUMIFS('1.DC_Ra soat'!$L:$L,'1.DC_Ra soat'!$F:$F,AI$4,'1.DC_Ra soat'!$I:$I,'1.BS (VND)'!$D60)</f>
        <v>0</v>
      </c>
      <c r="AJ60" s="746">
        <f>SUMIFS('1.DC_Ra soat'!$L:$L,'1.DC_Ra soat'!$F:$F,AJ$4,'1.DC_Ra soat'!$H:$H,'1.BS (VND)'!$D60)-SUMIFS('1.DC_Ra soat'!$L:$L,'1.DC_Ra soat'!$F:$F,AJ$4,'1.DC_Ra soat'!$I:$I,'1.BS (VND)'!$D60)</f>
        <v>0</v>
      </c>
      <c r="AK60" s="746">
        <f>SUMIFS('1.DC_Ra soat'!$L:$L,'1.DC_Ra soat'!$F:$F,AK$4,'1.DC_Ra soat'!$H:$H,'1.BS (VND)'!$D60)-SUMIFS('1.DC_Ra soat'!$L:$L,'1.DC_Ra soat'!$F:$F,AK$4,'1.DC_Ra soat'!$I:$I,'1.BS (VND)'!$D60)</f>
        <v>0</v>
      </c>
      <c r="AL60" s="746">
        <f>SUMIFS('1.DC_Ra soat'!$L:$L,'1.DC_Ra soat'!$F:$F,AL$4,'1.DC_Ra soat'!$H:$H,'1.BS (VND)'!$D60)-SUMIFS('1.DC_Ra soat'!$L:$L,'1.DC_Ra soat'!$F:$F,AL$4,'1.DC_Ra soat'!$I:$I,'1.BS (VND)'!$D60)</f>
        <v>0</v>
      </c>
      <c r="AM60" s="745"/>
      <c r="AN60" s="746">
        <f>SUMIFS('1.DC_Ra soat'!$L:$L,'1.DC_Ra soat'!$F:$F,AN$4,'1.DC_Ra soat'!$H:$H,'1.BS (VND)'!$D60)-SUMIFS('1.DC_Ra soat'!$L:$L,'1.DC_Ra soat'!$F:$F,AN$4,'1.DC_Ra soat'!$I:$I,'1.BS (VND)'!$D60)</f>
        <v>0</v>
      </c>
      <c r="AO60" s="746">
        <f>SUMIFS('1.DC_Ra soat'!$L:$L,'1.DC_Ra soat'!$F:$F,AO$4,'1.DC_Ra soat'!$H:$H,'1.BS (VND)'!$D60)-SUMIFS('1.DC_Ra soat'!$L:$L,'1.DC_Ra soat'!$F:$F,AO$4,'1.DC_Ra soat'!$I:$I,'1.BS (VND)'!$D60)</f>
        <v>0</v>
      </c>
      <c r="AP60" s="746">
        <f>SUMIFS('1.DC_Ra soat'!$L:$L,'1.DC_Ra soat'!$F:$F,AP$4,'1.DC_Ra soat'!$H:$H,'1.BS (VND)'!$D60)-SUMIFS('1.DC_Ra soat'!$L:$L,'1.DC_Ra soat'!$F:$F,AP$4,'1.DC_Ra soat'!$I:$I,'1.BS (VND)'!$D60)</f>
        <v>0</v>
      </c>
      <c r="AQ60" s="746">
        <f>SUMIFS('1.DC_Ra soat'!$L:$L,'1.DC_Ra soat'!$F:$F,AQ$4,'1.DC_Ra soat'!$H:$H,'1.BS (VND)'!$D60)-SUMIFS('1.DC_Ra soat'!$L:$L,'1.DC_Ra soat'!$F:$F,AQ$4,'1.DC_Ra soat'!$I:$I,'1.BS (VND)'!$D60)</f>
        <v>0</v>
      </c>
      <c r="AR60" s="745"/>
      <c r="AS60" s="746">
        <f>SUMIFS('1.DC_Ra soat'!$L:$L,'1.DC_Ra soat'!$F:$F,AS$4,'1.DC_Ra soat'!$H:$H,'1.BS (VND)'!$D60)-SUMIFS('1.DC_Ra soat'!$L:$L,'1.DC_Ra soat'!$F:$F,AS$4,'1.DC_Ra soat'!$I:$I,'1.BS (VND)'!$D60)</f>
        <v>0</v>
      </c>
      <c r="AT60" s="746">
        <f>SUMIFS('1.DC_Ra soat'!$L:$L,'1.DC_Ra soat'!$F:$F,AT$4,'1.DC_Ra soat'!$H:$H,'1.BS (VND)'!$D60)-SUMIFS('1.DC_Ra soat'!$L:$L,'1.DC_Ra soat'!$F:$F,AT$4,'1.DC_Ra soat'!$I:$I,'1.BS (VND)'!$D60)</f>
        <v>0</v>
      </c>
      <c r="AU60" s="746">
        <f>SUMIFS('1.DC_Ra soat'!$L:$L,'1.DC_Ra soat'!$F:$F,AU$4,'1.DC_Ra soat'!$H:$H,'1.BS (VND)'!$D60)-SUMIFS('1.DC_Ra soat'!$L:$L,'1.DC_Ra soat'!$F:$F,AU$4,'1.DC_Ra soat'!$I:$I,'1.BS (VND)'!$D60)</f>
        <v>0</v>
      </c>
      <c r="AV60" s="746">
        <f>SUMIFS('1.DC_Ra soat'!$L:$L,'1.DC_Ra soat'!$F:$F,AV$4,'1.DC_Ra soat'!$H:$H,'1.BS (VND)'!$D60)-SUMIFS('1.DC_Ra soat'!$L:$L,'1.DC_Ra soat'!$F:$F,AV$4,'1.DC_Ra soat'!$I:$I,'1.BS (VND)'!$D60)</f>
        <v>0</v>
      </c>
      <c r="AW60" s="745"/>
      <c r="AX60" s="746">
        <f>SUMIFS('1.DC_Ra soat'!$L:$L,'1.DC_Ra soat'!$F:$F,AX$4,'1.DC_Ra soat'!$H:$H,'1.BS (VND)'!$D60)-SUMIFS('1.DC_Ra soat'!$L:$L,'1.DC_Ra soat'!$F:$F,AX$4,'1.DC_Ra soat'!$I:$I,'1.BS (VND)'!$D60)</f>
        <v>0</v>
      </c>
      <c r="AY60" s="746">
        <f>SUMIFS('1.DC_Ra soat'!$L:$L,'1.DC_Ra soat'!$F:$F,AY$4,'1.DC_Ra soat'!$H:$H,'1.BS (VND)'!$D60)-SUMIFS('1.DC_Ra soat'!$L:$L,'1.DC_Ra soat'!$F:$F,AY$4,'1.DC_Ra soat'!$I:$I,'1.BS (VND)'!$D60)</f>
        <v>0</v>
      </c>
      <c r="AZ60" s="746">
        <f>SUMIFS('1.DC_Ra soat'!$L:$L,'1.DC_Ra soat'!$F:$F,AZ$4,'1.DC_Ra soat'!$H:$H,'1.BS (VND)'!$D60)-SUMIFS('1.DC_Ra soat'!$L:$L,'1.DC_Ra soat'!$F:$F,AZ$4,'1.DC_Ra soat'!$I:$I,'1.BS (VND)'!$D60)</f>
        <v>0</v>
      </c>
      <c r="BA60" s="746">
        <f>SUMIFS('1.DC_Ra soat'!$L:$L,'1.DC_Ra soat'!$F:$F,BA$4,'1.DC_Ra soat'!$H:$H,'1.BS (VND)'!$D60)-SUMIFS('1.DC_Ra soat'!$L:$L,'1.DC_Ra soat'!$F:$F,BA$4,'1.DC_Ra soat'!$I:$I,'1.BS (VND)'!$D60)</f>
        <v>0</v>
      </c>
      <c r="BB60" s="745"/>
      <c r="BC60" s="746">
        <f>SUMIFS('1.DC_Ra soat'!$L:$L,'1.DC_Ra soat'!$F:$F,BC$4,'1.DC_Ra soat'!$H:$H,'1.BS (VND)'!$D60)-SUMIFS('1.DC_Ra soat'!$L:$L,'1.DC_Ra soat'!$F:$F,BC$4,'1.DC_Ra soat'!$I:$I,'1.BS (VND)'!$D60)</f>
        <v>0</v>
      </c>
      <c r="BD60" s="746">
        <f>SUMIFS('1.DC_Ra soat'!$L:$L,'1.DC_Ra soat'!$F:$F,BD$4,'1.DC_Ra soat'!$H:$H,'1.BS (VND)'!$D60)-SUMIFS('1.DC_Ra soat'!$L:$L,'1.DC_Ra soat'!$F:$F,BD$4,'1.DC_Ra soat'!$I:$I,'1.BS (VND)'!$D60)</f>
        <v>0</v>
      </c>
      <c r="BE60" s="746">
        <f>SUMIFS('1.DC_Ra soat'!$L:$L,'1.DC_Ra soat'!$F:$F,BE$4,'1.DC_Ra soat'!$H:$H,'1.BS (VND)'!$D60)-SUMIFS('1.DC_Ra soat'!$L:$L,'1.DC_Ra soat'!$F:$F,BE$4,'1.DC_Ra soat'!$I:$I,'1.BS (VND)'!$D60)</f>
        <v>0</v>
      </c>
      <c r="BF60" s="746">
        <f>SUMIFS('1.DC_Ra soat'!$L:$L,'1.DC_Ra soat'!$F:$F,BF$4,'1.DC_Ra soat'!$H:$H,'1.BS (VND)'!$D60)-SUMIFS('1.DC_Ra soat'!$L:$L,'1.DC_Ra soat'!$F:$F,BF$4,'1.DC_Ra soat'!$I:$I,'1.BS (VND)'!$D60)</f>
        <v>0</v>
      </c>
      <c r="BG60" s="745"/>
      <c r="BH60" s="746">
        <f>SUMIFS('1.DC_Ra soat'!$L:$L,'1.DC_Ra soat'!$F:$F,BH$4,'1.DC_Ra soat'!$H:$H,'1.BS (VND)'!$D60)-SUMIFS('1.DC_Ra soat'!$L:$L,'1.DC_Ra soat'!$F:$F,BH$4,'1.DC_Ra soat'!$I:$I,'1.BS (VND)'!$D60)</f>
        <v>0</v>
      </c>
      <c r="BI60" s="746">
        <f>SUMIFS('1.DC_Ra soat'!$L:$L,'1.DC_Ra soat'!$F:$F,BI$4,'1.DC_Ra soat'!$H:$H,'1.BS (VND)'!$D60)-SUMIFS('1.DC_Ra soat'!$L:$L,'1.DC_Ra soat'!$F:$F,BI$4,'1.DC_Ra soat'!$I:$I,'1.BS (VND)'!$D60)</f>
        <v>0</v>
      </c>
      <c r="BJ60" s="746">
        <f>SUMIFS('1.DC_Ra soat'!$L:$L,'1.DC_Ra soat'!$F:$F,BJ$4,'1.DC_Ra soat'!$H:$H,'1.BS (VND)'!$D60)-SUMIFS('1.DC_Ra soat'!$L:$L,'1.DC_Ra soat'!$F:$F,BJ$4,'1.DC_Ra soat'!$I:$I,'1.BS (VND)'!$D60)</f>
        <v>0</v>
      </c>
      <c r="BK60" s="746">
        <f>SUMIFS('1.DC_Ra soat'!$L:$L,'1.DC_Ra soat'!$F:$F,BK$4,'1.DC_Ra soat'!$H:$H,'1.BS (VND)'!$D60)-SUMIFS('1.DC_Ra soat'!$L:$L,'1.DC_Ra soat'!$F:$F,BK$4,'1.DC_Ra soat'!$I:$I,'1.BS (VND)'!$D60)</f>
        <v>0</v>
      </c>
      <c r="BM60" s="746">
        <f t="shared" si="62"/>
        <v>0</v>
      </c>
      <c r="BN60" s="746">
        <f t="shared" si="63"/>
        <v>0</v>
      </c>
      <c r="BO60" s="746">
        <f t="shared" si="64"/>
        <v>0</v>
      </c>
      <c r="BP60" s="747">
        <f t="shared" si="65"/>
        <v>0</v>
      </c>
      <c r="BQ60" s="745"/>
      <c r="BR60" s="746">
        <f t="shared" si="66"/>
        <v>0</v>
      </c>
      <c r="BS60" s="746">
        <f t="shared" si="67"/>
        <v>0</v>
      </c>
      <c r="BT60" s="746">
        <f t="shared" si="68"/>
        <v>0</v>
      </c>
      <c r="BU60" s="746">
        <f t="shared" si="69"/>
        <v>0</v>
      </c>
      <c r="BV60" s="745"/>
      <c r="BW60" s="746">
        <f t="shared" si="70"/>
        <v>0</v>
      </c>
      <c r="BX60" s="746">
        <f t="shared" si="71"/>
        <v>0</v>
      </c>
      <c r="BY60" s="746">
        <f t="shared" si="72"/>
        <v>0</v>
      </c>
      <c r="BZ60" s="747">
        <f t="shared" si="73"/>
        <v>0</v>
      </c>
      <c r="CA60" s="745"/>
      <c r="CB60" s="747">
        <f t="shared" si="74"/>
        <v>0</v>
      </c>
      <c r="CC60" s="747">
        <f t="shared" si="75"/>
        <v>0</v>
      </c>
      <c r="CD60" s="747">
        <f t="shared" si="76"/>
        <v>0</v>
      </c>
      <c r="CE60" s="747">
        <f t="shared" si="77"/>
        <v>0</v>
      </c>
      <c r="CF60" s="745"/>
      <c r="CG60" s="747">
        <f t="shared" si="78"/>
        <v>0</v>
      </c>
      <c r="CH60" s="747">
        <f t="shared" si="79"/>
        <v>0</v>
      </c>
      <c r="CI60" s="747">
        <f t="shared" si="80"/>
        <v>0</v>
      </c>
      <c r="CJ60" s="747">
        <f t="shared" si="81"/>
        <v>0</v>
      </c>
      <c r="CK60" s="745"/>
      <c r="CL60" s="746">
        <f t="shared" si="82"/>
        <v>0</v>
      </c>
      <c r="CM60" s="746">
        <f t="shared" si="83"/>
        <v>0</v>
      </c>
      <c r="CN60" s="746">
        <f t="shared" si="84"/>
        <v>0</v>
      </c>
      <c r="CO60" s="747">
        <f t="shared" si="85"/>
        <v>0</v>
      </c>
      <c r="CQ60" s="746">
        <f>SUMIF('1.PL (VND) '!$BL$6:$CD$6,'1.PL (VND) '!CP$6,$BM60:$CE60)</f>
        <v>0</v>
      </c>
      <c r="CR60" s="746">
        <f>SUMIF('1.PL (VND) '!$BL$6:$CD$6,'1.PL (VND) '!CQ$6,$BM60:$CE60)</f>
        <v>0</v>
      </c>
      <c r="CS60" s="746">
        <f>SUMIF('1.PL (VND) '!$BL$6:$CD$6,'1.PL (VND) '!CR$6,$BM60:$CE60)</f>
        <v>0</v>
      </c>
      <c r="CT60" s="746">
        <f>SUMIF('1.PL (VND) '!$BL$6:$CD$6,'1.PL (VND) '!CS$6,$BM60:$CE60)</f>
        <v>0</v>
      </c>
      <c r="CV60" s="748">
        <f>-SUMIFS('1.DC_Ra soat'!$L:$L,'1.DC_Ra soat'!$F:$F,'1.PL (VND) '!DK$4,'1.DC_Ra soat'!$H:$H,'1.BS (VND)'!$D60)+SUMIFS('1.DC_Ra soat'!$L:$L,'1.DC_Ra soat'!$F:$F,'1.PL (VND) '!DK$4,'1.DC_Ra soat'!$I:$I,'1.BS (VND)'!$D60)</f>
        <v>0</v>
      </c>
      <c r="CW60" s="748">
        <f>-SUMIFS('1.DC_Ra soat'!$L:$L,'1.DC_Ra soat'!$F:$F,'1.PL (VND) '!DL$4,'1.DC_Ra soat'!$H:$H,'1.BS (VND)'!$D60)+SUMIFS('1.DC_Ra soat'!$L:$L,'1.DC_Ra soat'!$F:$F,'1.PL (VND) '!DL$4,'1.DC_Ra soat'!$I:$I,'1.BS (VND)'!$D60)</f>
        <v>0</v>
      </c>
      <c r="CX60" s="748">
        <f>-SUMIFS('1.DC_Ra soat'!$L:$L,'1.DC_Ra soat'!$F:$F,'1.PL (VND) '!DM$4,'1.DC_Ra soat'!$H:$H,'1.BS (VND)'!$D60)+SUMIFS('1.DC_Ra soat'!$L:$L,'1.DC_Ra soat'!$F:$F,'1.PL (VND) '!DM$4,'1.DC_Ra soat'!$I:$I,'1.BS (VND)'!$D60)</f>
        <v>0</v>
      </c>
      <c r="CY60" s="748">
        <f>-SUMIFS('1.DC_Ra soat'!$L:$L,'1.DC_Ra soat'!$F:$F,'1.PL (VND) '!DN$4,'1.DC_Ra soat'!$H:$H,'1.BS (VND)'!$D60)+SUMIFS('1.DC_Ra soat'!$L:$L,'1.DC_Ra soat'!$F:$F,'1.PL (VND) '!DN$4,'1.DC_Ra soat'!$I:$I,'1.BS (VND)'!$D60)</f>
        <v>0</v>
      </c>
      <c r="DA60" s="746">
        <f t="shared" si="86"/>
        <v>0</v>
      </c>
      <c r="DB60" s="746">
        <f t="shared" si="87"/>
        <v>0</v>
      </c>
      <c r="DC60" s="746">
        <f t="shared" si="88"/>
        <v>0</v>
      </c>
      <c r="DD60" s="746">
        <f t="shared" si="89"/>
        <v>0</v>
      </c>
    </row>
    <row r="61" spans="1:112" s="740" customFormat="1" x14ac:dyDescent="0.25">
      <c r="A61" s="248" t="str">
        <f t="shared" si="40"/>
        <v>hide</v>
      </c>
      <c r="C61" s="741" t="s">
        <v>387</v>
      </c>
      <c r="D61" s="742" t="s">
        <v>388</v>
      </c>
      <c r="E61" s="743"/>
      <c r="F61" s="743"/>
      <c r="G61" s="743"/>
      <c r="H61" s="744">
        <v>0</v>
      </c>
      <c r="I61" s="745"/>
      <c r="J61" s="746"/>
      <c r="K61" s="746"/>
      <c r="L61" s="746"/>
      <c r="M61" s="739">
        <v>0</v>
      </c>
      <c r="N61" s="745"/>
      <c r="O61" s="746"/>
      <c r="P61" s="746"/>
      <c r="Q61" s="746"/>
      <c r="R61" s="746"/>
      <c r="S61" s="745"/>
      <c r="T61" s="746"/>
      <c r="U61" s="746"/>
      <c r="V61" s="746"/>
      <c r="W61" s="746"/>
      <c r="X61" s="745"/>
      <c r="Y61" s="746"/>
      <c r="Z61" s="746"/>
      <c r="AA61" s="746"/>
      <c r="AB61" s="746"/>
      <c r="AC61" s="745"/>
      <c r="AD61" s="746"/>
      <c r="AE61" s="746"/>
      <c r="AF61" s="746"/>
      <c r="AG61" s="746"/>
      <c r="AI61" s="746">
        <f>SUMIFS('1.DC_Ra soat'!$L:$L,'1.DC_Ra soat'!$F:$F,AI$4,'1.DC_Ra soat'!$H:$H,'1.BS (VND)'!$D61)-SUMIFS('1.DC_Ra soat'!$L:$L,'1.DC_Ra soat'!$F:$F,AI$4,'1.DC_Ra soat'!$I:$I,'1.BS (VND)'!$D61)</f>
        <v>0</v>
      </c>
      <c r="AJ61" s="746">
        <f>SUMIFS('1.DC_Ra soat'!$L:$L,'1.DC_Ra soat'!$F:$F,AJ$4,'1.DC_Ra soat'!$H:$H,'1.BS (VND)'!$D61)-SUMIFS('1.DC_Ra soat'!$L:$L,'1.DC_Ra soat'!$F:$F,AJ$4,'1.DC_Ra soat'!$I:$I,'1.BS (VND)'!$D61)</f>
        <v>0</v>
      </c>
      <c r="AK61" s="746">
        <f>SUMIFS('1.DC_Ra soat'!$L:$L,'1.DC_Ra soat'!$F:$F,AK$4,'1.DC_Ra soat'!$H:$H,'1.BS (VND)'!$D61)-SUMIFS('1.DC_Ra soat'!$L:$L,'1.DC_Ra soat'!$F:$F,AK$4,'1.DC_Ra soat'!$I:$I,'1.BS (VND)'!$D61)</f>
        <v>0</v>
      </c>
      <c r="AL61" s="746">
        <f>SUMIFS('1.DC_Ra soat'!$L:$L,'1.DC_Ra soat'!$F:$F,AL$4,'1.DC_Ra soat'!$H:$H,'1.BS (VND)'!$D61)-SUMIFS('1.DC_Ra soat'!$L:$L,'1.DC_Ra soat'!$F:$F,AL$4,'1.DC_Ra soat'!$I:$I,'1.BS (VND)'!$D61)</f>
        <v>0</v>
      </c>
      <c r="AM61" s="745"/>
      <c r="AN61" s="746">
        <f>SUMIFS('1.DC_Ra soat'!$L:$L,'1.DC_Ra soat'!$F:$F,AN$4,'1.DC_Ra soat'!$H:$H,'1.BS (VND)'!$D61)-SUMIFS('1.DC_Ra soat'!$L:$L,'1.DC_Ra soat'!$F:$F,AN$4,'1.DC_Ra soat'!$I:$I,'1.BS (VND)'!$D61)</f>
        <v>0</v>
      </c>
      <c r="AO61" s="746">
        <f>SUMIFS('1.DC_Ra soat'!$L:$L,'1.DC_Ra soat'!$F:$F,AO$4,'1.DC_Ra soat'!$H:$H,'1.BS (VND)'!$D61)-SUMIFS('1.DC_Ra soat'!$L:$L,'1.DC_Ra soat'!$F:$F,AO$4,'1.DC_Ra soat'!$I:$I,'1.BS (VND)'!$D61)</f>
        <v>0</v>
      </c>
      <c r="AP61" s="746">
        <f>SUMIFS('1.DC_Ra soat'!$L:$L,'1.DC_Ra soat'!$F:$F,AP$4,'1.DC_Ra soat'!$H:$H,'1.BS (VND)'!$D61)-SUMIFS('1.DC_Ra soat'!$L:$L,'1.DC_Ra soat'!$F:$F,AP$4,'1.DC_Ra soat'!$I:$I,'1.BS (VND)'!$D61)</f>
        <v>0</v>
      </c>
      <c r="AQ61" s="746">
        <f>SUMIFS('1.DC_Ra soat'!$L:$L,'1.DC_Ra soat'!$F:$F,AQ$4,'1.DC_Ra soat'!$H:$H,'1.BS (VND)'!$D61)-SUMIFS('1.DC_Ra soat'!$L:$L,'1.DC_Ra soat'!$F:$F,AQ$4,'1.DC_Ra soat'!$I:$I,'1.BS (VND)'!$D61)</f>
        <v>0</v>
      </c>
      <c r="AR61" s="745"/>
      <c r="AS61" s="746">
        <f>SUMIFS('1.DC_Ra soat'!$L:$L,'1.DC_Ra soat'!$F:$F,AS$4,'1.DC_Ra soat'!$H:$H,'1.BS (VND)'!$D61)-SUMIFS('1.DC_Ra soat'!$L:$L,'1.DC_Ra soat'!$F:$F,AS$4,'1.DC_Ra soat'!$I:$I,'1.BS (VND)'!$D61)</f>
        <v>0</v>
      </c>
      <c r="AT61" s="746">
        <f>SUMIFS('1.DC_Ra soat'!$L:$L,'1.DC_Ra soat'!$F:$F,AT$4,'1.DC_Ra soat'!$H:$H,'1.BS (VND)'!$D61)-SUMIFS('1.DC_Ra soat'!$L:$L,'1.DC_Ra soat'!$F:$F,AT$4,'1.DC_Ra soat'!$I:$I,'1.BS (VND)'!$D61)</f>
        <v>0</v>
      </c>
      <c r="AU61" s="746">
        <f>SUMIFS('1.DC_Ra soat'!$L:$L,'1.DC_Ra soat'!$F:$F,AU$4,'1.DC_Ra soat'!$H:$H,'1.BS (VND)'!$D61)-SUMIFS('1.DC_Ra soat'!$L:$L,'1.DC_Ra soat'!$F:$F,AU$4,'1.DC_Ra soat'!$I:$I,'1.BS (VND)'!$D61)</f>
        <v>0</v>
      </c>
      <c r="AV61" s="746">
        <f>SUMIFS('1.DC_Ra soat'!$L:$L,'1.DC_Ra soat'!$F:$F,AV$4,'1.DC_Ra soat'!$H:$H,'1.BS (VND)'!$D61)-SUMIFS('1.DC_Ra soat'!$L:$L,'1.DC_Ra soat'!$F:$F,AV$4,'1.DC_Ra soat'!$I:$I,'1.BS (VND)'!$D61)</f>
        <v>0</v>
      </c>
      <c r="AW61" s="745"/>
      <c r="AX61" s="746">
        <f>SUMIFS('1.DC_Ra soat'!$L:$L,'1.DC_Ra soat'!$F:$F,AX$4,'1.DC_Ra soat'!$H:$H,'1.BS (VND)'!$D61)-SUMIFS('1.DC_Ra soat'!$L:$L,'1.DC_Ra soat'!$F:$F,AX$4,'1.DC_Ra soat'!$I:$I,'1.BS (VND)'!$D61)</f>
        <v>0</v>
      </c>
      <c r="AY61" s="746">
        <f>SUMIFS('1.DC_Ra soat'!$L:$L,'1.DC_Ra soat'!$F:$F,AY$4,'1.DC_Ra soat'!$H:$H,'1.BS (VND)'!$D61)-SUMIFS('1.DC_Ra soat'!$L:$L,'1.DC_Ra soat'!$F:$F,AY$4,'1.DC_Ra soat'!$I:$I,'1.BS (VND)'!$D61)</f>
        <v>0</v>
      </c>
      <c r="AZ61" s="746">
        <f>SUMIFS('1.DC_Ra soat'!$L:$L,'1.DC_Ra soat'!$F:$F,AZ$4,'1.DC_Ra soat'!$H:$H,'1.BS (VND)'!$D61)-SUMIFS('1.DC_Ra soat'!$L:$L,'1.DC_Ra soat'!$F:$F,AZ$4,'1.DC_Ra soat'!$I:$I,'1.BS (VND)'!$D61)</f>
        <v>0</v>
      </c>
      <c r="BA61" s="746">
        <f>SUMIFS('1.DC_Ra soat'!$L:$L,'1.DC_Ra soat'!$F:$F,BA$4,'1.DC_Ra soat'!$H:$H,'1.BS (VND)'!$D61)-SUMIFS('1.DC_Ra soat'!$L:$L,'1.DC_Ra soat'!$F:$F,BA$4,'1.DC_Ra soat'!$I:$I,'1.BS (VND)'!$D61)</f>
        <v>0</v>
      </c>
      <c r="BB61" s="745"/>
      <c r="BC61" s="746">
        <f>SUMIFS('1.DC_Ra soat'!$L:$L,'1.DC_Ra soat'!$F:$F,BC$4,'1.DC_Ra soat'!$H:$H,'1.BS (VND)'!$D61)-SUMIFS('1.DC_Ra soat'!$L:$L,'1.DC_Ra soat'!$F:$F,BC$4,'1.DC_Ra soat'!$I:$I,'1.BS (VND)'!$D61)</f>
        <v>0</v>
      </c>
      <c r="BD61" s="746">
        <f>SUMIFS('1.DC_Ra soat'!$L:$L,'1.DC_Ra soat'!$F:$F,BD$4,'1.DC_Ra soat'!$H:$H,'1.BS (VND)'!$D61)-SUMIFS('1.DC_Ra soat'!$L:$L,'1.DC_Ra soat'!$F:$F,BD$4,'1.DC_Ra soat'!$I:$I,'1.BS (VND)'!$D61)</f>
        <v>0</v>
      </c>
      <c r="BE61" s="746">
        <f>SUMIFS('1.DC_Ra soat'!$L:$L,'1.DC_Ra soat'!$F:$F,BE$4,'1.DC_Ra soat'!$H:$H,'1.BS (VND)'!$D61)-SUMIFS('1.DC_Ra soat'!$L:$L,'1.DC_Ra soat'!$F:$F,BE$4,'1.DC_Ra soat'!$I:$I,'1.BS (VND)'!$D61)</f>
        <v>0</v>
      </c>
      <c r="BF61" s="746">
        <f>SUMIFS('1.DC_Ra soat'!$L:$L,'1.DC_Ra soat'!$F:$F,BF$4,'1.DC_Ra soat'!$H:$H,'1.BS (VND)'!$D61)-SUMIFS('1.DC_Ra soat'!$L:$L,'1.DC_Ra soat'!$F:$F,BF$4,'1.DC_Ra soat'!$I:$I,'1.BS (VND)'!$D61)</f>
        <v>0</v>
      </c>
      <c r="BG61" s="745"/>
      <c r="BH61" s="746">
        <f>SUMIFS('1.DC_Ra soat'!$L:$L,'1.DC_Ra soat'!$F:$F,BH$4,'1.DC_Ra soat'!$H:$H,'1.BS (VND)'!$D61)-SUMIFS('1.DC_Ra soat'!$L:$L,'1.DC_Ra soat'!$F:$F,BH$4,'1.DC_Ra soat'!$I:$I,'1.BS (VND)'!$D61)</f>
        <v>0</v>
      </c>
      <c r="BI61" s="746">
        <f>SUMIFS('1.DC_Ra soat'!$L:$L,'1.DC_Ra soat'!$F:$F,BI$4,'1.DC_Ra soat'!$H:$H,'1.BS (VND)'!$D61)-SUMIFS('1.DC_Ra soat'!$L:$L,'1.DC_Ra soat'!$F:$F,BI$4,'1.DC_Ra soat'!$I:$I,'1.BS (VND)'!$D61)</f>
        <v>0</v>
      </c>
      <c r="BJ61" s="746">
        <f>SUMIFS('1.DC_Ra soat'!$L:$L,'1.DC_Ra soat'!$F:$F,BJ$4,'1.DC_Ra soat'!$H:$H,'1.BS (VND)'!$D61)-SUMIFS('1.DC_Ra soat'!$L:$L,'1.DC_Ra soat'!$F:$F,BJ$4,'1.DC_Ra soat'!$I:$I,'1.BS (VND)'!$D61)</f>
        <v>0</v>
      </c>
      <c r="BK61" s="746">
        <f>SUMIFS('1.DC_Ra soat'!$L:$L,'1.DC_Ra soat'!$F:$F,BK$4,'1.DC_Ra soat'!$H:$H,'1.BS (VND)'!$D61)-SUMIFS('1.DC_Ra soat'!$L:$L,'1.DC_Ra soat'!$F:$F,BK$4,'1.DC_Ra soat'!$I:$I,'1.BS (VND)'!$D61)</f>
        <v>0</v>
      </c>
      <c r="BM61" s="746">
        <f t="shared" si="62"/>
        <v>0</v>
      </c>
      <c r="BN61" s="746">
        <f t="shared" si="63"/>
        <v>0</v>
      </c>
      <c r="BO61" s="746">
        <f t="shared" si="64"/>
        <v>0</v>
      </c>
      <c r="BP61" s="747">
        <f t="shared" si="65"/>
        <v>0</v>
      </c>
      <c r="BQ61" s="745"/>
      <c r="BR61" s="746">
        <f t="shared" si="66"/>
        <v>0</v>
      </c>
      <c r="BS61" s="746">
        <f t="shared" si="67"/>
        <v>0</v>
      </c>
      <c r="BT61" s="746">
        <f t="shared" si="68"/>
        <v>0</v>
      </c>
      <c r="BU61" s="746">
        <f t="shared" si="69"/>
        <v>0</v>
      </c>
      <c r="BV61" s="745"/>
      <c r="BW61" s="746">
        <f t="shared" si="70"/>
        <v>0</v>
      </c>
      <c r="BX61" s="746">
        <f t="shared" si="71"/>
        <v>0</v>
      </c>
      <c r="BY61" s="746">
        <f t="shared" si="72"/>
        <v>0</v>
      </c>
      <c r="BZ61" s="747">
        <f t="shared" si="73"/>
        <v>0</v>
      </c>
      <c r="CA61" s="745"/>
      <c r="CB61" s="747">
        <f t="shared" si="74"/>
        <v>0</v>
      </c>
      <c r="CC61" s="747">
        <f t="shared" si="75"/>
        <v>0</v>
      </c>
      <c r="CD61" s="747">
        <f t="shared" si="76"/>
        <v>0</v>
      </c>
      <c r="CE61" s="747">
        <f t="shared" si="77"/>
        <v>0</v>
      </c>
      <c r="CF61" s="745"/>
      <c r="CG61" s="747">
        <f t="shared" si="78"/>
        <v>0</v>
      </c>
      <c r="CH61" s="747">
        <f t="shared" si="79"/>
        <v>0</v>
      </c>
      <c r="CI61" s="747">
        <f t="shared" si="80"/>
        <v>0</v>
      </c>
      <c r="CJ61" s="747">
        <f t="shared" si="81"/>
        <v>0</v>
      </c>
      <c r="CK61" s="745"/>
      <c r="CL61" s="746">
        <f t="shared" si="82"/>
        <v>0</v>
      </c>
      <c r="CM61" s="746">
        <f t="shared" si="83"/>
        <v>0</v>
      </c>
      <c r="CN61" s="746">
        <f t="shared" si="84"/>
        <v>0</v>
      </c>
      <c r="CO61" s="747">
        <f t="shared" si="85"/>
        <v>0</v>
      </c>
      <c r="CQ61" s="746">
        <f>SUMIF('1.PL (VND) '!$BL$6:$CD$6,'1.PL (VND) '!CP$6,$BM61:$CE61)</f>
        <v>0</v>
      </c>
      <c r="CR61" s="746">
        <f>SUMIF('1.PL (VND) '!$BL$6:$CD$6,'1.PL (VND) '!CQ$6,$BM61:$CE61)</f>
        <v>0</v>
      </c>
      <c r="CS61" s="746">
        <f>SUMIF('1.PL (VND) '!$BL$6:$CD$6,'1.PL (VND) '!CR$6,$BM61:$CE61)</f>
        <v>0</v>
      </c>
      <c r="CT61" s="746">
        <f>SUMIF('1.PL (VND) '!$BL$6:$CD$6,'1.PL (VND) '!CS$6,$BM61:$CE61)</f>
        <v>0</v>
      </c>
      <c r="CV61" s="748">
        <f>-SUMIFS('1.DC_Ra soat'!$L:$L,'1.DC_Ra soat'!$F:$F,'1.PL (VND) '!DK$4,'1.DC_Ra soat'!$H:$H,'1.BS (VND)'!$D61)+SUMIFS('1.DC_Ra soat'!$L:$L,'1.DC_Ra soat'!$F:$F,'1.PL (VND) '!DK$4,'1.DC_Ra soat'!$I:$I,'1.BS (VND)'!$D61)</f>
        <v>0</v>
      </c>
      <c r="CW61" s="748">
        <f>-SUMIFS('1.DC_Ra soat'!$L:$L,'1.DC_Ra soat'!$F:$F,'1.PL (VND) '!DL$4,'1.DC_Ra soat'!$H:$H,'1.BS (VND)'!$D61)+SUMIFS('1.DC_Ra soat'!$L:$L,'1.DC_Ra soat'!$F:$F,'1.PL (VND) '!DL$4,'1.DC_Ra soat'!$I:$I,'1.BS (VND)'!$D61)</f>
        <v>0</v>
      </c>
      <c r="CX61" s="748">
        <f>-SUMIFS('1.DC_Ra soat'!$L:$L,'1.DC_Ra soat'!$F:$F,'1.PL (VND) '!DM$4,'1.DC_Ra soat'!$H:$H,'1.BS (VND)'!$D61)+SUMIFS('1.DC_Ra soat'!$L:$L,'1.DC_Ra soat'!$F:$F,'1.PL (VND) '!DM$4,'1.DC_Ra soat'!$I:$I,'1.BS (VND)'!$D61)</f>
        <v>0</v>
      </c>
      <c r="CY61" s="748">
        <f>-SUMIFS('1.DC_Ra soat'!$L:$L,'1.DC_Ra soat'!$F:$F,'1.PL (VND) '!DN$4,'1.DC_Ra soat'!$H:$H,'1.BS (VND)'!$D61)+SUMIFS('1.DC_Ra soat'!$L:$L,'1.DC_Ra soat'!$F:$F,'1.PL (VND) '!DN$4,'1.DC_Ra soat'!$I:$I,'1.BS (VND)'!$D61)</f>
        <v>0</v>
      </c>
      <c r="DA61" s="746">
        <f t="shared" si="86"/>
        <v>0</v>
      </c>
      <c r="DB61" s="746">
        <f t="shared" si="87"/>
        <v>0</v>
      </c>
      <c r="DC61" s="746">
        <f t="shared" si="88"/>
        <v>0</v>
      </c>
      <c r="DD61" s="746">
        <f t="shared" si="89"/>
        <v>0</v>
      </c>
    </row>
    <row r="62" spans="1:112" s="740" customFormat="1" x14ac:dyDescent="0.25">
      <c r="A62" s="248" t="str">
        <f t="shared" si="40"/>
        <v>hide</v>
      </c>
      <c r="C62" s="741" t="s">
        <v>389</v>
      </c>
      <c r="D62" s="742" t="s">
        <v>390</v>
      </c>
      <c r="E62" s="743"/>
      <c r="F62" s="743"/>
      <c r="G62" s="743"/>
      <c r="H62" s="744"/>
      <c r="I62" s="745"/>
      <c r="J62" s="746"/>
      <c r="K62" s="746"/>
      <c r="L62" s="746"/>
      <c r="M62" s="739">
        <v>0</v>
      </c>
      <c r="N62" s="745"/>
      <c r="O62" s="746"/>
      <c r="P62" s="746"/>
      <c r="Q62" s="746"/>
      <c r="R62" s="746"/>
      <c r="S62" s="745"/>
      <c r="T62" s="746"/>
      <c r="U62" s="746"/>
      <c r="V62" s="746"/>
      <c r="W62" s="746"/>
      <c r="X62" s="745"/>
      <c r="Y62" s="746"/>
      <c r="Z62" s="746"/>
      <c r="AA62" s="746"/>
      <c r="AB62" s="746"/>
      <c r="AC62" s="745"/>
      <c r="AD62" s="746"/>
      <c r="AE62" s="746"/>
      <c r="AF62" s="746"/>
      <c r="AG62" s="746"/>
      <c r="AI62" s="746">
        <f>SUMIFS('1.DC_Ra soat'!$L:$L,'1.DC_Ra soat'!$F:$F,AI$4,'1.DC_Ra soat'!$H:$H,'1.BS (VND)'!$D62)-SUMIFS('1.DC_Ra soat'!$L:$L,'1.DC_Ra soat'!$F:$F,AI$4,'1.DC_Ra soat'!$I:$I,'1.BS (VND)'!$D62)</f>
        <v>0</v>
      </c>
      <c r="AJ62" s="746">
        <f>SUMIFS('1.DC_Ra soat'!$L:$L,'1.DC_Ra soat'!$F:$F,AJ$4,'1.DC_Ra soat'!$H:$H,'1.BS (VND)'!$D62)-SUMIFS('1.DC_Ra soat'!$L:$L,'1.DC_Ra soat'!$F:$F,AJ$4,'1.DC_Ra soat'!$I:$I,'1.BS (VND)'!$D62)</f>
        <v>0</v>
      </c>
      <c r="AK62" s="746">
        <f>SUMIFS('1.DC_Ra soat'!$L:$L,'1.DC_Ra soat'!$F:$F,AK$4,'1.DC_Ra soat'!$H:$H,'1.BS (VND)'!$D62)-SUMIFS('1.DC_Ra soat'!$L:$L,'1.DC_Ra soat'!$F:$F,AK$4,'1.DC_Ra soat'!$I:$I,'1.BS (VND)'!$D62)</f>
        <v>0</v>
      </c>
      <c r="AL62" s="746">
        <f>SUMIFS('1.DC_Ra soat'!$L:$L,'1.DC_Ra soat'!$F:$F,AL$4,'1.DC_Ra soat'!$H:$H,'1.BS (VND)'!$D62)-SUMIFS('1.DC_Ra soat'!$L:$L,'1.DC_Ra soat'!$F:$F,AL$4,'1.DC_Ra soat'!$I:$I,'1.BS (VND)'!$D62)</f>
        <v>0</v>
      </c>
      <c r="AM62" s="745"/>
      <c r="AN62" s="746">
        <f>SUMIFS('1.DC_Ra soat'!$L:$L,'1.DC_Ra soat'!$F:$F,AN$4,'1.DC_Ra soat'!$H:$H,'1.BS (VND)'!$D62)-SUMIFS('1.DC_Ra soat'!$L:$L,'1.DC_Ra soat'!$F:$F,AN$4,'1.DC_Ra soat'!$I:$I,'1.BS (VND)'!$D62)</f>
        <v>0</v>
      </c>
      <c r="AO62" s="746">
        <f>SUMIFS('1.DC_Ra soat'!$L:$L,'1.DC_Ra soat'!$F:$F,AO$4,'1.DC_Ra soat'!$H:$H,'1.BS (VND)'!$D62)-SUMIFS('1.DC_Ra soat'!$L:$L,'1.DC_Ra soat'!$F:$F,AO$4,'1.DC_Ra soat'!$I:$I,'1.BS (VND)'!$D62)</f>
        <v>0</v>
      </c>
      <c r="AP62" s="746">
        <f>SUMIFS('1.DC_Ra soat'!$L:$L,'1.DC_Ra soat'!$F:$F,AP$4,'1.DC_Ra soat'!$H:$H,'1.BS (VND)'!$D62)-SUMIFS('1.DC_Ra soat'!$L:$L,'1.DC_Ra soat'!$F:$F,AP$4,'1.DC_Ra soat'!$I:$I,'1.BS (VND)'!$D62)</f>
        <v>0</v>
      </c>
      <c r="AQ62" s="746">
        <f>SUMIFS('1.DC_Ra soat'!$L:$L,'1.DC_Ra soat'!$F:$F,AQ$4,'1.DC_Ra soat'!$H:$H,'1.BS (VND)'!$D62)-SUMIFS('1.DC_Ra soat'!$L:$L,'1.DC_Ra soat'!$F:$F,AQ$4,'1.DC_Ra soat'!$I:$I,'1.BS (VND)'!$D62)</f>
        <v>0</v>
      </c>
      <c r="AR62" s="745"/>
      <c r="AS62" s="746">
        <f>SUMIFS('1.DC_Ra soat'!$L:$L,'1.DC_Ra soat'!$F:$F,AS$4,'1.DC_Ra soat'!$H:$H,'1.BS (VND)'!$D62)-SUMIFS('1.DC_Ra soat'!$L:$L,'1.DC_Ra soat'!$F:$F,AS$4,'1.DC_Ra soat'!$I:$I,'1.BS (VND)'!$D62)</f>
        <v>0</v>
      </c>
      <c r="AT62" s="746">
        <f>SUMIFS('1.DC_Ra soat'!$L:$L,'1.DC_Ra soat'!$F:$F,AT$4,'1.DC_Ra soat'!$H:$H,'1.BS (VND)'!$D62)-SUMIFS('1.DC_Ra soat'!$L:$L,'1.DC_Ra soat'!$F:$F,AT$4,'1.DC_Ra soat'!$I:$I,'1.BS (VND)'!$D62)</f>
        <v>0</v>
      </c>
      <c r="AU62" s="746">
        <f>SUMIFS('1.DC_Ra soat'!$L:$L,'1.DC_Ra soat'!$F:$F,AU$4,'1.DC_Ra soat'!$H:$H,'1.BS (VND)'!$D62)-SUMIFS('1.DC_Ra soat'!$L:$L,'1.DC_Ra soat'!$F:$F,AU$4,'1.DC_Ra soat'!$I:$I,'1.BS (VND)'!$D62)</f>
        <v>0</v>
      </c>
      <c r="AV62" s="746">
        <f>SUMIFS('1.DC_Ra soat'!$L:$L,'1.DC_Ra soat'!$F:$F,AV$4,'1.DC_Ra soat'!$H:$H,'1.BS (VND)'!$D62)-SUMIFS('1.DC_Ra soat'!$L:$L,'1.DC_Ra soat'!$F:$F,AV$4,'1.DC_Ra soat'!$I:$I,'1.BS (VND)'!$D62)</f>
        <v>0</v>
      </c>
      <c r="AW62" s="745"/>
      <c r="AX62" s="746">
        <f>SUMIFS('1.DC_Ra soat'!$L:$L,'1.DC_Ra soat'!$F:$F,AX$4,'1.DC_Ra soat'!$H:$H,'1.BS (VND)'!$D62)-SUMIFS('1.DC_Ra soat'!$L:$L,'1.DC_Ra soat'!$F:$F,AX$4,'1.DC_Ra soat'!$I:$I,'1.BS (VND)'!$D62)</f>
        <v>0</v>
      </c>
      <c r="AY62" s="746">
        <f>SUMIFS('1.DC_Ra soat'!$L:$L,'1.DC_Ra soat'!$F:$F,AY$4,'1.DC_Ra soat'!$H:$H,'1.BS (VND)'!$D62)-SUMIFS('1.DC_Ra soat'!$L:$L,'1.DC_Ra soat'!$F:$F,AY$4,'1.DC_Ra soat'!$I:$I,'1.BS (VND)'!$D62)</f>
        <v>0</v>
      </c>
      <c r="AZ62" s="746">
        <f>SUMIFS('1.DC_Ra soat'!$L:$L,'1.DC_Ra soat'!$F:$F,AZ$4,'1.DC_Ra soat'!$H:$H,'1.BS (VND)'!$D62)-SUMIFS('1.DC_Ra soat'!$L:$L,'1.DC_Ra soat'!$F:$F,AZ$4,'1.DC_Ra soat'!$I:$I,'1.BS (VND)'!$D62)</f>
        <v>0</v>
      </c>
      <c r="BA62" s="746">
        <f>SUMIFS('1.DC_Ra soat'!$L:$L,'1.DC_Ra soat'!$F:$F,BA$4,'1.DC_Ra soat'!$H:$H,'1.BS (VND)'!$D62)-SUMIFS('1.DC_Ra soat'!$L:$L,'1.DC_Ra soat'!$F:$F,BA$4,'1.DC_Ra soat'!$I:$I,'1.BS (VND)'!$D62)</f>
        <v>0</v>
      </c>
      <c r="BB62" s="745"/>
      <c r="BC62" s="746">
        <f>SUMIFS('1.DC_Ra soat'!$L:$L,'1.DC_Ra soat'!$F:$F,BC$4,'1.DC_Ra soat'!$H:$H,'1.BS (VND)'!$D62)-SUMIFS('1.DC_Ra soat'!$L:$L,'1.DC_Ra soat'!$F:$F,BC$4,'1.DC_Ra soat'!$I:$I,'1.BS (VND)'!$D62)</f>
        <v>0</v>
      </c>
      <c r="BD62" s="746">
        <f>SUMIFS('1.DC_Ra soat'!$L:$L,'1.DC_Ra soat'!$F:$F,BD$4,'1.DC_Ra soat'!$H:$H,'1.BS (VND)'!$D62)-SUMIFS('1.DC_Ra soat'!$L:$L,'1.DC_Ra soat'!$F:$F,BD$4,'1.DC_Ra soat'!$I:$I,'1.BS (VND)'!$D62)</f>
        <v>0</v>
      </c>
      <c r="BE62" s="746">
        <f>SUMIFS('1.DC_Ra soat'!$L:$L,'1.DC_Ra soat'!$F:$F,BE$4,'1.DC_Ra soat'!$H:$H,'1.BS (VND)'!$D62)-SUMIFS('1.DC_Ra soat'!$L:$L,'1.DC_Ra soat'!$F:$F,BE$4,'1.DC_Ra soat'!$I:$I,'1.BS (VND)'!$D62)</f>
        <v>0</v>
      </c>
      <c r="BF62" s="746">
        <f>SUMIFS('1.DC_Ra soat'!$L:$L,'1.DC_Ra soat'!$F:$F,BF$4,'1.DC_Ra soat'!$H:$H,'1.BS (VND)'!$D62)-SUMIFS('1.DC_Ra soat'!$L:$L,'1.DC_Ra soat'!$F:$F,BF$4,'1.DC_Ra soat'!$I:$I,'1.BS (VND)'!$D62)</f>
        <v>0</v>
      </c>
      <c r="BG62" s="745"/>
      <c r="BH62" s="746">
        <f>SUMIFS('1.DC_Ra soat'!$L:$L,'1.DC_Ra soat'!$F:$F,BH$4,'1.DC_Ra soat'!$H:$H,'1.BS (VND)'!$D62)-SUMIFS('1.DC_Ra soat'!$L:$L,'1.DC_Ra soat'!$F:$F,BH$4,'1.DC_Ra soat'!$I:$I,'1.BS (VND)'!$D62)</f>
        <v>0</v>
      </c>
      <c r="BI62" s="746">
        <f>SUMIFS('1.DC_Ra soat'!$L:$L,'1.DC_Ra soat'!$F:$F,BI$4,'1.DC_Ra soat'!$H:$H,'1.BS (VND)'!$D62)-SUMIFS('1.DC_Ra soat'!$L:$L,'1.DC_Ra soat'!$F:$F,BI$4,'1.DC_Ra soat'!$I:$I,'1.BS (VND)'!$D62)</f>
        <v>0</v>
      </c>
      <c r="BJ62" s="746">
        <f>SUMIFS('1.DC_Ra soat'!$L:$L,'1.DC_Ra soat'!$F:$F,BJ$4,'1.DC_Ra soat'!$H:$H,'1.BS (VND)'!$D62)-SUMIFS('1.DC_Ra soat'!$L:$L,'1.DC_Ra soat'!$F:$F,BJ$4,'1.DC_Ra soat'!$I:$I,'1.BS (VND)'!$D62)</f>
        <v>0</v>
      </c>
      <c r="BK62" s="746">
        <f>SUMIFS('1.DC_Ra soat'!$L:$L,'1.DC_Ra soat'!$F:$F,BK$4,'1.DC_Ra soat'!$H:$H,'1.BS (VND)'!$D62)-SUMIFS('1.DC_Ra soat'!$L:$L,'1.DC_Ra soat'!$F:$F,BK$4,'1.DC_Ra soat'!$I:$I,'1.BS (VND)'!$D62)</f>
        <v>0</v>
      </c>
      <c r="BM62" s="746">
        <f t="shared" si="62"/>
        <v>0</v>
      </c>
      <c r="BN62" s="746">
        <f t="shared" si="63"/>
        <v>0</v>
      </c>
      <c r="BO62" s="746">
        <f t="shared" si="64"/>
        <v>0</v>
      </c>
      <c r="BP62" s="747">
        <f t="shared" si="65"/>
        <v>0</v>
      </c>
      <c r="BQ62" s="745"/>
      <c r="BR62" s="746">
        <f t="shared" si="66"/>
        <v>0</v>
      </c>
      <c r="BS62" s="746">
        <f t="shared" si="67"/>
        <v>0</v>
      </c>
      <c r="BT62" s="746">
        <f t="shared" si="68"/>
        <v>0</v>
      </c>
      <c r="BU62" s="746">
        <f t="shared" si="69"/>
        <v>0</v>
      </c>
      <c r="BV62" s="745"/>
      <c r="BW62" s="746">
        <f t="shared" si="70"/>
        <v>0</v>
      </c>
      <c r="BX62" s="746">
        <f t="shared" si="71"/>
        <v>0</v>
      </c>
      <c r="BY62" s="746">
        <f t="shared" si="72"/>
        <v>0</v>
      </c>
      <c r="BZ62" s="747">
        <f t="shared" si="73"/>
        <v>0</v>
      </c>
      <c r="CA62" s="745"/>
      <c r="CB62" s="747">
        <f t="shared" si="74"/>
        <v>0</v>
      </c>
      <c r="CC62" s="747">
        <f t="shared" si="75"/>
        <v>0</v>
      </c>
      <c r="CD62" s="747">
        <f t="shared" si="76"/>
        <v>0</v>
      </c>
      <c r="CE62" s="747">
        <f t="shared" si="77"/>
        <v>0</v>
      </c>
      <c r="CF62" s="745"/>
      <c r="CG62" s="747">
        <f t="shared" si="78"/>
        <v>0</v>
      </c>
      <c r="CH62" s="747">
        <f t="shared" si="79"/>
        <v>0</v>
      </c>
      <c r="CI62" s="747">
        <f t="shared" si="80"/>
        <v>0</v>
      </c>
      <c r="CJ62" s="747">
        <f t="shared" si="81"/>
        <v>0</v>
      </c>
      <c r="CK62" s="745"/>
      <c r="CL62" s="746">
        <f t="shared" si="82"/>
        <v>0</v>
      </c>
      <c r="CM62" s="746">
        <f t="shared" si="83"/>
        <v>0</v>
      </c>
      <c r="CN62" s="746">
        <f t="shared" si="84"/>
        <v>0</v>
      </c>
      <c r="CO62" s="747">
        <f t="shared" si="85"/>
        <v>0</v>
      </c>
      <c r="CQ62" s="746">
        <f>SUMIF('1.PL (VND) '!$BL$6:$CD$6,'1.PL (VND) '!CP$6,$BM62:$CE62)</f>
        <v>0</v>
      </c>
      <c r="CR62" s="746">
        <f>SUMIF('1.PL (VND) '!$BL$6:$CD$6,'1.PL (VND) '!CQ$6,$BM62:$CE62)</f>
        <v>0</v>
      </c>
      <c r="CS62" s="746">
        <f>SUMIF('1.PL (VND) '!$BL$6:$CD$6,'1.PL (VND) '!CR$6,$BM62:$CE62)</f>
        <v>0</v>
      </c>
      <c r="CT62" s="746">
        <f>SUMIF('1.PL (VND) '!$BL$6:$CD$6,'1.PL (VND) '!CS$6,$BM62:$CE62)</f>
        <v>0</v>
      </c>
      <c r="CV62" s="748">
        <f>-SUMIFS('1.DC_Ra soat'!$L:$L,'1.DC_Ra soat'!$F:$F,'1.PL (VND) '!DK$4,'1.DC_Ra soat'!$H:$H,'1.BS (VND)'!$D62)+SUMIFS('1.DC_Ra soat'!$L:$L,'1.DC_Ra soat'!$F:$F,'1.PL (VND) '!DK$4,'1.DC_Ra soat'!$I:$I,'1.BS (VND)'!$D62)</f>
        <v>0</v>
      </c>
      <c r="CW62" s="748">
        <f>-SUMIFS('1.DC_Ra soat'!$L:$L,'1.DC_Ra soat'!$F:$F,'1.PL (VND) '!DL$4,'1.DC_Ra soat'!$H:$H,'1.BS (VND)'!$D62)+SUMIFS('1.DC_Ra soat'!$L:$L,'1.DC_Ra soat'!$F:$F,'1.PL (VND) '!DL$4,'1.DC_Ra soat'!$I:$I,'1.BS (VND)'!$D62)</f>
        <v>0</v>
      </c>
      <c r="CX62" s="748">
        <f>-SUMIFS('1.DC_Ra soat'!$L:$L,'1.DC_Ra soat'!$F:$F,'1.PL (VND) '!DM$4,'1.DC_Ra soat'!$H:$H,'1.BS (VND)'!$D62)+SUMIFS('1.DC_Ra soat'!$L:$L,'1.DC_Ra soat'!$F:$F,'1.PL (VND) '!DM$4,'1.DC_Ra soat'!$I:$I,'1.BS (VND)'!$D62)</f>
        <v>0</v>
      </c>
      <c r="CY62" s="748">
        <f>-SUMIFS('1.DC_Ra soat'!$L:$L,'1.DC_Ra soat'!$F:$F,'1.PL (VND) '!DN$4,'1.DC_Ra soat'!$H:$H,'1.BS (VND)'!$D62)+SUMIFS('1.DC_Ra soat'!$L:$L,'1.DC_Ra soat'!$F:$F,'1.PL (VND) '!DN$4,'1.DC_Ra soat'!$I:$I,'1.BS (VND)'!$D62)</f>
        <v>0</v>
      </c>
      <c r="DA62" s="746">
        <f t="shared" si="86"/>
        <v>0</v>
      </c>
      <c r="DB62" s="746">
        <f t="shared" si="87"/>
        <v>0</v>
      </c>
      <c r="DC62" s="746">
        <f t="shared" si="88"/>
        <v>0</v>
      </c>
      <c r="DD62" s="746">
        <f t="shared" si="89"/>
        <v>0</v>
      </c>
    </row>
    <row r="63" spans="1:112" s="740" customFormat="1" x14ac:dyDescent="0.25">
      <c r="A63" s="248">
        <f t="shared" si="40"/>
        <v>1</v>
      </c>
      <c r="C63" s="741" t="s">
        <v>391</v>
      </c>
      <c r="D63" s="742" t="s">
        <v>392</v>
      </c>
      <c r="E63" s="743"/>
      <c r="F63" s="743"/>
      <c r="G63" s="743"/>
      <c r="H63" s="744">
        <v>0</v>
      </c>
      <c r="I63" s="745"/>
      <c r="J63" s="746"/>
      <c r="K63" s="746"/>
      <c r="L63" s="746"/>
      <c r="M63" s="739">
        <v>0</v>
      </c>
      <c r="N63" s="745"/>
      <c r="O63" s="746"/>
      <c r="P63" s="746"/>
      <c r="Q63" s="746"/>
      <c r="R63" s="746"/>
      <c r="S63" s="745"/>
      <c r="T63" s="746"/>
      <c r="U63" s="746"/>
      <c r="V63" s="746"/>
      <c r="W63" s="746"/>
      <c r="X63" s="745"/>
      <c r="Y63" s="746"/>
      <c r="Z63" s="746"/>
      <c r="AA63" s="746"/>
      <c r="AB63" s="746"/>
      <c r="AC63" s="745"/>
      <c r="AD63" s="746"/>
      <c r="AE63" s="746"/>
      <c r="AF63" s="746"/>
      <c r="AG63" s="746"/>
      <c r="AI63" s="746">
        <f>SUMIFS('1.DC_Ra soat'!$L:$L,'1.DC_Ra soat'!$F:$F,AI$4,'1.DC_Ra soat'!$H:$H,'1.BS (VND)'!$D63)-SUMIFS('1.DC_Ra soat'!$L:$L,'1.DC_Ra soat'!$F:$F,AI$4,'1.DC_Ra soat'!$I:$I,'1.BS (VND)'!$D63)</f>
        <v>0</v>
      </c>
      <c r="AJ63" s="746">
        <f>SUMIFS('1.DC_Ra soat'!$L:$L,'1.DC_Ra soat'!$F:$F,AJ$4,'1.DC_Ra soat'!$H:$H,'1.BS (VND)'!$D63)-SUMIFS('1.DC_Ra soat'!$L:$L,'1.DC_Ra soat'!$F:$F,AJ$4,'1.DC_Ra soat'!$I:$I,'1.BS (VND)'!$D63)</f>
        <v>0</v>
      </c>
      <c r="AK63" s="746">
        <f>SUMIFS('1.DC_Ra soat'!$L:$L,'1.DC_Ra soat'!$F:$F,AK$4,'1.DC_Ra soat'!$H:$H,'1.BS (VND)'!$D63)-SUMIFS('1.DC_Ra soat'!$L:$L,'1.DC_Ra soat'!$F:$F,AK$4,'1.DC_Ra soat'!$I:$I,'1.BS (VND)'!$D63)</f>
        <v>-3400420923</v>
      </c>
      <c r="AL63" s="746">
        <f>SUMIFS('1.DC_Ra soat'!$L:$L,'1.DC_Ra soat'!$F:$F,AL$4,'1.DC_Ra soat'!$H:$H,'1.BS (VND)'!$D63)-SUMIFS('1.DC_Ra soat'!$L:$L,'1.DC_Ra soat'!$F:$F,AL$4,'1.DC_Ra soat'!$I:$I,'1.BS (VND)'!$D63)</f>
        <v>-3400420923</v>
      </c>
      <c r="AM63" s="745"/>
      <c r="AN63" s="746">
        <f>SUMIFS('1.DC_Ra soat'!$L:$L,'1.DC_Ra soat'!$F:$F,AN$4,'1.DC_Ra soat'!$H:$H,'1.BS (VND)'!$D63)-SUMIFS('1.DC_Ra soat'!$L:$L,'1.DC_Ra soat'!$F:$F,AN$4,'1.DC_Ra soat'!$I:$I,'1.BS (VND)'!$D63)</f>
        <v>0</v>
      </c>
      <c r="AO63" s="746">
        <f>SUMIFS('1.DC_Ra soat'!$L:$L,'1.DC_Ra soat'!$F:$F,AO$4,'1.DC_Ra soat'!$H:$H,'1.BS (VND)'!$D63)-SUMIFS('1.DC_Ra soat'!$L:$L,'1.DC_Ra soat'!$F:$F,AO$4,'1.DC_Ra soat'!$I:$I,'1.BS (VND)'!$D63)</f>
        <v>0</v>
      </c>
      <c r="AP63" s="746">
        <f>SUMIFS('1.DC_Ra soat'!$L:$L,'1.DC_Ra soat'!$F:$F,AP$4,'1.DC_Ra soat'!$H:$H,'1.BS (VND)'!$D63)-SUMIFS('1.DC_Ra soat'!$L:$L,'1.DC_Ra soat'!$F:$F,AP$4,'1.DC_Ra soat'!$I:$I,'1.BS (VND)'!$D63)</f>
        <v>0</v>
      </c>
      <c r="AQ63" s="746">
        <f>SUMIFS('1.DC_Ra soat'!$L:$L,'1.DC_Ra soat'!$F:$F,AQ$4,'1.DC_Ra soat'!$H:$H,'1.BS (VND)'!$D63)-SUMIFS('1.DC_Ra soat'!$L:$L,'1.DC_Ra soat'!$F:$F,AQ$4,'1.DC_Ra soat'!$I:$I,'1.BS (VND)'!$D63)</f>
        <v>-741540549</v>
      </c>
      <c r="AR63" s="745"/>
      <c r="AS63" s="746">
        <f>SUMIFS('1.DC_Ra soat'!$L:$L,'1.DC_Ra soat'!$F:$F,AS$4,'1.DC_Ra soat'!$H:$H,'1.BS (VND)'!$D63)-SUMIFS('1.DC_Ra soat'!$L:$L,'1.DC_Ra soat'!$F:$F,AS$4,'1.DC_Ra soat'!$I:$I,'1.BS (VND)'!$D63)</f>
        <v>0</v>
      </c>
      <c r="AT63" s="746">
        <f>SUMIFS('1.DC_Ra soat'!$L:$L,'1.DC_Ra soat'!$F:$F,AT$4,'1.DC_Ra soat'!$H:$H,'1.BS (VND)'!$D63)-SUMIFS('1.DC_Ra soat'!$L:$L,'1.DC_Ra soat'!$F:$F,AT$4,'1.DC_Ra soat'!$I:$I,'1.BS (VND)'!$D63)</f>
        <v>0</v>
      </c>
      <c r="AU63" s="746">
        <f>SUMIFS('1.DC_Ra soat'!$L:$L,'1.DC_Ra soat'!$F:$F,AU$4,'1.DC_Ra soat'!$H:$H,'1.BS (VND)'!$D63)-SUMIFS('1.DC_Ra soat'!$L:$L,'1.DC_Ra soat'!$F:$F,AU$4,'1.DC_Ra soat'!$I:$I,'1.BS (VND)'!$D63)</f>
        <v>-846888229</v>
      </c>
      <c r="AV63" s="746">
        <f>SUMIFS('1.DC_Ra soat'!$L:$L,'1.DC_Ra soat'!$F:$F,AV$4,'1.DC_Ra soat'!$H:$H,'1.BS (VND)'!$D63)-SUMIFS('1.DC_Ra soat'!$L:$L,'1.DC_Ra soat'!$F:$F,AV$4,'1.DC_Ra soat'!$I:$I,'1.BS (VND)'!$D63)</f>
        <v>-846888229</v>
      </c>
      <c r="AW63" s="745"/>
      <c r="AX63" s="746">
        <f>SUMIFS('1.DC_Ra soat'!$L:$L,'1.DC_Ra soat'!$F:$F,AX$4,'1.DC_Ra soat'!$H:$H,'1.BS (VND)'!$D63)-SUMIFS('1.DC_Ra soat'!$L:$L,'1.DC_Ra soat'!$F:$F,AX$4,'1.DC_Ra soat'!$I:$I,'1.BS (VND)'!$D63)</f>
        <v>0</v>
      </c>
      <c r="AY63" s="746">
        <f>SUMIFS('1.DC_Ra soat'!$L:$L,'1.DC_Ra soat'!$F:$F,AY$4,'1.DC_Ra soat'!$H:$H,'1.BS (VND)'!$D63)-SUMIFS('1.DC_Ra soat'!$L:$L,'1.DC_Ra soat'!$F:$F,AY$4,'1.DC_Ra soat'!$I:$I,'1.BS (VND)'!$D63)</f>
        <v>0</v>
      </c>
      <c r="AZ63" s="746">
        <f>SUMIFS('1.DC_Ra soat'!$L:$L,'1.DC_Ra soat'!$F:$F,AZ$4,'1.DC_Ra soat'!$H:$H,'1.BS (VND)'!$D63)-SUMIFS('1.DC_Ra soat'!$L:$L,'1.DC_Ra soat'!$F:$F,AZ$4,'1.DC_Ra soat'!$I:$I,'1.BS (VND)'!$D63)</f>
        <v>-1262355349</v>
      </c>
      <c r="BA63" s="746">
        <f>SUMIFS('1.DC_Ra soat'!$L:$L,'1.DC_Ra soat'!$F:$F,BA$4,'1.DC_Ra soat'!$H:$H,'1.BS (VND)'!$D63)-SUMIFS('1.DC_Ra soat'!$L:$L,'1.DC_Ra soat'!$F:$F,BA$4,'1.DC_Ra soat'!$I:$I,'1.BS (VND)'!$D63)</f>
        <v>-1262355349</v>
      </c>
      <c r="BB63" s="745"/>
      <c r="BC63" s="746">
        <f>SUMIFS('1.DC_Ra soat'!$L:$L,'1.DC_Ra soat'!$F:$F,BC$4,'1.DC_Ra soat'!$H:$H,'1.BS (VND)'!$D63)-SUMIFS('1.DC_Ra soat'!$L:$L,'1.DC_Ra soat'!$F:$F,BC$4,'1.DC_Ra soat'!$I:$I,'1.BS (VND)'!$D63)</f>
        <v>0</v>
      </c>
      <c r="BD63" s="746">
        <f>SUMIFS('1.DC_Ra soat'!$L:$L,'1.DC_Ra soat'!$F:$F,BD$4,'1.DC_Ra soat'!$H:$H,'1.BS (VND)'!$D63)-SUMIFS('1.DC_Ra soat'!$L:$L,'1.DC_Ra soat'!$F:$F,BD$4,'1.DC_Ra soat'!$I:$I,'1.BS (VND)'!$D63)</f>
        <v>0</v>
      </c>
      <c r="BE63" s="746">
        <f>SUMIFS('1.DC_Ra soat'!$L:$L,'1.DC_Ra soat'!$F:$F,BE$4,'1.DC_Ra soat'!$H:$H,'1.BS (VND)'!$D63)-SUMIFS('1.DC_Ra soat'!$L:$L,'1.DC_Ra soat'!$F:$F,BE$4,'1.DC_Ra soat'!$I:$I,'1.BS (VND)'!$D63)</f>
        <v>0</v>
      </c>
      <c r="BF63" s="746">
        <f>SUMIFS('1.DC_Ra soat'!$L:$L,'1.DC_Ra soat'!$F:$F,BF$4,'1.DC_Ra soat'!$H:$H,'1.BS (VND)'!$D63)-SUMIFS('1.DC_Ra soat'!$L:$L,'1.DC_Ra soat'!$F:$F,BF$4,'1.DC_Ra soat'!$I:$I,'1.BS (VND)'!$D63)</f>
        <v>0</v>
      </c>
      <c r="BG63" s="745"/>
      <c r="BH63" s="746">
        <f>SUMIFS('1.DC_Ra soat'!$L:$L,'1.DC_Ra soat'!$F:$F,BH$4,'1.DC_Ra soat'!$H:$H,'1.BS (VND)'!$D63)-SUMIFS('1.DC_Ra soat'!$L:$L,'1.DC_Ra soat'!$F:$F,BH$4,'1.DC_Ra soat'!$I:$I,'1.BS (VND)'!$D63)</f>
        <v>0</v>
      </c>
      <c r="BI63" s="746">
        <f>SUMIFS('1.DC_Ra soat'!$L:$L,'1.DC_Ra soat'!$F:$F,BI$4,'1.DC_Ra soat'!$H:$H,'1.BS (VND)'!$D63)-SUMIFS('1.DC_Ra soat'!$L:$L,'1.DC_Ra soat'!$F:$F,BI$4,'1.DC_Ra soat'!$I:$I,'1.BS (VND)'!$D63)</f>
        <v>0</v>
      </c>
      <c r="BJ63" s="746">
        <f>SUMIFS('1.DC_Ra soat'!$L:$L,'1.DC_Ra soat'!$F:$F,BJ$4,'1.DC_Ra soat'!$H:$H,'1.BS (VND)'!$D63)-SUMIFS('1.DC_Ra soat'!$L:$L,'1.DC_Ra soat'!$F:$F,BJ$4,'1.DC_Ra soat'!$I:$I,'1.BS (VND)'!$D63)</f>
        <v>0</v>
      </c>
      <c r="BK63" s="746">
        <f>SUMIFS('1.DC_Ra soat'!$L:$L,'1.DC_Ra soat'!$F:$F,BK$4,'1.DC_Ra soat'!$H:$H,'1.BS (VND)'!$D63)-SUMIFS('1.DC_Ra soat'!$L:$L,'1.DC_Ra soat'!$F:$F,BK$4,'1.DC_Ra soat'!$I:$I,'1.BS (VND)'!$D63)</f>
        <v>0</v>
      </c>
      <c r="BM63" s="746">
        <f t="shared" si="62"/>
        <v>0</v>
      </c>
      <c r="BN63" s="746">
        <f t="shared" si="63"/>
        <v>0</v>
      </c>
      <c r="BO63" s="746">
        <f t="shared" si="64"/>
        <v>-3400420923</v>
      </c>
      <c r="BP63" s="747">
        <f t="shared" si="65"/>
        <v>-3400420923</v>
      </c>
      <c r="BQ63" s="745"/>
      <c r="BR63" s="746">
        <f t="shared" si="66"/>
        <v>0</v>
      </c>
      <c r="BS63" s="746">
        <f t="shared" si="67"/>
        <v>0</v>
      </c>
      <c r="BT63" s="746">
        <f t="shared" si="68"/>
        <v>0</v>
      </c>
      <c r="BU63" s="746">
        <f t="shared" si="69"/>
        <v>-741540549</v>
      </c>
      <c r="BV63" s="745"/>
      <c r="BW63" s="746">
        <f t="shared" si="70"/>
        <v>0</v>
      </c>
      <c r="BX63" s="746">
        <f t="shared" si="71"/>
        <v>0</v>
      </c>
      <c r="BY63" s="746">
        <f t="shared" si="72"/>
        <v>-846888229</v>
      </c>
      <c r="BZ63" s="747">
        <f t="shared" si="73"/>
        <v>-846888229</v>
      </c>
      <c r="CA63" s="745"/>
      <c r="CB63" s="747">
        <f t="shared" si="74"/>
        <v>0</v>
      </c>
      <c r="CC63" s="747">
        <f t="shared" si="75"/>
        <v>0</v>
      </c>
      <c r="CD63" s="747">
        <f t="shared" si="76"/>
        <v>-1262355349</v>
      </c>
      <c r="CE63" s="747">
        <f t="shared" si="77"/>
        <v>-1262355349</v>
      </c>
      <c r="CF63" s="745"/>
      <c r="CG63" s="747">
        <f t="shared" si="78"/>
        <v>0</v>
      </c>
      <c r="CH63" s="747">
        <f t="shared" si="79"/>
        <v>0</v>
      </c>
      <c r="CI63" s="747">
        <f t="shared" si="80"/>
        <v>0</v>
      </c>
      <c r="CJ63" s="747">
        <f t="shared" si="81"/>
        <v>0</v>
      </c>
      <c r="CK63" s="745"/>
      <c r="CL63" s="746">
        <f t="shared" si="82"/>
        <v>0</v>
      </c>
      <c r="CM63" s="746">
        <f t="shared" si="83"/>
        <v>0</v>
      </c>
      <c r="CN63" s="746">
        <f t="shared" si="84"/>
        <v>0</v>
      </c>
      <c r="CO63" s="747">
        <f t="shared" si="85"/>
        <v>0</v>
      </c>
      <c r="CQ63" s="746">
        <f>SUMIF('1.PL (VND) '!$BL$6:$CD$6,'1.PL (VND) '!CP$6,$BM63:$CE63)</f>
        <v>0</v>
      </c>
      <c r="CR63" s="746">
        <f>SUMIF('1.PL (VND) '!$BL$6:$CD$6,'1.PL (VND) '!CQ$6,$BM63:$CE63)</f>
        <v>0</v>
      </c>
      <c r="CS63" s="746">
        <f>SUMIF('1.PL (VND) '!$BL$6:$CD$6,'1.PL (VND) '!CR$6,$BM63:$CE63)</f>
        <v>-5509664501</v>
      </c>
      <c r="CT63" s="746">
        <f>SUMIF('1.PL (VND) '!$BL$6:$CD$6,'1.PL (VND) '!CS$6,$BM63:$CE63)</f>
        <v>-6251205050</v>
      </c>
      <c r="CV63" s="748">
        <f>-SUMIFS('1.DC_Ra soat'!$L:$L,'1.DC_Ra soat'!$F:$F,'1.PL (VND) '!DK$4,'1.DC_Ra soat'!$H:$H,'1.BS (VND)'!$D63)+SUMIFS('1.DC_Ra soat'!$L:$L,'1.DC_Ra soat'!$F:$F,'1.PL (VND) '!DK$4,'1.DC_Ra soat'!$I:$I,'1.BS (VND)'!$D63)</f>
        <v>0</v>
      </c>
      <c r="CW63" s="748">
        <f>-SUMIFS('1.DC_Ra soat'!$L:$L,'1.DC_Ra soat'!$F:$F,'1.PL (VND) '!DL$4,'1.DC_Ra soat'!$H:$H,'1.BS (VND)'!$D63)+SUMIFS('1.DC_Ra soat'!$L:$L,'1.DC_Ra soat'!$F:$F,'1.PL (VND) '!DL$4,'1.DC_Ra soat'!$I:$I,'1.BS (VND)'!$D63)</f>
        <v>0</v>
      </c>
      <c r="CX63" s="748">
        <f>-SUMIFS('1.DC_Ra soat'!$L:$L,'1.DC_Ra soat'!$F:$F,'1.PL (VND) '!DM$4,'1.DC_Ra soat'!$H:$H,'1.BS (VND)'!$D63)+SUMIFS('1.DC_Ra soat'!$L:$L,'1.DC_Ra soat'!$F:$F,'1.PL (VND) '!DM$4,'1.DC_Ra soat'!$I:$I,'1.BS (VND)'!$D63)</f>
        <v>0</v>
      </c>
      <c r="CY63" s="748">
        <f>-SUMIFS('1.DC_Ra soat'!$L:$L,'1.DC_Ra soat'!$F:$F,'1.PL (VND) '!DN$4,'1.DC_Ra soat'!$H:$H,'1.BS (VND)'!$D63)+SUMIFS('1.DC_Ra soat'!$L:$L,'1.DC_Ra soat'!$F:$F,'1.PL (VND) '!DN$4,'1.DC_Ra soat'!$I:$I,'1.BS (VND)'!$D63)</f>
        <v>0</v>
      </c>
      <c r="DA63" s="746">
        <f t="shared" si="86"/>
        <v>0</v>
      </c>
      <c r="DB63" s="746">
        <f t="shared" si="87"/>
        <v>0</v>
      </c>
      <c r="DC63" s="746">
        <f t="shared" si="88"/>
        <v>-5509664501</v>
      </c>
      <c r="DD63" s="746">
        <f t="shared" si="89"/>
        <v>-6251205050</v>
      </c>
      <c r="DH63" s="749"/>
    </row>
    <row r="64" spans="1:112" s="740" customFormat="1" x14ac:dyDescent="0.25">
      <c r="A64" s="248" t="str">
        <f t="shared" si="40"/>
        <v>hide</v>
      </c>
      <c r="C64" s="741" t="s">
        <v>393</v>
      </c>
      <c r="D64" s="742" t="s">
        <v>394</v>
      </c>
      <c r="E64" s="743"/>
      <c r="F64" s="743"/>
      <c r="G64" s="743"/>
      <c r="H64" s="744">
        <v>0</v>
      </c>
      <c r="I64" s="745"/>
      <c r="J64" s="746"/>
      <c r="K64" s="746"/>
      <c r="L64" s="746"/>
      <c r="M64" s="739">
        <v>0</v>
      </c>
      <c r="N64" s="745"/>
      <c r="O64" s="746"/>
      <c r="P64" s="746"/>
      <c r="Q64" s="746"/>
      <c r="R64" s="746"/>
      <c r="S64" s="745"/>
      <c r="T64" s="746"/>
      <c r="U64" s="746"/>
      <c r="V64" s="746"/>
      <c r="W64" s="746"/>
      <c r="X64" s="745"/>
      <c r="Y64" s="746"/>
      <c r="Z64" s="746"/>
      <c r="AA64" s="746"/>
      <c r="AB64" s="746"/>
      <c r="AC64" s="745"/>
      <c r="AD64" s="746"/>
      <c r="AE64" s="746"/>
      <c r="AF64" s="746"/>
      <c r="AG64" s="746"/>
      <c r="AI64" s="746">
        <f>SUMIFS('1.DC_Ra soat'!$L:$L,'1.DC_Ra soat'!$F:$F,AI$4,'1.DC_Ra soat'!$H:$H,'1.BS (VND)'!$D64)-SUMIFS('1.DC_Ra soat'!$L:$L,'1.DC_Ra soat'!$F:$F,AI$4,'1.DC_Ra soat'!$I:$I,'1.BS (VND)'!$D64)</f>
        <v>0</v>
      </c>
      <c r="AJ64" s="746">
        <f>SUMIFS('1.DC_Ra soat'!$L:$L,'1.DC_Ra soat'!$F:$F,AJ$4,'1.DC_Ra soat'!$H:$H,'1.BS (VND)'!$D64)-SUMIFS('1.DC_Ra soat'!$L:$L,'1.DC_Ra soat'!$F:$F,AJ$4,'1.DC_Ra soat'!$I:$I,'1.BS (VND)'!$D64)</f>
        <v>0</v>
      </c>
      <c r="AK64" s="746">
        <f>SUMIFS('1.DC_Ra soat'!$L:$L,'1.DC_Ra soat'!$F:$F,AK$4,'1.DC_Ra soat'!$H:$H,'1.BS (VND)'!$D64)-SUMIFS('1.DC_Ra soat'!$L:$L,'1.DC_Ra soat'!$F:$F,AK$4,'1.DC_Ra soat'!$I:$I,'1.BS (VND)'!$D64)</f>
        <v>0</v>
      </c>
      <c r="AL64" s="746">
        <f>SUMIFS('1.DC_Ra soat'!$L:$L,'1.DC_Ra soat'!$F:$F,AL$4,'1.DC_Ra soat'!$H:$H,'1.BS (VND)'!$D64)-SUMIFS('1.DC_Ra soat'!$L:$L,'1.DC_Ra soat'!$F:$F,AL$4,'1.DC_Ra soat'!$I:$I,'1.BS (VND)'!$D64)</f>
        <v>0</v>
      </c>
      <c r="AM64" s="745"/>
      <c r="AN64" s="746">
        <f>SUMIFS('1.DC_Ra soat'!$L:$L,'1.DC_Ra soat'!$F:$F,AN$4,'1.DC_Ra soat'!$H:$H,'1.BS (VND)'!$D64)-SUMIFS('1.DC_Ra soat'!$L:$L,'1.DC_Ra soat'!$F:$F,AN$4,'1.DC_Ra soat'!$I:$I,'1.BS (VND)'!$D64)</f>
        <v>0</v>
      </c>
      <c r="AO64" s="746">
        <f>SUMIFS('1.DC_Ra soat'!$L:$L,'1.DC_Ra soat'!$F:$F,AO$4,'1.DC_Ra soat'!$H:$H,'1.BS (VND)'!$D64)-SUMIFS('1.DC_Ra soat'!$L:$L,'1.DC_Ra soat'!$F:$F,AO$4,'1.DC_Ra soat'!$I:$I,'1.BS (VND)'!$D64)</f>
        <v>0</v>
      </c>
      <c r="AP64" s="746">
        <f>SUMIFS('1.DC_Ra soat'!$L:$L,'1.DC_Ra soat'!$F:$F,AP$4,'1.DC_Ra soat'!$H:$H,'1.BS (VND)'!$D64)-SUMIFS('1.DC_Ra soat'!$L:$L,'1.DC_Ra soat'!$F:$F,AP$4,'1.DC_Ra soat'!$I:$I,'1.BS (VND)'!$D64)</f>
        <v>0</v>
      </c>
      <c r="AQ64" s="746">
        <f>SUMIFS('1.DC_Ra soat'!$L:$L,'1.DC_Ra soat'!$F:$F,AQ$4,'1.DC_Ra soat'!$H:$H,'1.BS (VND)'!$D64)-SUMIFS('1.DC_Ra soat'!$L:$L,'1.DC_Ra soat'!$F:$F,AQ$4,'1.DC_Ra soat'!$I:$I,'1.BS (VND)'!$D64)</f>
        <v>0</v>
      </c>
      <c r="AR64" s="745"/>
      <c r="AS64" s="746">
        <f>SUMIFS('1.DC_Ra soat'!$L:$L,'1.DC_Ra soat'!$F:$F,AS$4,'1.DC_Ra soat'!$H:$H,'1.BS (VND)'!$D64)-SUMIFS('1.DC_Ra soat'!$L:$L,'1.DC_Ra soat'!$F:$F,AS$4,'1.DC_Ra soat'!$I:$I,'1.BS (VND)'!$D64)</f>
        <v>0</v>
      </c>
      <c r="AT64" s="746">
        <f>SUMIFS('1.DC_Ra soat'!$L:$L,'1.DC_Ra soat'!$F:$F,AT$4,'1.DC_Ra soat'!$H:$H,'1.BS (VND)'!$D64)-SUMIFS('1.DC_Ra soat'!$L:$L,'1.DC_Ra soat'!$F:$F,AT$4,'1.DC_Ra soat'!$I:$I,'1.BS (VND)'!$D64)</f>
        <v>0</v>
      </c>
      <c r="AU64" s="746">
        <f>SUMIFS('1.DC_Ra soat'!$L:$L,'1.DC_Ra soat'!$F:$F,AU$4,'1.DC_Ra soat'!$H:$H,'1.BS (VND)'!$D64)-SUMIFS('1.DC_Ra soat'!$L:$L,'1.DC_Ra soat'!$F:$F,AU$4,'1.DC_Ra soat'!$I:$I,'1.BS (VND)'!$D64)</f>
        <v>0</v>
      </c>
      <c r="AV64" s="746">
        <f>SUMIFS('1.DC_Ra soat'!$L:$L,'1.DC_Ra soat'!$F:$F,AV$4,'1.DC_Ra soat'!$H:$H,'1.BS (VND)'!$D64)-SUMIFS('1.DC_Ra soat'!$L:$L,'1.DC_Ra soat'!$F:$F,AV$4,'1.DC_Ra soat'!$I:$I,'1.BS (VND)'!$D64)</f>
        <v>0</v>
      </c>
      <c r="AW64" s="745"/>
      <c r="AX64" s="746">
        <f>SUMIFS('1.DC_Ra soat'!$L:$L,'1.DC_Ra soat'!$F:$F,AX$4,'1.DC_Ra soat'!$H:$H,'1.BS (VND)'!$D64)-SUMIFS('1.DC_Ra soat'!$L:$L,'1.DC_Ra soat'!$F:$F,AX$4,'1.DC_Ra soat'!$I:$I,'1.BS (VND)'!$D64)</f>
        <v>0</v>
      </c>
      <c r="AY64" s="746">
        <f>SUMIFS('1.DC_Ra soat'!$L:$L,'1.DC_Ra soat'!$F:$F,AY$4,'1.DC_Ra soat'!$H:$H,'1.BS (VND)'!$D64)-SUMIFS('1.DC_Ra soat'!$L:$L,'1.DC_Ra soat'!$F:$F,AY$4,'1.DC_Ra soat'!$I:$I,'1.BS (VND)'!$D64)</f>
        <v>0</v>
      </c>
      <c r="AZ64" s="746">
        <f>SUMIFS('1.DC_Ra soat'!$L:$L,'1.DC_Ra soat'!$F:$F,AZ$4,'1.DC_Ra soat'!$H:$H,'1.BS (VND)'!$D64)-SUMIFS('1.DC_Ra soat'!$L:$L,'1.DC_Ra soat'!$F:$F,AZ$4,'1.DC_Ra soat'!$I:$I,'1.BS (VND)'!$D64)</f>
        <v>0</v>
      </c>
      <c r="BA64" s="746">
        <f>SUMIFS('1.DC_Ra soat'!$L:$L,'1.DC_Ra soat'!$F:$F,BA$4,'1.DC_Ra soat'!$H:$H,'1.BS (VND)'!$D64)-SUMIFS('1.DC_Ra soat'!$L:$L,'1.DC_Ra soat'!$F:$F,BA$4,'1.DC_Ra soat'!$I:$I,'1.BS (VND)'!$D64)</f>
        <v>0</v>
      </c>
      <c r="BB64" s="745"/>
      <c r="BC64" s="746">
        <f>SUMIFS('1.DC_Ra soat'!$L:$L,'1.DC_Ra soat'!$F:$F,BC$4,'1.DC_Ra soat'!$H:$H,'1.BS (VND)'!$D64)-SUMIFS('1.DC_Ra soat'!$L:$L,'1.DC_Ra soat'!$F:$F,BC$4,'1.DC_Ra soat'!$I:$I,'1.BS (VND)'!$D64)</f>
        <v>0</v>
      </c>
      <c r="BD64" s="746">
        <f>SUMIFS('1.DC_Ra soat'!$L:$L,'1.DC_Ra soat'!$F:$F,BD$4,'1.DC_Ra soat'!$H:$H,'1.BS (VND)'!$D64)-SUMIFS('1.DC_Ra soat'!$L:$L,'1.DC_Ra soat'!$F:$F,BD$4,'1.DC_Ra soat'!$I:$I,'1.BS (VND)'!$D64)</f>
        <v>0</v>
      </c>
      <c r="BE64" s="746">
        <f>SUMIFS('1.DC_Ra soat'!$L:$L,'1.DC_Ra soat'!$F:$F,BE$4,'1.DC_Ra soat'!$H:$H,'1.BS (VND)'!$D64)-SUMIFS('1.DC_Ra soat'!$L:$L,'1.DC_Ra soat'!$F:$F,BE$4,'1.DC_Ra soat'!$I:$I,'1.BS (VND)'!$D64)</f>
        <v>0</v>
      </c>
      <c r="BF64" s="746">
        <f>SUMIFS('1.DC_Ra soat'!$L:$L,'1.DC_Ra soat'!$F:$F,BF$4,'1.DC_Ra soat'!$H:$H,'1.BS (VND)'!$D64)-SUMIFS('1.DC_Ra soat'!$L:$L,'1.DC_Ra soat'!$F:$F,BF$4,'1.DC_Ra soat'!$I:$I,'1.BS (VND)'!$D64)</f>
        <v>0</v>
      </c>
      <c r="BG64" s="745"/>
      <c r="BH64" s="746">
        <f>SUMIFS('1.DC_Ra soat'!$L:$L,'1.DC_Ra soat'!$F:$F,BH$4,'1.DC_Ra soat'!$H:$H,'1.BS (VND)'!$D64)-SUMIFS('1.DC_Ra soat'!$L:$L,'1.DC_Ra soat'!$F:$F,BH$4,'1.DC_Ra soat'!$I:$I,'1.BS (VND)'!$D64)</f>
        <v>0</v>
      </c>
      <c r="BI64" s="746">
        <f>SUMIFS('1.DC_Ra soat'!$L:$L,'1.DC_Ra soat'!$F:$F,BI$4,'1.DC_Ra soat'!$H:$H,'1.BS (VND)'!$D64)-SUMIFS('1.DC_Ra soat'!$L:$L,'1.DC_Ra soat'!$F:$F,BI$4,'1.DC_Ra soat'!$I:$I,'1.BS (VND)'!$D64)</f>
        <v>0</v>
      </c>
      <c r="BJ64" s="746">
        <f>SUMIFS('1.DC_Ra soat'!$L:$L,'1.DC_Ra soat'!$F:$F,BJ$4,'1.DC_Ra soat'!$H:$H,'1.BS (VND)'!$D64)-SUMIFS('1.DC_Ra soat'!$L:$L,'1.DC_Ra soat'!$F:$F,BJ$4,'1.DC_Ra soat'!$I:$I,'1.BS (VND)'!$D64)</f>
        <v>0</v>
      </c>
      <c r="BK64" s="746">
        <f>SUMIFS('1.DC_Ra soat'!$L:$L,'1.DC_Ra soat'!$F:$F,BK$4,'1.DC_Ra soat'!$H:$H,'1.BS (VND)'!$D64)-SUMIFS('1.DC_Ra soat'!$L:$L,'1.DC_Ra soat'!$F:$F,BK$4,'1.DC_Ra soat'!$I:$I,'1.BS (VND)'!$D64)</f>
        <v>0</v>
      </c>
      <c r="BM64" s="746">
        <f t="shared" si="62"/>
        <v>0</v>
      </c>
      <c r="BN64" s="746">
        <f t="shared" si="63"/>
        <v>0</v>
      </c>
      <c r="BO64" s="746">
        <f t="shared" si="64"/>
        <v>0</v>
      </c>
      <c r="BP64" s="747">
        <f t="shared" si="65"/>
        <v>0</v>
      </c>
      <c r="BQ64" s="745"/>
      <c r="BR64" s="746">
        <f t="shared" si="66"/>
        <v>0</v>
      </c>
      <c r="BS64" s="746">
        <f t="shared" si="67"/>
        <v>0</v>
      </c>
      <c r="BT64" s="746">
        <f t="shared" si="68"/>
        <v>0</v>
      </c>
      <c r="BU64" s="746">
        <f t="shared" si="69"/>
        <v>0</v>
      </c>
      <c r="BV64" s="745"/>
      <c r="BW64" s="746">
        <f t="shared" si="70"/>
        <v>0</v>
      </c>
      <c r="BX64" s="746">
        <f t="shared" si="71"/>
        <v>0</v>
      </c>
      <c r="BY64" s="746">
        <f t="shared" si="72"/>
        <v>0</v>
      </c>
      <c r="BZ64" s="747">
        <f t="shared" si="73"/>
        <v>0</v>
      </c>
      <c r="CA64" s="745"/>
      <c r="CB64" s="747">
        <f t="shared" si="74"/>
        <v>0</v>
      </c>
      <c r="CC64" s="747">
        <f t="shared" si="75"/>
        <v>0</v>
      </c>
      <c r="CD64" s="747">
        <f t="shared" si="76"/>
        <v>0</v>
      </c>
      <c r="CE64" s="747">
        <f t="shared" si="77"/>
        <v>0</v>
      </c>
      <c r="CF64" s="745"/>
      <c r="CG64" s="747">
        <f t="shared" si="78"/>
        <v>0</v>
      </c>
      <c r="CH64" s="747">
        <f t="shared" si="79"/>
        <v>0</v>
      </c>
      <c r="CI64" s="747">
        <f t="shared" si="80"/>
        <v>0</v>
      </c>
      <c r="CJ64" s="747">
        <f t="shared" si="81"/>
        <v>0</v>
      </c>
      <c r="CK64" s="745"/>
      <c r="CL64" s="746">
        <f t="shared" si="82"/>
        <v>0</v>
      </c>
      <c r="CM64" s="746">
        <f t="shared" si="83"/>
        <v>0</v>
      </c>
      <c r="CN64" s="746">
        <f t="shared" si="84"/>
        <v>0</v>
      </c>
      <c r="CO64" s="747">
        <f t="shared" si="85"/>
        <v>0</v>
      </c>
      <c r="CQ64" s="746">
        <f>SUMIF('1.PL (VND) '!$BL$6:$CD$6,'1.PL (VND) '!CP$6,$BM64:$CE64)</f>
        <v>0</v>
      </c>
      <c r="CR64" s="746">
        <f>SUMIF('1.PL (VND) '!$BL$6:$CD$6,'1.PL (VND) '!CQ$6,$BM64:$CE64)</f>
        <v>0</v>
      </c>
      <c r="CS64" s="746">
        <f>SUMIF('1.PL (VND) '!$BL$6:$CD$6,'1.PL (VND) '!CR$6,$BM64:$CE64)</f>
        <v>0</v>
      </c>
      <c r="CT64" s="746">
        <f>SUMIF('1.PL (VND) '!$BL$6:$CD$6,'1.PL (VND) '!CS$6,$BM64:$CE64)</f>
        <v>0</v>
      </c>
      <c r="CV64" s="748">
        <f>-SUMIFS('1.DC_Ra soat'!$L:$L,'1.DC_Ra soat'!$F:$F,'1.PL (VND) '!DK$4,'1.DC_Ra soat'!$H:$H,'1.BS (VND)'!$D64)+SUMIFS('1.DC_Ra soat'!$L:$L,'1.DC_Ra soat'!$F:$F,'1.PL (VND) '!DK$4,'1.DC_Ra soat'!$I:$I,'1.BS (VND)'!$D64)</f>
        <v>0</v>
      </c>
      <c r="CW64" s="748">
        <f>-SUMIFS('1.DC_Ra soat'!$L:$L,'1.DC_Ra soat'!$F:$F,'1.PL (VND) '!DL$4,'1.DC_Ra soat'!$H:$H,'1.BS (VND)'!$D64)+SUMIFS('1.DC_Ra soat'!$L:$L,'1.DC_Ra soat'!$F:$F,'1.PL (VND) '!DL$4,'1.DC_Ra soat'!$I:$I,'1.BS (VND)'!$D64)</f>
        <v>0</v>
      </c>
      <c r="CX64" s="748">
        <f>-SUMIFS('1.DC_Ra soat'!$L:$L,'1.DC_Ra soat'!$F:$F,'1.PL (VND) '!DM$4,'1.DC_Ra soat'!$H:$H,'1.BS (VND)'!$D64)+SUMIFS('1.DC_Ra soat'!$L:$L,'1.DC_Ra soat'!$F:$F,'1.PL (VND) '!DM$4,'1.DC_Ra soat'!$I:$I,'1.BS (VND)'!$D64)</f>
        <v>0</v>
      </c>
      <c r="CY64" s="748">
        <f>-SUMIFS('1.DC_Ra soat'!$L:$L,'1.DC_Ra soat'!$F:$F,'1.PL (VND) '!DN$4,'1.DC_Ra soat'!$H:$H,'1.BS (VND)'!$D64)+SUMIFS('1.DC_Ra soat'!$L:$L,'1.DC_Ra soat'!$F:$F,'1.PL (VND) '!DN$4,'1.DC_Ra soat'!$I:$I,'1.BS (VND)'!$D64)</f>
        <v>0</v>
      </c>
      <c r="DA64" s="746">
        <f t="shared" si="86"/>
        <v>0</v>
      </c>
      <c r="DB64" s="746">
        <f t="shared" si="87"/>
        <v>0</v>
      </c>
      <c r="DC64" s="746">
        <f t="shared" si="88"/>
        <v>0</v>
      </c>
      <c r="DD64" s="746">
        <f t="shared" si="89"/>
        <v>0</v>
      </c>
    </row>
    <row r="65" spans="1:112" s="248" customFormat="1" x14ac:dyDescent="0.25">
      <c r="A65" s="248" t="str">
        <f t="shared" si="40"/>
        <v>hide</v>
      </c>
      <c r="C65" s="259" t="s">
        <v>395</v>
      </c>
      <c r="D65" s="260" t="s">
        <v>396</v>
      </c>
      <c r="E65" s="725">
        <f>SUM(E66:E69)</f>
        <v>0</v>
      </c>
      <c r="F65" s="725">
        <f>SUM(F66:F69)</f>
        <v>0</v>
      </c>
      <c r="G65" s="725">
        <f>SUM(G66:G69)</f>
        <v>0</v>
      </c>
      <c r="H65" s="726">
        <f>H66+H67+H68+H69</f>
        <v>0</v>
      </c>
      <c r="I65" s="230"/>
      <c r="J65" s="241"/>
      <c r="K65" s="241"/>
      <c r="L65" s="241"/>
      <c r="M65" s="241">
        <v>0</v>
      </c>
      <c r="N65" s="230"/>
      <c r="O65" s="241">
        <f>SUM(O66:O69)</f>
        <v>0</v>
      </c>
      <c r="P65" s="241">
        <f>SUM(P66:P69)</f>
        <v>0</v>
      </c>
      <c r="Q65" s="241">
        <f>SUM(Q66:Q69)</f>
        <v>0</v>
      </c>
      <c r="R65" s="241">
        <f>SUM(R66:R69)</f>
        <v>0</v>
      </c>
      <c r="S65" s="230"/>
      <c r="T65" s="241">
        <f t="shared" ref="T65:W65" si="117">SUM(T66:T69)</f>
        <v>0</v>
      </c>
      <c r="U65" s="241">
        <f t="shared" si="117"/>
        <v>0</v>
      </c>
      <c r="V65" s="241">
        <f t="shared" si="117"/>
        <v>0</v>
      </c>
      <c r="W65" s="241">
        <f t="shared" si="117"/>
        <v>0</v>
      </c>
      <c r="X65" s="230"/>
      <c r="Y65" s="241">
        <f>SUM(Y66:Y69)</f>
        <v>0</v>
      </c>
      <c r="Z65" s="241">
        <f>SUM(Z66:Z69)</f>
        <v>0</v>
      </c>
      <c r="AA65" s="241">
        <f t="shared" ref="AA65:AB65" si="118">SUM(AA66:AA69)</f>
        <v>0</v>
      </c>
      <c r="AB65" s="241">
        <f t="shared" si="118"/>
        <v>0</v>
      </c>
      <c r="AC65" s="230"/>
      <c r="AD65" s="241">
        <f>SUM(AD66:AD69)</f>
        <v>0</v>
      </c>
      <c r="AE65" s="241">
        <f>SUM(AE66:AE69)</f>
        <v>0</v>
      </c>
      <c r="AF65" s="241">
        <f>SUM(AF66:AF69)</f>
        <v>0</v>
      </c>
      <c r="AG65" s="241"/>
      <c r="AI65" s="250">
        <f>SUM(AI66:AI69)</f>
        <v>0</v>
      </c>
      <c r="AJ65" s="250">
        <f>SUM(AJ66:AJ69)</f>
        <v>0</v>
      </c>
      <c r="AK65" s="250">
        <f>SUM(AK66:AK69)</f>
        <v>0</v>
      </c>
      <c r="AL65" s="250">
        <f t="shared" ref="AL65" si="119">SUM(AL66:AL69)</f>
        <v>0</v>
      </c>
      <c r="AM65" s="230"/>
      <c r="AN65" s="830"/>
      <c r="AO65" s="829">
        <f t="shared" ref="AO65:AQ65" si="120">SUM(AO66:AO69)</f>
        <v>0</v>
      </c>
      <c r="AP65" s="829">
        <f t="shared" si="120"/>
        <v>0</v>
      </c>
      <c r="AQ65" s="829">
        <f t="shared" si="120"/>
        <v>0</v>
      </c>
      <c r="AR65" s="230"/>
      <c r="AS65" s="249">
        <f>SUM(AS66:AS69)</f>
        <v>0</v>
      </c>
      <c r="AT65" s="249">
        <f>SUM(AT66:AT69)</f>
        <v>0</v>
      </c>
      <c r="AU65" s="249">
        <f>SUM(AU66:AU69)</f>
        <v>0</v>
      </c>
      <c r="AV65" s="249">
        <f t="shared" ref="AV65" si="121">SUM(AV66:AV69)</f>
        <v>0</v>
      </c>
      <c r="AW65" s="230"/>
      <c r="AX65" s="249">
        <f>SUM(AX66:AX69)</f>
        <v>0</v>
      </c>
      <c r="AY65" s="249">
        <f>SUM(AY66:AY69)</f>
        <v>0</v>
      </c>
      <c r="AZ65" s="249">
        <f>SUM(AZ66:AZ69)</f>
        <v>0</v>
      </c>
      <c r="BA65" s="249">
        <f>SUM(BA66:BA69)</f>
        <v>0</v>
      </c>
      <c r="BB65" s="230"/>
      <c r="BC65" s="249">
        <f>SUM(BC66:BC69)</f>
        <v>0</v>
      </c>
      <c r="BD65" s="249">
        <f>SUM(BD66:BD69)</f>
        <v>0</v>
      </c>
      <c r="BE65" s="249">
        <f>SUM(BE66:BE69)</f>
        <v>0</v>
      </c>
      <c r="BF65" s="249">
        <f>SUM(BF66:BF69)</f>
        <v>0</v>
      </c>
      <c r="BG65" s="230"/>
      <c r="BH65" s="249">
        <f>SUM(BH66:BH69)</f>
        <v>0</v>
      </c>
      <c r="BI65" s="249">
        <f>SUM(BI66:BI69)</f>
        <v>0</v>
      </c>
      <c r="BJ65" s="249">
        <f>SUM(BJ66:BJ69)</f>
        <v>0</v>
      </c>
      <c r="BK65" s="249">
        <f t="shared" ref="BK65" si="122">SUM(BK66:BK69)</f>
        <v>0</v>
      </c>
      <c r="BM65" s="241">
        <f t="shared" si="62"/>
        <v>0</v>
      </c>
      <c r="BN65" s="241">
        <f t="shared" si="63"/>
        <v>0</v>
      </c>
      <c r="BO65" s="241">
        <f t="shared" si="64"/>
        <v>0</v>
      </c>
      <c r="BP65" s="247">
        <f t="shared" si="65"/>
        <v>0</v>
      </c>
      <c r="BQ65" s="230"/>
      <c r="BR65" s="241">
        <f t="shared" si="66"/>
        <v>0</v>
      </c>
      <c r="BS65" s="241">
        <f t="shared" si="67"/>
        <v>0</v>
      </c>
      <c r="BT65" s="241">
        <f t="shared" si="68"/>
        <v>0</v>
      </c>
      <c r="BU65" s="241">
        <f t="shared" si="69"/>
        <v>0</v>
      </c>
      <c r="BV65" s="230"/>
      <c r="BW65" s="241">
        <f t="shared" si="70"/>
        <v>0</v>
      </c>
      <c r="BX65" s="241">
        <f t="shared" si="71"/>
        <v>0</v>
      </c>
      <c r="BY65" s="241">
        <f t="shared" si="72"/>
        <v>0</v>
      </c>
      <c r="BZ65" s="247">
        <f t="shared" si="73"/>
        <v>0</v>
      </c>
      <c r="CA65" s="230"/>
      <c r="CB65" s="247">
        <f t="shared" si="74"/>
        <v>0</v>
      </c>
      <c r="CC65" s="247">
        <f t="shared" si="75"/>
        <v>0</v>
      </c>
      <c r="CD65" s="247">
        <f t="shared" si="76"/>
        <v>0</v>
      </c>
      <c r="CE65" s="247">
        <f t="shared" si="77"/>
        <v>0</v>
      </c>
      <c r="CF65" s="230"/>
      <c r="CG65" s="247">
        <f t="shared" si="78"/>
        <v>0</v>
      </c>
      <c r="CH65" s="247">
        <f t="shared" si="79"/>
        <v>0</v>
      </c>
      <c r="CI65" s="247">
        <f t="shared" si="80"/>
        <v>0</v>
      </c>
      <c r="CJ65" s="247">
        <f t="shared" si="81"/>
        <v>0</v>
      </c>
      <c r="CK65" s="230"/>
      <c r="CL65" s="241">
        <f t="shared" si="82"/>
        <v>0</v>
      </c>
      <c r="CM65" s="241">
        <f t="shared" si="83"/>
        <v>0</v>
      </c>
      <c r="CN65" s="241">
        <f t="shared" si="84"/>
        <v>0</v>
      </c>
      <c r="CO65" s="247">
        <f t="shared" si="85"/>
        <v>0</v>
      </c>
      <c r="CQ65" s="241">
        <f>SUMIF('1.PL (VND) '!$BL$6:$CD$6,'1.PL (VND) '!CP$6,$BM65:$CE65)</f>
        <v>0</v>
      </c>
      <c r="CR65" s="241">
        <f>SUMIF('1.PL (VND) '!$BL$6:$CD$6,'1.PL (VND) '!CQ$6,$BM65:$CE65)</f>
        <v>0</v>
      </c>
      <c r="CS65" s="241">
        <f>SUMIF('1.PL (VND) '!$BL$6:$CD$6,'1.PL (VND) '!CR$6,$BM65:$CE65)</f>
        <v>0</v>
      </c>
      <c r="CT65" s="241">
        <f>SUMIF('1.PL (VND) '!$BL$6:$CD$6,'1.PL (VND) '!CS$6,$BM65:$CE65)</f>
        <v>0</v>
      </c>
      <c r="CV65" s="241">
        <f>SUM(CV66:CV69)</f>
        <v>0</v>
      </c>
      <c r="CW65" s="241">
        <f>SUM(CW66:CW69)</f>
        <v>0</v>
      </c>
      <c r="CX65" s="241">
        <f>SUM(CX66:CX69)</f>
        <v>0</v>
      </c>
      <c r="CY65" s="247"/>
      <c r="DA65" s="241">
        <f t="shared" si="86"/>
        <v>0</v>
      </c>
      <c r="DB65" s="241">
        <f t="shared" si="87"/>
        <v>0</v>
      </c>
      <c r="DC65" s="241">
        <f t="shared" si="88"/>
        <v>0</v>
      </c>
      <c r="DD65" s="241">
        <f t="shared" si="89"/>
        <v>0</v>
      </c>
      <c r="DH65" s="245"/>
    </row>
    <row r="66" spans="1:112" s="740" customFormat="1" x14ac:dyDescent="0.25">
      <c r="A66" s="248" t="str">
        <f t="shared" si="40"/>
        <v>hide</v>
      </c>
      <c r="C66" s="741" t="s">
        <v>397</v>
      </c>
      <c r="D66" s="742" t="s">
        <v>398</v>
      </c>
      <c r="E66" s="743"/>
      <c r="F66" s="743"/>
      <c r="G66" s="743"/>
      <c r="H66" s="744"/>
      <c r="I66" s="745"/>
      <c r="J66" s="746"/>
      <c r="K66" s="746"/>
      <c r="L66" s="746"/>
      <c r="M66" s="739">
        <v>0</v>
      </c>
      <c r="N66" s="745"/>
      <c r="O66" s="746"/>
      <c r="P66" s="746"/>
      <c r="Q66" s="746"/>
      <c r="R66" s="746"/>
      <c r="S66" s="745"/>
      <c r="T66" s="746"/>
      <c r="U66" s="746"/>
      <c r="V66" s="746"/>
      <c r="W66" s="746"/>
      <c r="X66" s="745"/>
      <c r="Y66" s="746"/>
      <c r="Z66" s="746"/>
      <c r="AA66" s="746"/>
      <c r="AB66" s="746"/>
      <c r="AC66" s="745"/>
      <c r="AD66" s="746"/>
      <c r="AE66" s="746"/>
      <c r="AF66" s="746"/>
      <c r="AG66" s="746"/>
      <c r="AI66" s="746">
        <f>SUMIFS('1.DC_Ra soat'!$L:$L,'1.DC_Ra soat'!$F:$F,AI$4,'1.DC_Ra soat'!$H:$H,'1.BS (VND)'!$D66)-SUMIFS('1.DC_Ra soat'!$L:$L,'1.DC_Ra soat'!$F:$F,AI$4,'1.DC_Ra soat'!$I:$I,'1.BS (VND)'!$D66)</f>
        <v>0</v>
      </c>
      <c r="AJ66" s="746">
        <f>SUMIFS('1.DC_Ra soat'!$L:$L,'1.DC_Ra soat'!$F:$F,AJ$4,'1.DC_Ra soat'!$H:$H,'1.BS (VND)'!$D66)-SUMIFS('1.DC_Ra soat'!$L:$L,'1.DC_Ra soat'!$F:$F,AJ$4,'1.DC_Ra soat'!$I:$I,'1.BS (VND)'!$D66)</f>
        <v>0</v>
      </c>
      <c r="AK66" s="746">
        <f>SUMIFS('1.DC_Ra soat'!$L:$L,'1.DC_Ra soat'!$F:$F,AK$4,'1.DC_Ra soat'!$H:$H,'1.BS (VND)'!$D66)-SUMIFS('1.DC_Ra soat'!$L:$L,'1.DC_Ra soat'!$F:$F,AK$4,'1.DC_Ra soat'!$I:$I,'1.BS (VND)'!$D66)</f>
        <v>0</v>
      </c>
      <c r="AL66" s="746">
        <f>SUMIFS('1.DC_Ra soat'!$L:$L,'1.DC_Ra soat'!$F:$F,AL$4,'1.DC_Ra soat'!$H:$H,'1.BS (VND)'!$D66)-SUMIFS('1.DC_Ra soat'!$L:$L,'1.DC_Ra soat'!$F:$F,AL$4,'1.DC_Ra soat'!$I:$I,'1.BS (VND)'!$D66)</f>
        <v>0</v>
      </c>
      <c r="AM66" s="745"/>
      <c r="AN66" s="746">
        <f>SUMIFS('1.DC_Ra soat'!$L:$L,'1.DC_Ra soat'!$F:$F,AN$4,'1.DC_Ra soat'!$H:$H,'1.BS (VND)'!$D66)-SUMIFS('1.DC_Ra soat'!$L:$L,'1.DC_Ra soat'!$F:$F,AN$4,'1.DC_Ra soat'!$I:$I,'1.BS (VND)'!$D66)</f>
        <v>0</v>
      </c>
      <c r="AO66" s="746">
        <f>SUMIFS('1.DC_Ra soat'!$L:$L,'1.DC_Ra soat'!$F:$F,AO$4,'1.DC_Ra soat'!$H:$H,'1.BS (VND)'!$D66)-SUMIFS('1.DC_Ra soat'!$L:$L,'1.DC_Ra soat'!$F:$F,AO$4,'1.DC_Ra soat'!$I:$I,'1.BS (VND)'!$D66)</f>
        <v>0</v>
      </c>
      <c r="AP66" s="746">
        <f>SUMIFS('1.DC_Ra soat'!$L:$L,'1.DC_Ra soat'!$F:$F,AP$4,'1.DC_Ra soat'!$H:$H,'1.BS (VND)'!$D66)-SUMIFS('1.DC_Ra soat'!$L:$L,'1.DC_Ra soat'!$F:$F,AP$4,'1.DC_Ra soat'!$I:$I,'1.BS (VND)'!$D66)</f>
        <v>0</v>
      </c>
      <c r="AQ66" s="746">
        <f>SUMIFS('1.DC_Ra soat'!$L:$L,'1.DC_Ra soat'!$F:$F,AQ$4,'1.DC_Ra soat'!$H:$H,'1.BS (VND)'!$D66)-SUMIFS('1.DC_Ra soat'!$L:$L,'1.DC_Ra soat'!$F:$F,AQ$4,'1.DC_Ra soat'!$I:$I,'1.BS (VND)'!$D66)</f>
        <v>0</v>
      </c>
      <c r="AR66" s="745"/>
      <c r="AS66" s="746">
        <f>SUMIFS('1.DC_Ra soat'!$L:$L,'1.DC_Ra soat'!$F:$F,AS$4,'1.DC_Ra soat'!$H:$H,'1.BS (VND)'!$D66)-SUMIFS('1.DC_Ra soat'!$L:$L,'1.DC_Ra soat'!$F:$F,AS$4,'1.DC_Ra soat'!$I:$I,'1.BS (VND)'!$D66)</f>
        <v>0</v>
      </c>
      <c r="AT66" s="746">
        <f>SUMIFS('1.DC_Ra soat'!$L:$L,'1.DC_Ra soat'!$F:$F,AT$4,'1.DC_Ra soat'!$H:$H,'1.BS (VND)'!$D66)-SUMIFS('1.DC_Ra soat'!$L:$L,'1.DC_Ra soat'!$F:$F,AT$4,'1.DC_Ra soat'!$I:$I,'1.BS (VND)'!$D66)</f>
        <v>0</v>
      </c>
      <c r="AU66" s="746">
        <f>SUMIFS('1.DC_Ra soat'!$L:$L,'1.DC_Ra soat'!$F:$F,AU$4,'1.DC_Ra soat'!$H:$H,'1.BS (VND)'!$D66)-SUMIFS('1.DC_Ra soat'!$L:$L,'1.DC_Ra soat'!$F:$F,AU$4,'1.DC_Ra soat'!$I:$I,'1.BS (VND)'!$D66)</f>
        <v>0</v>
      </c>
      <c r="AV66" s="746">
        <f>SUMIFS('1.DC_Ra soat'!$L:$L,'1.DC_Ra soat'!$F:$F,AV$4,'1.DC_Ra soat'!$H:$H,'1.BS (VND)'!$D66)-SUMIFS('1.DC_Ra soat'!$L:$L,'1.DC_Ra soat'!$F:$F,AV$4,'1.DC_Ra soat'!$I:$I,'1.BS (VND)'!$D66)</f>
        <v>0</v>
      </c>
      <c r="AW66" s="745"/>
      <c r="AX66" s="746">
        <f>SUMIFS('1.DC_Ra soat'!$L:$L,'1.DC_Ra soat'!$F:$F,'1.PL (VND) '!BC$4,'1.DC_Ra soat'!$H:$H,'1.BS (VND)'!$D66)-SUMIFS('1.DC_Ra soat'!$L:$L,'1.DC_Ra soat'!$F:$F,'1.PL (VND) '!BC$4,'1.DC_Ra soat'!$I:$I,'1.BS (VND)'!$D66)</f>
        <v>0</v>
      </c>
      <c r="AY66" s="746">
        <f>SUMIFS('1.DC_Ra soat'!$L:$L,'1.DC_Ra soat'!$F:$F,'1.PL (VND) '!BD$4,'1.DC_Ra soat'!$H:$H,'1.BS (VND)'!$D66)-SUMIFS('1.DC_Ra soat'!$L:$L,'1.DC_Ra soat'!$F:$F,'1.PL (VND) '!BD$4,'1.DC_Ra soat'!$I:$I,'1.BS (VND)'!$D66)</f>
        <v>0</v>
      </c>
      <c r="AZ66" s="746">
        <f>SUMIFS('1.DC_Ra soat'!$L:$L,'1.DC_Ra soat'!$F:$F,'1.PL (VND) '!BE$4,'1.DC_Ra soat'!$H:$H,'1.BS (VND)'!$D66)-SUMIFS('1.DC_Ra soat'!$L:$L,'1.DC_Ra soat'!$F:$F,'1.PL (VND) '!BE$4,'1.DC_Ra soat'!$I:$I,'1.BS (VND)'!$D66)</f>
        <v>0</v>
      </c>
      <c r="BA66" s="746">
        <f>SUMIFS('1.DC_Ra soat'!$L:$L,'1.DC_Ra soat'!$F:$F,'1.PL (VND) '!BF$4,'1.DC_Ra soat'!$H:$H,'1.BS (VND)'!$D66)-SUMIFS('1.DC_Ra soat'!$L:$L,'1.DC_Ra soat'!$F:$F,'1.PL (VND) '!BF$4,'1.DC_Ra soat'!$I:$I,'1.BS (VND)'!$D66)</f>
        <v>0</v>
      </c>
      <c r="BB66" s="745"/>
      <c r="BC66" s="746">
        <f>SUMIFS('1.DC_Ra soat'!$L:$L,'1.DC_Ra soat'!$F:$F,'1.PL (VND) '!BI$4,'1.DC_Ra soat'!$H:$H,'1.BS (VND)'!$D66)-SUMIFS('1.DC_Ra soat'!$L:$L,'1.DC_Ra soat'!$F:$F,'1.PL (VND) '!BI$4,'1.DC_Ra soat'!$I:$I,'1.BS (VND)'!$D66)</f>
        <v>0</v>
      </c>
      <c r="BD66" s="746">
        <f>SUMIFS('1.DC_Ra soat'!$L:$L,'1.DC_Ra soat'!$F:$F,'1.PL (VND) '!BJ$4,'1.DC_Ra soat'!$H:$H,'1.BS (VND)'!$D66)-SUMIFS('1.DC_Ra soat'!$L:$L,'1.DC_Ra soat'!$F:$F,'1.PL (VND) '!BJ$4,'1.DC_Ra soat'!$I:$I,'1.BS (VND)'!$D66)</f>
        <v>0</v>
      </c>
      <c r="BE66" s="746">
        <f>SUMIFS('1.DC_Ra soat'!$L:$L,'1.DC_Ra soat'!$F:$F,'1.PL (VND) '!BK$4,'1.DC_Ra soat'!$H:$H,'1.BS (VND)'!$D66)-SUMIFS('1.DC_Ra soat'!$L:$L,'1.DC_Ra soat'!$F:$F,'1.PL (VND) '!BK$4,'1.DC_Ra soat'!$I:$I,'1.BS (VND)'!$D66)</f>
        <v>0</v>
      </c>
      <c r="BF66" s="746">
        <f>SUMIFS('1.DC_Ra soat'!$L:$L,'1.DC_Ra soat'!$F:$F,'1.PL (VND) '!BL$4,'1.DC_Ra soat'!$H:$H,'1.BS (VND)'!$D66)-SUMIFS('1.DC_Ra soat'!$L:$L,'1.DC_Ra soat'!$F:$F,'1.PL (VND) '!BL$4,'1.DC_Ra soat'!$I:$I,'1.BS (VND)'!$D66)</f>
        <v>0</v>
      </c>
      <c r="BG66" s="745"/>
      <c r="BH66" s="746">
        <f>SUMIFS('1.DC_Ra soat'!$L:$L,'1.DC_Ra soat'!$F:$F,'1.PL (VND) '!BO$4,'1.DC_Ra soat'!$H:$H,'1.BS (VND)'!$D66)-SUMIFS('1.DC_Ra soat'!$L:$L,'1.DC_Ra soat'!$F:$F,'1.PL (VND) '!BO$4,'1.DC_Ra soat'!$I:$I,'1.BS (VND)'!$D66)</f>
        <v>0</v>
      </c>
      <c r="BI66" s="746">
        <f>SUMIFS('1.DC_Ra soat'!$L:$L,'1.DC_Ra soat'!$F:$F,'1.PL (VND) '!BP$4,'1.DC_Ra soat'!$H:$H,'1.BS (VND)'!$D66)-SUMIFS('1.DC_Ra soat'!$L:$L,'1.DC_Ra soat'!$F:$F,'1.PL (VND) '!BP$4,'1.DC_Ra soat'!$I:$I,'1.BS (VND)'!$D66)</f>
        <v>0</v>
      </c>
      <c r="BJ66" s="746">
        <f>SUMIFS('1.DC_Ra soat'!$L:$L,'1.DC_Ra soat'!$F:$F,'1.PL (VND) '!BQ$4,'1.DC_Ra soat'!$H:$H,'1.BS (VND)'!$D66)-SUMIFS('1.DC_Ra soat'!$L:$L,'1.DC_Ra soat'!$F:$F,'1.PL (VND) '!BQ$4,'1.DC_Ra soat'!$I:$I,'1.BS (VND)'!$D66)</f>
        <v>0</v>
      </c>
      <c r="BK66" s="746">
        <f>SUMIFS('1.DC_Ra soat'!$L:$L,'1.DC_Ra soat'!$F:$F,'1.PL (VND) '!BR$4,'1.DC_Ra soat'!$H:$H,'1.BS (VND)'!$D66)-SUMIFS('1.DC_Ra soat'!$L:$L,'1.DC_Ra soat'!$F:$F,'1.PL (VND) '!BR$4,'1.DC_Ra soat'!$I:$I,'1.BS (VND)'!$D66)</f>
        <v>0</v>
      </c>
      <c r="BM66" s="746">
        <f t="shared" si="62"/>
        <v>0</v>
      </c>
      <c r="BN66" s="746">
        <f t="shared" si="63"/>
        <v>0</v>
      </c>
      <c r="BO66" s="746">
        <f t="shared" si="64"/>
        <v>0</v>
      </c>
      <c r="BP66" s="747">
        <f t="shared" si="65"/>
        <v>0</v>
      </c>
      <c r="BQ66" s="745"/>
      <c r="BR66" s="746">
        <f t="shared" si="66"/>
        <v>0</v>
      </c>
      <c r="BS66" s="746">
        <f t="shared" si="67"/>
        <v>0</v>
      </c>
      <c r="BT66" s="746">
        <f t="shared" si="68"/>
        <v>0</v>
      </c>
      <c r="BU66" s="746">
        <f t="shared" si="69"/>
        <v>0</v>
      </c>
      <c r="BV66" s="745"/>
      <c r="BW66" s="746">
        <f t="shared" si="70"/>
        <v>0</v>
      </c>
      <c r="BX66" s="746">
        <f t="shared" si="71"/>
        <v>0</v>
      </c>
      <c r="BY66" s="746">
        <f t="shared" si="72"/>
        <v>0</v>
      </c>
      <c r="BZ66" s="747">
        <f t="shared" si="73"/>
        <v>0</v>
      </c>
      <c r="CA66" s="745"/>
      <c r="CB66" s="747">
        <f t="shared" si="74"/>
        <v>0</v>
      </c>
      <c r="CC66" s="747">
        <f t="shared" si="75"/>
        <v>0</v>
      </c>
      <c r="CD66" s="747">
        <f t="shared" si="76"/>
        <v>0</v>
      </c>
      <c r="CE66" s="747">
        <f t="shared" si="77"/>
        <v>0</v>
      </c>
      <c r="CF66" s="745"/>
      <c r="CG66" s="747">
        <f t="shared" si="78"/>
        <v>0</v>
      </c>
      <c r="CH66" s="747">
        <f t="shared" si="79"/>
        <v>0</v>
      </c>
      <c r="CI66" s="747">
        <f t="shared" si="80"/>
        <v>0</v>
      </c>
      <c r="CJ66" s="747">
        <f t="shared" si="81"/>
        <v>0</v>
      </c>
      <c r="CK66" s="745"/>
      <c r="CL66" s="746">
        <f t="shared" si="82"/>
        <v>0</v>
      </c>
      <c r="CM66" s="746">
        <f t="shared" si="83"/>
        <v>0</v>
      </c>
      <c r="CN66" s="746">
        <f t="shared" si="84"/>
        <v>0</v>
      </c>
      <c r="CO66" s="747">
        <f t="shared" si="85"/>
        <v>0</v>
      </c>
      <c r="CQ66" s="746">
        <f>SUMIF('1.PL (VND) '!$BL$6:$CD$6,'1.PL (VND) '!CP$6,$BM66:$CE66)</f>
        <v>0</v>
      </c>
      <c r="CR66" s="746">
        <f>SUMIF('1.PL (VND) '!$BL$6:$CD$6,'1.PL (VND) '!CQ$6,$BM66:$CE66)</f>
        <v>0</v>
      </c>
      <c r="CS66" s="746">
        <f>SUMIF('1.PL (VND) '!$BL$6:$CD$6,'1.PL (VND) '!CR$6,$BM66:$CE66)</f>
        <v>0</v>
      </c>
      <c r="CT66" s="746">
        <f>SUMIF('1.PL (VND) '!$BL$6:$CD$6,'1.PL (VND) '!CS$6,$BM66:$CE66)</f>
        <v>0</v>
      </c>
      <c r="CV66" s="748">
        <f>-SUMIFS('1.DC_Ra soat'!$L:$L,'1.DC_Ra soat'!$F:$F,'1.PL (VND) '!DK$4,'1.DC_Ra soat'!$H:$H,'1.BS (VND)'!$D66)+SUMIFS('1.DC_Ra soat'!$L:$L,'1.DC_Ra soat'!$F:$F,'1.PL (VND) '!DK$4,'1.DC_Ra soat'!$I:$I,'1.BS (VND)'!$D66)</f>
        <v>0</v>
      </c>
      <c r="CW66" s="748">
        <f>-SUMIFS('1.DC_Ra soat'!$L:$L,'1.DC_Ra soat'!$F:$F,'1.PL (VND) '!DL$4,'1.DC_Ra soat'!$H:$H,'1.BS (VND)'!$D66)+SUMIFS('1.DC_Ra soat'!$L:$L,'1.DC_Ra soat'!$F:$F,'1.PL (VND) '!DL$4,'1.DC_Ra soat'!$I:$I,'1.BS (VND)'!$D66)</f>
        <v>0</v>
      </c>
      <c r="CX66" s="748">
        <f>-SUMIFS('1.DC_Ra soat'!$L:$L,'1.DC_Ra soat'!$F:$F,'1.PL (VND) '!DM$4,'1.DC_Ra soat'!$H:$H,'1.BS (VND)'!$D66)+SUMIFS('1.DC_Ra soat'!$L:$L,'1.DC_Ra soat'!$F:$F,'1.PL (VND) '!DM$4,'1.DC_Ra soat'!$I:$I,'1.BS (VND)'!$D66)</f>
        <v>0</v>
      </c>
      <c r="CY66" s="748">
        <f>-SUMIFS('1.DC_Ra soat'!$L:$L,'1.DC_Ra soat'!$F:$F,'1.PL (VND) '!DN$4,'1.DC_Ra soat'!$H:$H,'1.BS (VND)'!$D66)+SUMIFS('1.DC_Ra soat'!$L:$L,'1.DC_Ra soat'!$F:$F,'1.PL (VND) '!DN$4,'1.DC_Ra soat'!$I:$I,'1.BS (VND)'!$D66)</f>
        <v>0</v>
      </c>
      <c r="DA66" s="746">
        <f t="shared" si="86"/>
        <v>0</v>
      </c>
      <c r="DB66" s="746">
        <f t="shared" si="87"/>
        <v>0</v>
      </c>
      <c r="DC66" s="746">
        <f t="shared" si="88"/>
        <v>0</v>
      </c>
      <c r="DD66" s="746">
        <f t="shared" si="89"/>
        <v>0</v>
      </c>
      <c r="DH66" s="749"/>
    </row>
    <row r="67" spans="1:112" s="740" customFormat="1" x14ac:dyDescent="0.25">
      <c r="A67" s="248" t="str">
        <f t="shared" si="40"/>
        <v>hide</v>
      </c>
      <c r="C67" s="741" t="s">
        <v>399</v>
      </c>
      <c r="D67" s="742" t="s">
        <v>400</v>
      </c>
      <c r="E67" s="743"/>
      <c r="F67" s="743"/>
      <c r="G67" s="743"/>
      <c r="H67" s="744"/>
      <c r="I67" s="745"/>
      <c r="J67" s="746"/>
      <c r="K67" s="746"/>
      <c r="L67" s="746"/>
      <c r="M67" s="739">
        <v>0</v>
      </c>
      <c r="N67" s="745"/>
      <c r="O67" s="746"/>
      <c r="P67" s="746"/>
      <c r="Q67" s="746"/>
      <c r="R67" s="746"/>
      <c r="S67" s="745"/>
      <c r="T67" s="746"/>
      <c r="U67" s="746"/>
      <c r="V67" s="746"/>
      <c r="W67" s="746"/>
      <c r="X67" s="745"/>
      <c r="Y67" s="746"/>
      <c r="Z67" s="746"/>
      <c r="AA67" s="746"/>
      <c r="AB67" s="746"/>
      <c r="AC67" s="745"/>
      <c r="AD67" s="746"/>
      <c r="AE67" s="746"/>
      <c r="AF67" s="746"/>
      <c r="AG67" s="746"/>
      <c r="AI67" s="746">
        <f>SUMIFS('1.DC_Ra soat'!$L:$L,'1.DC_Ra soat'!$F:$F,AI$4,'1.DC_Ra soat'!$H:$H,'1.BS (VND)'!$D67)-SUMIFS('1.DC_Ra soat'!$L:$L,'1.DC_Ra soat'!$F:$F,AI$4,'1.DC_Ra soat'!$I:$I,'1.BS (VND)'!$D67)</f>
        <v>0</v>
      </c>
      <c r="AJ67" s="746">
        <f>SUMIFS('1.DC_Ra soat'!$L:$L,'1.DC_Ra soat'!$F:$F,AJ$4,'1.DC_Ra soat'!$H:$H,'1.BS (VND)'!$D67)-SUMIFS('1.DC_Ra soat'!$L:$L,'1.DC_Ra soat'!$F:$F,AJ$4,'1.DC_Ra soat'!$I:$I,'1.BS (VND)'!$D67)</f>
        <v>0</v>
      </c>
      <c r="AK67" s="746">
        <f>SUMIFS('1.DC_Ra soat'!$L:$L,'1.DC_Ra soat'!$F:$F,AK$4,'1.DC_Ra soat'!$H:$H,'1.BS (VND)'!$D67)-SUMIFS('1.DC_Ra soat'!$L:$L,'1.DC_Ra soat'!$F:$F,AK$4,'1.DC_Ra soat'!$I:$I,'1.BS (VND)'!$D67)</f>
        <v>0</v>
      </c>
      <c r="AL67" s="746">
        <f>SUMIFS('1.DC_Ra soat'!$L:$L,'1.DC_Ra soat'!$F:$F,AL$4,'1.DC_Ra soat'!$H:$H,'1.BS (VND)'!$D67)-SUMIFS('1.DC_Ra soat'!$L:$L,'1.DC_Ra soat'!$F:$F,AL$4,'1.DC_Ra soat'!$I:$I,'1.BS (VND)'!$D67)</f>
        <v>0</v>
      </c>
      <c r="AM67" s="745"/>
      <c r="AN67" s="746">
        <f>SUMIFS('1.DC_Ra soat'!$L:$L,'1.DC_Ra soat'!$F:$F,AN$4,'1.DC_Ra soat'!$H:$H,'1.BS (VND)'!$D67)-SUMIFS('1.DC_Ra soat'!$L:$L,'1.DC_Ra soat'!$F:$F,AN$4,'1.DC_Ra soat'!$I:$I,'1.BS (VND)'!$D67)</f>
        <v>0</v>
      </c>
      <c r="AO67" s="746">
        <f>SUMIFS('1.DC_Ra soat'!$L:$L,'1.DC_Ra soat'!$F:$F,AO$4,'1.DC_Ra soat'!$H:$H,'1.BS (VND)'!$D67)-SUMIFS('1.DC_Ra soat'!$L:$L,'1.DC_Ra soat'!$F:$F,AO$4,'1.DC_Ra soat'!$I:$I,'1.BS (VND)'!$D67)</f>
        <v>0</v>
      </c>
      <c r="AP67" s="746">
        <f>SUMIFS('1.DC_Ra soat'!$L:$L,'1.DC_Ra soat'!$F:$F,AP$4,'1.DC_Ra soat'!$H:$H,'1.BS (VND)'!$D67)-SUMIFS('1.DC_Ra soat'!$L:$L,'1.DC_Ra soat'!$F:$F,AP$4,'1.DC_Ra soat'!$I:$I,'1.BS (VND)'!$D67)</f>
        <v>0</v>
      </c>
      <c r="AQ67" s="746">
        <f>SUMIFS('1.DC_Ra soat'!$L:$L,'1.DC_Ra soat'!$F:$F,AQ$4,'1.DC_Ra soat'!$H:$H,'1.BS (VND)'!$D67)-SUMIFS('1.DC_Ra soat'!$L:$L,'1.DC_Ra soat'!$F:$F,AQ$4,'1.DC_Ra soat'!$I:$I,'1.BS (VND)'!$D67)</f>
        <v>0</v>
      </c>
      <c r="AR67" s="745"/>
      <c r="AS67" s="746">
        <f>SUMIFS('1.DC_Ra soat'!$L:$L,'1.DC_Ra soat'!$F:$F,AS$4,'1.DC_Ra soat'!$H:$H,'1.BS (VND)'!$D67)-SUMIFS('1.DC_Ra soat'!$L:$L,'1.DC_Ra soat'!$F:$F,AS$4,'1.DC_Ra soat'!$I:$I,'1.BS (VND)'!$D67)</f>
        <v>0</v>
      </c>
      <c r="AT67" s="746">
        <f>SUMIFS('1.DC_Ra soat'!$L:$L,'1.DC_Ra soat'!$F:$F,AT$4,'1.DC_Ra soat'!$H:$H,'1.BS (VND)'!$D67)-SUMIFS('1.DC_Ra soat'!$L:$L,'1.DC_Ra soat'!$F:$F,AT$4,'1.DC_Ra soat'!$I:$I,'1.BS (VND)'!$D67)</f>
        <v>0</v>
      </c>
      <c r="AU67" s="746">
        <f>SUMIFS('1.DC_Ra soat'!$L:$L,'1.DC_Ra soat'!$F:$F,AU$4,'1.DC_Ra soat'!$H:$H,'1.BS (VND)'!$D67)-SUMIFS('1.DC_Ra soat'!$L:$L,'1.DC_Ra soat'!$F:$F,AU$4,'1.DC_Ra soat'!$I:$I,'1.BS (VND)'!$D67)</f>
        <v>0</v>
      </c>
      <c r="AV67" s="746">
        <f>SUMIFS('1.DC_Ra soat'!$L:$L,'1.DC_Ra soat'!$F:$F,AV$4,'1.DC_Ra soat'!$H:$H,'1.BS (VND)'!$D67)-SUMIFS('1.DC_Ra soat'!$L:$L,'1.DC_Ra soat'!$F:$F,AV$4,'1.DC_Ra soat'!$I:$I,'1.BS (VND)'!$D67)</f>
        <v>0</v>
      </c>
      <c r="AW67" s="745"/>
      <c r="AX67" s="746">
        <f>SUMIFS('1.DC_Ra soat'!$L:$L,'1.DC_Ra soat'!$F:$F,'1.PL (VND) '!BC$4,'1.DC_Ra soat'!$H:$H,'1.BS (VND)'!$D67)-SUMIFS('1.DC_Ra soat'!$L:$L,'1.DC_Ra soat'!$F:$F,'1.PL (VND) '!BC$4,'1.DC_Ra soat'!$I:$I,'1.BS (VND)'!$D67)</f>
        <v>0</v>
      </c>
      <c r="AY67" s="746">
        <f>SUMIFS('1.DC_Ra soat'!$L:$L,'1.DC_Ra soat'!$F:$F,'1.PL (VND) '!BD$4,'1.DC_Ra soat'!$H:$H,'1.BS (VND)'!$D67)-SUMIFS('1.DC_Ra soat'!$L:$L,'1.DC_Ra soat'!$F:$F,'1.PL (VND) '!BD$4,'1.DC_Ra soat'!$I:$I,'1.BS (VND)'!$D67)</f>
        <v>0</v>
      </c>
      <c r="AZ67" s="746">
        <f>SUMIFS('1.DC_Ra soat'!$L:$L,'1.DC_Ra soat'!$F:$F,'1.PL (VND) '!BE$4,'1.DC_Ra soat'!$H:$H,'1.BS (VND)'!$D67)-SUMIFS('1.DC_Ra soat'!$L:$L,'1.DC_Ra soat'!$F:$F,'1.PL (VND) '!BE$4,'1.DC_Ra soat'!$I:$I,'1.BS (VND)'!$D67)</f>
        <v>0</v>
      </c>
      <c r="BA67" s="746">
        <f>SUMIFS('1.DC_Ra soat'!$L:$L,'1.DC_Ra soat'!$F:$F,'1.PL (VND) '!BF$4,'1.DC_Ra soat'!$H:$H,'1.BS (VND)'!$D67)-SUMIFS('1.DC_Ra soat'!$L:$L,'1.DC_Ra soat'!$F:$F,'1.PL (VND) '!BF$4,'1.DC_Ra soat'!$I:$I,'1.BS (VND)'!$D67)</f>
        <v>0</v>
      </c>
      <c r="BB67" s="745"/>
      <c r="BC67" s="746">
        <f>SUMIFS('1.DC_Ra soat'!$L:$L,'1.DC_Ra soat'!$F:$F,'1.PL (VND) '!BI$4,'1.DC_Ra soat'!$H:$H,'1.BS (VND)'!$D67)-SUMIFS('1.DC_Ra soat'!$L:$L,'1.DC_Ra soat'!$F:$F,'1.PL (VND) '!BI$4,'1.DC_Ra soat'!$I:$I,'1.BS (VND)'!$D67)</f>
        <v>0</v>
      </c>
      <c r="BD67" s="746">
        <f>SUMIFS('1.DC_Ra soat'!$L:$L,'1.DC_Ra soat'!$F:$F,'1.PL (VND) '!BJ$4,'1.DC_Ra soat'!$H:$H,'1.BS (VND)'!$D67)-SUMIFS('1.DC_Ra soat'!$L:$L,'1.DC_Ra soat'!$F:$F,'1.PL (VND) '!BJ$4,'1.DC_Ra soat'!$I:$I,'1.BS (VND)'!$D67)</f>
        <v>0</v>
      </c>
      <c r="BE67" s="746">
        <f>SUMIFS('1.DC_Ra soat'!$L:$L,'1.DC_Ra soat'!$F:$F,'1.PL (VND) '!BK$4,'1.DC_Ra soat'!$H:$H,'1.BS (VND)'!$D67)-SUMIFS('1.DC_Ra soat'!$L:$L,'1.DC_Ra soat'!$F:$F,'1.PL (VND) '!BK$4,'1.DC_Ra soat'!$I:$I,'1.BS (VND)'!$D67)</f>
        <v>0</v>
      </c>
      <c r="BF67" s="746">
        <f>SUMIFS('1.DC_Ra soat'!$L:$L,'1.DC_Ra soat'!$F:$F,'1.PL (VND) '!BL$4,'1.DC_Ra soat'!$H:$H,'1.BS (VND)'!$D67)-SUMIFS('1.DC_Ra soat'!$L:$L,'1.DC_Ra soat'!$F:$F,'1.PL (VND) '!BL$4,'1.DC_Ra soat'!$I:$I,'1.BS (VND)'!$D67)</f>
        <v>0</v>
      </c>
      <c r="BG67" s="745"/>
      <c r="BH67" s="746">
        <f>SUMIFS('1.DC_Ra soat'!$L:$L,'1.DC_Ra soat'!$F:$F,'1.PL (VND) '!BO$4,'1.DC_Ra soat'!$H:$H,'1.BS (VND)'!$D67)-SUMIFS('1.DC_Ra soat'!$L:$L,'1.DC_Ra soat'!$F:$F,'1.PL (VND) '!BO$4,'1.DC_Ra soat'!$I:$I,'1.BS (VND)'!$D67)</f>
        <v>0</v>
      </c>
      <c r="BI67" s="746">
        <f>SUMIFS('1.DC_Ra soat'!$L:$L,'1.DC_Ra soat'!$F:$F,'1.PL (VND) '!BP$4,'1.DC_Ra soat'!$H:$H,'1.BS (VND)'!$D67)-SUMIFS('1.DC_Ra soat'!$L:$L,'1.DC_Ra soat'!$F:$F,'1.PL (VND) '!BP$4,'1.DC_Ra soat'!$I:$I,'1.BS (VND)'!$D67)</f>
        <v>0</v>
      </c>
      <c r="BJ67" s="746">
        <f>SUMIFS('1.DC_Ra soat'!$L:$L,'1.DC_Ra soat'!$F:$F,'1.PL (VND) '!BQ$4,'1.DC_Ra soat'!$H:$H,'1.BS (VND)'!$D67)-SUMIFS('1.DC_Ra soat'!$L:$L,'1.DC_Ra soat'!$F:$F,'1.PL (VND) '!BQ$4,'1.DC_Ra soat'!$I:$I,'1.BS (VND)'!$D67)</f>
        <v>0</v>
      </c>
      <c r="BK67" s="746">
        <f>SUMIFS('1.DC_Ra soat'!$L:$L,'1.DC_Ra soat'!$F:$F,'1.PL (VND) '!BR$4,'1.DC_Ra soat'!$H:$H,'1.BS (VND)'!$D67)-SUMIFS('1.DC_Ra soat'!$L:$L,'1.DC_Ra soat'!$F:$F,'1.PL (VND) '!BR$4,'1.DC_Ra soat'!$I:$I,'1.BS (VND)'!$D67)</f>
        <v>0</v>
      </c>
      <c r="BM67" s="746">
        <f t="shared" si="62"/>
        <v>0</v>
      </c>
      <c r="BN67" s="746">
        <f t="shared" si="63"/>
        <v>0</v>
      </c>
      <c r="BO67" s="746">
        <f t="shared" si="64"/>
        <v>0</v>
      </c>
      <c r="BP67" s="747">
        <f t="shared" si="65"/>
        <v>0</v>
      </c>
      <c r="BQ67" s="745"/>
      <c r="BR67" s="746">
        <f t="shared" si="66"/>
        <v>0</v>
      </c>
      <c r="BS67" s="746">
        <f t="shared" si="67"/>
        <v>0</v>
      </c>
      <c r="BT67" s="746">
        <f t="shared" si="68"/>
        <v>0</v>
      </c>
      <c r="BU67" s="746">
        <f t="shared" si="69"/>
        <v>0</v>
      </c>
      <c r="BV67" s="745"/>
      <c r="BW67" s="746">
        <f t="shared" si="70"/>
        <v>0</v>
      </c>
      <c r="BX67" s="746">
        <f t="shared" si="71"/>
        <v>0</v>
      </c>
      <c r="BY67" s="746">
        <f t="shared" si="72"/>
        <v>0</v>
      </c>
      <c r="BZ67" s="747">
        <f t="shared" si="73"/>
        <v>0</v>
      </c>
      <c r="CA67" s="745"/>
      <c r="CB67" s="747">
        <f t="shared" si="74"/>
        <v>0</v>
      </c>
      <c r="CC67" s="747">
        <f t="shared" si="75"/>
        <v>0</v>
      </c>
      <c r="CD67" s="747">
        <f t="shared" si="76"/>
        <v>0</v>
      </c>
      <c r="CE67" s="747">
        <f t="shared" si="77"/>
        <v>0</v>
      </c>
      <c r="CF67" s="745"/>
      <c r="CG67" s="747">
        <f t="shared" si="78"/>
        <v>0</v>
      </c>
      <c r="CH67" s="747">
        <f t="shared" si="79"/>
        <v>0</v>
      </c>
      <c r="CI67" s="747">
        <f t="shared" si="80"/>
        <v>0</v>
      </c>
      <c r="CJ67" s="747">
        <f t="shared" si="81"/>
        <v>0</v>
      </c>
      <c r="CK67" s="745"/>
      <c r="CL67" s="746">
        <f t="shared" si="82"/>
        <v>0</v>
      </c>
      <c r="CM67" s="746">
        <f t="shared" si="83"/>
        <v>0</v>
      </c>
      <c r="CN67" s="746">
        <f t="shared" si="84"/>
        <v>0</v>
      </c>
      <c r="CO67" s="747">
        <f t="shared" si="85"/>
        <v>0</v>
      </c>
      <c r="CQ67" s="746">
        <f>SUMIF('1.PL (VND) '!$BL$6:$CD$6,'1.PL (VND) '!CP$6,$BM67:$CE67)</f>
        <v>0</v>
      </c>
      <c r="CR67" s="746">
        <f>SUMIF('1.PL (VND) '!$BL$6:$CD$6,'1.PL (VND) '!CQ$6,$BM67:$CE67)</f>
        <v>0</v>
      </c>
      <c r="CS67" s="746">
        <f>SUMIF('1.PL (VND) '!$BL$6:$CD$6,'1.PL (VND) '!CR$6,$BM67:$CE67)</f>
        <v>0</v>
      </c>
      <c r="CT67" s="746">
        <f>SUMIF('1.PL (VND) '!$BL$6:$CD$6,'1.PL (VND) '!CS$6,$BM67:$CE67)</f>
        <v>0</v>
      </c>
      <c r="CV67" s="748">
        <f>-SUMIFS('1.DC_Ra soat'!$L:$L,'1.DC_Ra soat'!$F:$F,'1.PL (VND) '!DK$4,'1.DC_Ra soat'!$H:$H,'1.BS (VND)'!$D67)+SUMIFS('1.DC_Ra soat'!$L:$L,'1.DC_Ra soat'!$F:$F,'1.PL (VND) '!DK$4,'1.DC_Ra soat'!$I:$I,'1.BS (VND)'!$D67)</f>
        <v>0</v>
      </c>
      <c r="CW67" s="748">
        <f>-SUMIFS('1.DC_Ra soat'!$L:$L,'1.DC_Ra soat'!$F:$F,'1.PL (VND) '!DL$4,'1.DC_Ra soat'!$H:$H,'1.BS (VND)'!$D67)+SUMIFS('1.DC_Ra soat'!$L:$L,'1.DC_Ra soat'!$F:$F,'1.PL (VND) '!DL$4,'1.DC_Ra soat'!$I:$I,'1.BS (VND)'!$D67)</f>
        <v>0</v>
      </c>
      <c r="CX67" s="748">
        <f>-SUMIFS('1.DC_Ra soat'!$L:$L,'1.DC_Ra soat'!$F:$F,'1.PL (VND) '!DM$4,'1.DC_Ra soat'!$H:$H,'1.BS (VND)'!$D67)+SUMIFS('1.DC_Ra soat'!$L:$L,'1.DC_Ra soat'!$F:$F,'1.PL (VND) '!DM$4,'1.DC_Ra soat'!$I:$I,'1.BS (VND)'!$D67)</f>
        <v>0</v>
      </c>
      <c r="CY67" s="748">
        <f>-SUMIFS('1.DC_Ra soat'!$L:$L,'1.DC_Ra soat'!$F:$F,'1.PL (VND) '!DN$4,'1.DC_Ra soat'!$H:$H,'1.BS (VND)'!$D67)+SUMIFS('1.DC_Ra soat'!$L:$L,'1.DC_Ra soat'!$F:$F,'1.PL (VND) '!DN$4,'1.DC_Ra soat'!$I:$I,'1.BS (VND)'!$D67)</f>
        <v>0</v>
      </c>
      <c r="DA67" s="746">
        <f t="shared" si="86"/>
        <v>0</v>
      </c>
      <c r="DB67" s="746">
        <f t="shared" si="87"/>
        <v>0</v>
      </c>
      <c r="DC67" s="746">
        <f t="shared" si="88"/>
        <v>0</v>
      </c>
      <c r="DD67" s="746">
        <f t="shared" si="89"/>
        <v>0</v>
      </c>
    </row>
    <row r="68" spans="1:112" s="740" customFormat="1" x14ac:dyDescent="0.25">
      <c r="A68" s="248" t="str">
        <f t="shared" si="40"/>
        <v>hide</v>
      </c>
      <c r="C68" s="741" t="s">
        <v>401</v>
      </c>
      <c r="D68" s="742" t="s">
        <v>402</v>
      </c>
      <c r="E68" s="743"/>
      <c r="F68" s="743"/>
      <c r="G68" s="743"/>
      <c r="H68" s="744"/>
      <c r="I68" s="745"/>
      <c r="J68" s="746"/>
      <c r="K68" s="746"/>
      <c r="L68" s="746"/>
      <c r="M68" s="739">
        <v>0</v>
      </c>
      <c r="N68" s="745"/>
      <c r="O68" s="746"/>
      <c r="P68" s="746"/>
      <c r="Q68" s="746"/>
      <c r="R68" s="746"/>
      <c r="S68" s="745"/>
      <c r="T68" s="746"/>
      <c r="U68" s="746"/>
      <c r="V68" s="746"/>
      <c r="W68" s="746"/>
      <c r="X68" s="745"/>
      <c r="Y68" s="746"/>
      <c r="Z68" s="746"/>
      <c r="AA68" s="746"/>
      <c r="AB68" s="746"/>
      <c r="AC68" s="745"/>
      <c r="AD68" s="746"/>
      <c r="AE68" s="746"/>
      <c r="AF68" s="746"/>
      <c r="AG68" s="746"/>
      <c r="AI68" s="746">
        <f>SUMIFS('1.DC_Ra soat'!$L:$L,'1.DC_Ra soat'!$F:$F,AI$4,'1.DC_Ra soat'!$H:$H,'1.BS (VND)'!$D68)-SUMIFS('1.DC_Ra soat'!$L:$L,'1.DC_Ra soat'!$F:$F,AI$4,'1.DC_Ra soat'!$I:$I,'1.BS (VND)'!$D68)</f>
        <v>0</v>
      </c>
      <c r="AJ68" s="746">
        <f>SUMIFS('1.DC_Ra soat'!$L:$L,'1.DC_Ra soat'!$F:$F,AJ$4,'1.DC_Ra soat'!$H:$H,'1.BS (VND)'!$D68)-SUMIFS('1.DC_Ra soat'!$L:$L,'1.DC_Ra soat'!$F:$F,AJ$4,'1.DC_Ra soat'!$I:$I,'1.BS (VND)'!$D68)</f>
        <v>0</v>
      </c>
      <c r="AK68" s="746">
        <f>SUMIFS('1.DC_Ra soat'!$L:$L,'1.DC_Ra soat'!$F:$F,AK$4,'1.DC_Ra soat'!$H:$H,'1.BS (VND)'!$D68)-SUMIFS('1.DC_Ra soat'!$L:$L,'1.DC_Ra soat'!$F:$F,AK$4,'1.DC_Ra soat'!$I:$I,'1.BS (VND)'!$D68)</f>
        <v>0</v>
      </c>
      <c r="AL68" s="746">
        <f>SUMIFS('1.DC_Ra soat'!$L:$L,'1.DC_Ra soat'!$F:$F,AL$4,'1.DC_Ra soat'!$H:$H,'1.BS (VND)'!$D68)-SUMIFS('1.DC_Ra soat'!$L:$L,'1.DC_Ra soat'!$F:$F,AL$4,'1.DC_Ra soat'!$I:$I,'1.BS (VND)'!$D68)</f>
        <v>0</v>
      </c>
      <c r="AM68" s="745"/>
      <c r="AN68" s="746">
        <f>SUMIFS('1.DC_Ra soat'!$L:$L,'1.DC_Ra soat'!$F:$F,AN$4,'1.DC_Ra soat'!$H:$H,'1.BS (VND)'!$D68)-SUMIFS('1.DC_Ra soat'!$L:$L,'1.DC_Ra soat'!$F:$F,AN$4,'1.DC_Ra soat'!$I:$I,'1.BS (VND)'!$D68)</f>
        <v>0</v>
      </c>
      <c r="AO68" s="746">
        <f>SUMIFS('1.DC_Ra soat'!$L:$L,'1.DC_Ra soat'!$F:$F,AO$4,'1.DC_Ra soat'!$H:$H,'1.BS (VND)'!$D68)-SUMIFS('1.DC_Ra soat'!$L:$L,'1.DC_Ra soat'!$F:$F,AO$4,'1.DC_Ra soat'!$I:$I,'1.BS (VND)'!$D68)</f>
        <v>0</v>
      </c>
      <c r="AP68" s="746">
        <f>SUMIFS('1.DC_Ra soat'!$L:$L,'1.DC_Ra soat'!$F:$F,AP$4,'1.DC_Ra soat'!$H:$H,'1.BS (VND)'!$D68)-SUMIFS('1.DC_Ra soat'!$L:$L,'1.DC_Ra soat'!$F:$F,AP$4,'1.DC_Ra soat'!$I:$I,'1.BS (VND)'!$D68)</f>
        <v>0</v>
      </c>
      <c r="AQ68" s="746">
        <f>SUMIFS('1.DC_Ra soat'!$L:$L,'1.DC_Ra soat'!$F:$F,AQ$4,'1.DC_Ra soat'!$H:$H,'1.BS (VND)'!$D68)-SUMIFS('1.DC_Ra soat'!$L:$L,'1.DC_Ra soat'!$F:$F,AQ$4,'1.DC_Ra soat'!$I:$I,'1.BS (VND)'!$D68)</f>
        <v>0</v>
      </c>
      <c r="AR68" s="745"/>
      <c r="AS68" s="746">
        <f>SUMIFS('1.DC_Ra soat'!$L:$L,'1.DC_Ra soat'!$F:$F,AS$4,'1.DC_Ra soat'!$H:$H,'1.BS (VND)'!$D68)-SUMIFS('1.DC_Ra soat'!$L:$L,'1.DC_Ra soat'!$F:$F,AS$4,'1.DC_Ra soat'!$I:$I,'1.BS (VND)'!$D68)</f>
        <v>0</v>
      </c>
      <c r="AT68" s="746">
        <f>SUMIFS('1.DC_Ra soat'!$L:$L,'1.DC_Ra soat'!$F:$F,AT$4,'1.DC_Ra soat'!$H:$H,'1.BS (VND)'!$D68)-SUMIFS('1.DC_Ra soat'!$L:$L,'1.DC_Ra soat'!$F:$F,AT$4,'1.DC_Ra soat'!$I:$I,'1.BS (VND)'!$D68)</f>
        <v>0</v>
      </c>
      <c r="AU68" s="746">
        <f>SUMIFS('1.DC_Ra soat'!$L:$L,'1.DC_Ra soat'!$F:$F,AU$4,'1.DC_Ra soat'!$H:$H,'1.BS (VND)'!$D68)-SUMIFS('1.DC_Ra soat'!$L:$L,'1.DC_Ra soat'!$F:$F,AU$4,'1.DC_Ra soat'!$I:$I,'1.BS (VND)'!$D68)</f>
        <v>0</v>
      </c>
      <c r="AV68" s="746">
        <f>SUMIFS('1.DC_Ra soat'!$L:$L,'1.DC_Ra soat'!$F:$F,AV$4,'1.DC_Ra soat'!$H:$H,'1.BS (VND)'!$D68)-SUMIFS('1.DC_Ra soat'!$L:$L,'1.DC_Ra soat'!$F:$F,AV$4,'1.DC_Ra soat'!$I:$I,'1.BS (VND)'!$D68)</f>
        <v>0</v>
      </c>
      <c r="AW68" s="745"/>
      <c r="AX68" s="746">
        <f>SUMIFS('1.DC_Ra soat'!$L:$L,'1.DC_Ra soat'!$F:$F,'1.PL (VND) '!BC$4,'1.DC_Ra soat'!$H:$H,'1.BS (VND)'!$D68)-SUMIFS('1.DC_Ra soat'!$L:$L,'1.DC_Ra soat'!$F:$F,'1.PL (VND) '!BC$4,'1.DC_Ra soat'!$I:$I,'1.BS (VND)'!$D68)</f>
        <v>0</v>
      </c>
      <c r="AY68" s="746">
        <f>SUMIFS('1.DC_Ra soat'!$L:$L,'1.DC_Ra soat'!$F:$F,'1.PL (VND) '!BD$4,'1.DC_Ra soat'!$H:$H,'1.BS (VND)'!$D68)-SUMIFS('1.DC_Ra soat'!$L:$L,'1.DC_Ra soat'!$F:$F,'1.PL (VND) '!BD$4,'1.DC_Ra soat'!$I:$I,'1.BS (VND)'!$D68)</f>
        <v>0</v>
      </c>
      <c r="AZ68" s="746">
        <f>SUMIFS('1.DC_Ra soat'!$L:$L,'1.DC_Ra soat'!$F:$F,'1.PL (VND) '!BE$4,'1.DC_Ra soat'!$H:$H,'1.BS (VND)'!$D68)-SUMIFS('1.DC_Ra soat'!$L:$L,'1.DC_Ra soat'!$F:$F,'1.PL (VND) '!BE$4,'1.DC_Ra soat'!$I:$I,'1.BS (VND)'!$D68)</f>
        <v>0</v>
      </c>
      <c r="BA68" s="746">
        <f>SUMIFS('1.DC_Ra soat'!$L:$L,'1.DC_Ra soat'!$F:$F,'1.PL (VND) '!BF$4,'1.DC_Ra soat'!$H:$H,'1.BS (VND)'!$D68)-SUMIFS('1.DC_Ra soat'!$L:$L,'1.DC_Ra soat'!$F:$F,'1.PL (VND) '!BF$4,'1.DC_Ra soat'!$I:$I,'1.BS (VND)'!$D68)</f>
        <v>0</v>
      </c>
      <c r="BB68" s="745"/>
      <c r="BC68" s="746">
        <f>SUMIFS('1.DC_Ra soat'!$L:$L,'1.DC_Ra soat'!$F:$F,'1.PL (VND) '!BI$4,'1.DC_Ra soat'!$H:$H,'1.BS (VND)'!$D68)-SUMIFS('1.DC_Ra soat'!$L:$L,'1.DC_Ra soat'!$F:$F,'1.PL (VND) '!BI$4,'1.DC_Ra soat'!$I:$I,'1.BS (VND)'!$D68)</f>
        <v>0</v>
      </c>
      <c r="BD68" s="746">
        <f>SUMIFS('1.DC_Ra soat'!$L:$L,'1.DC_Ra soat'!$F:$F,'1.PL (VND) '!BJ$4,'1.DC_Ra soat'!$H:$H,'1.BS (VND)'!$D68)-SUMIFS('1.DC_Ra soat'!$L:$L,'1.DC_Ra soat'!$F:$F,'1.PL (VND) '!BJ$4,'1.DC_Ra soat'!$I:$I,'1.BS (VND)'!$D68)</f>
        <v>0</v>
      </c>
      <c r="BE68" s="746">
        <f>SUMIFS('1.DC_Ra soat'!$L:$L,'1.DC_Ra soat'!$F:$F,'1.PL (VND) '!BK$4,'1.DC_Ra soat'!$H:$H,'1.BS (VND)'!$D68)-SUMIFS('1.DC_Ra soat'!$L:$L,'1.DC_Ra soat'!$F:$F,'1.PL (VND) '!BK$4,'1.DC_Ra soat'!$I:$I,'1.BS (VND)'!$D68)</f>
        <v>0</v>
      </c>
      <c r="BF68" s="746">
        <f>SUMIFS('1.DC_Ra soat'!$L:$L,'1.DC_Ra soat'!$F:$F,'1.PL (VND) '!BL$4,'1.DC_Ra soat'!$H:$H,'1.BS (VND)'!$D68)-SUMIFS('1.DC_Ra soat'!$L:$L,'1.DC_Ra soat'!$F:$F,'1.PL (VND) '!BL$4,'1.DC_Ra soat'!$I:$I,'1.BS (VND)'!$D68)</f>
        <v>0</v>
      </c>
      <c r="BG68" s="745"/>
      <c r="BH68" s="746">
        <f>SUMIFS('1.DC_Ra soat'!$L:$L,'1.DC_Ra soat'!$F:$F,'1.PL (VND) '!BO$4,'1.DC_Ra soat'!$H:$H,'1.BS (VND)'!$D68)-SUMIFS('1.DC_Ra soat'!$L:$L,'1.DC_Ra soat'!$F:$F,'1.PL (VND) '!BO$4,'1.DC_Ra soat'!$I:$I,'1.BS (VND)'!$D68)</f>
        <v>0</v>
      </c>
      <c r="BI68" s="746">
        <f>SUMIFS('1.DC_Ra soat'!$L:$L,'1.DC_Ra soat'!$F:$F,'1.PL (VND) '!BP$4,'1.DC_Ra soat'!$H:$H,'1.BS (VND)'!$D68)-SUMIFS('1.DC_Ra soat'!$L:$L,'1.DC_Ra soat'!$F:$F,'1.PL (VND) '!BP$4,'1.DC_Ra soat'!$I:$I,'1.BS (VND)'!$D68)</f>
        <v>0</v>
      </c>
      <c r="BJ68" s="746">
        <f>SUMIFS('1.DC_Ra soat'!$L:$L,'1.DC_Ra soat'!$F:$F,'1.PL (VND) '!BQ$4,'1.DC_Ra soat'!$H:$H,'1.BS (VND)'!$D68)-SUMIFS('1.DC_Ra soat'!$L:$L,'1.DC_Ra soat'!$F:$F,'1.PL (VND) '!BQ$4,'1.DC_Ra soat'!$I:$I,'1.BS (VND)'!$D68)</f>
        <v>0</v>
      </c>
      <c r="BK68" s="746">
        <f>SUMIFS('1.DC_Ra soat'!$L:$L,'1.DC_Ra soat'!$F:$F,'1.PL (VND) '!BR$4,'1.DC_Ra soat'!$H:$H,'1.BS (VND)'!$D68)-SUMIFS('1.DC_Ra soat'!$L:$L,'1.DC_Ra soat'!$F:$F,'1.PL (VND) '!BR$4,'1.DC_Ra soat'!$I:$I,'1.BS (VND)'!$D68)</f>
        <v>0</v>
      </c>
      <c r="BM68" s="746">
        <f t="shared" si="62"/>
        <v>0</v>
      </c>
      <c r="BN68" s="746">
        <f t="shared" si="63"/>
        <v>0</v>
      </c>
      <c r="BO68" s="746">
        <f t="shared" si="64"/>
        <v>0</v>
      </c>
      <c r="BP68" s="747">
        <f t="shared" si="65"/>
        <v>0</v>
      </c>
      <c r="BQ68" s="745"/>
      <c r="BR68" s="746">
        <f t="shared" si="66"/>
        <v>0</v>
      </c>
      <c r="BS68" s="746">
        <f t="shared" si="67"/>
        <v>0</v>
      </c>
      <c r="BT68" s="746">
        <f t="shared" si="68"/>
        <v>0</v>
      </c>
      <c r="BU68" s="746">
        <f t="shared" si="69"/>
        <v>0</v>
      </c>
      <c r="BV68" s="745"/>
      <c r="BW68" s="746">
        <f t="shared" si="70"/>
        <v>0</v>
      </c>
      <c r="BX68" s="746">
        <f t="shared" si="71"/>
        <v>0</v>
      </c>
      <c r="BY68" s="746">
        <f t="shared" si="72"/>
        <v>0</v>
      </c>
      <c r="BZ68" s="747">
        <f t="shared" si="73"/>
        <v>0</v>
      </c>
      <c r="CA68" s="745"/>
      <c r="CB68" s="747">
        <f t="shared" si="74"/>
        <v>0</v>
      </c>
      <c r="CC68" s="747">
        <f t="shared" si="75"/>
        <v>0</v>
      </c>
      <c r="CD68" s="747">
        <f t="shared" si="76"/>
        <v>0</v>
      </c>
      <c r="CE68" s="747">
        <f t="shared" si="77"/>
        <v>0</v>
      </c>
      <c r="CF68" s="745"/>
      <c r="CG68" s="747">
        <f t="shared" si="78"/>
        <v>0</v>
      </c>
      <c r="CH68" s="747">
        <f t="shared" si="79"/>
        <v>0</v>
      </c>
      <c r="CI68" s="747">
        <f t="shared" si="80"/>
        <v>0</v>
      </c>
      <c r="CJ68" s="747">
        <f t="shared" si="81"/>
        <v>0</v>
      </c>
      <c r="CK68" s="745"/>
      <c r="CL68" s="746">
        <f t="shared" si="82"/>
        <v>0</v>
      </c>
      <c r="CM68" s="746">
        <f t="shared" si="83"/>
        <v>0</v>
      </c>
      <c r="CN68" s="746">
        <f t="shared" si="84"/>
        <v>0</v>
      </c>
      <c r="CO68" s="747">
        <f t="shared" si="85"/>
        <v>0</v>
      </c>
      <c r="CQ68" s="746">
        <f>SUMIF('1.PL (VND) '!$BL$6:$CD$6,'1.PL (VND) '!CP$6,$BM68:$CE68)</f>
        <v>0</v>
      </c>
      <c r="CR68" s="746">
        <f>SUMIF('1.PL (VND) '!$BL$6:$CD$6,'1.PL (VND) '!CQ$6,$BM68:$CE68)</f>
        <v>0</v>
      </c>
      <c r="CS68" s="746">
        <f>SUMIF('1.PL (VND) '!$BL$6:$CD$6,'1.PL (VND) '!CR$6,$BM68:$CE68)</f>
        <v>0</v>
      </c>
      <c r="CT68" s="746">
        <f>SUMIF('1.PL (VND) '!$BL$6:$CD$6,'1.PL (VND) '!CS$6,$BM68:$CE68)</f>
        <v>0</v>
      </c>
      <c r="CV68" s="748">
        <f>-SUMIFS('1.DC_Ra soat'!$L:$L,'1.DC_Ra soat'!$F:$F,'1.PL (VND) '!DK$4,'1.DC_Ra soat'!$H:$H,'1.BS (VND)'!$D68)+SUMIFS('1.DC_Ra soat'!$L:$L,'1.DC_Ra soat'!$F:$F,'1.PL (VND) '!DK$4,'1.DC_Ra soat'!$I:$I,'1.BS (VND)'!$D68)</f>
        <v>0</v>
      </c>
      <c r="CW68" s="748">
        <f>-SUMIFS('1.DC_Ra soat'!$L:$L,'1.DC_Ra soat'!$F:$F,'1.PL (VND) '!DL$4,'1.DC_Ra soat'!$H:$H,'1.BS (VND)'!$D68)+SUMIFS('1.DC_Ra soat'!$L:$L,'1.DC_Ra soat'!$F:$F,'1.PL (VND) '!DL$4,'1.DC_Ra soat'!$I:$I,'1.BS (VND)'!$D68)</f>
        <v>0</v>
      </c>
      <c r="CX68" s="748">
        <f>-SUMIFS('1.DC_Ra soat'!$L:$L,'1.DC_Ra soat'!$F:$F,'1.PL (VND) '!DM$4,'1.DC_Ra soat'!$H:$H,'1.BS (VND)'!$D68)+SUMIFS('1.DC_Ra soat'!$L:$L,'1.DC_Ra soat'!$F:$F,'1.PL (VND) '!DM$4,'1.DC_Ra soat'!$I:$I,'1.BS (VND)'!$D68)</f>
        <v>0</v>
      </c>
      <c r="CY68" s="748">
        <f>-SUMIFS('1.DC_Ra soat'!$L:$L,'1.DC_Ra soat'!$F:$F,'1.PL (VND) '!DN$4,'1.DC_Ra soat'!$H:$H,'1.BS (VND)'!$D68)+SUMIFS('1.DC_Ra soat'!$L:$L,'1.DC_Ra soat'!$F:$F,'1.PL (VND) '!DN$4,'1.DC_Ra soat'!$I:$I,'1.BS (VND)'!$D68)</f>
        <v>0</v>
      </c>
      <c r="DA68" s="746">
        <f t="shared" si="86"/>
        <v>0</v>
      </c>
      <c r="DB68" s="746">
        <f t="shared" si="87"/>
        <v>0</v>
      </c>
      <c r="DC68" s="746">
        <f t="shared" si="88"/>
        <v>0</v>
      </c>
      <c r="DD68" s="746">
        <f t="shared" si="89"/>
        <v>0</v>
      </c>
    </row>
    <row r="69" spans="1:112" s="740" customFormat="1" x14ac:dyDescent="0.25">
      <c r="A69" s="248" t="str">
        <f t="shared" si="40"/>
        <v>hide</v>
      </c>
      <c r="C69" s="741" t="s">
        <v>403</v>
      </c>
      <c r="D69" s="742" t="s">
        <v>404</v>
      </c>
      <c r="E69" s="743"/>
      <c r="F69" s="743"/>
      <c r="G69" s="743"/>
      <c r="H69" s="744"/>
      <c r="I69" s="745"/>
      <c r="J69" s="746"/>
      <c r="K69" s="746"/>
      <c r="L69" s="746"/>
      <c r="M69" s="739">
        <v>0</v>
      </c>
      <c r="N69" s="745"/>
      <c r="O69" s="746"/>
      <c r="P69" s="746"/>
      <c r="Q69" s="746"/>
      <c r="R69" s="746"/>
      <c r="S69" s="745"/>
      <c r="T69" s="746"/>
      <c r="U69" s="746"/>
      <c r="V69" s="746"/>
      <c r="W69" s="746"/>
      <c r="X69" s="745"/>
      <c r="Y69" s="746"/>
      <c r="Z69" s="746"/>
      <c r="AA69" s="746"/>
      <c r="AB69" s="746"/>
      <c r="AC69" s="745"/>
      <c r="AD69" s="746"/>
      <c r="AE69" s="746"/>
      <c r="AF69" s="746"/>
      <c r="AG69" s="746"/>
      <c r="AI69" s="746">
        <f>SUMIFS('1.DC_Ra soat'!$L:$L,'1.DC_Ra soat'!$F:$F,AI$4,'1.DC_Ra soat'!$H:$H,'1.BS (VND)'!$D69)-SUMIFS('1.DC_Ra soat'!$L:$L,'1.DC_Ra soat'!$F:$F,AI$4,'1.DC_Ra soat'!$I:$I,'1.BS (VND)'!$D69)</f>
        <v>0</v>
      </c>
      <c r="AJ69" s="746">
        <f>SUMIFS('1.DC_Ra soat'!$L:$L,'1.DC_Ra soat'!$F:$F,AJ$4,'1.DC_Ra soat'!$H:$H,'1.BS (VND)'!$D69)-SUMIFS('1.DC_Ra soat'!$L:$L,'1.DC_Ra soat'!$F:$F,AJ$4,'1.DC_Ra soat'!$I:$I,'1.BS (VND)'!$D69)</f>
        <v>0</v>
      </c>
      <c r="AK69" s="746">
        <f>SUMIFS('1.DC_Ra soat'!$L:$L,'1.DC_Ra soat'!$F:$F,AK$4,'1.DC_Ra soat'!$H:$H,'1.BS (VND)'!$D69)-SUMIFS('1.DC_Ra soat'!$L:$L,'1.DC_Ra soat'!$F:$F,AK$4,'1.DC_Ra soat'!$I:$I,'1.BS (VND)'!$D69)</f>
        <v>0</v>
      </c>
      <c r="AL69" s="746">
        <f>SUMIFS('1.DC_Ra soat'!$L:$L,'1.DC_Ra soat'!$F:$F,AL$4,'1.DC_Ra soat'!$H:$H,'1.BS (VND)'!$D69)-SUMIFS('1.DC_Ra soat'!$L:$L,'1.DC_Ra soat'!$F:$F,AL$4,'1.DC_Ra soat'!$I:$I,'1.BS (VND)'!$D69)</f>
        <v>0</v>
      </c>
      <c r="AM69" s="745"/>
      <c r="AN69" s="746">
        <f>SUMIFS('1.DC_Ra soat'!$L:$L,'1.DC_Ra soat'!$F:$F,AN$4,'1.DC_Ra soat'!$H:$H,'1.BS (VND)'!$D69)-SUMIFS('1.DC_Ra soat'!$L:$L,'1.DC_Ra soat'!$F:$F,AN$4,'1.DC_Ra soat'!$I:$I,'1.BS (VND)'!$D69)</f>
        <v>0</v>
      </c>
      <c r="AO69" s="746">
        <f>SUMIFS('1.DC_Ra soat'!$L:$L,'1.DC_Ra soat'!$F:$F,AO$4,'1.DC_Ra soat'!$H:$H,'1.BS (VND)'!$D69)-SUMIFS('1.DC_Ra soat'!$L:$L,'1.DC_Ra soat'!$F:$F,AO$4,'1.DC_Ra soat'!$I:$I,'1.BS (VND)'!$D69)</f>
        <v>0</v>
      </c>
      <c r="AP69" s="746">
        <f>SUMIFS('1.DC_Ra soat'!$L:$L,'1.DC_Ra soat'!$F:$F,AP$4,'1.DC_Ra soat'!$H:$H,'1.BS (VND)'!$D69)-SUMIFS('1.DC_Ra soat'!$L:$L,'1.DC_Ra soat'!$F:$F,AP$4,'1.DC_Ra soat'!$I:$I,'1.BS (VND)'!$D69)</f>
        <v>0</v>
      </c>
      <c r="AQ69" s="746">
        <f>SUMIFS('1.DC_Ra soat'!$L:$L,'1.DC_Ra soat'!$F:$F,AQ$4,'1.DC_Ra soat'!$H:$H,'1.BS (VND)'!$D69)-SUMIFS('1.DC_Ra soat'!$L:$L,'1.DC_Ra soat'!$F:$F,AQ$4,'1.DC_Ra soat'!$I:$I,'1.BS (VND)'!$D69)</f>
        <v>0</v>
      </c>
      <c r="AR69" s="745"/>
      <c r="AS69" s="746">
        <f>SUMIFS('1.DC_Ra soat'!$L:$L,'1.DC_Ra soat'!$F:$F,AS$4,'1.DC_Ra soat'!$H:$H,'1.BS (VND)'!$D69)-SUMIFS('1.DC_Ra soat'!$L:$L,'1.DC_Ra soat'!$F:$F,AS$4,'1.DC_Ra soat'!$I:$I,'1.BS (VND)'!$D69)</f>
        <v>0</v>
      </c>
      <c r="AT69" s="746">
        <f>SUMIFS('1.DC_Ra soat'!$L:$L,'1.DC_Ra soat'!$F:$F,AT$4,'1.DC_Ra soat'!$H:$H,'1.BS (VND)'!$D69)-SUMIFS('1.DC_Ra soat'!$L:$L,'1.DC_Ra soat'!$F:$F,AT$4,'1.DC_Ra soat'!$I:$I,'1.BS (VND)'!$D69)</f>
        <v>0</v>
      </c>
      <c r="AU69" s="746">
        <f>SUMIFS('1.DC_Ra soat'!$L:$L,'1.DC_Ra soat'!$F:$F,AU$4,'1.DC_Ra soat'!$H:$H,'1.BS (VND)'!$D69)-SUMIFS('1.DC_Ra soat'!$L:$L,'1.DC_Ra soat'!$F:$F,AU$4,'1.DC_Ra soat'!$I:$I,'1.BS (VND)'!$D69)</f>
        <v>0</v>
      </c>
      <c r="AV69" s="746">
        <f>SUMIFS('1.DC_Ra soat'!$L:$L,'1.DC_Ra soat'!$F:$F,AV$4,'1.DC_Ra soat'!$H:$H,'1.BS (VND)'!$D69)-SUMIFS('1.DC_Ra soat'!$L:$L,'1.DC_Ra soat'!$F:$F,AV$4,'1.DC_Ra soat'!$I:$I,'1.BS (VND)'!$D69)</f>
        <v>0</v>
      </c>
      <c r="AW69" s="745"/>
      <c r="AX69" s="746">
        <f>SUMIFS('1.DC_Ra soat'!$L:$L,'1.DC_Ra soat'!$F:$F,'1.PL (VND) '!BC$4,'1.DC_Ra soat'!$H:$H,'1.BS (VND)'!$D69)-SUMIFS('1.DC_Ra soat'!$L:$L,'1.DC_Ra soat'!$F:$F,'1.PL (VND) '!BC$4,'1.DC_Ra soat'!$I:$I,'1.BS (VND)'!$D69)</f>
        <v>0</v>
      </c>
      <c r="AY69" s="746">
        <f>SUMIFS('1.DC_Ra soat'!$L:$L,'1.DC_Ra soat'!$F:$F,'1.PL (VND) '!BD$4,'1.DC_Ra soat'!$H:$H,'1.BS (VND)'!$D69)-SUMIFS('1.DC_Ra soat'!$L:$L,'1.DC_Ra soat'!$F:$F,'1.PL (VND) '!BD$4,'1.DC_Ra soat'!$I:$I,'1.BS (VND)'!$D69)</f>
        <v>0</v>
      </c>
      <c r="AZ69" s="746">
        <f>SUMIFS('1.DC_Ra soat'!$L:$L,'1.DC_Ra soat'!$F:$F,'1.PL (VND) '!BE$4,'1.DC_Ra soat'!$H:$H,'1.BS (VND)'!$D69)-SUMIFS('1.DC_Ra soat'!$L:$L,'1.DC_Ra soat'!$F:$F,'1.PL (VND) '!BE$4,'1.DC_Ra soat'!$I:$I,'1.BS (VND)'!$D69)</f>
        <v>0</v>
      </c>
      <c r="BA69" s="746">
        <f>SUMIFS('1.DC_Ra soat'!$L:$L,'1.DC_Ra soat'!$F:$F,'1.PL (VND) '!BF$4,'1.DC_Ra soat'!$H:$H,'1.BS (VND)'!$D69)-SUMIFS('1.DC_Ra soat'!$L:$L,'1.DC_Ra soat'!$F:$F,'1.PL (VND) '!BF$4,'1.DC_Ra soat'!$I:$I,'1.BS (VND)'!$D69)</f>
        <v>0</v>
      </c>
      <c r="BB69" s="745"/>
      <c r="BC69" s="746">
        <f>SUMIFS('1.DC_Ra soat'!$L:$L,'1.DC_Ra soat'!$F:$F,'1.PL (VND) '!BI$4,'1.DC_Ra soat'!$H:$H,'1.BS (VND)'!$D69)-SUMIFS('1.DC_Ra soat'!$L:$L,'1.DC_Ra soat'!$F:$F,'1.PL (VND) '!BI$4,'1.DC_Ra soat'!$I:$I,'1.BS (VND)'!$D69)</f>
        <v>0</v>
      </c>
      <c r="BD69" s="746">
        <f>SUMIFS('1.DC_Ra soat'!$L:$L,'1.DC_Ra soat'!$F:$F,'1.PL (VND) '!BJ$4,'1.DC_Ra soat'!$H:$H,'1.BS (VND)'!$D69)-SUMIFS('1.DC_Ra soat'!$L:$L,'1.DC_Ra soat'!$F:$F,'1.PL (VND) '!BJ$4,'1.DC_Ra soat'!$I:$I,'1.BS (VND)'!$D69)</f>
        <v>0</v>
      </c>
      <c r="BE69" s="746">
        <f>SUMIFS('1.DC_Ra soat'!$L:$L,'1.DC_Ra soat'!$F:$F,'1.PL (VND) '!BK$4,'1.DC_Ra soat'!$H:$H,'1.BS (VND)'!$D69)-SUMIFS('1.DC_Ra soat'!$L:$L,'1.DC_Ra soat'!$F:$F,'1.PL (VND) '!BK$4,'1.DC_Ra soat'!$I:$I,'1.BS (VND)'!$D69)</f>
        <v>0</v>
      </c>
      <c r="BF69" s="746">
        <f>SUMIFS('1.DC_Ra soat'!$L:$L,'1.DC_Ra soat'!$F:$F,'1.PL (VND) '!BL$4,'1.DC_Ra soat'!$H:$H,'1.BS (VND)'!$D69)-SUMIFS('1.DC_Ra soat'!$L:$L,'1.DC_Ra soat'!$F:$F,'1.PL (VND) '!BL$4,'1.DC_Ra soat'!$I:$I,'1.BS (VND)'!$D69)</f>
        <v>0</v>
      </c>
      <c r="BG69" s="745"/>
      <c r="BH69" s="746">
        <f>SUMIFS('1.DC_Ra soat'!$L:$L,'1.DC_Ra soat'!$F:$F,'1.PL (VND) '!BO$4,'1.DC_Ra soat'!$H:$H,'1.BS (VND)'!$D69)-SUMIFS('1.DC_Ra soat'!$L:$L,'1.DC_Ra soat'!$F:$F,'1.PL (VND) '!BO$4,'1.DC_Ra soat'!$I:$I,'1.BS (VND)'!$D69)</f>
        <v>0</v>
      </c>
      <c r="BI69" s="746">
        <f>SUMIFS('1.DC_Ra soat'!$L:$L,'1.DC_Ra soat'!$F:$F,'1.PL (VND) '!BP$4,'1.DC_Ra soat'!$H:$H,'1.BS (VND)'!$D69)-SUMIFS('1.DC_Ra soat'!$L:$L,'1.DC_Ra soat'!$F:$F,'1.PL (VND) '!BP$4,'1.DC_Ra soat'!$I:$I,'1.BS (VND)'!$D69)</f>
        <v>0</v>
      </c>
      <c r="BJ69" s="746">
        <f>SUMIFS('1.DC_Ra soat'!$L:$L,'1.DC_Ra soat'!$F:$F,'1.PL (VND) '!BQ$4,'1.DC_Ra soat'!$H:$H,'1.BS (VND)'!$D69)-SUMIFS('1.DC_Ra soat'!$L:$L,'1.DC_Ra soat'!$F:$F,'1.PL (VND) '!BQ$4,'1.DC_Ra soat'!$I:$I,'1.BS (VND)'!$D69)</f>
        <v>0</v>
      </c>
      <c r="BK69" s="746">
        <f>SUMIFS('1.DC_Ra soat'!$L:$L,'1.DC_Ra soat'!$F:$F,'1.PL (VND) '!BR$4,'1.DC_Ra soat'!$H:$H,'1.BS (VND)'!$D69)-SUMIFS('1.DC_Ra soat'!$L:$L,'1.DC_Ra soat'!$F:$F,'1.PL (VND) '!BR$4,'1.DC_Ra soat'!$I:$I,'1.BS (VND)'!$D69)</f>
        <v>0</v>
      </c>
      <c r="BM69" s="746">
        <f t="shared" si="62"/>
        <v>0</v>
      </c>
      <c r="BN69" s="746">
        <f t="shared" si="63"/>
        <v>0</v>
      </c>
      <c r="BO69" s="746">
        <f t="shared" si="64"/>
        <v>0</v>
      </c>
      <c r="BP69" s="747">
        <f t="shared" si="65"/>
        <v>0</v>
      </c>
      <c r="BQ69" s="745"/>
      <c r="BR69" s="746">
        <f t="shared" si="66"/>
        <v>0</v>
      </c>
      <c r="BS69" s="746">
        <f t="shared" si="67"/>
        <v>0</v>
      </c>
      <c r="BT69" s="746">
        <f t="shared" si="68"/>
        <v>0</v>
      </c>
      <c r="BU69" s="746">
        <f t="shared" si="69"/>
        <v>0</v>
      </c>
      <c r="BV69" s="745"/>
      <c r="BW69" s="746">
        <f t="shared" si="70"/>
        <v>0</v>
      </c>
      <c r="BX69" s="746">
        <f t="shared" si="71"/>
        <v>0</v>
      </c>
      <c r="BY69" s="746">
        <f t="shared" si="72"/>
        <v>0</v>
      </c>
      <c r="BZ69" s="747">
        <f t="shared" si="73"/>
        <v>0</v>
      </c>
      <c r="CA69" s="745"/>
      <c r="CB69" s="747">
        <f t="shared" si="74"/>
        <v>0</v>
      </c>
      <c r="CC69" s="747">
        <f t="shared" si="75"/>
        <v>0</v>
      </c>
      <c r="CD69" s="747">
        <f t="shared" si="76"/>
        <v>0</v>
      </c>
      <c r="CE69" s="747">
        <f t="shared" si="77"/>
        <v>0</v>
      </c>
      <c r="CF69" s="745"/>
      <c r="CG69" s="747">
        <f t="shared" si="78"/>
        <v>0</v>
      </c>
      <c r="CH69" s="747">
        <f t="shared" si="79"/>
        <v>0</v>
      </c>
      <c r="CI69" s="747">
        <f t="shared" si="80"/>
        <v>0</v>
      </c>
      <c r="CJ69" s="747">
        <f t="shared" si="81"/>
        <v>0</v>
      </c>
      <c r="CK69" s="745"/>
      <c r="CL69" s="746">
        <f t="shared" si="82"/>
        <v>0</v>
      </c>
      <c r="CM69" s="746">
        <f t="shared" si="83"/>
        <v>0</v>
      </c>
      <c r="CN69" s="746">
        <f t="shared" si="84"/>
        <v>0</v>
      </c>
      <c r="CO69" s="747">
        <f t="shared" si="85"/>
        <v>0</v>
      </c>
      <c r="CQ69" s="746">
        <f>SUMIF('1.PL (VND) '!$BL$6:$CD$6,'1.PL (VND) '!CP$6,$BM69:$CE69)</f>
        <v>0</v>
      </c>
      <c r="CR69" s="746">
        <f>SUMIF('1.PL (VND) '!$BL$6:$CD$6,'1.PL (VND) '!CQ$6,$BM69:$CE69)</f>
        <v>0</v>
      </c>
      <c r="CS69" s="746">
        <f>SUMIF('1.PL (VND) '!$BL$6:$CD$6,'1.PL (VND) '!CR$6,$BM69:$CE69)</f>
        <v>0</v>
      </c>
      <c r="CT69" s="746">
        <f>SUMIF('1.PL (VND) '!$BL$6:$CD$6,'1.PL (VND) '!CS$6,$BM69:$CE69)</f>
        <v>0</v>
      </c>
      <c r="CV69" s="748">
        <f>-SUMIFS('1.DC_Ra soat'!$L:$L,'1.DC_Ra soat'!$F:$F,'1.PL (VND) '!DK$4,'1.DC_Ra soat'!$H:$H,'1.BS (VND)'!$D69)+SUMIFS('1.DC_Ra soat'!$L:$L,'1.DC_Ra soat'!$F:$F,'1.PL (VND) '!DK$4,'1.DC_Ra soat'!$I:$I,'1.BS (VND)'!$D69)</f>
        <v>0</v>
      </c>
      <c r="CW69" s="748">
        <f>-SUMIFS('1.DC_Ra soat'!$L:$L,'1.DC_Ra soat'!$F:$F,'1.PL (VND) '!DL$4,'1.DC_Ra soat'!$H:$H,'1.BS (VND)'!$D69)+SUMIFS('1.DC_Ra soat'!$L:$L,'1.DC_Ra soat'!$F:$F,'1.PL (VND) '!DL$4,'1.DC_Ra soat'!$I:$I,'1.BS (VND)'!$D69)</f>
        <v>0</v>
      </c>
      <c r="CX69" s="748">
        <f>-SUMIFS('1.DC_Ra soat'!$L:$L,'1.DC_Ra soat'!$F:$F,'1.PL (VND) '!DM$4,'1.DC_Ra soat'!$H:$H,'1.BS (VND)'!$D69)+SUMIFS('1.DC_Ra soat'!$L:$L,'1.DC_Ra soat'!$F:$F,'1.PL (VND) '!DM$4,'1.DC_Ra soat'!$I:$I,'1.BS (VND)'!$D69)</f>
        <v>0</v>
      </c>
      <c r="CY69" s="748">
        <f>-SUMIFS('1.DC_Ra soat'!$L:$L,'1.DC_Ra soat'!$F:$F,'1.PL (VND) '!DN$4,'1.DC_Ra soat'!$H:$H,'1.BS (VND)'!$D69)+SUMIFS('1.DC_Ra soat'!$L:$L,'1.DC_Ra soat'!$F:$F,'1.PL (VND) '!DN$4,'1.DC_Ra soat'!$I:$I,'1.BS (VND)'!$D69)</f>
        <v>0</v>
      </c>
      <c r="DA69" s="746">
        <f t="shared" si="86"/>
        <v>0</v>
      </c>
      <c r="DB69" s="746">
        <f t="shared" si="87"/>
        <v>0</v>
      </c>
      <c r="DC69" s="746">
        <f t="shared" si="88"/>
        <v>0</v>
      </c>
      <c r="DD69" s="746">
        <f t="shared" si="89"/>
        <v>0</v>
      </c>
      <c r="DH69" s="749"/>
    </row>
    <row r="70" spans="1:112" s="248" customFormat="1" x14ac:dyDescent="0.25">
      <c r="A70" s="248">
        <f t="shared" si="40"/>
        <v>1</v>
      </c>
      <c r="C70" s="945" t="s">
        <v>583</v>
      </c>
      <c r="D70" s="946" t="s">
        <v>405</v>
      </c>
      <c r="E70" s="947">
        <f>SUM(E34,E8)</f>
        <v>245700088600</v>
      </c>
      <c r="F70" s="947">
        <f>SUM(F34,F8)</f>
        <v>207176864135</v>
      </c>
      <c r="G70" s="947">
        <f>SUM(G34,G8)</f>
        <v>240655602853</v>
      </c>
      <c r="H70" s="948">
        <f>SUM(H34,H8)</f>
        <v>381616259283</v>
      </c>
      <c r="I70" s="230"/>
      <c r="J70" s="949">
        <f>SUM(J34,J8)</f>
        <v>4059489151</v>
      </c>
      <c r="K70" s="949">
        <f>SUM(K34,K8)</f>
        <v>53478751189</v>
      </c>
      <c r="L70" s="949">
        <f>SUM(L34,L8)</f>
        <v>87545523710</v>
      </c>
      <c r="M70" s="1041">
        <f>SUM(M34,M8)</f>
        <v>144944868935</v>
      </c>
      <c r="N70" s="230"/>
      <c r="O70" s="949">
        <f>SUM(O34,O8)</f>
        <v>57981954109</v>
      </c>
      <c r="P70" s="949">
        <f>SUM(P34,P8)</f>
        <v>32961773195</v>
      </c>
      <c r="Q70" s="949">
        <f>SUM(Q34,Q8)</f>
        <v>63544536052</v>
      </c>
      <c r="R70" s="949">
        <f>SUM(R34,R8)</f>
        <v>53962440953</v>
      </c>
      <c r="S70" s="230"/>
      <c r="T70" s="949">
        <f>SUM(T34,T8)</f>
        <v>38206005440</v>
      </c>
      <c r="U70" s="949">
        <f>SUM(U34,U8)</f>
        <v>34246112717</v>
      </c>
      <c r="V70" s="949">
        <f>SUM(V34,V8)</f>
        <v>36455182240</v>
      </c>
      <c r="W70" s="949">
        <f>SUM(W34,W8)</f>
        <v>71046960819</v>
      </c>
      <c r="X70" s="230"/>
      <c r="Y70" s="949">
        <f>SUM(Y34,Y8)</f>
        <v>0</v>
      </c>
      <c r="Z70" s="949">
        <f>SUM(Z34,Z8)</f>
        <v>0</v>
      </c>
      <c r="AA70" s="949">
        <f>SUM(AA34,AA8)</f>
        <v>0</v>
      </c>
      <c r="AB70" s="949">
        <f>SUM(AB34,AB8)</f>
        <v>0</v>
      </c>
      <c r="AC70" s="230"/>
      <c r="AD70" s="949">
        <f>SUM(AD34,AD8)</f>
        <v>0</v>
      </c>
      <c r="AE70" s="949">
        <f>SUM(AE34,AE8)</f>
        <v>0</v>
      </c>
      <c r="AF70" s="949">
        <f>SUM(AF34,AF8)</f>
        <v>0</v>
      </c>
      <c r="AG70" s="949">
        <f>SUM(AG34,AG8)</f>
        <v>0</v>
      </c>
      <c r="AI70" s="949">
        <f>SUM(AI34,AI8)</f>
        <v>0</v>
      </c>
      <c r="AJ70" s="949">
        <f>SUM(AJ34,AJ8)</f>
        <v>0</v>
      </c>
      <c r="AK70" s="949">
        <f>SUM(AK34,AK8)</f>
        <v>-10749717626</v>
      </c>
      <c r="AL70" s="949">
        <f t="shared" ref="AL70" si="123">SUM(AL34,AL8)</f>
        <v>-15373321514</v>
      </c>
      <c r="AM70" s="230"/>
      <c r="AN70" s="949">
        <f>SUM(AN34,AN8)</f>
        <v>0</v>
      </c>
      <c r="AO70" s="949">
        <f>SUM(AO34,AO8)</f>
        <v>0</v>
      </c>
      <c r="AP70" s="949">
        <f>SUM(AP34,AP8)</f>
        <v>-741540549</v>
      </c>
      <c r="AQ70" s="949">
        <f t="shared" ref="AQ70" si="124">SUM(AQ34,AQ8)</f>
        <v>-741540549</v>
      </c>
      <c r="AR70" s="230"/>
      <c r="AS70" s="949">
        <f>SUM(AS34,AS8)</f>
        <v>0</v>
      </c>
      <c r="AT70" s="949">
        <f>SUM(AT34,AT8)</f>
        <v>0</v>
      </c>
      <c r="AU70" s="949">
        <f>SUM(AU34,AU8)</f>
        <v>-846888229</v>
      </c>
      <c r="AV70" s="949">
        <f t="shared" ref="AV70:BA70" si="125">SUM(AV34,AV8)</f>
        <v>-5796888229</v>
      </c>
      <c r="AW70" s="230"/>
      <c r="AX70" s="949">
        <f t="shared" si="125"/>
        <v>0</v>
      </c>
      <c r="AY70" s="949">
        <f t="shared" si="125"/>
        <v>0</v>
      </c>
      <c r="AZ70" s="949">
        <f t="shared" si="125"/>
        <v>-1262355349</v>
      </c>
      <c r="BA70" s="949">
        <f t="shared" si="125"/>
        <v>-6262355349</v>
      </c>
      <c r="BB70" s="230"/>
      <c r="BC70" s="949">
        <f>SUM(BC34,BC8)</f>
        <v>0</v>
      </c>
      <c r="BD70" s="949">
        <f>SUM(BD34,BD8)</f>
        <v>0</v>
      </c>
      <c r="BE70" s="949">
        <f>SUM(BE34,BE8)</f>
        <v>0</v>
      </c>
      <c r="BF70" s="949">
        <f>SUM(BF34,BF8)</f>
        <v>0</v>
      </c>
      <c r="BG70" s="230"/>
      <c r="BH70" s="949">
        <f>SUM(BH34,BH8)</f>
        <v>0</v>
      </c>
      <c r="BI70" s="949">
        <f>SUM(BI34,BI8)</f>
        <v>0</v>
      </c>
      <c r="BJ70" s="949">
        <f>SUM(BJ34,BJ8)</f>
        <v>0</v>
      </c>
      <c r="BK70" s="949">
        <f t="shared" ref="BK70" si="126">SUM(BK34,BK8)</f>
        <v>0</v>
      </c>
      <c r="BM70" s="949">
        <f t="shared" si="62"/>
        <v>245700088600</v>
      </c>
      <c r="BN70" s="949">
        <f t="shared" si="63"/>
        <v>207176864135</v>
      </c>
      <c r="BO70" s="949">
        <f t="shared" si="64"/>
        <v>229905885227</v>
      </c>
      <c r="BP70" s="949">
        <f t="shared" si="65"/>
        <v>366242937769</v>
      </c>
      <c r="BQ70" s="230"/>
      <c r="BR70" s="949">
        <f t="shared" si="66"/>
        <v>4059489151</v>
      </c>
      <c r="BS70" s="949">
        <f t="shared" si="67"/>
        <v>53478751189</v>
      </c>
      <c r="BT70" s="949">
        <f t="shared" si="68"/>
        <v>86803983161</v>
      </c>
      <c r="BU70" s="949">
        <f t="shared" si="69"/>
        <v>144203328386</v>
      </c>
      <c r="BV70" s="230"/>
      <c r="BW70" s="949">
        <f t="shared" si="70"/>
        <v>57981954109</v>
      </c>
      <c r="BX70" s="949">
        <f t="shared" si="71"/>
        <v>32961773195</v>
      </c>
      <c r="BY70" s="949">
        <f t="shared" si="72"/>
        <v>62697647823</v>
      </c>
      <c r="BZ70" s="949">
        <f t="shared" si="73"/>
        <v>48165552724</v>
      </c>
      <c r="CA70" s="230"/>
      <c r="CB70" s="949">
        <f t="shared" si="74"/>
        <v>38206005440</v>
      </c>
      <c r="CC70" s="949">
        <f t="shared" si="75"/>
        <v>34246112717</v>
      </c>
      <c r="CD70" s="949">
        <f t="shared" si="76"/>
        <v>35192826891</v>
      </c>
      <c r="CE70" s="949">
        <f t="shared" si="77"/>
        <v>64784605470</v>
      </c>
      <c r="CF70" s="230"/>
      <c r="CG70" s="949">
        <f t="shared" si="78"/>
        <v>0</v>
      </c>
      <c r="CH70" s="949">
        <f t="shared" si="79"/>
        <v>0</v>
      </c>
      <c r="CI70" s="949">
        <f t="shared" si="80"/>
        <v>0</v>
      </c>
      <c r="CJ70" s="949">
        <f t="shared" si="81"/>
        <v>0</v>
      </c>
      <c r="CK70" s="230"/>
      <c r="CL70" s="949">
        <f t="shared" si="82"/>
        <v>0</v>
      </c>
      <c r="CM70" s="949">
        <f t="shared" si="83"/>
        <v>0</v>
      </c>
      <c r="CN70" s="949">
        <f t="shared" si="84"/>
        <v>0</v>
      </c>
      <c r="CO70" s="949">
        <f t="shared" si="85"/>
        <v>0</v>
      </c>
      <c r="CQ70" s="949">
        <f>SUMIF('1.PL (VND) '!$BL$6:$CD$6,'1.PL (VND) '!CP$6,$BM70:$CE70)</f>
        <v>345947537300</v>
      </c>
      <c r="CR70" s="949">
        <f>SUMIF('1.PL (VND) '!$BL$6:$CD$6,'1.PL (VND) '!CQ$6,$BM70:$CE70)</f>
        <v>327863501236</v>
      </c>
      <c r="CS70" s="949">
        <f>SUMIF('1.PL (VND) '!$BL$6:$CD$6,'1.PL (VND) '!CR$6,$BM70:$CE70)</f>
        <v>414600343102</v>
      </c>
      <c r="CT70" s="949">
        <f>SUMIF('1.PL (VND) '!$BL$6:$CD$6,'1.PL (VND) '!CS$6,$BM70:$CE70)</f>
        <v>623396424349</v>
      </c>
      <c r="CV70" s="949">
        <f>SUM(CV34,CV8)</f>
        <v>0</v>
      </c>
      <c r="CW70" s="949">
        <f>SUM(CW34,CW8)</f>
        <v>0</v>
      </c>
      <c r="CX70" s="949">
        <f>SUM(CX34,CX8)</f>
        <v>0</v>
      </c>
      <c r="CY70" s="949">
        <f t="shared" ref="CY70" si="127">SUM(CY34,CY8)</f>
        <v>0</v>
      </c>
      <c r="DA70" s="949">
        <f t="shared" si="86"/>
        <v>345947537300</v>
      </c>
      <c r="DB70" s="949">
        <f t="shared" si="87"/>
        <v>327863501236</v>
      </c>
      <c r="DC70" s="949">
        <f t="shared" si="88"/>
        <v>414600343102</v>
      </c>
      <c r="DD70" s="949">
        <f t="shared" si="89"/>
        <v>623396424349</v>
      </c>
      <c r="DH70" s="245"/>
    </row>
    <row r="71" spans="1:112" x14ac:dyDescent="0.25">
      <c r="A71" s="248" t="str">
        <f t="shared" si="40"/>
        <v>hide</v>
      </c>
      <c r="E71" s="714"/>
      <c r="F71" s="714"/>
      <c r="G71" s="714"/>
      <c r="H71" s="714"/>
      <c r="I71" s="211"/>
      <c r="M71" s="950"/>
      <c r="N71" s="211"/>
      <c r="R71" s="161"/>
      <c r="S71" s="211"/>
      <c r="W71" s="161"/>
      <c r="X71" s="211"/>
      <c r="AB71" s="161"/>
      <c r="AC71" s="211"/>
      <c r="AG71" s="161"/>
      <c r="AH71" s="213"/>
      <c r="AI71" s="161"/>
      <c r="AJ71" s="161"/>
      <c r="AK71" s="161"/>
      <c r="AL71" s="161"/>
      <c r="AM71" s="211"/>
      <c r="AQ71" s="161"/>
      <c r="AR71" s="211"/>
      <c r="AV71" s="161"/>
      <c r="AW71" s="211"/>
      <c r="AX71" s="161"/>
      <c r="AY71" s="161"/>
      <c r="AZ71" s="161"/>
      <c r="BA71" s="161"/>
      <c r="BB71" s="211"/>
      <c r="BC71" s="161"/>
      <c r="BD71" s="161"/>
      <c r="BE71" s="161"/>
      <c r="BF71" s="161"/>
      <c r="BG71" s="211"/>
      <c r="BK71" s="161"/>
      <c r="BM71" s="161">
        <f t="shared" si="62"/>
        <v>0</v>
      </c>
      <c r="BN71" s="161">
        <f t="shared" si="63"/>
        <v>0</v>
      </c>
      <c r="BO71" s="161">
        <f t="shared" si="64"/>
        <v>0</v>
      </c>
      <c r="BP71" s="166">
        <f t="shared" si="65"/>
        <v>0</v>
      </c>
      <c r="BQ71" s="211"/>
      <c r="BR71" s="161">
        <f t="shared" si="66"/>
        <v>0</v>
      </c>
      <c r="BS71" s="161">
        <f t="shared" si="67"/>
        <v>0</v>
      </c>
      <c r="BT71" s="161">
        <f t="shared" si="68"/>
        <v>0</v>
      </c>
      <c r="BU71" s="161">
        <f t="shared" si="69"/>
        <v>0</v>
      </c>
      <c r="BV71" s="211"/>
      <c r="BW71" s="161">
        <f t="shared" si="70"/>
        <v>0</v>
      </c>
      <c r="BX71" s="161">
        <f t="shared" si="71"/>
        <v>0</v>
      </c>
      <c r="BY71" s="161">
        <f t="shared" si="72"/>
        <v>0</v>
      </c>
      <c r="BZ71" s="166">
        <f t="shared" si="73"/>
        <v>0</v>
      </c>
      <c r="CA71" s="211"/>
      <c r="CB71" s="166">
        <f t="shared" si="74"/>
        <v>0</v>
      </c>
      <c r="CC71" s="166">
        <f t="shared" si="75"/>
        <v>0</v>
      </c>
      <c r="CD71" s="166">
        <f t="shared" si="76"/>
        <v>0</v>
      </c>
      <c r="CE71" s="166">
        <f t="shared" si="77"/>
        <v>0</v>
      </c>
      <c r="CF71" s="211"/>
      <c r="CG71" s="166">
        <f t="shared" si="78"/>
        <v>0</v>
      </c>
      <c r="CH71" s="166">
        <f t="shared" si="79"/>
        <v>0</v>
      </c>
      <c r="CI71" s="166">
        <f t="shared" si="80"/>
        <v>0</v>
      </c>
      <c r="CJ71" s="166">
        <f t="shared" si="81"/>
        <v>0</v>
      </c>
      <c r="CK71" s="211"/>
      <c r="CL71" s="161">
        <f t="shared" si="82"/>
        <v>0</v>
      </c>
      <c r="CM71" s="161">
        <f t="shared" si="83"/>
        <v>0</v>
      </c>
      <c r="CN71" s="161">
        <f t="shared" si="84"/>
        <v>0</v>
      </c>
      <c r="CO71" s="166">
        <f t="shared" si="85"/>
        <v>0</v>
      </c>
      <c r="CV71" s="162"/>
      <c r="CW71" s="162"/>
      <c r="CX71" s="162"/>
      <c r="CY71" s="162"/>
      <c r="DH71" s="245"/>
    </row>
    <row r="72" spans="1:112" x14ac:dyDescent="0.25">
      <c r="A72" s="248" t="str">
        <f t="shared" si="40"/>
        <v>hide</v>
      </c>
      <c r="C72" s="957" t="s">
        <v>584</v>
      </c>
      <c r="D72" s="958"/>
      <c r="E72" s="714"/>
      <c r="F72" s="714"/>
      <c r="G72" s="714"/>
      <c r="H72" s="714"/>
      <c r="I72" s="211"/>
      <c r="M72" s="950"/>
      <c r="N72" s="211"/>
      <c r="R72" s="161"/>
      <c r="S72" s="211"/>
      <c r="W72" s="161"/>
      <c r="X72" s="211"/>
      <c r="AB72" s="161"/>
      <c r="AC72" s="211"/>
      <c r="AG72" s="161"/>
      <c r="AH72" s="213"/>
      <c r="AI72" s="161"/>
      <c r="AJ72" s="161"/>
      <c r="AK72" s="161"/>
      <c r="AL72" s="161"/>
      <c r="AM72" s="211"/>
      <c r="AQ72" s="161"/>
      <c r="AR72" s="211"/>
      <c r="AV72" s="161"/>
      <c r="AW72" s="211"/>
      <c r="AX72" s="161"/>
      <c r="AY72" s="161"/>
      <c r="AZ72" s="161"/>
      <c r="BA72" s="161"/>
      <c r="BB72" s="211"/>
      <c r="BC72" s="161"/>
      <c r="BD72" s="161"/>
      <c r="BE72" s="161"/>
      <c r="BF72" s="161"/>
      <c r="BG72" s="211"/>
      <c r="BK72" s="161"/>
      <c r="BM72" s="161">
        <f t="shared" ref="BM72:BM103" si="128">E72+AI72</f>
        <v>0</v>
      </c>
      <c r="BN72" s="161">
        <f t="shared" ref="BN72:BN103" si="129">F72+AJ72</f>
        <v>0</v>
      </c>
      <c r="BO72" s="161">
        <f t="shared" ref="BO72:BO103" si="130">G72+AK72</f>
        <v>0</v>
      </c>
      <c r="BP72" s="166">
        <f t="shared" ref="BP72:BP103" si="131">H72+AL72</f>
        <v>0</v>
      </c>
      <c r="BQ72" s="211"/>
      <c r="BR72" s="161">
        <f t="shared" ref="BR72:BR103" si="132">J72+AN72</f>
        <v>0</v>
      </c>
      <c r="BS72" s="161">
        <f t="shared" ref="BS72:BS103" si="133">K72+AO72</f>
        <v>0</v>
      </c>
      <c r="BT72" s="161">
        <f t="shared" ref="BT72:BT103" si="134">L72+AP72</f>
        <v>0</v>
      </c>
      <c r="BU72" s="161">
        <f t="shared" ref="BU72:BU103" si="135">M72+AQ72</f>
        <v>0</v>
      </c>
      <c r="BV72" s="211"/>
      <c r="BW72" s="161">
        <f t="shared" ref="BW72:BW103" si="136">O72+AS72</f>
        <v>0</v>
      </c>
      <c r="BX72" s="161">
        <f t="shared" ref="BX72:BX103" si="137">P72+AT72</f>
        <v>0</v>
      </c>
      <c r="BY72" s="161">
        <f t="shared" ref="BY72:BY103" si="138">Q72+AU72</f>
        <v>0</v>
      </c>
      <c r="BZ72" s="166">
        <f t="shared" ref="BZ72:BZ103" si="139">R72+AV72</f>
        <v>0</v>
      </c>
      <c r="CA72" s="211"/>
      <c r="CB72" s="166">
        <f t="shared" ref="CB72:CB103" si="140">T72+AX72</f>
        <v>0</v>
      </c>
      <c r="CC72" s="166">
        <f t="shared" ref="CC72:CC103" si="141">U72+AY72</f>
        <v>0</v>
      </c>
      <c r="CD72" s="166">
        <f t="shared" ref="CD72:CD103" si="142">V72+AZ72</f>
        <v>0</v>
      </c>
      <c r="CE72" s="166">
        <f t="shared" ref="CE72:CE103" si="143">W72+BA72</f>
        <v>0</v>
      </c>
      <c r="CF72" s="211"/>
      <c r="CG72" s="166">
        <f t="shared" ref="CG72:CG103" si="144">Y72+BC72</f>
        <v>0</v>
      </c>
      <c r="CH72" s="166">
        <f t="shared" ref="CH72:CH103" si="145">Z72+BD72</f>
        <v>0</v>
      </c>
      <c r="CI72" s="166">
        <f t="shared" ref="CI72:CI103" si="146">AA72+BE72</f>
        <v>0</v>
      </c>
      <c r="CJ72" s="166">
        <f t="shared" ref="CJ72:CJ103" si="147">AB72+BF72</f>
        <v>0</v>
      </c>
      <c r="CK72" s="211"/>
      <c r="CL72" s="161">
        <f t="shared" ref="CL72:CL103" si="148">AD72+BH72</f>
        <v>0</v>
      </c>
      <c r="CM72" s="161">
        <f t="shared" ref="CM72:CM103" si="149">AE72+BI72</f>
        <v>0</v>
      </c>
      <c r="CN72" s="161">
        <f t="shared" ref="CN72:CN103" si="150">AF72+BJ72</f>
        <v>0</v>
      </c>
      <c r="CO72" s="166">
        <f t="shared" ref="CO72:CO103" si="151">AG72+BK72</f>
        <v>0</v>
      </c>
      <c r="CV72" s="162"/>
      <c r="CW72" s="162"/>
      <c r="CX72" s="162"/>
      <c r="CY72" s="162"/>
      <c r="DH72" s="245"/>
    </row>
    <row r="73" spans="1:112" s="248" customFormat="1" x14ac:dyDescent="0.25">
      <c r="A73" s="248">
        <f t="shared" si="40"/>
        <v>1</v>
      </c>
      <c r="C73" s="951" t="s">
        <v>585</v>
      </c>
      <c r="D73" s="952" t="s">
        <v>406</v>
      </c>
      <c r="E73" s="953">
        <f>E74+E89</f>
        <v>215830260618</v>
      </c>
      <c r="F73" s="953">
        <f>F74+F89</f>
        <v>177556001699</v>
      </c>
      <c r="G73" s="953">
        <f>G74+G89</f>
        <v>190848072093</v>
      </c>
      <c r="H73" s="954">
        <f>H74+H89</f>
        <v>313971622597</v>
      </c>
      <c r="I73" s="230"/>
      <c r="J73" s="955">
        <f>J74+J89</f>
        <v>0</v>
      </c>
      <c r="K73" s="955">
        <f>K74+K89</f>
        <v>39270789405</v>
      </c>
      <c r="L73" s="955">
        <f>L74+L89</f>
        <v>78631156178</v>
      </c>
      <c r="M73" s="955">
        <f>M74+M89</f>
        <v>105287991679</v>
      </c>
      <c r="N73" s="230"/>
      <c r="O73" s="955">
        <f>O74+O89</f>
        <v>54588717569</v>
      </c>
      <c r="P73" s="955">
        <f>P74+P89</f>
        <v>29628812797</v>
      </c>
      <c r="Q73" s="955">
        <f>Q74+Q89</f>
        <v>49182428264</v>
      </c>
      <c r="R73" s="955">
        <f>R74+R89</f>
        <v>43049801708</v>
      </c>
      <c r="S73" s="230"/>
      <c r="T73" s="955">
        <f>T74+T89</f>
        <v>20511989049</v>
      </c>
      <c r="U73" s="955">
        <f>U74+U89</f>
        <v>16531135185</v>
      </c>
      <c r="V73" s="955">
        <f>V74+V89</f>
        <v>20678767090</v>
      </c>
      <c r="W73" s="955">
        <f>W74+W89</f>
        <v>57247692966</v>
      </c>
      <c r="X73" s="230"/>
      <c r="Y73" s="955">
        <f>Y74+Y89</f>
        <v>0</v>
      </c>
      <c r="Z73" s="955">
        <f>Z74+Z89</f>
        <v>0</v>
      </c>
      <c r="AA73" s="955">
        <f>AA74+AA89</f>
        <v>0</v>
      </c>
      <c r="AB73" s="955">
        <f>AB74+AB89</f>
        <v>0</v>
      </c>
      <c r="AC73" s="959"/>
      <c r="AD73" s="955">
        <f>AD74+AD89</f>
        <v>0</v>
      </c>
      <c r="AE73" s="955">
        <f>AE74+AE89</f>
        <v>0</v>
      </c>
      <c r="AF73" s="955">
        <f>AF74+AF89</f>
        <v>0</v>
      </c>
      <c r="AG73" s="955">
        <f>AG74+AG89</f>
        <v>0</v>
      </c>
      <c r="AI73" s="956">
        <f>AI74+AI89</f>
        <v>0</v>
      </c>
      <c r="AJ73" s="956">
        <f>AJ74+AJ89</f>
        <v>0</v>
      </c>
      <c r="AK73" s="956">
        <f>AK74+AK89</f>
        <v>0</v>
      </c>
      <c r="AL73" s="956">
        <f t="shared" ref="AL73" si="152">AL74+AL89</f>
        <v>0</v>
      </c>
      <c r="AM73" s="230"/>
      <c r="AN73" s="956">
        <f>AN74+AN89</f>
        <v>0</v>
      </c>
      <c r="AO73" s="956">
        <f>AO74+AO89</f>
        <v>0</v>
      </c>
      <c r="AP73" s="956">
        <f>AP74+AP89</f>
        <v>0</v>
      </c>
      <c r="AQ73" s="956">
        <f t="shared" ref="AQ73" si="153">AQ74+AQ89</f>
        <v>0</v>
      </c>
      <c r="AR73" s="230"/>
      <c r="AS73" s="956">
        <f>AS74+AS89</f>
        <v>0</v>
      </c>
      <c r="AT73" s="956">
        <f>AT74+AT89</f>
        <v>0</v>
      </c>
      <c r="AU73" s="956">
        <f>AU74+AU89</f>
        <v>0</v>
      </c>
      <c r="AV73" s="956">
        <f t="shared" ref="AV73" si="154">AV74+AV89</f>
        <v>0</v>
      </c>
      <c r="AW73" s="230"/>
      <c r="AX73" s="956">
        <f>AX74+AX89</f>
        <v>0</v>
      </c>
      <c r="AY73" s="956">
        <f>AY74+AY89</f>
        <v>0</v>
      </c>
      <c r="AZ73" s="956">
        <f>AZ74+AZ89</f>
        <v>0</v>
      </c>
      <c r="BA73" s="956">
        <f>BA74+BA89</f>
        <v>0</v>
      </c>
      <c r="BB73" s="230"/>
      <c r="BC73" s="956">
        <f>BC74+BC89</f>
        <v>0</v>
      </c>
      <c r="BD73" s="956">
        <f>BD74+BD89</f>
        <v>0</v>
      </c>
      <c r="BE73" s="956">
        <f>BE74+BE89</f>
        <v>0</v>
      </c>
      <c r="BF73" s="956">
        <f>BF74+BF89</f>
        <v>0</v>
      </c>
      <c r="BG73" s="230"/>
      <c r="BH73" s="956">
        <f>BH74+BH89</f>
        <v>0</v>
      </c>
      <c r="BI73" s="956">
        <f>BI74+BI89</f>
        <v>0</v>
      </c>
      <c r="BJ73" s="956">
        <f>BJ74+BJ89</f>
        <v>0</v>
      </c>
      <c r="BK73" s="956">
        <f t="shared" ref="BK73" si="155">BK74+BK89</f>
        <v>0</v>
      </c>
      <c r="BM73" s="955">
        <f t="shared" si="128"/>
        <v>215830260618</v>
      </c>
      <c r="BN73" s="955">
        <f t="shared" si="129"/>
        <v>177556001699</v>
      </c>
      <c r="BO73" s="955">
        <f t="shared" si="130"/>
        <v>190848072093</v>
      </c>
      <c r="BP73" s="955">
        <f t="shared" si="131"/>
        <v>313971622597</v>
      </c>
      <c r="BQ73" s="230"/>
      <c r="BR73" s="955">
        <f t="shared" si="132"/>
        <v>0</v>
      </c>
      <c r="BS73" s="955">
        <f t="shared" si="133"/>
        <v>39270789405</v>
      </c>
      <c r="BT73" s="955">
        <f t="shared" si="134"/>
        <v>78631156178</v>
      </c>
      <c r="BU73" s="955">
        <f t="shared" si="135"/>
        <v>105287991679</v>
      </c>
      <c r="BV73" s="230"/>
      <c r="BW73" s="955">
        <f t="shared" si="136"/>
        <v>54588717569</v>
      </c>
      <c r="BX73" s="955">
        <f t="shared" si="137"/>
        <v>29628812797</v>
      </c>
      <c r="BY73" s="955">
        <f t="shared" si="138"/>
        <v>49182428264</v>
      </c>
      <c r="BZ73" s="955">
        <f t="shared" si="139"/>
        <v>43049801708</v>
      </c>
      <c r="CA73" s="230"/>
      <c r="CB73" s="955">
        <f t="shared" si="140"/>
        <v>20511989049</v>
      </c>
      <c r="CC73" s="955">
        <f t="shared" si="141"/>
        <v>16531135185</v>
      </c>
      <c r="CD73" s="955">
        <f t="shared" si="142"/>
        <v>20678767090</v>
      </c>
      <c r="CE73" s="955">
        <f t="shared" si="143"/>
        <v>57247692966</v>
      </c>
      <c r="CF73" s="230"/>
      <c r="CG73" s="955">
        <f t="shared" si="144"/>
        <v>0</v>
      </c>
      <c r="CH73" s="955">
        <f t="shared" si="145"/>
        <v>0</v>
      </c>
      <c r="CI73" s="955">
        <f t="shared" si="146"/>
        <v>0</v>
      </c>
      <c r="CJ73" s="955">
        <f t="shared" si="147"/>
        <v>0</v>
      </c>
      <c r="CK73" s="230"/>
      <c r="CL73" s="955">
        <f t="shared" si="148"/>
        <v>0</v>
      </c>
      <c r="CM73" s="955">
        <f t="shared" si="149"/>
        <v>0</v>
      </c>
      <c r="CN73" s="955">
        <f t="shared" si="150"/>
        <v>0</v>
      </c>
      <c r="CO73" s="955">
        <f t="shared" si="151"/>
        <v>0</v>
      </c>
      <c r="CQ73" s="955">
        <f>SUMIF('1.PL (VND) '!$BL$6:$CD$6,'1.PL (VND) '!CP$6,$BM73:$CE73)</f>
        <v>290930967236</v>
      </c>
      <c r="CR73" s="955">
        <f>SUMIF('1.PL (VND) '!$BL$6:$CD$6,'1.PL (VND) '!CQ$6,$BM73:$CE73)</f>
        <v>262986739086</v>
      </c>
      <c r="CS73" s="955">
        <f>SUMIF('1.PL (VND) '!$BL$6:$CD$6,'1.PL (VND) '!CR$6,$BM73:$CE73)</f>
        <v>339340423625</v>
      </c>
      <c r="CT73" s="955">
        <f>SUMIF('1.PL (VND) '!$BL$6:$CD$6,'1.PL (VND) '!CS$6,$BM73:$CE73)</f>
        <v>519557108950</v>
      </c>
      <c r="CV73" s="955">
        <f>CV74+CV89</f>
        <v>0</v>
      </c>
      <c r="CW73" s="955">
        <f>CW74+CW89</f>
        <v>0</v>
      </c>
      <c r="CX73" s="955">
        <f t="shared" ref="CX73:CY73" si="156">CX74+CX89</f>
        <v>0</v>
      </c>
      <c r="CY73" s="955">
        <f t="shared" si="156"/>
        <v>0</v>
      </c>
      <c r="CZ73" s="960"/>
      <c r="DA73" s="955">
        <f t="shared" ref="DA73:DA104" si="157">CQ73+CV73</f>
        <v>290930967236</v>
      </c>
      <c r="DB73" s="955">
        <f t="shared" ref="DB73:DB104" si="158">CR73+CW73</f>
        <v>262986739086</v>
      </c>
      <c r="DC73" s="955">
        <f t="shared" ref="DC73:DC104" si="159">CS73+CX73</f>
        <v>339340423625</v>
      </c>
      <c r="DD73" s="955">
        <f t="shared" ref="DD73:DD104" si="160">CT73+CY73</f>
        <v>519557108950</v>
      </c>
      <c r="DH73" s="245"/>
    </row>
    <row r="74" spans="1:112" s="248" customFormat="1" x14ac:dyDescent="0.25">
      <c r="A74" s="248">
        <f t="shared" si="40"/>
        <v>1</v>
      </c>
      <c r="C74" s="259" t="s">
        <v>407</v>
      </c>
      <c r="D74" s="260" t="s">
        <v>408</v>
      </c>
      <c r="E74" s="719">
        <f>SUM(E75:E88)</f>
        <v>215830260618</v>
      </c>
      <c r="F74" s="719">
        <f>SUM(F75:F88)</f>
        <v>177556001699</v>
      </c>
      <c r="G74" s="719">
        <f>SUM(G75:G88)</f>
        <v>190848072093</v>
      </c>
      <c r="H74" s="720">
        <f>H75+H76+H77+H78+H79+H80+H81+H82+H83+H84+H85+H86+H87+H88</f>
        <v>305280372595</v>
      </c>
      <c r="I74" s="230"/>
      <c r="J74" s="241">
        <f>SUM(J75:J88)</f>
        <v>0</v>
      </c>
      <c r="K74" s="241">
        <f>SUM(K75:K88)</f>
        <v>39270789405</v>
      </c>
      <c r="L74" s="241">
        <f>SUM(L75:L88)</f>
        <v>78631156178</v>
      </c>
      <c r="M74" s="241">
        <f>SUM(M75:M88)</f>
        <v>84293834983</v>
      </c>
      <c r="N74" s="230"/>
      <c r="O74" s="241">
        <f>SUM(O75:O88)</f>
        <v>54588717569</v>
      </c>
      <c r="P74" s="241">
        <f>SUM(P75:P88)</f>
        <v>29628812797</v>
      </c>
      <c r="Q74" s="241">
        <f>SUM(Q75:Q88)</f>
        <v>49182428264</v>
      </c>
      <c r="R74" s="241">
        <f>SUM(R75:R88)</f>
        <v>40809801708</v>
      </c>
      <c r="S74" s="230"/>
      <c r="T74" s="241">
        <f>SUM(T75:T88)</f>
        <v>20511989049</v>
      </c>
      <c r="U74" s="241">
        <f>SUM(U75:U88)</f>
        <v>16531135185</v>
      </c>
      <c r="V74" s="241">
        <f>SUM(V75:V88)</f>
        <v>20678767090</v>
      </c>
      <c r="W74" s="241">
        <f>SUM(W75:W88)</f>
        <v>57247692966</v>
      </c>
      <c r="X74" s="230"/>
      <c r="Y74" s="241">
        <f>SUM(Y75:Y88)</f>
        <v>0</v>
      </c>
      <c r="Z74" s="241">
        <f>SUM(Z75:Z88)</f>
        <v>0</v>
      </c>
      <c r="AA74" s="241">
        <f>SUM(AA75:AA88)</f>
        <v>0</v>
      </c>
      <c r="AB74" s="241">
        <f>SUM(AB75:AB88)</f>
        <v>0</v>
      </c>
      <c r="AC74" s="230"/>
      <c r="AD74" s="241">
        <f>SUM(AD75:AD88)</f>
        <v>0</v>
      </c>
      <c r="AE74" s="241">
        <f>SUM(AE75:AE88)</f>
        <v>0</v>
      </c>
      <c r="AF74" s="241">
        <f>SUM(AF75:AF88)</f>
        <v>0</v>
      </c>
      <c r="AG74" s="241">
        <f>SUM(AG75:AG88)</f>
        <v>0</v>
      </c>
      <c r="AI74" s="249">
        <f>SUM(AI75:AI88)</f>
        <v>0</v>
      </c>
      <c r="AJ74" s="249">
        <f>SUM(AJ75:AJ88)</f>
        <v>0</v>
      </c>
      <c r="AK74" s="249">
        <f>SUM(AK75:AK88)</f>
        <v>0</v>
      </c>
      <c r="AL74" s="249">
        <f t="shared" ref="AL74" si="161">SUM(AL75:AL88)</f>
        <v>0</v>
      </c>
      <c r="AM74" s="230"/>
      <c r="AN74" s="249">
        <f>SUM(AN75:AN88)</f>
        <v>0</v>
      </c>
      <c r="AO74" s="249">
        <f>SUM(AO75:AO88)</f>
        <v>0</v>
      </c>
      <c r="AP74" s="249">
        <f>SUM(AP75:AP88)</f>
        <v>0</v>
      </c>
      <c r="AQ74" s="249">
        <f t="shared" ref="AQ74" si="162">SUM(AQ75:AQ88)</f>
        <v>0</v>
      </c>
      <c r="AR74" s="230"/>
      <c r="AS74" s="249">
        <f>SUM(AS75:AS88)</f>
        <v>0</v>
      </c>
      <c r="AT74" s="249">
        <f>SUM(AT75:AT88)</f>
        <v>0</v>
      </c>
      <c r="AU74" s="249">
        <f>SUM(AU75:AU88)</f>
        <v>0</v>
      </c>
      <c r="AV74" s="249">
        <f t="shared" ref="AV74" si="163">SUM(AV75:AV88)</f>
        <v>0</v>
      </c>
      <c r="AW74" s="230"/>
      <c r="AX74" s="249">
        <f>SUM(AX75:AX88)</f>
        <v>0</v>
      </c>
      <c r="AY74" s="249">
        <f>SUM(AY75:AY88)</f>
        <v>0</v>
      </c>
      <c r="AZ74" s="249">
        <f>SUM(AZ75:AZ88)</f>
        <v>0</v>
      </c>
      <c r="BA74" s="249">
        <f>SUM(BA75:BA88)</f>
        <v>0</v>
      </c>
      <c r="BB74" s="230"/>
      <c r="BC74" s="249">
        <f>SUM(BC75:BC88)</f>
        <v>0</v>
      </c>
      <c r="BD74" s="249">
        <f>SUM(BD75:BD88)</f>
        <v>0</v>
      </c>
      <c r="BE74" s="249">
        <f>SUM(BE75:BE88)</f>
        <v>0</v>
      </c>
      <c r="BF74" s="249">
        <f>SUM(BF75:BF88)</f>
        <v>0</v>
      </c>
      <c r="BG74" s="230"/>
      <c r="BH74" s="249">
        <f>SUM(BH75:BH88)</f>
        <v>0</v>
      </c>
      <c r="BI74" s="249">
        <f>SUM(BI75:BI88)</f>
        <v>0</v>
      </c>
      <c r="BJ74" s="249">
        <f>SUM(BJ75:BJ88)</f>
        <v>0</v>
      </c>
      <c r="BK74" s="249">
        <f t="shared" ref="BK74" si="164">SUM(BK75:BK88)</f>
        <v>0</v>
      </c>
      <c r="BM74" s="241">
        <f t="shared" si="128"/>
        <v>215830260618</v>
      </c>
      <c r="BN74" s="241">
        <f t="shared" si="129"/>
        <v>177556001699</v>
      </c>
      <c r="BO74" s="241">
        <f t="shared" si="130"/>
        <v>190848072093</v>
      </c>
      <c r="BP74" s="241">
        <f t="shared" si="131"/>
        <v>305280372595</v>
      </c>
      <c r="BQ74" s="230"/>
      <c r="BR74" s="241">
        <f t="shared" si="132"/>
        <v>0</v>
      </c>
      <c r="BS74" s="241">
        <f t="shared" si="133"/>
        <v>39270789405</v>
      </c>
      <c r="BT74" s="241">
        <f t="shared" si="134"/>
        <v>78631156178</v>
      </c>
      <c r="BU74" s="241">
        <f t="shared" si="135"/>
        <v>84293834983</v>
      </c>
      <c r="BV74" s="230"/>
      <c r="BW74" s="241">
        <f t="shared" si="136"/>
        <v>54588717569</v>
      </c>
      <c r="BX74" s="241">
        <f t="shared" si="137"/>
        <v>29628812797</v>
      </c>
      <c r="BY74" s="241">
        <f t="shared" si="138"/>
        <v>49182428264</v>
      </c>
      <c r="BZ74" s="241">
        <f t="shared" si="139"/>
        <v>40809801708</v>
      </c>
      <c r="CA74" s="230"/>
      <c r="CB74" s="241">
        <f t="shared" si="140"/>
        <v>20511989049</v>
      </c>
      <c r="CC74" s="241">
        <f t="shared" si="141"/>
        <v>16531135185</v>
      </c>
      <c r="CD74" s="241">
        <f t="shared" si="142"/>
        <v>20678767090</v>
      </c>
      <c r="CE74" s="241">
        <f t="shared" si="143"/>
        <v>57247692966</v>
      </c>
      <c r="CF74" s="230"/>
      <c r="CG74" s="241">
        <f t="shared" si="144"/>
        <v>0</v>
      </c>
      <c r="CH74" s="241">
        <f t="shared" si="145"/>
        <v>0</v>
      </c>
      <c r="CI74" s="241">
        <f t="shared" si="146"/>
        <v>0</v>
      </c>
      <c r="CJ74" s="241">
        <f t="shared" si="147"/>
        <v>0</v>
      </c>
      <c r="CK74" s="230"/>
      <c r="CL74" s="241">
        <f t="shared" si="148"/>
        <v>0</v>
      </c>
      <c r="CM74" s="241">
        <f t="shared" si="149"/>
        <v>0</v>
      </c>
      <c r="CN74" s="241">
        <f t="shared" si="150"/>
        <v>0</v>
      </c>
      <c r="CO74" s="241">
        <f t="shared" si="151"/>
        <v>0</v>
      </c>
      <c r="CQ74" s="241">
        <f>SUMIF('1.PL (VND) '!$BL$6:$CD$6,'1.PL (VND) '!CP$6,$BM74:$CE74)</f>
        <v>290930967236</v>
      </c>
      <c r="CR74" s="241">
        <f>SUMIF('1.PL (VND) '!$BL$6:$CD$6,'1.PL (VND) '!CQ$6,$BM74:$CE74)</f>
        <v>262986739086</v>
      </c>
      <c r="CS74" s="241">
        <f>SUMIF('1.PL (VND) '!$BL$6:$CD$6,'1.PL (VND) '!CR$6,$BM74:$CE74)</f>
        <v>339340423625</v>
      </c>
      <c r="CT74" s="241">
        <f>SUMIF('1.PL (VND) '!$BL$6:$CD$6,'1.PL (VND) '!CS$6,$BM74:$CE74)</f>
        <v>487631702252</v>
      </c>
      <c r="CV74" s="241">
        <f>SUM(CV75:CV88)</f>
        <v>0</v>
      </c>
      <c r="CW74" s="241">
        <f>SUM(CW75:CW88)</f>
        <v>0</v>
      </c>
      <c r="CX74" s="241">
        <f t="shared" ref="CX74:CY74" si="165">SUM(CX75:CX88)</f>
        <v>0</v>
      </c>
      <c r="CY74" s="241">
        <f t="shared" si="165"/>
        <v>0</v>
      </c>
      <c r="DA74" s="241">
        <f t="shared" si="157"/>
        <v>290930967236</v>
      </c>
      <c r="DB74" s="241">
        <f t="shared" si="158"/>
        <v>262986739086</v>
      </c>
      <c r="DC74" s="241">
        <f t="shared" si="159"/>
        <v>339340423625</v>
      </c>
      <c r="DD74" s="241">
        <f t="shared" si="160"/>
        <v>487631702252</v>
      </c>
      <c r="DH74" s="245"/>
    </row>
    <row r="75" spans="1:112" s="740" customFormat="1" x14ac:dyDescent="0.25">
      <c r="A75" s="248">
        <f t="shared" ref="A75:A124" si="166">IF(SUM(E75:DD75)&lt;&gt;0,1,"hide")</f>
        <v>1</v>
      </c>
      <c r="C75" s="741" t="s">
        <v>409</v>
      </c>
      <c r="D75" s="742" t="s">
        <v>410</v>
      </c>
      <c r="E75" s="743">
        <v>25182752794</v>
      </c>
      <c r="F75" s="743">
        <v>29417462759</v>
      </c>
      <c r="G75" s="743">
        <v>17241856769</v>
      </c>
      <c r="H75" s="744">
        <v>113031685628</v>
      </c>
      <c r="I75" s="745"/>
      <c r="J75" s="746"/>
      <c r="K75" s="746">
        <v>10304978095</v>
      </c>
      <c r="L75" s="746">
        <v>44818318389</v>
      </c>
      <c r="M75" s="739">
        <v>71687454236</v>
      </c>
      <c r="N75" s="745"/>
      <c r="O75" s="746">
        <v>11999970290</v>
      </c>
      <c r="P75" s="746">
        <v>4994536995</v>
      </c>
      <c r="Q75" s="746">
        <v>17744821596</v>
      </c>
      <c r="R75" s="746">
        <v>13291862806</v>
      </c>
      <c r="S75" s="745"/>
      <c r="T75" s="746">
        <v>3900484325</v>
      </c>
      <c r="U75" s="746">
        <v>667790476</v>
      </c>
      <c r="V75" s="746">
        <v>1417392206</v>
      </c>
      <c r="W75" s="746">
        <v>6934955639</v>
      </c>
      <c r="X75" s="745"/>
      <c r="Y75" s="746"/>
      <c r="Z75" s="746"/>
      <c r="AA75" s="746"/>
      <c r="AB75" s="746"/>
      <c r="AC75" s="745"/>
      <c r="AD75" s="746"/>
      <c r="AE75" s="746"/>
      <c r="AF75" s="746"/>
      <c r="AG75" s="746"/>
      <c r="AI75" s="746">
        <f>-SUMIFS('1.DC_Ra soat'!$L:$L,'1.DC_Ra soat'!$F:$F,AI$4,'1.DC_Ra soat'!$H:$H,'1.BS (VND)'!$D75)+SUMIFS('1.DC_Ra soat'!$L:$L,'1.DC_Ra soat'!$F:$F,AI$4,'1.DC_Ra soat'!$I:$I,'1.BS (VND)'!$D75)</f>
        <v>0</v>
      </c>
      <c r="AJ75" s="746">
        <f>-SUMIFS('1.DC_Ra soat'!$L:$L,'1.DC_Ra soat'!$F:$F,AJ$4,'1.DC_Ra soat'!$H:$H,'1.BS (VND)'!$D75)+SUMIFS('1.DC_Ra soat'!$L:$L,'1.DC_Ra soat'!$F:$F,AJ$4,'1.DC_Ra soat'!$I:$I,'1.BS (VND)'!$D75)</f>
        <v>0</v>
      </c>
      <c r="AK75" s="746">
        <f>-SUMIFS('1.DC_Ra soat'!$L:$L,'1.DC_Ra soat'!$F:$F,AK$4,'1.DC_Ra soat'!$H:$H,'1.BS (VND)'!$D75)+SUMIFS('1.DC_Ra soat'!$L:$L,'1.DC_Ra soat'!$F:$F,AK$4,'1.DC_Ra soat'!$I:$I,'1.BS (VND)'!$D75)</f>
        <v>0</v>
      </c>
      <c r="AL75" s="746">
        <f>-SUMIFS('1.DC_Ra soat'!$L:$L,'1.DC_Ra soat'!$F:$F,AL$4,'1.DC_Ra soat'!$H:$H,'1.BS (VND)'!$D75)+SUMIFS('1.DC_Ra soat'!$L:$L,'1.DC_Ra soat'!$F:$F,AL$4,'1.DC_Ra soat'!$I:$I,'1.BS (VND)'!$D75)</f>
        <v>0</v>
      </c>
      <c r="AM75" s="745"/>
      <c r="AN75" s="746">
        <f>-SUMIFS('1.DC_Ra soat'!$L:$L,'1.DC_Ra soat'!$F:$F,AN$4,'1.DC_Ra soat'!$H:$H,'1.BS (VND)'!$D75)+SUMIFS('1.DC_Ra soat'!$L:$L,'1.DC_Ra soat'!$F:$F,AN$4,'1.DC_Ra soat'!$I:$I,'1.BS (VND)'!$D75)</f>
        <v>0</v>
      </c>
      <c r="AO75" s="746">
        <f>-SUMIFS('1.DC_Ra soat'!$L:$L,'1.DC_Ra soat'!$F:$F,AO$4,'1.DC_Ra soat'!$H:$H,'1.BS (VND)'!$D75)+SUMIFS('1.DC_Ra soat'!$L:$L,'1.DC_Ra soat'!$F:$F,AO$4,'1.DC_Ra soat'!$I:$I,'1.BS (VND)'!$D75)</f>
        <v>0</v>
      </c>
      <c r="AP75" s="746">
        <f>-SUMIFS('1.DC_Ra soat'!$L:$L,'1.DC_Ra soat'!$F:$F,AP$4,'1.DC_Ra soat'!$H:$H,'1.BS (VND)'!$D75)+SUMIFS('1.DC_Ra soat'!$L:$L,'1.DC_Ra soat'!$F:$F,AP$4,'1.DC_Ra soat'!$I:$I,'1.BS (VND)'!$D75)</f>
        <v>0</v>
      </c>
      <c r="AQ75" s="746">
        <f>-SUMIFS('1.DC_Ra soat'!$L:$L,'1.DC_Ra soat'!$F:$F,AQ$4,'1.DC_Ra soat'!$H:$H,'1.BS (VND)'!$D75)+SUMIFS('1.DC_Ra soat'!$L:$L,'1.DC_Ra soat'!$F:$F,AQ$4,'1.DC_Ra soat'!$I:$I,'1.BS (VND)'!$D75)</f>
        <v>0</v>
      </c>
      <c r="AR75" s="745"/>
      <c r="AS75" s="746">
        <f>-SUMIFS('1.DC_Ra soat'!$L:$L,'1.DC_Ra soat'!$F:$F,AS$4,'1.DC_Ra soat'!$H:$H,'1.BS (VND)'!$D75)+SUMIFS('1.DC_Ra soat'!$L:$L,'1.DC_Ra soat'!$F:$F,AS$4,'1.DC_Ra soat'!$I:$I,'1.BS (VND)'!$D75)</f>
        <v>0</v>
      </c>
      <c r="AT75" s="746">
        <f>-SUMIFS('1.DC_Ra soat'!$L:$L,'1.DC_Ra soat'!$F:$F,AT$4,'1.DC_Ra soat'!$H:$H,'1.BS (VND)'!$D75)+SUMIFS('1.DC_Ra soat'!$L:$L,'1.DC_Ra soat'!$F:$F,AT$4,'1.DC_Ra soat'!$I:$I,'1.BS (VND)'!$D75)</f>
        <v>0</v>
      </c>
      <c r="AU75" s="746">
        <f>-SUMIFS('1.DC_Ra soat'!$L:$L,'1.DC_Ra soat'!$F:$F,AU$4,'1.DC_Ra soat'!$H:$H,'1.BS (VND)'!$D75)+SUMIFS('1.DC_Ra soat'!$L:$L,'1.DC_Ra soat'!$F:$F,AU$4,'1.DC_Ra soat'!$I:$I,'1.BS (VND)'!$D75)</f>
        <v>0</v>
      </c>
      <c r="AV75" s="746">
        <f>-SUMIFS('1.DC_Ra soat'!$L:$L,'1.DC_Ra soat'!$F:$F,AV$4,'1.DC_Ra soat'!$H:$H,'1.BS (VND)'!$D75)+SUMIFS('1.DC_Ra soat'!$L:$L,'1.DC_Ra soat'!$F:$F,AV$4,'1.DC_Ra soat'!$I:$I,'1.BS (VND)'!$D75)</f>
        <v>0</v>
      </c>
      <c r="AW75" s="745"/>
      <c r="AX75" s="746">
        <f>-SUMIFS('1.DC_Ra soat'!$L:$L,'1.DC_Ra soat'!$F:$F,AX$4,'1.DC_Ra soat'!$H:$H,'1.BS (VND)'!$D75)+SUMIFS('1.DC_Ra soat'!$L:$L,'1.DC_Ra soat'!$F:$F,AX$4,'1.DC_Ra soat'!$I:$I,'1.BS (VND)'!$D75)</f>
        <v>0</v>
      </c>
      <c r="AY75" s="746">
        <f>-SUMIFS('1.DC_Ra soat'!$L:$L,'1.DC_Ra soat'!$F:$F,AY$4,'1.DC_Ra soat'!$H:$H,'1.BS (VND)'!$D75)+SUMIFS('1.DC_Ra soat'!$L:$L,'1.DC_Ra soat'!$F:$F,AY$4,'1.DC_Ra soat'!$I:$I,'1.BS (VND)'!$D75)</f>
        <v>0</v>
      </c>
      <c r="AZ75" s="746">
        <f>-SUMIFS('1.DC_Ra soat'!$L:$L,'1.DC_Ra soat'!$F:$F,AZ$4,'1.DC_Ra soat'!$H:$H,'1.BS (VND)'!$D75)+SUMIFS('1.DC_Ra soat'!$L:$L,'1.DC_Ra soat'!$F:$F,AZ$4,'1.DC_Ra soat'!$I:$I,'1.BS (VND)'!$D75)</f>
        <v>0</v>
      </c>
      <c r="BA75" s="746">
        <f>-SUMIFS('1.DC_Ra soat'!$L:$L,'1.DC_Ra soat'!$F:$F,BA$4,'1.DC_Ra soat'!$H:$H,'1.BS (VND)'!$D75)+SUMIFS('1.DC_Ra soat'!$L:$L,'1.DC_Ra soat'!$F:$F,BA$4,'1.DC_Ra soat'!$I:$I,'1.BS (VND)'!$D75)</f>
        <v>0</v>
      </c>
      <c r="BB75" s="745"/>
      <c r="BC75" s="746">
        <f>-SUMIFS('1.DC_Ra soat'!$L:$L,'1.DC_Ra soat'!$F:$F,BC$4,'1.DC_Ra soat'!$H:$H,'1.BS (VND)'!$D75)+SUMIFS('1.DC_Ra soat'!$L:$L,'1.DC_Ra soat'!$F:$F,BC$4,'1.DC_Ra soat'!$I:$I,'1.BS (VND)'!$D75)</f>
        <v>0</v>
      </c>
      <c r="BD75" s="746">
        <f>-SUMIFS('1.DC_Ra soat'!$L:$L,'1.DC_Ra soat'!$F:$F,BD$4,'1.DC_Ra soat'!$H:$H,'1.BS (VND)'!$D75)+SUMIFS('1.DC_Ra soat'!$L:$L,'1.DC_Ra soat'!$F:$F,BD$4,'1.DC_Ra soat'!$I:$I,'1.BS (VND)'!$D75)</f>
        <v>0</v>
      </c>
      <c r="BE75" s="746">
        <f>-SUMIFS('1.DC_Ra soat'!$L:$L,'1.DC_Ra soat'!$F:$F,BE$4,'1.DC_Ra soat'!$H:$H,'1.BS (VND)'!$D75)+SUMIFS('1.DC_Ra soat'!$L:$L,'1.DC_Ra soat'!$F:$F,BE$4,'1.DC_Ra soat'!$I:$I,'1.BS (VND)'!$D75)</f>
        <v>0</v>
      </c>
      <c r="BF75" s="746">
        <f>-SUMIFS('1.DC_Ra soat'!$L:$L,'1.DC_Ra soat'!$F:$F,BF$4,'1.DC_Ra soat'!$H:$H,'1.BS (VND)'!$D75)+SUMIFS('1.DC_Ra soat'!$L:$L,'1.DC_Ra soat'!$F:$F,BF$4,'1.DC_Ra soat'!$I:$I,'1.BS (VND)'!$D75)</f>
        <v>0</v>
      </c>
      <c r="BG75" s="745"/>
      <c r="BH75" s="746">
        <f>-SUMIFS('1.DC_Ra soat'!$L:$L,'1.DC_Ra soat'!$F:$F,BH$4,'1.DC_Ra soat'!$H:$H,'1.BS (VND)'!$D75)+SUMIFS('1.DC_Ra soat'!$L:$L,'1.DC_Ra soat'!$F:$F,BH$4,'1.DC_Ra soat'!$I:$I,'1.BS (VND)'!$D75)</f>
        <v>0</v>
      </c>
      <c r="BI75" s="746">
        <f>-SUMIFS('1.DC_Ra soat'!$L:$L,'1.DC_Ra soat'!$F:$F,BI$4,'1.DC_Ra soat'!$H:$H,'1.BS (VND)'!$D75)+SUMIFS('1.DC_Ra soat'!$L:$L,'1.DC_Ra soat'!$F:$F,BI$4,'1.DC_Ra soat'!$I:$I,'1.BS (VND)'!$D75)</f>
        <v>0</v>
      </c>
      <c r="BJ75" s="746">
        <f>-SUMIFS('1.DC_Ra soat'!$L:$L,'1.DC_Ra soat'!$F:$F,BJ$4,'1.DC_Ra soat'!$H:$H,'1.BS (VND)'!$D75)+SUMIFS('1.DC_Ra soat'!$L:$L,'1.DC_Ra soat'!$F:$F,BJ$4,'1.DC_Ra soat'!$I:$I,'1.BS (VND)'!$D75)</f>
        <v>0</v>
      </c>
      <c r="BK75" s="746">
        <f>-SUMIFS('1.DC_Ra soat'!$L:$L,'1.DC_Ra soat'!$F:$F,BK$4,'1.DC_Ra soat'!$H:$H,'1.BS (VND)'!$D75)+SUMIFS('1.DC_Ra soat'!$L:$L,'1.DC_Ra soat'!$F:$F,BK$4,'1.DC_Ra soat'!$I:$I,'1.BS (VND)'!$D75)</f>
        <v>0</v>
      </c>
      <c r="BM75" s="746">
        <f t="shared" si="128"/>
        <v>25182752794</v>
      </c>
      <c r="BN75" s="746">
        <f t="shared" si="129"/>
        <v>29417462759</v>
      </c>
      <c r="BO75" s="746">
        <f t="shared" si="130"/>
        <v>17241856769</v>
      </c>
      <c r="BP75" s="747">
        <f t="shared" si="131"/>
        <v>113031685628</v>
      </c>
      <c r="BQ75" s="745"/>
      <c r="BR75" s="746">
        <f t="shared" si="132"/>
        <v>0</v>
      </c>
      <c r="BS75" s="746">
        <f t="shared" si="133"/>
        <v>10304978095</v>
      </c>
      <c r="BT75" s="746">
        <f t="shared" si="134"/>
        <v>44818318389</v>
      </c>
      <c r="BU75" s="746">
        <f t="shared" si="135"/>
        <v>71687454236</v>
      </c>
      <c r="BV75" s="745"/>
      <c r="BW75" s="746">
        <f t="shared" si="136"/>
        <v>11999970290</v>
      </c>
      <c r="BX75" s="746">
        <f t="shared" si="137"/>
        <v>4994536995</v>
      </c>
      <c r="BY75" s="746">
        <f t="shared" si="138"/>
        <v>17744821596</v>
      </c>
      <c r="BZ75" s="747">
        <f t="shared" si="139"/>
        <v>13291862806</v>
      </c>
      <c r="CA75" s="745"/>
      <c r="CB75" s="747">
        <f t="shared" si="140"/>
        <v>3900484325</v>
      </c>
      <c r="CC75" s="747">
        <f t="shared" si="141"/>
        <v>667790476</v>
      </c>
      <c r="CD75" s="747">
        <f t="shared" si="142"/>
        <v>1417392206</v>
      </c>
      <c r="CE75" s="747">
        <f t="shared" si="143"/>
        <v>6934955639</v>
      </c>
      <c r="CF75" s="745"/>
      <c r="CG75" s="747">
        <f t="shared" si="144"/>
        <v>0</v>
      </c>
      <c r="CH75" s="747">
        <f t="shared" si="145"/>
        <v>0</v>
      </c>
      <c r="CI75" s="747">
        <f t="shared" si="146"/>
        <v>0</v>
      </c>
      <c r="CJ75" s="747">
        <f t="shared" si="147"/>
        <v>0</v>
      </c>
      <c r="CK75" s="745"/>
      <c r="CL75" s="746">
        <f t="shared" si="148"/>
        <v>0</v>
      </c>
      <c r="CM75" s="746">
        <f t="shared" si="149"/>
        <v>0</v>
      </c>
      <c r="CN75" s="746">
        <f t="shared" si="150"/>
        <v>0</v>
      </c>
      <c r="CO75" s="747">
        <f t="shared" si="151"/>
        <v>0</v>
      </c>
      <c r="CQ75" s="746">
        <f>SUMIF('1.PL (VND) '!$BL$6:$CD$6,'1.PL (VND) '!CP$6,$BM75:$CE75)</f>
        <v>41083207409</v>
      </c>
      <c r="CR75" s="746">
        <f>SUMIF('1.PL (VND) '!$BL$6:$CD$6,'1.PL (VND) '!CQ$6,$BM75:$CE75)</f>
        <v>45384768325</v>
      </c>
      <c r="CS75" s="746">
        <f>SUMIF('1.PL (VND) '!$BL$6:$CD$6,'1.PL (VND) '!CR$6,$BM75:$CE75)</f>
        <v>81222388960</v>
      </c>
      <c r="CT75" s="746">
        <f>SUMIF('1.PL (VND) '!$BL$6:$CD$6,'1.PL (VND) '!CS$6,$BM75:$CE75)</f>
        <v>204945958309</v>
      </c>
      <c r="CV75" s="748">
        <f>-SUMIFS('1.DC_Ra soat'!$L:$L,'1.DC_Ra soat'!$F:$F,'1.PL (VND) '!DK$4,'1.DC_Ra soat'!$H:$H,'1.BS (VND)'!$D75)+SUMIFS('1.DC_Ra soat'!$L:$L,'1.DC_Ra soat'!$F:$F,'1.PL (VND) '!DK$4,'1.DC_Ra soat'!$I:$I,'1.BS (VND)'!$D75)</f>
        <v>0</v>
      </c>
      <c r="CW75" s="748">
        <f>-SUMIFS('1.DC_Ra soat'!$L:$L,'1.DC_Ra soat'!$F:$F,'1.PL (VND) '!DL$4,'1.DC_Ra soat'!$H:$H,'1.BS (VND)'!$D75)+SUMIFS('1.DC_Ra soat'!$L:$L,'1.DC_Ra soat'!$F:$F,'1.PL (VND) '!DL$4,'1.DC_Ra soat'!$I:$I,'1.BS (VND)'!$D75)</f>
        <v>0</v>
      </c>
      <c r="CX75" s="748">
        <f>-SUMIFS('1.DC_Ra soat'!$L:$L,'1.DC_Ra soat'!$F:$F,'1.PL (VND) '!DM$4,'1.DC_Ra soat'!$H:$H,'1.BS (VND)'!$D75)+SUMIFS('1.DC_Ra soat'!$L:$L,'1.DC_Ra soat'!$F:$F,'1.PL (VND) '!DM$4,'1.DC_Ra soat'!$I:$I,'1.BS (VND)'!$D75)</f>
        <v>0</v>
      </c>
      <c r="CY75" s="748">
        <f>-SUMIFS('1.DC_Ra soat'!$L:$L,'1.DC_Ra soat'!$F:$F,'1.PL (VND) '!DN$4,'1.DC_Ra soat'!$H:$H,'1.BS (VND)'!$D75)+SUMIFS('1.DC_Ra soat'!$L:$L,'1.DC_Ra soat'!$F:$F,'1.PL (VND) '!DN$4,'1.DC_Ra soat'!$I:$I,'1.BS (VND)'!$D75)</f>
        <v>0</v>
      </c>
      <c r="DA75" s="746">
        <f t="shared" si="157"/>
        <v>41083207409</v>
      </c>
      <c r="DB75" s="746">
        <f t="shared" si="158"/>
        <v>45384768325</v>
      </c>
      <c r="DC75" s="746">
        <f t="shared" si="159"/>
        <v>81222388960</v>
      </c>
      <c r="DD75" s="746">
        <f t="shared" si="160"/>
        <v>204945958309</v>
      </c>
      <c r="DH75" s="749"/>
    </row>
    <row r="76" spans="1:112" s="740" customFormat="1" x14ac:dyDescent="0.25">
      <c r="A76" s="248">
        <f t="shared" si="166"/>
        <v>1</v>
      </c>
      <c r="C76" s="741" t="s">
        <v>411</v>
      </c>
      <c r="D76" s="742" t="s">
        <v>412</v>
      </c>
      <c r="E76" s="743">
        <v>8160309114</v>
      </c>
      <c r="F76" s="743">
        <v>726662750</v>
      </c>
      <c r="G76" s="743">
        <v>5721252119</v>
      </c>
      <c r="H76" s="744">
        <v>48627551538</v>
      </c>
      <c r="I76" s="745"/>
      <c r="J76" s="746"/>
      <c r="K76" s="746">
        <v>550524950</v>
      </c>
      <c r="L76" s="746">
        <v>26353495</v>
      </c>
      <c r="M76" s="739">
        <v>3633340968</v>
      </c>
      <c r="N76" s="745"/>
      <c r="O76" s="746"/>
      <c r="P76" s="746"/>
      <c r="Q76" s="746">
        <v>6375383894</v>
      </c>
      <c r="R76" s="746">
        <v>5866830325</v>
      </c>
      <c r="S76" s="745"/>
      <c r="T76" s="746">
        <v>1110970124</v>
      </c>
      <c r="U76" s="746"/>
      <c r="V76" s="746">
        <v>274587605</v>
      </c>
      <c r="W76" s="746">
        <v>67393584</v>
      </c>
      <c r="X76" s="745"/>
      <c r="Y76" s="746"/>
      <c r="Z76" s="746"/>
      <c r="AA76" s="746"/>
      <c r="AB76" s="746"/>
      <c r="AC76" s="745"/>
      <c r="AD76" s="746"/>
      <c r="AE76" s="746"/>
      <c r="AF76" s="746"/>
      <c r="AG76" s="746"/>
      <c r="AI76" s="746">
        <f>-SUMIFS('1.DC_Ra soat'!$L:$L,'1.DC_Ra soat'!$F:$F,AI$4,'1.DC_Ra soat'!$H:$H,'1.BS (VND)'!$D76)+SUMIFS('1.DC_Ra soat'!$L:$L,'1.DC_Ra soat'!$F:$F,AI$4,'1.DC_Ra soat'!$I:$I,'1.BS (VND)'!$D76)</f>
        <v>0</v>
      </c>
      <c r="AJ76" s="746">
        <f>-SUMIFS('1.DC_Ra soat'!$L:$L,'1.DC_Ra soat'!$F:$F,AJ$4,'1.DC_Ra soat'!$H:$H,'1.BS (VND)'!$D76)+SUMIFS('1.DC_Ra soat'!$L:$L,'1.DC_Ra soat'!$F:$F,AJ$4,'1.DC_Ra soat'!$I:$I,'1.BS (VND)'!$D76)</f>
        <v>0</v>
      </c>
      <c r="AK76" s="746">
        <f>-SUMIFS('1.DC_Ra soat'!$L:$L,'1.DC_Ra soat'!$F:$F,AK$4,'1.DC_Ra soat'!$H:$H,'1.BS (VND)'!$D76)+SUMIFS('1.DC_Ra soat'!$L:$L,'1.DC_Ra soat'!$F:$F,AK$4,'1.DC_Ra soat'!$I:$I,'1.BS (VND)'!$D76)</f>
        <v>0</v>
      </c>
      <c r="AL76" s="746">
        <f>-SUMIFS('1.DC_Ra soat'!$L:$L,'1.DC_Ra soat'!$F:$F,AL$4,'1.DC_Ra soat'!$H:$H,'1.BS (VND)'!$D76)+SUMIFS('1.DC_Ra soat'!$L:$L,'1.DC_Ra soat'!$F:$F,AL$4,'1.DC_Ra soat'!$I:$I,'1.BS (VND)'!$D76)</f>
        <v>0</v>
      </c>
      <c r="AM76" s="745"/>
      <c r="AN76" s="746">
        <f>-SUMIFS('1.DC_Ra soat'!$L:$L,'1.DC_Ra soat'!$F:$F,AN$4,'1.DC_Ra soat'!$H:$H,'1.BS (VND)'!$D76)+SUMIFS('1.DC_Ra soat'!$L:$L,'1.DC_Ra soat'!$F:$F,AN$4,'1.DC_Ra soat'!$I:$I,'1.BS (VND)'!$D76)</f>
        <v>0</v>
      </c>
      <c r="AO76" s="746">
        <f>-SUMIFS('1.DC_Ra soat'!$L:$L,'1.DC_Ra soat'!$F:$F,AO$4,'1.DC_Ra soat'!$H:$H,'1.BS (VND)'!$D76)+SUMIFS('1.DC_Ra soat'!$L:$L,'1.DC_Ra soat'!$F:$F,AO$4,'1.DC_Ra soat'!$I:$I,'1.BS (VND)'!$D76)</f>
        <v>0</v>
      </c>
      <c r="AP76" s="746">
        <f>-SUMIFS('1.DC_Ra soat'!$L:$L,'1.DC_Ra soat'!$F:$F,AP$4,'1.DC_Ra soat'!$H:$H,'1.BS (VND)'!$D76)+SUMIFS('1.DC_Ra soat'!$L:$L,'1.DC_Ra soat'!$F:$F,AP$4,'1.DC_Ra soat'!$I:$I,'1.BS (VND)'!$D76)</f>
        <v>0</v>
      </c>
      <c r="AQ76" s="746">
        <f>-SUMIFS('1.DC_Ra soat'!$L:$L,'1.DC_Ra soat'!$F:$F,AQ$4,'1.DC_Ra soat'!$H:$H,'1.BS (VND)'!$D76)+SUMIFS('1.DC_Ra soat'!$L:$L,'1.DC_Ra soat'!$F:$F,AQ$4,'1.DC_Ra soat'!$I:$I,'1.BS (VND)'!$D76)</f>
        <v>0</v>
      </c>
      <c r="AR76" s="745"/>
      <c r="AS76" s="746">
        <f>-SUMIFS('1.DC_Ra soat'!$L:$L,'1.DC_Ra soat'!$F:$F,AS$4,'1.DC_Ra soat'!$H:$H,'1.BS (VND)'!$D76)+SUMIFS('1.DC_Ra soat'!$L:$L,'1.DC_Ra soat'!$F:$F,AS$4,'1.DC_Ra soat'!$I:$I,'1.BS (VND)'!$D76)</f>
        <v>0</v>
      </c>
      <c r="AT76" s="746">
        <f>-SUMIFS('1.DC_Ra soat'!$L:$L,'1.DC_Ra soat'!$F:$F,AT$4,'1.DC_Ra soat'!$H:$H,'1.BS (VND)'!$D76)+SUMIFS('1.DC_Ra soat'!$L:$L,'1.DC_Ra soat'!$F:$F,AT$4,'1.DC_Ra soat'!$I:$I,'1.BS (VND)'!$D76)</f>
        <v>0</v>
      </c>
      <c r="AU76" s="746">
        <f>-SUMIFS('1.DC_Ra soat'!$L:$L,'1.DC_Ra soat'!$F:$F,AU$4,'1.DC_Ra soat'!$H:$H,'1.BS (VND)'!$D76)+SUMIFS('1.DC_Ra soat'!$L:$L,'1.DC_Ra soat'!$F:$F,AU$4,'1.DC_Ra soat'!$I:$I,'1.BS (VND)'!$D76)</f>
        <v>0</v>
      </c>
      <c r="AV76" s="746">
        <f>-SUMIFS('1.DC_Ra soat'!$L:$L,'1.DC_Ra soat'!$F:$F,AV$4,'1.DC_Ra soat'!$H:$H,'1.BS (VND)'!$D76)+SUMIFS('1.DC_Ra soat'!$L:$L,'1.DC_Ra soat'!$F:$F,AV$4,'1.DC_Ra soat'!$I:$I,'1.BS (VND)'!$D76)</f>
        <v>0</v>
      </c>
      <c r="AW76" s="745"/>
      <c r="AX76" s="746">
        <f>-SUMIFS('1.DC_Ra soat'!$L:$L,'1.DC_Ra soat'!$F:$F,AX$4,'1.DC_Ra soat'!$H:$H,'1.BS (VND)'!$D76)+SUMIFS('1.DC_Ra soat'!$L:$L,'1.DC_Ra soat'!$F:$F,AX$4,'1.DC_Ra soat'!$I:$I,'1.BS (VND)'!$D76)</f>
        <v>0</v>
      </c>
      <c r="AY76" s="746">
        <f>-SUMIFS('1.DC_Ra soat'!$L:$L,'1.DC_Ra soat'!$F:$F,AY$4,'1.DC_Ra soat'!$H:$H,'1.BS (VND)'!$D76)+SUMIFS('1.DC_Ra soat'!$L:$L,'1.DC_Ra soat'!$F:$F,AY$4,'1.DC_Ra soat'!$I:$I,'1.BS (VND)'!$D76)</f>
        <v>0</v>
      </c>
      <c r="AZ76" s="746">
        <f>-SUMIFS('1.DC_Ra soat'!$L:$L,'1.DC_Ra soat'!$F:$F,AZ$4,'1.DC_Ra soat'!$H:$H,'1.BS (VND)'!$D76)+SUMIFS('1.DC_Ra soat'!$L:$L,'1.DC_Ra soat'!$F:$F,AZ$4,'1.DC_Ra soat'!$I:$I,'1.BS (VND)'!$D76)</f>
        <v>0</v>
      </c>
      <c r="BA76" s="746">
        <f>-SUMIFS('1.DC_Ra soat'!$L:$L,'1.DC_Ra soat'!$F:$F,BA$4,'1.DC_Ra soat'!$H:$H,'1.BS (VND)'!$D76)+SUMIFS('1.DC_Ra soat'!$L:$L,'1.DC_Ra soat'!$F:$F,BA$4,'1.DC_Ra soat'!$I:$I,'1.BS (VND)'!$D76)</f>
        <v>0</v>
      </c>
      <c r="BB76" s="745"/>
      <c r="BC76" s="746">
        <f>-SUMIFS('1.DC_Ra soat'!$L:$L,'1.DC_Ra soat'!$F:$F,BC$4,'1.DC_Ra soat'!$H:$H,'1.BS (VND)'!$D76)+SUMIFS('1.DC_Ra soat'!$L:$L,'1.DC_Ra soat'!$F:$F,BC$4,'1.DC_Ra soat'!$I:$I,'1.BS (VND)'!$D76)</f>
        <v>0</v>
      </c>
      <c r="BD76" s="746">
        <f>-SUMIFS('1.DC_Ra soat'!$L:$L,'1.DC_Ra soat'!$F:$F,BD$4,'1.DC_Ra soat'!$H:$H,'1.BS (VND)'!$D76)+SUMIFS('1.DC_Ra soat'!$L:$L,'1.DC_Ra soat'!$F:$F,BD$4,'1.DC_Ra soat'!$I:$I,'1.BS (VND)'!$D76)</f>
        <v>0</v>
      </c>
      <c r="BE76" s="746">
        <f>-SUMIFS('1.DC_Ra soat'!$L:$L,'1.DC_Ra soat'!$F:$F,BE$4,'1.DC_Ra soat'!$H:$H,'1.BS (VND)'!$D76)+SUMIFS('1.DC_Ra soat'!$L:$L,'1.DC_Ra soat'!$F:$F,BE$4,'1.DC_Ra soat'!$I:$I,'1.BS (VND)'!$D76)</f>
        <v>0</v>
      </c>
      <c r="BF76" s="746">
        <f>-SUMIFS('1.DC_Ra soat'!$L:$L,'1.DC_Ra soat'!$F:$F,BF$4,'1.DC_Ra soat'!$H:$H,'1.BS (VND)'!$D76)+SUMIFS('1.DC_Ra soat'!$L:$L,'1.DC_Ra soat'!$F:$F,BF$4,'1.DC_Ra soat'!$I:$I,'1.BS (VND)'!$D76)</f>
        <v>0</v>
      </c>
      <c r="BG76" s="745"/>
      <c r="BH76" s="746">
        <f>-SUMIFS('1.DC_Ra soat'!$L:$L,'1.DC_Ra soat'!$F:$F,BH$4,'1.DC_Ra soat'!$H:$H,'1.BS (VND)'!$D76)+SUMIFS('1.DC_Ra soat'!$L:$L,'1.DC_Ra soat'!$F:$F,BH$4,'1.DC_Ra soat'!$I:$I,'1.BS (VND)'!$D76)</f>
        <v>0</v>
      </c>
      <c r="BI76" s="746">
        <f>-SUMIFS('1.DC_Ra soat'!$L:$L,'1.DC_Ra soat'!$F:$F,BI$4,'1.DC_Ra soat'!$H:$H,'1.BS (VND)'!$D76)+SUMIFS('1.DC_Ra soat'!$L:$L,'1.DC_Ra soat'!$F:$F,BI$4,'1.DC_Ra soat'!$I:$I,'1.BS (VND)'!$D76)</f>
        <v>0</v>
      </c>
      <c r="BJ76" s="746">
        <f>-SUMIFS('1.DC_Ra soat'!$L:$L,'1.DC_Ra soat'!$F:$F,BJ$4,'1.DC_Ra soat'!$H:$H,'1.BS (VND)'!$D76)+SUMIFS('1.DC_Ra soat'!$L:$L,'1.DC_Ra soat'!$F:$F,BJ$4,'1.DC_Ra soat'!$I:$I,'1.BS (VND)'!$D76)</f>
        <v>0</v>
      </c>
      <c r="BK76" s="746">
        <f>-SUMIFS('1.DC_Ra soat'!$L:$L,'1.DC_Ra soat'!$F:$F,BK$4,'1.DC_Ra soat'!$H:$H,'1.BS (VND)'!$D76)+SUMIFS('1.DC_Ra soat'!$L:$L,'1.DC_Ra soat'!$F:$F,BK$4,'1.DC_Ra soat'!$I:$I,'1.BS (VND)'!$D76)</f>
        <v>0</v>
      </c>
      <c r="BM76" s="746">
        <f t="shared" si="128"/>
        <v>8160309114</v>
      </c>
      <c r="BN76" s="746">
        <f t="shared" si="129"/>
        <v>726662750</v>
      </c>
      <c r="BO76" s="746">
        <f t="shared" si="130"/>
        <v>5721252119</v>
      </c>
      <c r="BP76" s="747">
        <f t="shared" si="131"/>
        <v>48627551538</v>
      </c>
      <c r="BQ76" s="745"/>
      <c r="BR76" s="746">
        <f t="shared" si="132"/>
        <v>0</v>
      </c>
      <c r="BS76" s="746">
        <f t="shared" si="133"/>
        <v>550524950</v>
      </c>
      <c r="BT76" s="746">
        <f t="shared" si="134"/>
        <v>26353495</v>
      </c>
      <c r="BU76" s="746">
        <f t="shared" si="135"/>
        <v>3633340968</v>
      </c>
      <c r="BV76" s="745"/>
      <c r="BW76" s="746">
        <f t="shared" si="136"/>
        <v>0</v>
      </c>
      <c r="BX76" s="746">
        <f t="shared" si="137"/>
        <v>0</v>
      </c>
      <c r="BY76" s="746">
        <f t="shared" si="138"/>
        <v>6375383894</v>
      </c>
      <c r="BZ76" s="747">
        <f t="shared" si="139"/>
        <v>5866830325</v>
      </c>
      <c r="CA76" s="745"/>
      <c r="CB76" s="747">
        <f t="shared" si="140"/>
        <v>1110970124</v>
      </c>
      <c r="CC76" s="747">
        <f t="shared" si="141"/>
        <v>0</v>
      </c>
      <c r="CD76" s="747">
        <f t="shared" si="142"/>
        <v>274587605</v>
      </c>
      <c r="CE76" s="747">
        <f t="shared" si="143"/>
        <v>67393584</v>
      </c>
      <c r="CF76" s="745"/>
      <c r="CG76" s="747">
        <f t="shared" si="144"/>
        <v>0</v>
      </c>
      <c r="CH76" s="747">
        <f t="shared" si="145"/>
        <v>0</v>
      </c>
      <c r="CI76" s="747">
        <f t="shared" si="146"/>
        <v>0</v>
      </c>
      <c r="CJ76" s="747">
        <f t="shared" si="147"/>
        <v>0</v>
      </c>
      <c r="CK76" s="745"/>
      <c r="CL76" s="746">
        <f t="shared" si="148"/>
        <v>0</v>
      </c>
      <c r="CM76" s="746">
        <f t="shared" si="149"/>
        <v>0</v>
      </c>
      <c r="CN76" s="746">
        <f t="shared" si="150"/>
        <v>0</v>
      </c>
      <c r="CO76" s="747">
        <f t="shared" si="151"/>
        <v>0</v>
      </c>
      <c r="CQ76" s="746">
        <f>SUMIF('1.PL (VND) '!$BL$6:$CD$6,'1.PL (VND) '!CP$6,$BM76:$CE76)</f>
        <v>9271279238</v>
      </c>
      <c r="CR76" s="746">
        <f>SUMIF('1.PL (VND) '!$BL$6:$CD$6,'1.PL (VND) '!CQ$6,$BM76:$CE76)</f>
        <v>1277187700</v>
      </c>
      <c r="CS76" s="746">
        <f>SUMIF('1.PL (VND) '!$BL$6:$CD$6,'1.PL (VND) '!CR$6,$BM76:$CE76)</f>
        <v>12397577113</v>
      </c>
      <c r="CT76" s="746">
        <f>SUMIF('1.PL (VND) '!$BL$6:$CD$6,'1.PL (VND) '!CS$6,$BM76:$CE76)</f>
        <v>58195116415</v>
      </c>
      <c r="CV76" s="748">
        <f>-SUMIFS('1.DC_Ra soat'!$L:$L,'1.DC_Ra soat'!$F:$F,'1.PL (VND) '!DK$4,'1.DC_Ra soat'!$H:$H,'1.BS (VND)'!$D76)+SUMIFS('1.DC_Ra soat'!$L:$L,'1.DC_Ra soat'!$F:$F,'1.PL (VND) '!DK$4,'1.DC_Ra soat'!$I:$I,'1.BS (VND)'!$D76)</f>
        <v>0</v>
      </c>
      <c r="CW76" s="748">
        <f>-SUMIFS('1.DC_Ra soat'!$L:$L,'1.DC_Ra soat'!$F:$F,'1.PL (VND) '!DL$4,'1.DC_Ra soat'!$H:$H,'1.BS (VND)'!$D76)+SUMIFS('1.DC_Ra soat'!$L:$L,'1.DC_Ra soat'!$F:$F,'1.PL (VND) '!DL$4,'1.DC_Ra soat'!$I:$I,'1.BS (VND)'!$D76)</f>
        <v>0</v>
      </c>
      <c r="CX76" s="748">
        <f>-SUMIFS('1.DC_Ra soat'!$L:$L,'1.DC_Ra soat'!$F:$F,'1.PL (VND) '!DM$4,'1.DC_Ra soat'!$H:$H,'1.BS (VND)'!$D76)+SUMIFS('1.DC_Ra soat'!$L:$L,'1.DC_Ra soat'!$F:$F,'1.PL (VND) '!DM$4,'1.DC_Ra soat'!$I:$I,'1.BS (VND)'!$D76)</f>
        <v>0</v>
      </c>
      <c r="CY76" s="748">
        <f>-SUMIFS('1.DC_Ra soat'!$L:$L,'1.DC_Ra soat'!$F:$F,'1.PL (VND) '!DN$4,'1.DC_Ra soat'!$H:$H,'1.BS (VND)'!$D76)+SUMIFS('1.DC_Ra soat'!$L:$L,'1.DC_Ra soat'!$F:$F,'1.PL (VND) '!DN$4,'1.DC_Ra soat'!$I:$I,'1.BS (VND)'!$D76)</f>
        <v>0</v>
      </c>
      <c r="DA76" s="746">
        <f t="shared" si="157"/>
        <v>9271279238</v>
      </c>
      <c r="DB76" s="746">
        <f t="shared" si="158"/>
        <v>1277187700</v>
      </c>
      <c r="DC76" s="746">
        <f t="shared" si="159"/>
        <v>12397577113</v>
      </c>
      <c r="DD76" s="746">
        <f t="shared" si="160"/>
        <v>58195116415</v>
      </c>
      <c r="DH76" s="749"/>
    </row>
    <row r="77" spans="1:112" s="740" customFormat="1" x14ac:dyDescent="0.25">
      <c r="A77" s="248">
        <f t="shared" si="166"/>
        <v>1</v>
      </c>
      <c r="C77" s="741" t="s">
        <v>413</v>
      </c>
      <c r="D77" s="742" t="s">
        <v>414</v>
      </c>
      <c r="E77" s="743">
        <v>529667089</v>
      </c>
      <c r="F77" s="743">
        <v>79132332</v>
      </c>
      <c r="G77" s="743">
        <v>51095088</v>
      </c>
      <c r="H77" s="744">
        <v>471026915</v>
      </c>
      <c r="I77" s="745"/>
      <c r="J77" s="746"/>
      <c r="K77" s="746">
        <v>1700000000</v>
      </c>
      <c r="L77" s="746">
        <v>1700000000</v>
      </c>
      <c r="M77" s="739"/>
      <c r="N77" s="745"/>
      <c r="O77" s="746">
        <v>22120368</v>
      </c>
      <c r="P77" s="746">
        <v>10178927</v>
      </c>
      <c r="Q77" s="746">
        <v>17465774</v>
      </c>
      <c r="R77" s="746">
        <v>10178927</v>
      </c>
      <c r="S77" s="745"/>
      <c r="T77" s="746"/>
      <c r="U77" s="746">
        <v>3412279</v>
      </c>
      <c r="V77" s="746">
        <v>3412279</v>
      </c>
      <c r="W77" s="746">
        <v>3412279</v>
      </c>
      <c r="X77" s="745"/>
      <c r="Y77" s="746"/>
      <c r="Z77" s="746"/>
      <c r="AA77" s="746"/>
      <c r="AB77" s="746"/>
      <c r="AC77" s="745"/>
      <c r="AD77" s="746"/>
      <c r="AE77" s="746"/>
      <c r="AF77" s="746"/>
      <c r="AG77" s="746"/>
      <c r="AI77" s="746">
        <f>-SUMIFS('1.DC_Ra soat'!$L:$L,'1.DC_Ra soat'!$F:$F,AI$4,'1.DC_Ra soat'!$H:$H,'1.BS (VND)'!$D77)+SUMIFS('1.DC_Ra soat'!$L:$L,'1.DC_Ra soat'!$F:$F,AI$4,'1.DC_Ra soat'!$I:$I,'1.BS (VND)'!$D77)</f>
        <v>0</v>
      </c>
      <c r="AJ77" s="746">
        <f>-SUMIFS('1.DC_Ra soat'!$L:$L,'1.DC_Ra soat'!$F:$F,AJ$4,'1.DC_Ra soat'!$H:$H,'1.BS (VND)'!$D77)+SUMIFS('1.DC_Ra soat'!$L:$L,'1.DC_Ra soat'!$F:$F,AJ$4,'1.DC_Ra soat'!$I:$I,'1.BS (VND)'!$D77)</f>
        <v>0</v>
      </c>
      <c r="AK77" s="746">
        <f>-SUMIFS('1.DC_Ra soat'!$L:$L,'1.DC_Ra soat'!$F:$F,AK$4,'1.DC_Ra soat'!$H:$H,'1.BS (VND)'!$D77)+SUMIFS('1.DC_Ra soat'!$L:$L,'1.DC_Ra soat'!$F:$F,AK$4,'1.DC_Ra soat'!$I:$I,'1.BS (VND)'!$D77)</f>
        <v>0</v>
      </c>
      <c r="AL77" s="746">
        <f>-SUMIFS('1.DC_Ra soat'!$L:$L,'1.DC_Ra soat'!$F:$F,AL$4,'1.DC_Ra soat'!$H:$H,'1.BS (VND)'!$D77)+SUMIFS('1.DC_Ra soat'!$L:$L,'1.DC_Ra soat'!$F:$F,AL$4,'1.DC_Ra soat'!$I:$I,'1.BS (VND)'!$D77)</f>
        <v>0</v>
      </c>
      <c r="AM77" s="745"/>
      <c r="AN77" s="746">
        <f>-SUMIFS('1.DC_Ra soat'!$L:$L,'1.DC_Ra soat'!$F:$F,AN$4,'1.DC_Ra soat'!$H:$H,'1.BS (VND)'!$D77)+SUMIFS('1.DC_Ra soat'!$L:$L,'1.DC_Ra soat'!$F:$F,AN$4,'1.DC_Ra soat'!$I:$I,'1.BS (VND)'!$D77)</f>
        <v>0</v>
      </c>
      <c r="AO77" s="746">
        <f>-SUMIFS('1.DC_Ra soat'!$L:$L,'1.DC_Ra soat'!$F:$F,AO$4,'1.DC_Ra soat'!$H:$H,'1.BS (VND)'!$D77)+SUMIFS('1.DC_Ra soat'!$L:$L,'1.DC_Ra soat'!$F:$F,AO$4,'1.DC_Ra soat'!$I:$I,'1.BS (VND)'!$D77)</f>
        <v>0</v>
      </c>
      <c r="AP77" s="746">
        <f>-SUMIFS('1.DC_Ra soat'!$L:$L,'1.DC_Ra soat'!$F:$F,AP$4,'1.DC_Ra soat'!$H:$H,'1.BS (VND)'!$D77)+SUMIFS('1.DC_Ra soat'!$L:$L,'1.DC_Ra soat'!$F:$F,AP$4,'1.DC_Ra soat'!$I:$I,'1.BS (VND)'!$D77)</f>
        <v>0</v>
      </c>
      <c r="AQ77" s="746">
        <f>-SUMIFS('1.DC_Ra soat'!$L:$L,'1.DC_Ra soat'!$F:$F,AQ$4,'1.DC_Ra soat'!$H:$H,'1.BS (VND)'!$D77)+SUMIFS('1.DC_Ra soat'!$L:$L,'1.DC_Ra soat'!$F:$F,AQ$4,'1.DC_Ra soat'!$I:$I,'1.BS (VND)'!$D77)</f>
        <v>0</v>
      </c>
      <c r="AR77" s="745"/>
      <c r="AS77" s="746">
        <f>-SUMIFS('1.DC_Ra soat'!$L:$L,'1.DC_Ra soat'!$F:$F,AS$4,'1.DC_Ra soat'!$H:$H,'1.BS (VND)'!$D77)+SUMIFS('1.DC_Ra soat'!$L:$L,'1.DC_Ra soat'!$F:$F,AS$4,'1.DC_Ra soat'!$I:$I,'1.BS (VND)'!$D77)</f>
        <v>0</v>
      </c>
      <c r="AT77" s="746">
        <f>-SUMIFS('1.DC_Ra soat'!$L:$L,'1.DC_Ra soat'!$F:$F,AT$4,'1.DC_Ra soat'!$H:$H,'1.BS (VND)'!$D77)+SUMIFS('1.DC_Ra soat'!$L:$L,'1.DC_Ra soat'!$F:$F,AT$4,'1.DC_Ra soat'!$I:$I,'1.BS (VND)'!$D77)</f>
        <v>0</v>
      </c>
      <c r="AU77" s="746">
        <f>-SUMIFS('1.DC_Ra soat'!$L:$L,'1.DC_Ra soat'!$F:$F,AU$4,'1.DC_Ra soat'!$H:$H,'1.BS (VND)'!$D77)+SUMIFS('1.DC_Ra soat'!$L:$L,'1.DC_Ra soat'!$F:$F,AU$4,'1.DC_Ra soat'!$I:$I,'1.BS (VND)'!$D77)</f>
        <v>0</v>
      </c>
      <c r="AV77" s="746">
        <f>-SUMIFS('1.DC_Ra soat'!$L:$L,'1.DC_Ra soat'!$F:$F,AV$4,'1.DC_Ra soat'!$H:$H,'1.BS (VND)'!$D77)+SUMIFS('1.DC_Ra soat'!$L:$L,'1.DC_Ra soat'!$F:$F,AV$4,'1.DC_Ra soat'!$I:$I,'1.BS (VND)'!$D77)</f>
        <v>0</v>
      </c>
      <c r="AW77" s="745"/>
      <c r="AX77" s="746">
        <f>-SUMIFS('1.DC_Ra soat'!$L:$L,'1.DC_Ra soat'!$F:$F,AX$4,'1.DC_Ra soat'!$H:$H,'1.BS (VND)'!$D77)+SUMIFS('1.DC_Ra soat'!$L:$L,'1.DC_Ra soat'!$F:$F,AX$4,'1.DC_Ra soat'!$I:$I,'1.BS (VND)'!$D77)</f>
        <v>0</v>
      </c>
      <c r="AY77" s="746">
        <f>-SUMIFS('1.DC_Ra soat'!$L:$L,'1.DC_Ra soat'!$F:$F,AY$4,'1.DC_Ra soat'!$H:$H,'1.BS (VND)'!$D77)+SUMIFS('1.DC_Ra soat'!$L:$L,'1.DC_Ra soat'!$F:$F,AY$4,'1.DC_Ra soat'!$I:$I,'1.BS (VND)'!$D77)</f>
        <v>0</v>
      </c>
      <c r="AZ77" s="746">
        <f>-SUMIFS('1.DC_Ra soat'!$L:$L,'1.DC_Ra soat'!$F:$F,AZ$4,'1.DC_Ra soat'!$H:$H,'1.BS (VND)'!$D77)+SUMIFS('1.DC_Ra soat'!$L:$L,'1.DC_Ra soat'!$F:$F,AZ$4,'1.DC_Ra soat'!$I:$I,'1.BS (VND)'!$D77)</f>
        <v>0</v>
      </c>
      <c r="BA77" s="746">
        <f>-SUMIFS('1.DC_Ra soat'!$L:$L,'1.DC_Ra soat'!$F:$F,BA$4,'1.DC_Ra soat'!$H:$H,'1.BS (VND)'!$D77)+SUMIFS('1.DC_Ra soat'!$L:$L,'1.DC_Ra soat'!$F:$F,BA$4,'1.DC_Ra soat'!$I:$I,'1.BS (VND)'!$D77)</f>
        <v>0</v>
      </c>
      <c r="BB77" s="745"/>
      <c r="BC77" s="746">
        <f>-SUMIFS('1.DC_Ra soat'!$L:$L,'1.DC_Ra soat'!$F:$F,BC$4,'1.DC_Ra soat'!$H:$H,'1.BS (VND)'!$D77)+SUMIFS('1.DC_Ra soat'!$L:$L,'1.DC_Ra soat'!$F:$F,BC$4,'1.DC_Ra soat'!$I:$I,'1.BS (VND)'!$D77)</f>
        <v>0</v>
      </c>
      <c r="BD77" s="746">
        <f>-SUMIFS('1.DC_Ra soat'!$L:$L,'1.DC_Ra soat'!$F:$F,BD$4,'1.DC_Ra soat'!$H:$H,'1.BS (VND)'!$D77)+SUMIFS('1.DC_Ra soat'!$L:$L,'1.DC_Ra soat'!$F:$F,BD$4,'1.DC_Ra soat'!$I:$I,'1.BS (VND)'!$D77)</f>
        <v>0</v>
      </c>
      <c r="BE77" s="746">
        <f>-SUMIFS('1.DC_Ra soat'!$L:$L,'1.DC_Ra soat'!$F:$F,BE$4,'1.DC_Ra soat'!$H:$H,'1.BS (VND)'!$D77)+SUMIFS('1.DC_Ra soat'!$L:$L,'1.DC_Ra soat'!$F:$F,BE$4,'1.DC_Ra soat'!$I:$I,'1.BS (VND)'!$D77)</f>
        <v>0</v>
      </c>
      <c r="BF77" s="746">
        <f>-SUMIFS('1.DC_Ra soat'!$L:$L,'1.DC_Ra soat'!$F:$F,BF$4,'1.DC_Ra soat'!$H:$H,'1.BS (VND)'!$D77)+SUMIFS('1.DC_Ra soat'!$L:$L,'1.DC_Ra soat'!$F:$F,BF$4,'1.DC_Ra soat'!$I:$I,'1.BS (VND)'!$D77)</f>
        <v>0</v>
      </c>
      <c r="BG77" s="745"/>
      <c r="BH77" s="746">
        <f>-SUMIFS('1.DC_Ra soat'!$L:$L,'1.DC_Ra soat'!$F:$F,BH$4,'1.DC_Ra soat'!$H:$H,'1.BS (VND)'!$D77)+SUMIFS('1.DC_Ra soat'!$L:$L,'1.DC_Ra soat'!$F:$F,BH$4,'1.DC_Ra soat'!$I:$I,'1.BS (VND)'!$D77)</f>
        <v>0</v>
      </c>
      <c r="BI77" s="746">
        <f>-SUMIFS('1.DC_Ra soat'!$L:$L,'1.DC_Ra soat'!$F:$F,BI$4,'1.DC_Ra soat'!$H:$H,'1.BS (VND)'!$D77)+SUMIFS('1.DC_Ra soat'!$L:$L,'1.DC_Ra soat'!$F:$F,BI$4,'1.DC_Ra soat'!$I:$I,'1.BS (VND)'!$D77)</f>
        <v>0</v>
      </c>
      <c r="BJ77" s="746">
        <f>-SUMIFS('1.DC_Ra soat'!$L:$L,'1.DC_Ra soat'!$F:$F,BJ$4,'1.DC_Ra soat'!$H:$H,'1.BS (VND)'!$D77)+SUMIFS('1.DC_Ra soat'!$L:$L,'1.DC_Ra soat'!$F:$F,BJ$4,'1.DC_Ra soat'!$I:$I,'1.BS (VND)'!$D77)</f>
        <v>0</v>
      </c>
      <c r="BK77" s="746">
        <f>-SUMIFS('1.DC_Ra soat'!$L:$L,'1.DC_Ra soat'!$F:$F,BK$4,'1.DC_Ra soat'!$H:$H,'1.BS (VND)'!$D77)+SUMIFS('1.DC_Ra soat'!$L:$L,'1.DC_Ra soat'!$F:$F,BK$4,'1.DC_Ra soat'!$I:$I,'1.BS (VND)'!$D77)</f>
        <v>0</v>
      </c>
      <c r="BM77" s="746">
        <f t="shared" si="128"/>
        <v>529667089</v>
      </c>
      <c r="BN77" s="746">
        <f t="shared" si="129"/>
        <v>79132332</v>
      </c>
      <c r="BO77" s="746">
        <f t="shared" si="130"/>
        <v>51095088</v>
      </c>
      <c r="BP77" s="747">
        <f t="shared" si="131"/>
        <v>471026915</v>
      </c>
      <c r="BQ77" s="745"/>
      <c r="BR77" s="746">
        <f t="shared" si="132"/>
        <v>0</v>
      </c>
      <c r="BS77" s="746">
        <f t="shared" si="133"/>
        <v>1700000000</v>
      </c>
      <c r="BT77" s="746">
        <f t="shared" si="134"/>
        <v>1700000000</v>
      </c>
      <c r="BU77" s="746">
        <f t="shared" si="135"/>
        <v>0</v>
      </c>
      <c r="BV77" s="745"/>
      <c r="BW77" s="746">
        <f t="shared" si="136"/>
        <v>22120368</v>
      </c>
      <c r="BX77" s="746">
        <f t="shared" si="137"/>
        <v>10178927</v>
      </c>
      <c r="BY77" s="746">
        <f t="shared" si="138"/>
        <v>17465774</v>
      </c>
      <c r="BZ77" s="747">
        <f t="shared" si="139"/>
        <v>10178927</v>
      </c>
      <c r="CA77" s="745"/>
      <c r="CB77" s="747">
        <f t="shared" si="140"/>
        <v>0</v>
      </c>
      <c r="CC77" s="747">
        <f t="shared" si="141"/>
        <v>3412279</v>
      </c>
      <c r="CD77" s="747">
        <f t="shared" si="142"/>
        <v>3412279</v>
      </c>
      <c r="CE77" s="747">
        <f t="shared" si="143"/>
        <v>3412279</v>
      </c>
      <c r="CF77" s="745"/>
      <c r="CG77" s="747">
        <f t="shared" si="144"/>
        <v>0</v>
      </c>
      <c r="CH77" s="747">
        <f t="shared" si="145"/>
        <v>0</v>
      </c>
      <c r="CI77" s="747">
        <f t="shared" si="146"/>
        <v>0</v>
      </c>
      <c r="CJ77" s="747">
        <f t="shared" si="147"/>
        <v>0</v>
      </c>
      <c r="CK77" s="745"/>
      <c r="CL77" s="746">
        <f t="shared" si="148"/>
        <v>0</v>
      </c>
      <c r="CM77" s="746">
        <f t="shared" si="149"/>
        <v>0</v>
      </c>
      <c r="CN77" s="746">
        <f t="shared" si="150"/>
        <v>0</v>
      </c>
      <c r="CO77" s="747">
        <f t="shared" si="151"/>
        <v>0</v>
      </c>
      <c r="CQ77" s="746">
        <f>SUMIF('1.PL (VND) '!$BL$6:$CD$6,'1.PL (VND) '!CP$6,$BM77:$CE77)</f>
        <v>551787457</v>
      </c>
      <c r="CR77" s="746">
        <f>SUMIF('1.PL (VND) '!$BL$6:$CD$6,'1.PL (VND) '!CQ$6,$BM77:$CE77)</f>
        <v>1792723538</v>
      </c>
      <c r="CS77" s="746">
        <f>SUMIF('1.PL (VND) '!$BL$6:$CD$6,'1.PL (VND) '!CR$6,$BM77:$CE77)</f>
        <v>1771973141</v>
      </c>
      <c r="CT77" s="746">
        <f>SUMIF('1.PL (VND) '!$BL$6:$CD$6,'1.PL (VND) '!CS$6,$BM77:$CE77)</f>
        <v>484618121</v>
      </c>
      <c r="CV77" s="748">
        <f>-SUMIFS('1.DC_Ra soat'!$L:$L,'1.DC_Ra soat'!$F:$F,'1.PL (VND) '!DK$4,'1.DC_Ra soat'!$H:$H,'1.BS (VND)'!$D77)+SUMIFS('1.DC_Ra soat'!$L:$L,'1.DC_Ra soat'!$F:$F,'1.PL (VND) '!DK$4,'1.DC_Ra soat'!$I:$I,'1.BS (VND)'!$D77)</f>
        <v>0</v>
      </c>
      <c r="CW77" s="748">
        <f>-SUMIFS('1.DC_Ra soat'!$L:$L,'1.DC_Ra soat'!$F:$F,'1.PL (VND) '!DL$4,'1.DC_Ra soat'!$H:$H,'1.BS (VND)'!$D77)+SUMIFS('1.DC_Ra soat'!$L:$L,'1.DC_Ra soat'!$F:$F,'1.PL (VND) '!DL$4,'1.DC_Ra soat'!$I:$I,'1.BS (VND)'!$D77)</f>
        <v>0</v>
      </c>
      <c r="CX77" s="748">
        <f>-SUMIFS('1.DC_Ra soat'!$L:$L,'1.DC_Ra soat'!$F:$F,'1.PL (VND) '!DM$4,'1.DC_Ra soat'!$H:$H,'1.BS (VND)'!$D77)+SUMIFS('1.DC_Ra soat'!$L:$L,'1.DC_Ra soat'!$F:$F,'1.PL (VND) '!DM$4,'1.DC_Ra soat'!$I:$I,'1.BS (VND)'!$D77)</f>
        <v>0</v>
      </c>
      <c r="CY77" s="748">
        <f>-SUMIFS('1.DC_Ra soat'!$L:$L,'1.DC_Ra soat'!$F:$F,'1.PL (VND) '!DN$4,'1.DC_Ra soat'!$H:$H,'1.BS (VND)'!$D77)+SUMIFS('1.DC_Ra soat'!$L:$L,'1.DC_Ra soat'!$F:$F,'1.PL (VND) '!DN$4,'1.DC_Ra soat'!$I:$I,'1.BS (VND)'!$D77)</f>
        <v>0</v>
      </c>
      <c r="DA77" s="746">
        <f t="shared" si="157"/>
        <v>551787457</v>
      </c>
      <c r="DB77" s="746">
        <f t="shared" si="158"/>
        <v>1792723538</v>
      </c>
      <c r="DC77" s="746">
        <f t="shared" si="159"/>
        <v>1771973141</v>
      </c>
      <c r="DD77" s="746">
        <f t="shared" si="160"/>
        <v>484618121</v>
      </c>
      <c r="DH77" s="749"/>
    </row>
    <row r="78" spans="1:112" s="740" customFormat="1" x14ac:dyDescent="0.25">
      <c r="A78" s="248">
        <f t="shared" si="166"/>
        <v>1</v>
      </c>
      <c r="C78" s="741" t="s">
        <v>415</v>
      </c>
      <c r="D78" s="742" t="s">
        <v>416</v>
      </c>
      <c r="E78" s="743"/>
      <c r="F78" s="743"/>
      <c r="G78" s="743"/>
      <c r="H78" s="744">
        <v>-1265968000</v>
      </c>
      <c r="I78" s="745"/>
      <c r="J78" s="746"/>
      <c r="K78" s="746"/>
      <c r="L78" s="746"/>
      <c r="M78" s="739"/>
      <c r="N78" s="745"/>
      <c r="O78" s="746"/>
      <c r="P78" s="746"/>
      <c r="Q78" s="746"/>
      <c r="R78" s="746"/>
      <c r="S78" s="745"/>
      <c r="T78" s="746"/>
      <c r="U78" s="746"/>
      <c r="V78" s="746"/>
      <c r="W78" s="746"/>
      <c r="X78" s="745"/>
      <c r="Y78" s="746"/>
      <c r="Z78" s="746"/>
      <c r="AA78" s="746"/>
      <c r="AB78" s="746"/>
      <c r="AC78" s="745"/>
      <c r="AD78" s="746"/>
      <c r="AE78" s="746"/>
      <c r="AF78" s="746"/>
      <c r="AG78" s="746"/>
      <c r="AI78" s="746">
        <f>-SUMIFS('1.DC_Ra soat'!$L:$L,'1.DC_Ra soat'!$F:$F,AI$4,'1.DC_Ra soat'!$H:$H,'1.BS (VND)'!$D78)+SUMIFS('1.DC_Ra soat'!$L:$L,'1.DC_Ra soat'!$F:$F,AI$4,'1.DC_Ra soat'!$I:$I,'1.BS (VND)'!$D78)</f>
        <v>0</v>
      </c>
      <c r="AJ78" s="746">
        <f>-SUMIFS('1.DC_Ra soat'!$L:$L,'1.DC_Ra soat'!$F:$F,AJ$4,'1.DC_Ra soat'!$H:$H,'1.BS (VND)'!$D78)+SUMIFS('1.DC_Ra soat'!$L:$L,'1.DC_Ra soat'!$F:$F,AJ$4,'1.DC_Ra soat'!$I:$I,'1.BS (VND)'!$D78)</f>
        <v>0</v>
      </c>
      <c r="AK78" s="746">
        <f>-SUMIFS('1.DC_Ra soat'!$L:$L,'1.DC_Ra soat'!$F:$F,AK$4,'1.DC_Ra soat'!$H:$H,'1.BS (VND)'!$D78)+SUMIFS('1.DC_Ra soat'!$L:$L,'1.DC_Ra soat'!$F:$F,AK$4,'1.DC_Ra soat'!$I:$I,'1.BS (VND)'!$D78)</f>
        <v>0</v>
      </c>
      <c r="AL78" s="746">
        <f>-SUMIFS('1.DC_Ra soat'!$L:$L,'1.DC_Ra soat'!$F:$F,AL$4,'1.DC_Ra soat'!$H:$H,'1.BS (VND)'!$D78)+SUMIFS('1.DC_Ra soat'!$L:$L,'1.DC_Ra soat'!$F:$F,AL$4,'1.DC_Ra soat'!$I:$I,'1.BS (VND)'!$D78)</f>
        <v>0</v>
      </c>
      <c r="AM78" s="745"/>
      <c r="AN78" s="746">
        <f>-SUMIFS('1.DC_Ra soat'!$L:$L,'1.DC_Ra soat'!$F:$F,AN$4,'1.DC_Ra soat'!$H:$H,'1.BS (VND)'!$D78)+SUMIFS('1.DC_Ra soat'!$L:$L,'1.DC_Ra soat'!$F:$F,AN$4,'1.DC_Ra soat'!$I:$I,'1.BS (VND)'!$D78)</f>
        <v>0</v>
      </c>
      <c r="AO78" s="746">
        <f>-SUMIFS('1.DC_Ra soat'!$L:$L,'1.DC_Ra soat'!$F:$F,AO$4,'1.DC_Ra soat'!$H:$H,'1.BS (VND)'!$D78)+SUMIFS('1.DC_Ra soat'!$L:$L,'1.DC_Ra soat'!$F:$F,AO$4,'1.DC_Ra soat'!$I:$I,'1.BS (VND)'!$D78)</f>
        <v>0</v>
      </c>
      <c r="AP78" s="746">
        <f>-SUMIFS('1.DC_Ra soat'!$L:$L,'1.DC_Ra soat'!$F:$F,AP$4,'1.DC_Ra soat'!$H:$H,'1.BS (VND)'!$D78)+SUMIFS('1.DC_Ra soat'!$L:$L,'1.DC_Ra soat'!$F:$F,AP$4,'1.DC_Ra soat'!$I:$I,'1.BS (VND)'!$D78)</f>
        <v>0</v>
      </c>
      <c r="AQ78" s="746">
        <f>-SUMIFS('1.DC_Ra soat'!$L:$L,'1.DC_Ra soat'!$F:$F,AQ$4,'1.DC_Ra soat'!$H:$H,'1.BS (VND)'!$D78)+SUMIFS('1.DC_Ra soat'!$L:$L,'1.DC_Ra soat'!$F:$F,AQ$4,'1.DC_Ra soat'!$I:$I,'1.BS (VND)'!$D78)</f>
        <v>0</v>
      </c>
      <c r="AR78" s="745"/>
      <c r="AS78" s="746">
        <f>-SUMIFS('1.DC_Ra soat'!$L:$L,'1.DC_Ra soat'!$F:$F,AS$4,'1.DC_Ra soat'!$H:$H,'1.BS (VND)'!$D78)+SUMIFS('1.DC_Ra soat'!$L:$L,'1.DC_Ra soat'!$F:$F,AS$4,'1.DC_Ra soat'!$I:$I,'1.BS (VND)'!$D78)</f>
        <v>0</v>
      </c>
      <c r="AT78" s="746">
        <f>-SUMIFS('1.DC_Ra soat'!$L:$L,'1.DC_Ra soat'!$F:$F,AT$4,'1.DC_Ra soat'!$H:$H,'1.BS (VND)'!$D78)+SUMIFS('1.DC_Ra soat'!$L:$L,'1.DC_Ra soat'!$F:$F,AT$4,'1.DC_Ra soat'!$I:$I,'1.BS (VND)'!$D78)</f>
        <v>0</v>
      </c>
      <c r="AU78" s="746">
        <f>-SUMIFS('1.DC_Ra soat'!$L:$L,'1.DC_Ra soat'!$F:$F,AU$4,'1.DC_Ra soat'!$H:$H,'1.BS (VND)'!$D78)+SUMIFS('1.DC_Ra soat'!$L:$L,'1.DC_Ra soat'!$F:$F,AU$4,'1.DC_Ra soat'!$I:$I,'1.BS (VND)'!$D78)</f>
        <v>0</v>
      </c>
      <c r="AV78" s="746">
        <f>-SUMIFS('1.DC_Ra soat'!$L:$L,'1.DC_Ra soat'!$F:$F,AV$4,'1.DC_Ra soat'!$H:$H,'1.BS (VND)'!$D78)+SUMIFS('1.DC_Ra soat'!$L:$L,'1.DC_Ra soat'!$F:$F,AV$4,'1.DC_Ra soat'!$I:$I,'1.BS (VND)'!$D78)</f>
        <v>0</v>
      </c>
      <c r="AW78" s="745"/>
      <c r="AX78" s="746">
        <f>-SUMIFS('1.DC_Ra soat'!$L:$L,'1.DC_Ra soat'!$F:$F,AX$4,'1.DC_Ra soat'!$H:$H,'1.BS (VND)'!$D78)+SUMIFS('1.DC_Ra soat'!$L:$L,'1.DC_Ra soat'!$F:$F,AX$4,'1.DC_Ra soat'!$I:$I,'1.BS (VND)'!$D78)</f>
        <v>0</v>
      </c>
      <c r="AY78" s="746">
        <f>-SUMIFS('1.DC_Ra soat'!$L:$L,'1.DC_Ra soat'!$F:$F,AY$4,'1.DC_Ra soat'!$H:$H,'1.BS (VND)'!$D78)+SUMIFS('1.DC_Ra soat'!$L:$L,'1.DC_Ra soat'!$F:$F,AY$4,'1.DC_Ra soat'!$I:$I,'1.BS (VND)'!$D78)</f>
        <v>0</v>
      </c>
      <c r="AZ78" s="746">
        <f>-SUMIFS('1.DC_Ra soat'!$L:$L,'1.DC_Ra soat'!$F:$F,AZ$4,'1.DC_Ra soat'!$H:$H,'1.BS (VND)'!$D78)+SUMIFS('1.DC_Ra soat'!$L:$L,'1.DC_Ra soat'!$F:$F,AZ$4,'1.DC_Ra soat'!$I:$I,'1.BS (VND)'!$D78)</f>
        <v>0</v>
      </c>
      <c r="BA78" s="746">
        <f>-SUMIFS('1.DC_Ra soat'!$L:$L,'1.DC_Ra soat'!$F:$F,BA$4,'1.DC_Ra soat'!$H:$H,'1.BS (VND)'!$D78)+SUMIFS('1.DC_Ra soat'!$L:$L,'1.DC_Ra soat'!$F:$F,BA$4,'1.DC_Ra soat'!$I:$I,'1.BS (VND)'!$D78)</f>
        <v>0</v>
      </c>
      <c r="BB78" s="745"/>
      <c r="BC78" s="746">
        <f>-SUMIFS('1.DC_Ra soat'!$L:$L,'1.DC_Ra soat'!$F:$F,BC$4,'1.DC_Ra soat'!$H:$H,'1.BS (VND)'!$D78)+SUMIFS('1.DC_Ra soat'!$L:$L,'1.DC_Ra soat'!$F:$F,BC$4,'1.DC_Ra soat'!$I:$I,'1.BS (VND)'!$D78)</f>
        <v>0</v>
      </c>
      <c r="BD78" s="746">
        <f>-SUMIFS('1.DC_Ra soat'!$L:$L,'1.DC_Ra soat'!$F:$F,BD$4,'1.DC_Ra soat'!$H:$H,'1.BS (VND)'!$D78)+SUMIFS('1.DC_Ra soat'!$L:$L,'1.DC_Ra soat'!$F:$F,BD$4,'1.DC_Ra soat'!$I:$I,'1.BS (VND)'!$D78)</f>
        <v>0</v>
      </c>
      <c r="BE78" s="746">
        <f>-SUMIFS('1.DC_Ra soat'!$L:$L,'1.DC_Ra soat'!$F:$F,BE$4,'1.DC_Ra soat'!$H:$H,'1.BS (VND)'!$D78)+SUMIFS('1.DC_Ra soat'!$L:$L,'1.DC_Ra soat'!$F:$F,BE$4,'1.DC_Ra soat'!$I:$I,'1.BS (VND)'!$D78)</f>
        <v>0</v>
      </c>
      <c r="BF78" s="746">
        <f>-SUMIFS('1.DC_Ra soat'!$L:$L,'1.DC_Ra soat'!$F:$F,BF$4,'1.DC_Ra soat'!$H:$H,'1.BS (VND)'!$D78)+SUMIFS('1.DC_Ra soat'!$L:$L,'1.DC_Ra soat'!$F:$F,BF$4,'1.DC_Ra soat'!$I:$I,'1.BS (VND)'!$D78)</f>
        <v>0</v>
      </c>
      <c r="BG78" s="745"/>
      <c r="BH78" s="746">
        <f>-SUMIFS('1.DC_Ra soat'!$L:$L,'1.DC_Ra soat'!$F:$F,BH$4,'1.DC_Ra soat'!$H:$H,'1.BS (VND)'!$D78)+SUMIFS('1.DC_Ra soat'!$L:$L,'1.DC_Ra soat'!$F:$F,BH$4,'1.DC_Ra soat'!$I:$I,'1.BS (VND)'!$D78)</f>
        <v>0</v>
      </c>
      <c r="BI78" s="746">
        <f>-SUMIFS('1.DC_Ra soat'!$L:$L,'1.DC_Ra soat'!$F:$F,BI$4,'1.DC_Ra soat'!$H:$H,'1.BS (VND)'!$D78)+SUMIFS('1.DC_Ra soat'!$L:$L,'1.DC_Ra soat'!$F:$F,BI$4,'1.DC_Ra soat'!$I:$I,'1.BS (VND)'!$D78)</f>
        <v>0</v>
      </c>
      <c r="BJ78" s="746">
        <f>-SUMIFS('1.DC_Ra soat'!$L:$L,'1.DC_Ra soat'!$F:$F,BJ$4,'1.DC_Ra soat'!$H:$H,'1.BS (VND)'!$D78)+SUMIFS('1.DC_Ra soat'!$L:$L,'1.DC_Ra soat'!$F:$F,BJ$4,'1.DC_Ra soat'!$I:$I,'1.BS (VND)'!$D78)</f>
        <v>0</v>
      </c>
      <c r="BK78" s="746">
        <f>-SUMIFS('1.DC_Ra soat'!$L:$L,'1.DC_Ra soat'!$F:$F,BK$4,'1.DC_Ra soat'!$H:$H,'1.BS (VND)'!$D78)+SUMIFS('1.DC_Ra soat'!$L:$L,'1.DC_Ra soat'!$F:$F,BK$4,'1.DC_Ra soat'!$I:$I,'1.BS (VND)'!$D78)</f>
        <v>0</v>
      </c>
      <c r="BM78" s="746">
        <f t="shared" si="128"/>
        <v>0</v>
      </c>
      <c r="BN78" s="746">
        <f t="shared" si="129"/>
        <v>0</v>
      </c>
      <c r="BO78" s="746">
        <f t="shared" si="130"/>
        <v>0</v>
      </c>
      <c r="BP78" s="747">
        <f t="shared" si="131"/>
        <v>-1265968000</v>
      </c>
      <c r="BQ78" s="745"/>
      <c r="BR78" s="746">
        <f t="shared" si="132"/>
        <v>0</v>
      </c>
      <c r="BS78" s="746">
        <f t="shared" si="133"/>
        <v>0</v>
      </c>
      <c r="BT78" s="746">
        <f t="shared" si="134"/>
        <v>0</v>
      </c>
      <c r="BU78" s="746">
        <f t="shared" si="135"/>
        <v>0</v>
      </c>
      <c r="BV78" s="745"/>
      <c r="BW78" s="746">
        <f t="shared" si="136"/>
        <v>0</v>
      </c>
      <c r="BX78" s="746">
        <f t="shared" si="137"/>
        <v>0</v>
      </c>
      <c r="BY78" s="746">
        <f t="shared" si="138"/>
        <v>0</v>
      </c>
      <c r="BZ78" s="747">
        <f t="shared" si="139"/>
        <v>0</v>
      </c>
      <c r="CA78" s="745"/>
      <c r="CB78" s="747">
        <f t="shared" si="140"/>
        <v>0</v>
      </c>
      <c r="CC78" s="747">
        <f t="shared" si="141"/>
        <v>0</v>
      </c>
      <c r="CD78" s="747">
        <f t="shared" si="142"/>
        <v>0</v>
      </c>
      <c r="CE78" s="747">
        <f t="shared" si="143"/>
        <v>0</v>
      </c>
      <c r="CF78" s="745"/>
      <c r="CG78" s="747">
        <f t="shared" si="144"/>
        <v>0</v>
      </c>
      <c r="CH78" s="747">
        <f t="shared" si="145"/>
        <v>0</v>
      </c>
      <c r="CI78" s="747">
        <f t="shared" si="146"/>
        <v>0</v>
      </c>
      <c r="CJ78" s="747">
        <f t="shared" si="147"/>
        <v>0</v>
      </c>
      <c r="CK78" s="745"/>
      <c r="CL78" s="746">
        <f t="shared" si="148"/>
        <v>0</v>
      </c>
      <c r="CM78" s="746">
        <f t="shared" si="149"/>
        <v>0</v>
      </c>
      <c r="CN78" s="746">
        <f t="shared" si="150"/>
        <v>0</v>
      </c>
      <c r="CO78" s="747">
        <f t="shared" si="151"/>
        <v>0</v>
      </c>
      <c r="CQ78" s="746">
        <f>SUMIF('1.PL (VND) '!$BL$6:$CD$6,'1.PL (VND) '!CP$6,$BM78:$CE78)</f>
        <v>0</v>
      </c>
      <c r="CR78" s="746">
        <f>SUMIF('1.PL (VND) '!$BL$6:$CD$6,'1.PL (VND) '!CQ$6,$BM78:$CE78)</f>
        <v>0</v>
      </c>
      <c r="CS78" s="746">
        <f>SUMIF('1.PL (VND) '!$BL$6:$CD$6,'1.PL (VND) '!CR$6,$BM78:$CE78)</f>
        <v>0</v>
      </c>
      <c r="CT78" s="746">
        <f>SUMIF('1.PL (VND) '!$BL$6:$CD$6,'1.PL (VND) '!CS$6,$BM78:$CE78)</f>
        <v>-1265968000</v>
      </c>
      <c r="CV78" s="748">
        <f>-SUMIFS('1.DC_Ra soat'!$L:$L,'1.DC_Ra soat'!$F:$F,'1.PL (VND) '!DK$4,'1.DC_Ra soat'!$H:$H,'1.BS (VND)'!$D78)+SUMIFS('1.DC_Ra soat'!$L:$L,'1.DC_Ra soat'!$F:$F,'1.PL (VND) '!DK$4,'1.DC_Ra soat'!$I:$I,'1.BS (VND)'!$D78)</f>
        <v>0</v>
      </c>
      <c r="CW78" s="748">
        <f>-SUMIFS('1.DC_Ra soat'!$L:$L,'1.DC_Ra soat'!$F:$F,'1.PL (VND) '!DL$4,'1.DC_Ra soat'!$H:$H,'1.BS (VND)'!$D78)+SUMIFS('1.DC_Ra soat'!$L:$L,'1.DC_Ra soat'!$F:$F,'1.PL (VND) '!DL$4,'1.DC_Ra soat'!$I:$I,'1.BS (VND)'!$D78)</f>
        <v>0</v>
      </c>
      <c r="CX78" s="748">
        <f>-SUMIFS('1.DC_Ra soat'!$L:$L,'1.DC_Ra soat'!$F:$F,'1.PL (VND) '!DM$4,'1.DC_Ra soat'!$H:$H,'1.BS (VND)'!$D78)+SUMIFS('1.DC_Ra soat'!$L:$L,'1.DC_Ra soat'!$F:$F,'1.PL (VND) '!DM$4,'1.DC_Ra soat'!$I:$I,'1.BS (VND)'!$D78)</f>
        <v>0</v>
      </c>
      <c r="CY78" s="748">
        <f>-SUMIFS('1.DC_Ra soat'!$L:$L,'1.DC_Ra soat'!$F:$F,'1.PL (VND) '!DN$4,'1.DC_Ra soat'!$H:$H,'1.BS (VND)'!$D78)+SUMIFS('1.DC_Ra soat'!$L:$L,'1.DC_Ra soat'!$F:$F,'1.PL (VND) '!DN$4,'1.DC_Ra soat'!$I:$I,'1.BS (VND)'!$D78)</f>
        <v>0</v>
      </c>
      <c r="DA78" s="746">
        <f t="shared" si="157"/>
        <v>0</v>
      </c>
      <c r="DB78" s="746">
        <f t="shared" si="158"/>
        <v>0</v>
      </c>
      <c r="DC78" s="746">
        <f t="shared" si="159"/>
        <v>0</v>
      </c>
      <c r="DD78" s="746">
        <f t="shared" si="160"/>
        <v>-1265968000</v>
      </c>
      <c r="DH78" s="749"/>
    </row>
    <row r="79" spans="1:112" s="740" customFormat="1" x14ac:dyDescent="0.25">
      <c r="A79" s="248" t="str">
        <f t="shared" si="166"/>
        <v>hide</v>
      </c>
      <c r="C79" s="741" t="s">
        <v>417</v>
      </c>
      <c r="D79" s="742" t="s">
        <v>418</v>
      </c>
      <c r="E79" s="743"/>
      <c r="F79" s="743"/>
      <c r="G79" s="743"/>
      <c r="H79" s="744"/>
      <c r="I79" s="745"/>
      <c r="J79" s="746"/>
      <c r="K79" s="746"/>
      <c r="L79" s="746"/>
      <c r="M79" s="739"/>
      <c r="N79" s="745"/>
      <c r="O79" s="746"/>
      <c r="P79" s="746"/>
      <c r="Q79" s="746"/>
      <c r="R79" s="746"/>
      <c r="S79" s="745"/>
      <c r="T79" s="746"/>
      <c r="U79" s="746"/>
      <c r="V79" s="746"/>
      <c r="W79" s="746"/>
      <c r="X79" s="745"/>
      <c r="Y79" s="746"/>
      <c r="Z79" s="746"/>
      <c r="AA79" s="746"/>
      <c r="AB79" s="746"/>
      <c r="AC79" s="745"/>
      <c r="AD79" s="746"/>
      <c r="AE79" s="746"/>
      <c r="AF79" s="746"/>
      <c r="AG79" s="746"/>
      <c r="AI79" s="746">
        <f>-SUMIFS('1.DC_Ra soat'!$L:$L,'1.DC_Ra soat'!$F:$F,AI$4,'1.DC_Ra soat'!$H:$H,'1.BS (VND)'!$D79)+SUMIFS('1.DC_Ra soat'!$L:$L,'1.DC_Ra soat'!$F:$F,AI$4,'1.DC_Ra soat'!$I:$I,'1.BS (VND)'!$D79)</f>
        <v>0</v>
      </c>
      <c r="AJ79" s="746">
        <f>-SUMIFS('1.DC_Ra soat'!$L:$L,'1.DC_Ra soat'!$F:$F,AJ$4,'1.DC_Ra soat'!$H:$H,'1.BS (VND)'!$D79)+SUMIFS('1.DC_Ra soat'!$L:$L,'1.DC_Ra soat'!$F:$F,AJ$4,'1.DC_Ra soat'!$I:$I,'1.BS (VND)'!$D79)</f>
        <v>0</v>
      </c>
      <c r="AK79" s="746">
        <f>-SUMIFS('1.DC_Ra soat'!$L:$L,'1.DC_Ra soat'!$F:$F,AK$4,'1.DC_Ra soat'!$H:$H,'1.BS (VND)'!$D79)+SUMIFS('1.DC_Ra soat'!$L:$L,'1.DC_Ra soat'!$F:$F,AK$4,'1.DC_Ra soat'!$I:$I,'1.BS (VND)'!$D79)</f>
        <v>0</v>
      </c>
      <c r="AL79" s="746">
        <f>-SUMIFS('1.DC_Ra soat'!$L:$L,'1.DC_Ra soat'!$F:$F,AL$4,'1.DC_Ra soat'!$H:$H,'1.BS (VND)'!$D79)+SUMIFS('1.DC_Ra soat'!$L:$L,'1.DC_Ra soat'!$F:$F,AL$4,'1.DC_Ra soat'!$I:$I,'1.BS (VND)'!$D79)</f>
        <v>0</v>
      </c>
      <c r="AM79" s="745"/>
      <c r="AN79" s="746">
        <f>-SUMIFS('1.DC_Ra soat'!$L:$L,'1.DC_Ra soat'!$F:$F,AN$4,'1.DC_Ra soat'!$H:$H,'1.BS (VND)'!$D79)+SUMIFS('1.DC_Ra soat'!$L:$L,'1.DC_Ra soat'!$F:$F,AN$4,'1.DC_Ra soat'!$I:$I,'1.BS (VND)'!$D79)</f>
        <v>0</v>
      </c>
      <c r="AO79" s="746">
        <f>-SUMIFS('1.DC_Ra soat'!$L:$L,'1.DC_Ra soat'!$F:$F,AO$4,'1.DC_Ra soat'!$H:$H,'1.BS (VND)'!$D79)+SUMIFS('1.DC_Ra soat'!$L:$L,'1.DC_Ra soat'!$F:$F,AO$4,'1.DC_Ra soat'!$I:$I,'1.BS (VND)'!$D79)</f>
        <v>0</v>
      </c>
      <c r="AP79" s="746">
        <f>-SUMIFS('1.DC_Ra soat'!$L:$L,'1.DC_Ra soat'!$F:$F,AP$4,'1.DC_Ra soat'!$H:$H,'1.BS (VND)'!$D79)+SUMIFS('1.DC_Ra soat'!$L:$L,'1.DC_Ra soat'!$F:$F,AP$4,'1.DC_Ra soat'!$I:$I,'1.BS (VND)'!$D79)</f>
        <v>0</v>
      </c>
      <c r="AQ79" s="746">
        <f>-SUMIFS('1.DC_Ra soat'!$L:$L,'1.DC_Ra soat'!$F:$F,AQ$4,'1.DC_Ra soat'!$H:$H,'1.BS (VND)'!$D79)+SUMIFS('1.DC_Ra soat'!$L:$L,'1.DC_Ra soat'!$F:$F,AQ$4,'1.DC_Ra soat'!$I:$I,'1.BS (VND)'!$D79)</f>
        <v>0</v>
      </c>
      <c r="AR79" s="745"/>
      <c r="AS79" s="746">
        <f>-SUMIFS('1.DC_Ra soat'!$L:$L,'1.DC_Ra soat'!$F:$F,AS$4,'1.DC_Ra soat'!$H:$H,'1.BS (VND)'!$D79)+SUMIFS('1.DC_Ra soat'!$L:$L,'1.DC_Ra soat'!$F:$F,AS$4,'1.DC_Ra soat'!$I:$I,'1.BS (VND)'!$D79)</f>
        <v>0</v>
      </c>
      <c r="AT79" s="746">
        <f>-SUMIFS('1.DC_Ra soat'!$L:$L,'1.DC_Ra soat'!$F:$F,AT$4,'1.DC_Ra soat'!$H:$H,'1.BS (VND)'!$D79)+SUMIFS('1.DC_Ra soat'!$L:$L,'1.DC_Ra soat'!$F:$F,AT$4,'1.DC_Ra soat'!$I:$I,'1.BS (VND)'!$D79)</f>
        <v>0</v>
      </c>
      <c r="AU79" s="746">
        <f>-SUMIFS('1.DC_Ra soat'!$L:$L,'1.DC_Ra soat'!$F:$F,AU$4,'1.DC_Ra soat'!$H:$H,'1.BS (VND)'!$D79)+SUMIFS('1.DC_Ra soat'!$L:$L,'1.DC_Ra soat'!$F:$F,AU$4,'1.DC_Ra soat'!$I:$I,'1.BS (VND)'!$D79)</f>
        <v>0</v>
      </c>
      <c r="AV79" s="746">
        <f>-SUMIFS('1.DC_Ra soat'!$L:$L,'1.DC_Ra soat'!$F:$F,AV$4,'1.DC_Ra soat'!$H:$H,'1.BS (VND)'!$D79)+SUMIFS('1.DC_Ra soat'!$L:$L,'1.DC_Ra soat'!$F:$F,AV$4,'1.DC_Ra soat'!$I:$I,'1.BS (VND)'!$D79)</f>
        <v>0</v>
      </c>
      <c r="AW79" s="745"/>
      <c r="AX79" s="746">
        <f>-SUMIFS('1.DC_Ra soat'!$L:$L,'1.DC_Ra soat'!$F:$F,AX$4,'1.DC_Ra soat'!$H:$H,'1.BS (VND)'!$D79)+SUMIFS('1.DC_Ra soat'!$L:$L,'1.DC_Ra soat'!$F:$F,AX$4,'1.DC_Ra soat'!$I:$I,'1.BS (VND)'!$D79)</f>
        <v>0</v>
      </c>
      <c r="AY79" s="746">
        <f>-SUMIFS('1.DC_Ra soat'!$L:$L,'1.DC_Ra soat'!$F:$F,AY$4,'1.DC_Ra soat'!$H:$H,'1.BS (VND)'!$D79)+SUMIFS('1.DC_Ra soat'!$L:$L,'1.DC_Ra soat'!$F:$F,AY$4,'1.DC_Ra soat'!$I:$I,'1.BS (VND)'!$D79)</f>
        <v>0</v>
      </c>
      <c r="AZ79" s="746">
        <f>-SUMIFS('1.DC_Ra soat'!$L:$L,'1.DC_Ra soat'!$F:$F,AZ$4,'1.DC_Ra soat'!$H:$H,'1.BS (VND)'!$D79)+SUMIFS('1.DC_Ra soat'!$L:$L,'1.DC_Ra soat'!$F:$F,AZ$4,'1.DC_Ra soat'!$I:$I,'1.BS (VND)'!$D79)</f>
        <v>0</v>
      </c>
      <c r="BA79" s="746">
        <f>-SUMIFS('1.DC_Ra soat'!$L:$L,'1.DC_Ra soat'!$F:$F,BA$4,'1.DC_Ra soat'!$H:$H,'1.BS (VND)'!$D79)+SUMIFS('1.DC_Ra soat'!$L:$L,'1.DC_Ra soat'!$F:$F,BA$4,'1.DC_Ra soat'!$I:$I,'1.BS (VND)'!$D79)</f>
        <v>0</v>
      </c>
      <c r="BB79" s="745"/>
      <c r="BC79" s="746">
        <f>-SUMIFS('1.DC_Ra soat'!$L:$L,'1.DC_Ra soat'!$F:$F,BC$4,'1.DC_Ra soat'!$H:$H,'1.BS (VND)'!$D79)+SUMIFS('1.DC_Ra soat'!$L:$L,'1.DC_Ra soat'!$F:$F,BC$4,'1.DC_Ra soat'!$I:$I,'1.BS (VND)'!$D79)</f>
        <v>0</v>
      </c>
      <c r="BD79" s="746">
        <f>-SUMIFS('1.DC_Ra soat'!$L:$L,'1.DC_Ra soat'!$F:$F,BD$4,'1.DC_Ra soat'!$H:$H,'1.BS (VND)'!$D79)+SUMIFS('1.DC_Ra soat'!$L:$L,'1.DC_Ra soat'!$F:$F,BD$4,'1.DC_Ra soat'!$I:$I,'1.BS (VND)'!$D79)</f>
        <v>0</v>
      </c>
      <c r="BE79" s="746">
        <f>-SUMIFS('1.DC_Ra soat'!$L:$L,'1.DC_Ra soat'!$F:$F,BE$4,'1.DC_Ra soat'!$H:$H,'1.BS (VND)'!$D79)+SUMIFS('1.DC_Ra soat'!$L:$L,'1.DC_Ra soat'!$F:$F,BE$4,'1.DC_Ra soat'!$I:$I,'1.BS (VND)'!$D79)</f>
        <v>0</v>
      </c>
      <c r="BF79" s="746">
        <f>-SUMIFS('1.DC_Ra soat'!$L:$L,'1.DC_Ra soat'!$F:$F,BF$4,'1.DC_Ra soat'!$H:$H,'1.BS (VND)'!$D79)+SUMIFS('1.DC_Ra soat'!$L:$L,'1.DC_Ra soat'!$F:$F,BF$4,'1.DC_Ra soat'!$I:$I,'1.BS (VND)'!$D79)</f>
        <v>0</v>
      </c>
      <c r="BG79" s="745"/>
      <c r="BH79" s="746">
        <f>-SUMIFS('1.DC_Ra soat'!$L:$L,'1.DC_Ra soat'!$F:$F,BH$4,'1.DC_Ra soat'!$H:$H,'1.BS (VND)'!$D79)+SUMIFS('1.DC_Ra soat'!$L:$L,'1.DC_Ra soat'!$F:$F,BH$4,'1.DC_Ra soat'!$I:$I,'1.BS (VND)'!$D79)</f>
        <v>0</v>
      </c>
      <c r="BI79" s="746">
        <f>-SUMIFS('1.DC_Ra soat'!$L:$L,'1.DC_Ra soat'!$F:$F,BI$4,'1.DC_Ra soat'!$H:$H,'1.BS (VND)'!$D79)+SUMIFS('1.DC_Ra soat'!$L:$L,'1.DC_Ra soat'!$F:$F,BI$4,'1.DC_Ra soat'!$I:$I,'1.BS (VND)'!$D79)</f>
        <v>0</v>
      </c>
      <c r="BJ79" s="746">
        <f>-SUMIFS('1.DC_Ra soat'!$L:$L,'1.DC_Ra soat'!$F:$F,BJ$4,'1.DC_Ra soat'!$H:$H,'1.BS (VND)'!$D79)+SUMIFS('1.DC_Ra soat'!$L:$L,'1.DC_Ra soat'!$F:$F,BJ$4,'1.DC_Ra soat'!$I:$I,'1.BS (VND)'!$D79)</f>
        <v>0</v>
      </c>
      <c r="BK79" s="746">
        <f>-SUMIFS('1.DC_Ra soat'!$L:$L,'1.DC_Ra soat'!$F:$F,BK$4,'1.DC_Ra soat'!$H:$H,'1.BS (VND)'!$D79)+SUMIFS('1.DC_Ra soat'!$L:$L,'1.DC_Ra soat'!$F:$F,BK$4,'1.DC_Ra soat'!$I:$I,'1.BS (VND)'!$D79)</f>
        <v>0</v>
      </c>
      <c r="BM79" s="746">
        <f t="shared" si="128"/>
        <v>0</v>
      </c>
      <c r="BN79" s="746">
        <f t="shared" si="129"/>
        <v>0</v>
      </c>
      <c r="BO79" s="746">
        <f t="shared" si="130"/>
        <v>0</v>
      </c>
      <c r="BP79" s="747">
        <f t="shared" si="131"/>
        <v>0</v>
      </c>
      <c r="BQ79" s="745"/>
      <c r="BR79" s="746">
        <f t="shared" si="132"/>
        <v>0</v>
      </c>
      <c r="BS79" s="746">
        <f t="shared" si="133"/>
        <v>0</v>
      </c>
      <c r="BT79" s="746">
        <f t="shared" si="134"/>
        <v>0</v>
      </c>
      <c r="BU79" s="746">
        <f t="shared" si="135"/>
        <v>0</v>
      </c>
      <c r="BV79" s="745"/>
      <c r="BW79" s="746">
        <f t="shared" si="136"/>
        <v>0</v>
      </c>
      <c r="BX79" s="746">
        <f t="shared" si="137"/>
        <v>0</v>
      </c>
      <c r="BY79" s="746">
        <f t="shared" si="138"/>
        <v>0</v>
      </c>
      <c r="BZ79" s="747">
        <f t="shared" si="139"/>
        <v>0</v>
      </c>
      <c r="CA79" s="745"/>
      <c r="CB79" s="747">
        <f t="shared" si="140"/>
        <v>0</v>
      </c>
      <c r="CC79" s="747">
        <f t="shared" si="141"/>
        <v>0</v>
      </c>
      <c r="CD79" s="747">
        <f t="shared" si="142"/>
        <v>0</v>
      </c>
      <c r="CE79" s="747">
        <f t="shared" si="143"/>
        <v>0</v>
      </c>
      <c r="CF79" s="745"/>
      <c r="CG79" s="747">
        <f t="shared" si="144"/>
        <v>0</v>
      </c>
      <c r="CH79" s="747">
        <f t="shared" si="145"/>
        <v>0</v>
      </c>
      <c r="CI79" s="747">
        <f t="shared" si="146"/>
        <v>0</v>
      </c>
      <c r="CJ79" s="747">
        <f t="shared" si="147"/>
        <v>0</v>
      </c>
      <c r="CK79" s="745"/>
      <c r="CL79" s="746">
        <f t="shared" si="148"/>
        <v>0</v>
      </c>
      <c r="CM79" s="746">
        <f t="shared" si="149"/>
        <v>0</v>
      </c>
      <c r="CN79" s="746">
        <f t="shared" si="150"/>
        <v>0</v>
      </c>
      <c r="CO79" s="747">
        <f t="shared" si="151"/>
        <v>0</v>
      </c>
      <c r="CQ79" s="746">
        <f>SUMIF('1.PL (VND) '!$BL$6:$CD$6,'1.PL (VND) '!CP$6,$BM79:$CE79)</f>
        <v>0</v>
      </c>
      <c r="CR79" s="746">
        <f>SUMIF('1.PL (VND) '!$BL$6:$CD$6,'1.PL (VND) '!CQ$6,$BM79:$CE79)</f>
        <v>0</v>
      </c>
      <c r="CS79" s="746">
        <f>SUMIF('1.PL (VND) '!$BL$6:$CD$6,'1.PL (VND) '!CR$6,$BM79:$CE79)</f>
        <v>0</v>
      </c>
      <c r="CT79" s="746">
        <f>SUMIF('1.PL (VND) '!$BL$6:$CD$6,'1.PL (VND) '!CS$6,$BM79:$CE79)</f>
        <v>0</v>
      </c>
      <c r="CV79" s="748">
        <f>-SUMIFS('1.DC_Ra soat'!$L:$L,'1.DC_Ra soat'!$F:$F,'1.PL (VND) '!DK$4,'1.DC_Ra soat'!$H:$H,'1.BS (VND)'!$D79)+SUMIFS('1.DC_Ra soat'!$L:$L,'1.DC_Ra soat'!$F:$F,'1.PL (VND) '!DK$4,'1.DC_Ra soat'!$I:$I,'1.BS (VND)'!$D79)</f>
        <v>0</v>
      </c>
      <c r="CW79" s="748">
        <f>-SUMIFS('1.DC_Ra soat'!$L:$L,'1.DC_Ra soat'!$F:$F,'1.PL (VND) '!DL$4,'1.DC_Ra soat'!$H:$H,'1.BS (VND)'!$D79)+SUMIFS('1.DC_Ra soat'!$L:$L,'1.DC_Ra soat'!$F:$F,'1.PL (VND) '!DL$4,'1.DC_Ra soat'!$I:$I,'1.BS (VND)'!$D79)</f>
        <v>0</v>
      </c>
      <c r="CX79" s="748">
        <f>-SUMIFS('1.DC_Ra soat'!$L:$L,'1.DC_Ra soat'!$F:$F,'1.PL (VND) '!DM$4,'1.DC_Ra soat'!$H:$H,'1.BS (VND)'!$D79)+SUMIFS('1.DC_Ra soat'!$L:$L,'1.DC_Ra soat'!$F:$F,'1.PL (VND) '!DM$4,'1.DC_Ra soat'!$I:$I,'1.BS (VND)'!$D79)</f>
        <v>0</v>
      </c>
      <c r="CY79" s="748">
        <f>-SUMIFS('1.DC_Ra soat'!$L:$L,'1.DC_Ra soat'!$F:$F,'1.PL (VND) '!DN$4,'1.DC_Ra soat'!$H:$H,'1.BS (VND)'!$D79)+SUMIFS('1.DC_Ra soat'!$L:$L,'1.DC_Ra soat'!$F:$F,'1.PL (VND) '!DN$4,'1.DC_Ra soat'!$I:$I,'1.BS (VND)'!$D79)</f>
        <v>0</v>
      </c>
      <c r="DA79" s="746">
        <f t="shared" si="157"/>
        <v>0</v>
      </c>
      <c r="DB79" s="746">
        <f t="shared" si="158"/>
        <v>0</v>
      </c>
      <c r="DC79" s="746">
        <f t="shared" si="159"/>
        <v>0</v>
      </c>
      <c r="DD79" s="746">
        <f t="shared" si="160"/>
        <v>0</v>
      </c>
      <c r="DH79" s="749"/>
    </row>
    <row r="80" spans="1:112" s="740" customFormat="1" x14ac:dyDescent="0.25">
      <c r="A80" s="248" t="str">
        <f t="shared" si="166"/>
        <v>hide</v>
      </c>
      <c r="C80" s="741" t="s">
        <v>419</v>
      </c>
      <c r="D80" s="742" t="s">
        <v>420</v>
      </c>
      <c r="E80" s="743"/>
      <c r="F80" s="743"/>
      <c r="G80" s="743"/>
      <c r="H80" s="744"/>
      <c r="I80" s="745"/>
      <c r="J80" s="746"/>
      <c r="K80" s="746"/>
      <c r="L80" s="746"/>
      <c r="M80" s="739"/>
      <c r="N80" s="745"/>
      <c r="O80" s="746"/>
      <c r="P80" s="746"/>
      <c r="Q80" s="746"/>
      <c r="R80" s="746"/>
      <c r="S80" s="745"/>
      <c r="T80" s="746"/>
      <c r="U80" s="746"/>
      <c r="V80" s="746"/>
      <c r="W80" s="746"/>
      <c r="X80" s="745"/>
      <c r="Y80" s="746"/>
      <c r="Z80" s="746"/>
      <c r="AA80" s="746"/>
      <c r="AB80" s="746"/>
      <c r="AC80" s="745"/>
      <c r="AD80" s="746"/>
      <c r="AE80" s="746"/>
      <c r="AF80" s="746"/>
      <c r="AG80" s="746"/>
      <c r="AI80" s="746">
        <f>-SUMIFS('1.DC_Ra soat'!$L:$L,'1.DC_Ra soat'!$F:$F,AI$4,'1.DC_Ra soat'!$H:$H,'1.BS (VND)'!$D80)+SUMIFS('1.DC_Ra soat'!$L:$L,'1.DC_Ra soat'!$F:$F,AI$4,'1.DC_Ra soat'!$I:$I,'1.BS (VND)'!$D80)</f>
        <v>0</v>
      </c>
      <c r="AJ80" s="746">
        <f>-SUMIFS('1.DC_Ra soat'!$L:$L,'1.DC_Ra soat'!$F:$F,AJ$4,'1.DC_Ra soat'!$H:$H,'1.BS (VND)'!$D80)+SUMIFS('1.DC_Ra soat'!$L:$L,'1.DC_Ra soat'!$F:$F,AJ$4,'1.DC_Ra soat'!$I:$I,'1.BS (VND)'!$D80)</f>
        <v>0</v>
      </c>
      <c r="AK80" s="746">
        <f>-SUMIFS('1.DC_Ra soat'!$L:$L,'1.DC_Ra soat'!$F:$F,AK$4,'1.DC_Ra soat'!$H:$H,'1.BS (VND)'!$D80)+SUMIFS('1.DC_Ra soat'!$L:$L,'1.DC_Ra soat'!$F:$F,AK$4,'1.DC_Ra soat'!$I:$I,'1.BS (VND)'!$D80)</f>
        <v>0</v>
      </c>
      <c r="AL80" s="746">
        <f>-SUMIFS('1.DC_Ra soat'!$L:$L,'1.DC_Ra soat'!$F:$F,AL$4,'1.DC_Ra soat'!$H:$H,'1.BS (VND)'!$D80)+SUMIFS('1.DC_Ra soat'!$L:$L,'1.DC_Ra soat'!$F:$F,AL$4,'1.DC_Ra soat'!$I:$I,'1.BS (VND)'!$D80)</f>
        <v>0</v>
      </c>
      <c r="AM80" s="745"/>
      <c r="AN80" s="746">
        <f>-SUMIFS('1.DC_Ra soat'!$L:$L,'1.DC_Ra soat'!$F:$F,AN$4,'1.DC_Ra soat'!$H:$H,'1.BS (VND)'!$D80)+SUMIFS('1.DC_Ra soat'!$L:$L,'1.DC_Ra soat'!$F:$F,AN$4,'1.DC_Ra soat'!$I:$I,'1.BS (VND)'!$D80)</f>
        <v>0</v>
      </c>
      <c r="AO80" s="746">
        <f>-SUMIFS('1.DC_Ra soat'!$L:$L,'1.DC_Ra soat'!$F:$F,AO$4,'1.DC_Ra soat'!$H:$H,'1.BS (VND)'!$D80)+SUMIFS('1.DC_Ra soat'!$L:$L,'1.DC_Ra soat'!$F:$F,AO$4,'1.DC_Ra soat'!$I:$I,'1.BS (VND)'!$D80)</f>
        <v>0</v>
      </c>
      <c r="AP80" s="746">
        <f>-SUMIFS('1.DC_Ra soat'!$L:$L,'1.DC_Ra soat'!$F:$F,AP$4,'1.DC_Ra soat'!$H:$H,'1.BS (VND)'!$D80)+SUMIFS('1.DC_Ra soat'!$L:$L,'1.DC_Ra soat'!$F:$F,AP$4,'1.DC_Ra soat'!$I:$I,'1.BS (VND)'!$D80)</f>
        <v>0</v>
      </c>
      <c r="AQ80" s="746">
        <f>-SUMIFS('1.DC_Ra soat'!$L:$L,'1.DC_Ra soat'!$F:$F,AQ$4,'1.DC_Ra soat'!$H:$H,'1.BS (VND)'!$D80)+SUMIFS('1.DC_Ra soat'!$L:$L,'1.DC_Ra soat'!$F:$F,AQ$4,'1.DC_Ra soat'!$I:$I,'1.BS (VND)'!$D80)</f>
        <v>0</v>
      </c>
      <c r="AR80" s="745"/>
      <c r="AS80" s="746">
        <f>-SUMIFS('1.DC_Ra soat'!$L:$L,'1.DC_Ra soat'!$F:$F,AS$4,'1.DC_Ra soat'!$H:$H,'1.BS (VND)'!$D80)+SUMIFS('1.DC_Ra soat'!$L:$L,'1.DC_Ra soat'!$F:$F,AS$4,'1.DC_Ra soat'!$I:$I,'1.BS (VND)'!$D80)</f>
        <v>0</v>
      </c>
      <c r="AT80" s="746">
        <f>-SUMIFS('1.DC_Ra soat'!$L:$L,'1.DC_Ra soat'!$F:$F,AT$4,'1.DC_Ra soat'!$H:$H,'1.BS (VND)'!$D80)+SUMIFS('1.DC_Ra soat'!$L:$L,'1.DC_Ra soat'!$F:$F,AT$4,'1.DC_Ra soat'!$I:$I,'1.BS (VND)'!$D80)</f>
        <v>0</v>
      </c>
      <c r="AU80" s="746">
        <f>-SUMIFS('1.DC_Ra soat'!$L:$L,'1.DC_Ra soat'!$F:$F,AU$4,'1.DC_Ra soat'!$H:$H,'1.BS (VND)'!$D80)+SUMIFS('1.DC_Ra soat'!$L:$L,'1.DC_Ra soat'!$F:$F,AU$4,'1.DC_Ra soat'!$I:$I,'1.BS (VND)'!$D80)</f>
        <v>0</v>
      </c>
      <c r="AV80" s="746">
        <f>-SUMIFS('1.DC_Ra soat'!$L:$L,'1.DC_Ra soat'!$F:$F,AV$4,'1.DC_Ra soat'!$H:$H,'1.BS (VND)'!$D80)+SUMIFS('1.DC_Ra soat'!$L:$L,'1.DC_Ra soat'!$F:$F,AV$4,'1.DC_Ra soat'!$I:$I,'1.BS (VND)'!$D80)</f>
        <v>0</v>
      </c>
      <c r="AW80" s="745"/>
      <c r="AX80" s="746">
        <f>-SUMIFS('1.DC_Ra soat'!$L:$L,'1.DC_Ra soat'!$F:$F,AX$4,'1.DC_Ra soat'!$H:$H,'1.BS (VND)'!$D80)+SUMIFS('1.DC_Ra soat'!$L:$L,'1.DC_Ra soat'!$F:$F,AX$4,'1.DC_Ra soat'!$I:$I,'1.BS (VND)'!$D80)</f>
        <v>0</v>
      </c>
      <c r="AY80" s="746">
        <f>-SUMIFS('1.DC_Ra soat'!$L:$L,'1.DC_Ra soat'!$F:$F,AY$4,'1.DC_Ra soat'!$H:$H,'1.BS (VND)'!$D80)+SUMIFS('1.DC_Ra soat'!$L:$L,'1.DC_Ra soat'!$F:$F,AY$4,'1.DC_Ra soat'!$I:$I,'1.BS (VND)'!$D80)</f>
        <v>0</v>
      </c>
      <c r="AZ80" s="746">
        <f>-SUMIFS('1.DC_Ra soat'!$L:$L,'1.DC_Ra soat'!$F:$F,AZ$4,'1.DC_Ra soat'!$H:$H,'1.BS (VND)'!$D80)+SUMIFS('1.DC_Ra soat'!$L:$L,'1.DC_Ra soat'!$F:$F,AZ$4,'1.DC_Ra soat'!$I:$I,'1.BS (VND)'!$D80)</f>
        <v>0</v>
      </c>
      <c r="BA80" s="746">
        <f>-SUMIFS('1.DC_Ra soat'!$L:$L,'1.DC_Ra soat'!$F:$F,BA$4,'1.DC_Ra soat'!$H:$H,'1.BS (VND)'!$D80)+SUMIFS('1.DC_Ra soat'!$L:$L,'1.DC_Ra soat'!$F:$F,BA$4,'1.DC_Ra soat'!$I:$I,'1.BS (VND)'!$D80)</f>
        <v>0</v>
      </c>
      <c r="BB80" s="745"/>
      <c r="BC80" s="746">
        <f>-SUMIFS('1.DC_Ra soat'!$L:$L,'1.DC_Ra soat'!$F:$F,BC$4,'1.DC_Ra soat'!$H:$H,'1.BS (VND)'!$D80)+SUMIFS('1.DC_Ra soat'!$L:$L,'1.DC_Ra soat'!$F:$F,BC$4,'1.DC_Ra soat'!$I:$I,'1.BS (VND)'!$D80)</f>
        <v>0</v>
      </c>
      <c r="BD80" s="746">
        <f>-SUMIFS('1.DC_Ra soat'!$L:$L,'1.DC_Ra soat'!$F:$F,BD$4,'1.DC_Ra soat'!$H:$H,'1.BS (VND)'!$D80)+SUMIFS('1.DC_Ra soat'!$L:$L,'1.DC_Ra soat'!$F:$F,BD$4,'1.DC_Ra soat'!$I:$I,'1.BS (VND)'!$D80)</f>
        <v>0</v>
      </c>
      <c r="BE80" s="746">
        <f>-SUMIFS('1.DC_Ra soat'!$L:$L,'1.DC_Ra soat'!$F:$F,BE$4,'1.DC_Ra soat'!$H:$H,'1.BS (VND)'!$D80)+SUMIFS('1.DC_Ra soat'!$L:$L,'1.DC_Ra soat'!$F:$F,BE$4,'1.DC_Ra soat'!$I:$I,'1.BS (VND)'!$D80)</f>
        <v>0</v>
      </c>
      <c r="BF80" s="746">
        <f>-SUMIFS('1.DC_Ra soat'!$L:$L,'1.DC_Ra soat'!$F:$F,BF$4,'1.DC_Ra soat'!$H:$H,'1.BS (VND)'!$D80)+SUMIFS('1.DC_Ra soat'!$L:$L,'1.DC_Ra soat'!$F:$F,BF$4,'1.DC_Ra soat'!$I:$I,'1.BS (VND)'!$D80)</f>
        <v>0</v>
      </c>
      <c r="BG80" s="745"/>
      <c r="BH80" s="746">
        <f>-SUMIFS('1.DC_Ra soat'!$L:$L,'1.DC_Ra soat'!$F:$F,BH$4,'1.DC_Ra soat'!$H:$H,'1.BS (VND)'!$D80)+SUMIFS('1.DC_Ra soat'!$L:$L,'1.DC_Ra soat'!$F:$F,BH$4,'1.DC_Ra soat'!$I:$I,'1.BS (VND)'!$D80)</f>
        <v>0</v>
      </c>
      <c r="BI80" s="746">
        <f>-SUMIFS('1.DC_Ra soat'!$L:$L,'1.DC_Ra soat'!$F:$F,BI$4,'1.DC_Ra soat'!$H:$H,'1.BS (VND)'!$D80)+SUMIFS('1.DC_Ra soat'!$L:$L,'1.DC_Ra soat'!$F:$F,BI$4,'1.DC_Ra soat'!$I:$I,'1.BS (VND)'!$D80)</f>
        <v>0</v>
      </c>
      <c r="BJ80" s="746">
        <f>-SUMIFS('1.DC_Ra soat'!$L:$L,'1.DC_Ra soat'!$F:$F,BJ$4,'1.DC_Ra soat'!$H:$H,'1.BS (VND)'!$D80)+SUMIFS('1.DC_Ra soat'!$L:$L,'1.DC_Ra soat'!$F:$F,BJ$4,'1.DC_Ra soat'!$I:$I,'1.BS (VND)'!$D80)</f>
        <v>0</v>
      </c>
      <c r="BK80" s="746">
        <f>-SUMIFS('1.DC_Ra soat'!$L:$L,'1.DC_Ra soat'!$F:$F,BK$4,'1.DC_Ra soat'!$H:$H,'1.BS (VND)'!$D80)+SUMIFS('1.DC_Ra soat'!$L:$L,'1.DC_Ra soat'!$F:$F,BK$4,'1.DC_Ra soat'!$I:$I,'1.BS (VND)'!$D80)</f>
        <v>0</v>
      </c>
      <c r="BM80" s="746">
        <f t="shared" si="128"/>
        <v>0</v>
      </c>
      <c r="BN80" s="746">
        <f t="shared" si="129"/>
        <v>0</v>
      </c>
      <c r="BO80" s="746">
        <f t="shared" si="130"/>
        <v>0</v>
      </c>
      <c r="BP80" s="747">
        <f t="shared" si="131"/>
        <v>0</v>
      </c>
      <c r="BQ80" s="745"/>
      <c r="BR80" s="746">
        <f t="shared" si="132"/>
        <v>0</v>
      </c>
      <c r="BS80" s="746">
        <f t="shared" si="133"/>
        <v>0</v>
      </c>
      <c r="BT80" s="746">
        <f t="shared" si="134"/>
        <v>0</v>
      </c>
      <c r="BU80" s="746">
        <f t="shared" si="135"/>
        <v>0</v>
      </c>
      <c r="BV80" s="745"/>
      <c r="BW80" s="746">
        <f t="shared" si="136"/>
        <v>0</v>
      </c>
      <c r="BX80" s="746">
        <f t="shared" si="137"/>
        <v>0</v>
      </c>
      <c r="BY80" s="746">
        <f t="shared" si="138"/>
        <v>0</v>
      </c>
      <c r="BZ80" s="747">
        <f t="shared" si="139"/>
        <v>0</v>
      </c>
      <c r="CA80" s="745"/>
      <c r="CB80" s="747">
        <f t="shared" si="140"/>
        <v>0</v>
      </c>
      <c r="CC80" s="747">
        <f t="shared" si="141"/>
        <v>0</v>
      </c>
      <c r="CD80" s="747">
        <f t="shared" si="142"/>
        <v>0</v>
      </c>
      <c r="CE80" s="747">
        <f t="shared" si="143"/>
        <v>0</v>
      </c>
      <c r="CF80" s="745"/>
      <c r="CG80" s="747">
        <f t="shared" si="144"/>
        <v>0</v>
      </c>
      <c r="CH80" s="747">
        <f t="shared" si="145"/>
        <v>0</v>
      </c>
      <c r="CI80" s="747">
        <f t="shared" si="146"/>
        <v>0</v>
      </c>
      <c r="CJ80" s="747">
        <f t="shared" si="147"/>
        <v>0</v>
      </c>
      <c r="CK80" s="745"/>
      <c r="CL80" s="746">
        <f t="shared" si="148"/>
        <v>0</v>
      </c>
      <c r="CM80" s="746">
        <f t="shared" si="149"/>
        <v>0</v>
      </c>
      <c r="CN80" s="746">
        <f t="shared" si="150"/>
        <v>0</v>
      </c>
      <c r="CO80" s="747">
        <f t="shared" si="151"/>
        <v>0</v>
      </c>
      <c r="CQ80" s="746">
        <f>SUMIF('1.PL (VND) '!$BL$6:$CD$6,'1.PL (VND) '!CP$6,$BM80:$CE80)</f>
        <v>0</v>
      </c>
      <c r="CR80" s="746">
        <f>SUMIF('1.PL (VND) '!$BL$6:$CD$6,'1.PL (VND) '!CQ$6,$BM80:$CE80)</f>
        <v>0</v>
      </c>
      <c r="CS80" s="746">
        <f>SUMIF('1.PL (VND) '!$BL$6:$CD$6,'1.PL (VND) '!CR$6,$BM80:$CE80)</f>
        <v>0</v>
      </c>
      <c r="CT80" s="746">
        <f>SUMIF('1.PL (VND) '!$BL$6:$CD$6,'1.PL (VND) '!CS$6,$BM80:$CE80)</f>
        <v>0</v>
      </c>
      <c r="CV80" s="748">
        <f>-SUMIFS('1.DC_Ra soat'!$L:$L,'1.DC_Ra soat'!$F:$F,'1.PL (VND) '!DK$4,'1.DC_Ra soat'!$H:$H,'1.BS (VND)'!$D80)+SUMIFS('1.DC_Ra soat'!$L:$L,'1.DC_Ra soat'!$F:$F,'1.PL (VND) '!DK$4,'1.DC_Ra soat'!$I:$I,'1.BS (VND)'!$D80)</f>
        <v>0</v>
      </c>
      <c r="CW80" s="748">
        <f>-SUMIFS('1.DC_Ra soat'!$L:$L,'1.DC_Ra soat'!$F:$F,'1.PL (VND) '!DL$4,'1.DC_Ra soat'!$H:$H,'1.BS (VND)'!$D80)+SUMIFS('1.DC_Ra soat'!$L:$L,'1.DC_Ra soat'!$F:$F,'1.PL (VND) '!DL$4,'1.DC_Ra soat'!$I:$I,'1.BS (VND)'!$D80)</f>
        <v>0</v>
      </c>
      <c r="CX80" s="748">
        <f>-SUMIFS('1.DC_Ra soat'!$L:$L,'1.DC_Ra soat'!$F:$F,'1.PL (VND) '!DM$4,'1.DC_Ra soat'!$H:$H,'1.BS (VND)'!$D80)+SUMIFS('1.DC_Ra soat'!$L:$L,'1.DC_Ra soat'!$F:$F,'1.PL (VND) '!DM$4,'1.DC_Ra soat'!$I:$I,'1.BS (VND)'!$D80)</f>
        <v>0</v>
      </c>
      <c r="CY80" s="748">
        <f>-SUMIFS('1.DC_Ra soat'!$L:$L,'1.DC_Ra soat'!$F:$F,'1.PL (VND) '!DN$4,'1.DC_Ra soat'!$H:$H,'1.BS (VND)'!$D80)+SUMIFS('1.DC_Ra soat'!$L:$L,'1.DC_Ra soat'!$F:$F,'1.PL (VND) '!DN$4,'1.DC_Ra soat'!$I:$I,'1.BS (VND)'!$D80)</f>
        <v>0</v>
      </c>
      <c r="DA80" s="746">
        <f t="shared" si="157"/>
        <v>0</v>
      </c>
      <c r="DB80" s="746">
        <f t="shared" si="158"/>
        <v>0</v>
      </c>
      <c r="DC80" s="746">
        <f t="shared" si="159"/>
        <v>0</v>
      </c>
      <c r="DD80" s="746">
        <f t="shared" si="160"/>
        <v>0</v>
      </c>
    </row>
    <row r="81" spans="1:112" s="740" customFormat="1" x14ac:dyDescent="0.25">
      <c r="A81" s="248" t="str">
        <f t="shared" si="166"/>
        <v>hide</v>
      </c>
      <c r="C81" s="741" t="s">
        <v>421</v>
      </c>
      <c r="D81" s="742" t="s">
        <v>422</v>
      </c>
      <c r="E81" s="743"/>
      <c r="F81" s="743"/>
      <c r="G81" s="743"/>
      <c r="H81" s="744"/>
      <c r="I81" s="745"/>
      <c r="J81" s="746"/>
      <c r="K81" s="746"/>
      <c r="L81" s="746"/>
      <c r="M81" s="739"/>
      <c r="N81" s="745"/>
      <c r="O81" s="746"/>
      <c r="P81" s="746"/>
      <c r="Q81" s="746"/>
      <c r="R81" s="746"/>
      <c r="S81" s="745"/>
      <c r="T81" s="746"/>
      <c r="U81" s="746"/>
      <c r="V81" s="746"/>
      <c r="W81" s="746"/>
      <c r="X81" s="745"/>
      <c r="Y81" s="746"/>
      <c r="Z81" s="746"/>
      <c r="AA81" s="746"/>
      <c r="AB81" s="746"/>
      <c r="AC81" s="745"/>
      <c r="AD81" s="746"/>
      <c r="AE81" s="746"/>
      <c r="AF81" s="746"/>
      <c r="AG81" s="746"/>
      <c r="AI81" s="746">
        <f>-SUMIFS('1.DC_Ra soat'!$L:$L,'1.DC_Ra soat'!$F:$F,AI$4,'1.DC_Ra soat'!$H:$H,'1.BS (VND)'!$D81)+SUMIFS('1.DC_Ra soat'!$L:$L,'1.DC_Ra soat'!$F:$F,AI$4,'1.DC_Ra soat'!$I:$I,'1.BS (VND)'!$D81)</f>
        <v>0</v>
      </c>
      <c r="AJ81" s="746">
        <f>-SUMIFS('1.DC_Ra soat'!$L:$L,'1.DC_Ra soat'!$F:$F,AJ$4,'1.DC_Ra soat'!$H:$H,'1.BS (VND)'!$D81)+SUMIFS('1.DC_Ra soat'!$L:$L,'1.DC_Ra soat'!$F:$F,AJ$4,'1.DC_Ra soat'!$I:$I,'1.BS (VND)'!$D81)</f>
        <v>0</v>
      </c>
      <c r="AK81" s="746">
        <f>-SUMIFS('1.DC_Ra soat'!$L:$L,'1.DC_Ra soat'!$F:$F,AK$4,'1.DC_Ra soat'!$H:$H,'1.BS (VND)'!$D81)+SUMIFS('1.DC_Ra soat'!$L:$L,'1.DC_Ra soat'!$F:$F,AK$4,'1.DC_Ra soat'!$I:$I,'1.BS (VND)'!$D81)</f>
        <v>0</v>
      </c>
      <c r="AL81" s="746">
        <f>-SUMIFS('1.DC_Ra soat'!$L:$L,'1.DC_Ra soat'!$F:$F,AL$4,'1.DC_Ra soat'!$H:$H,'1.BS (VND)'!$D81)+SUMIFS('1.DC_Ra soat'!$L:$L,'1.DC_Ra soat'!$F:$F,AL$4,'1.DC_Ra soat'!$I:$I,'1.BS (VND)'!$D81)</f>
        <v>0</v>
      </c>
      <c r="AM81" s="745"/>
      <c r="AN81" s="746">
        <f>-SUMIFS('1.DC_Ra soat'!$L:$L,'1.DC_Ra soat'!$F:$F,AN$4,'1.DC_Ra soat'!$H:$H,'1.BS (VND)'!$D81)+SUMIFS('1.DC_Ra soat'!$L:$L,'1.DC_Ra soat'!$F:$F,AN$4,'1.DC_Ra soat'!$I:$I,'1.BS (VND)'!$D81)</f>
        <v>0</v>
      </c>
      <c r="AO81" s="746">
        <f>-SUMIFS('1.DC_Ra soat'!$L:$L,'1.DC_Ra soat'!$F:$F,AO$4,'1.DC_Ra soat'!$H:$H,'1.BS (VND)'!$D81)+SUMIFS('1.DC_Ra soat'!$L:$L,'1.DC_Ra soat'!$F:$F,AO$4,'1.DC_Ra soat'!$I:$I,'1.BS (VND)'!$D81)</f>
        <v>0</v>
      </c>
      <c r="AP81" s="746">
        <f>-SUMIFS('1.DC_Ra soat'!$L:$L,'1.DC_Ra soat'!$F:$F,AP$4,'1.DC_Ra soat'!$H:$H,'1.BS (VND)'!$D81)+SUMIFS('1.DC_Ra soat'!$L:$L,'1.DC_Ra soat'!$F:$F,AP$4,'1.DC_Ra soat'!$I:$I,'1.BS (VND)'!$D81)</f>
        <v>0</v>
      </c>
      <c r="AQ81" s="746">
        <f>-SUMIFS('1.DC_Ra soat'!$L:$L,'1.DC_Ra soat'!$F:$F,AQ$4,'1.DC_Ra soat'!$H:$H,'1.BS (VND)'!$D81)+SUMIFS('1.DC_Ra soat'!$L:$L,'1.DC_Ra soat'!$F:$F,AQ$4,'1.DC_Ra soat'!$I:$I,'1.BS (VND)'!$D81)</f>
        <v>0</v>
      </c>
      <c r="AR81" s="745"/>
      <c r="AS81" s="746">
        <f>-SUMIFS('1.DC_Ra soat'!$L:$L,'1.DC_Ra soat'!$F:$F,AS$4,'1.DC_Ra soat'!$H:$H,'1.BS (VND)'!$D81)+SUMIFS('1.DC_Ra soat'!$L:$L,'1.DC_Ra soat'!$F:$F,AS$4,'1.DC_Ra soat'!$I:$I,'1.BS (VND)'!$D81)</f>
        <v>0</v>
      </c>
      <c r="AT81" s="746">
        <f>-SUMIFS('1.DC_Ra soat'!$L:$L,'1.DC_Ra soat'!$F:$F,AT$4,'1.DC_Ra soat'!$H:$H,'1.BS (VND)'!$D81)+SUMIFS('1.DC_Ra soat'!$L:$L,'1.DC_Ra soat'!$F:$F,AT$4,'1.DC_Ra soat'!$I:$I,'1.BS (VND)'!$D81)</f>
        <v>0</v>
      </c>
      <c r="AU81" s="746">
        <f>-SUMIFS('1.DC_Ra soat'!$L:$L,'1.DC_Ra soat'!$F:$F,AU$4,'1.DC_Ra soat'!$H:$H,'1.BS (VND)'!$D81)+SUMIFS('1.DC_Ra soat'!$L:$L,'1.DC_Ra soat'!$F:$F,AU$4,'1.DC_Ra soat'!$I:$I,'1.BS (VND)'!$D81)</f>
        <v>0</v>
      </c>
      <c r="AV81" s="746">
        <f>-SUMIFS('1.DC_Ra soat'!$L:$L,'1.DC_Ra soat'!$F:$F,AV$4,'1.DC_Ra soat'!$H:$H,'1.BS (VND)'!$D81)+SUMIFS('1.DC_Ra soat'!$L:$L,'1.DC_Ra soat'!$F:$F,AV$4,'1.DC_Ra soat'!$I:$I,'1.BS (VND)'!$D81)</f>
        <v>0</v>
      </c>
      <c r="AW81" s="745"/>
      <c r="AX81" s="746">
        <f>-SUMIFS('1.DC_Ra soat'!$L:$L,'1.DC_Ra soat'!$F:$F,AX$4,'1.DC_Ra soat'!$H:$H,'1.BS (VND)'!$D81)+SUMIFS('1.DC_Ra soat'!$L:$L,'1.DC_Ra soat'!$F:$F,AX$4,'1.DC_Ra soat'!$I:$I,'1.BS (VND)'!$D81)</f>
        <v>0</v>
      </c>
      <c r="AY81" s="746">
        <f>-SUMIFS('1.DC_Ra soat'!$L:$L,'1.DC_Ra soat'!$F:$F,AY$4,'1.DC_Ra soat'!$H:$H,'1.BS (VND)'!$D81)+SUMIFS('1.DC_Ra soat'!$L:$L,'1.DC_Ra soat'!$F:$F,AY$4,'1.DC_Ra soat'!$I:$I,'1.BS (VND)'!$D81)</f>
        <v>0</v>
      </c>
      <c r="AZ81" s="746">
        <f>-SUMIFS('1.DC_Ra soat'!$L:$L,'1.DC_Ra soat'!$F:$F,AZ$4,'1.DC_Ra soat'!$H:$H,'1.BS (VND)'!$D81)+SUMIFS('1.DC_Ra soat'!$L:$L,'1.DC_Ra soat'!$F:$F,AZ$4,'1.DC_Ra soat'!$I:$I,'1.BS (VND)'!$D81)</f>
        <v>0</v>
      </c>
      <c r="BA81" s="746">
        <f>-SUMIFS('1.DC_Ra soat'!$L:$L,'1.DC_Ra soat'!$F:$F,BA$4,'1.DC_Ra soat'!$H:$H,'1.BS (VND)'!$D81)+SUMIFS('1.DC_Ra soat'!$L:$L,'1.DC_Ra soat'!$F:$F,BA$4,'1.DC_Ra soat'!$I:$I,'1.BS (VND)'!$D81)</f>
        <v>0</v>
      </c>
      <c r="BB81" s="745"/>
      <c r="BC81" s="746">
        <f>-SUMIFS('1.DC_Ra soat'!$L:$L,'1.DC_Ra soat'!$F:$F,BC$4,'1.DC_Ra soat'!$H:$H,'1.BS (VND)'!$D81)+SUMIFS('1.DC_Ra soat'!$L:$L,'1.DC_Ra soat'!$F:$F,BC$4,'1.DC_Ra soat'!$I:$I,'1.BS (VND)'!$D81)</f>
        <v>0</v>
      </c>
      <c r="BD81" s="746">
        <f>-SUMIFS('1.DC_Ra soat'!$L:$L,'1.DC_Ra soat'!$F:$F,BD$4,'1.DC_Ra soat'!$H:$H,'1.BS (VND)'!$D81)+SUMIFS('1.DC_Ra soat'!$L:$L,'1.DC_Ra soat'!$F:$F,BD$4,'1.DC_Ra soat'!$I:$I,'1.BS (VND)'!$D81)</f>
        <v>0</v>
      </c>
      <c r="BE81" s="746">
        <f>-SUMIFS('1.DC_Ra soat'!$L:$L,'1.DC_Ra soat'!$F:$F,BE$4,'1.DC_Ra soat'!$H:$H,'1.BS (VND)'!$D81)+SUMIFS('1.DC_Ra soat'!$L:$L,'1.DC_Ra soat'!$F:$F,BE$4,'1.DC_Ra soat'!$I:$I,'1.BS (VND)'!$D81)</f>
        <v>0</v>
      </c>
      <c r="BF81" s="746">
        <f>-SUMIFS('1.DC_Ra soat'!$L:$L,'1.DC_Ra soat'!$F:$F,BF$4,'1.DC_Ra soat'!$H:$H,'1.BS (VND)'!$D81)+SUMIFS('1.DC_Ra soat'!$L:$L,'1.DC_Ra soat'!$F:$F,BF$4,'1.DC_Ra soat'!$I:$I,'1.BS (VND)'!$D81)</f>
        <v>0</v>
      </c>
      <c r="BG81" s="745"/>
      <c r="BH81" s="746">
        <f>-SUMIFS('1.DC_Ra soat'!$L:$L,'1.DC_Ra soat'!$F:$F,BH$4,'1.DC_Ra soat'!$H:$H,'1.BS (VND)'!$D81)+SUMIFS('1.DC_Ra soat'!$L:$L,'1.DC_Ra soat'!$F:$F,BH$4,'1.DC_Ra soat'!$I:$I,'1.BS (VND)'!$D81)</f>
        <v>0</v>
      </c>
      <c r="BI81" s="746">
        <f>-SUMIFS('1.DC_Ra soat'!$L:$L,'1.DC_Ra soat'!$F:$F,BI$4,'1.DC_Ra soat'!$H:$H,'1.BS (VND)'!$D81)+SUMIFS('1.DC_Ra soat'!$L:$L,'1.DC_Ra soat'!$F:$F,BI$4,'1.DC_Ra soat'!$I:$I,'1.BS (VND)'!$D81)</f>
        <v>0</v>
      </c>
      <c r="BJ81" s="746">
        <f>-SUMIFS('1.DC_Ra soat'!$L:$L,'1.DC_Ra soat'!$F:$F,BJ$4,'1.DC_Ra soat'!$H:$H,'1.BS (VND)'!$D81)+SUMIFS('1.DC_Ra soat'!$L:$L,'1.DC_Ra soat'!$F:$F,BJ$4,'1.DC_Ra soat'!$I:$I,'1.BS (VND)'!$D81)</f>
        <v>0</v>
      </c>
      <c r="BK81" s="746">
        <f>-SUMIFS('1.DC_Ra soat'!$L:$L,'1.DC_Ra soat'!$F:$F,BK$4,'1.DC_Ra soat'!$H:$H,'1.BS (VND)'!$D81)+SUMIFS('1.DC_Ra soat'!$L:$L,'1.DC_Ra soat'!$F:$F,BK$4,'1.DC_Ra soat'!$I:$I,'1.BS (VND)'!$D81)</f>
        <v>0</v>
      </c>
      <c r="BM81" s="746">
        <f t="shared" si="128"/>
        <v>0</v>
      </c>
      <c r="BN81" s="746">
        <f t="shared" si="129"/>
        <v>0</v>
      </c>
      <c r="BO81" s="746">
        <f t="shared" si="130"/>
        <v>0</v>
      </c>
      <c r="BP81" s="747">
        <f t="shared" si="131"/>
        <v>0</v>
      </c>
      <c r="BQ81" s="745"/>
      <c r="BR81" s="746">
        <f t="shared" si="132"/>
        <v>0</v>
      </c>
      <c r="BS81" s="746">
        <f t="shared" si="133"/>
        <v>0</v>
      </c>
      <c r="BT81" s="746">
        <f t="shared" si="134"/>
        <v>0</v>
      </c>
      <c r="BU81" s="746">
        <f t="shared" si="135"/>
        <v>0</v>
      </c>
      <c r="BV81" s="745"/>
      <c r="BW81" s="746">
        <f t="shared" si="136"/>
        <v>0</v>
      </c>
      <c r="BX81" s="746">
        <f t="shared" si="137"/>
        <v>0</v>
      </c>
      <c r="BY81" s="746">
        <f t="shared" si="138"/>
        <v>0</v>
      </c>
      <c r="BZ81" s="747">
        <f t="shared" si="139"/>
        <v>0</v>
      </c>
      <c r="CA81" s="745"/>
      <c r="CB81" s="747">
        <f t="shared" si="140"/>
        <v>0</v>
      </c>
      <c r="CC81" s="747">
        <f t="shared" si="141"/>
        <v>0</v>
      </c>
      <c r="CD81" s="747">
        <f t="shared" si="142"/>
        <v>0</v>
      </c>
      <c r="CE81" s="747">
        <f t="shared" si="143"/>
        <v>0</v>
      </c>
      <c r="CF81" s="745"/>
      <c r="CG81" s="747">
        <f t="shared" si="144"/>
        <v>0</v>
      </c>
      <c r="CH81" s="747">
        <f t="shared" si="145"/>
        <v>0</v>
      </c>
      <c r="CI81" s="747">
        <f t="shared" si="146"/>
        <v>0</v>
      </c>
      <c r="CJ81" s="747">
        <f t="shared" si="147"/>
        <v>0</v>
      </c>
      <c r="CK81" s="745"/>
      <c r="CL81" s="746">
        <f t="shared" si="148"/>
        <v>0</v>
      </c>
      <c r="CM81" s="746">
        <f t="shared" si="149"/>
        <v>0</v>
      </c>
      <c r="CN81" s="746">
        <f t="shared" si="150"/>
        <v>0</v>
      </c>
      <c r="CO81" s="747">
        <f t="shared" si="151"/>
        <v>0</v>
      </c>
      <c r="CQ81" s="746">
        <f>SUMIF('1.PL (VND) '!$BL$6:$CD$6,'1.PL (VND) '!CP$6,$BM81:$CE81)</f>
        <v>0</v>
      </c>
      <c r="CR81" s="746">
        <f>SUMIF('1.PL (VND) '!$BL$6:$CD$6,'1.PL (VND) '!CQ$6,$BM81:$CE81)</f>
        <v>0</v>
      </c>
      <c r="CS81" s="746">
        <f>SUMIF('1.PL (VND) '!$BL$6:$CD$6,'1.PL (VND) '!CR$6,$BM81:$CE81)</f>
        <v>0</v>
      </c>
      <c r="CT81" s="746">
        <f>SUMIF('1.PL (VND) '!$BL$6:$CD$6,'1.PL (VND) '!CS$6,$BM81:$CE81)</f>
        <v>0</v>
      </c>
      <c r="CV81" s="748">
        <f>-SUMIFS('1.DC_Ra soat'!$L:$L,'1.DC_Ra soat'!$F:$F,'1.PL (VND) '!DK$4,'1.DC_Ra soat'!$H:$H,'1.BS (VND)'!$D81)+SUMIFS('1.DC_Ra soat'!$L:$L,'1.DC_Ra soat'!$F:$F,'1.PL (VND) '!DK$4,'1.DC_Ra soat'!$I:$I,'1.BS (VND)'!$D81)</f>
        <v>0</v>
      </c>
      <c r="CW81" s="748">
        <f>-SUMIFS('1.DC_Ra soat'!$L:$L,'1.DC_Ra soat'!$F:$F,'1.PL (VND) '!DL$4,'1.DC_Ra soat'!$H:$H,'1.BS (VND)'!$D81)+SUMIFS('1.DC_Ra soat'!$L:$L,'1.DC_Ra soat'!$F:$F,'1.PL (VND) '!DL$4,'1.DC_Ra soat'!$I:$I,'1.BS (VND)'!$D81)</f>
        <v>0</v>
      </c>
      <c r="CX81" s="748">
        <f>-SUMIFS('1.DC_Ra soat'!$L:$L,'1.DC_Ra soat'!$F:$F,'1.PL (VND) '!DM$4,'1.DC_Ra soat'!$H:$H,'1.BS (VND)'!$D81)+SUMIFS('1.DC_Ra soat'!$L:$L,'1.DC_Ra soat'!$F:$F,'1.PL (VND) '!DM$4,'1.DC_Ra soat'!$I:$I,'1.BS (VND)'!$D81)</f>
        <v>0</v>
      </c>
      <c r="CY81" s="748">
        <f>-SUMIFS('1.DC_Ra soat'!$L:$L,'1.DC_Ra soat'!$F:$F,'1.PL (VND) '!DN$4,'1.DC_Ra soat'!$H:$H,'1.BS (VND)'!$D81)+SUMIFS('1.DC_Ra soat'!$L:$L,'1.DC_Ra soat'!$F:$F,'1.PL (VND) '!DN$4,'1.DC_Ra soat'!$I:$I,'1.BS (VND)'!$D81)</f>
        <v>0</v>
      </c>
      <c r="DA81" s="746">
        <f t="shared" si="157"/>
        <v>0</v>
      </c>
      <c r="DB81" s="746">
        <f t="shared" si="158"/>
        <v>0</v>
      </c>
      <c r="DC81" s="746">
        <f t="shared" si="159"/>
        <v>0</v>
      </c>
      <c r="DD81" s="746">
        <f t="shared" si="160"/>
        <v>0</v>
      </c>
    </row>
    <row r="82" spans="1:112" s="740" customFormat="1" x14ac:dyDescent="0.25">
      <c r="A82" s="248" t="str">
        <f t="shared" si="166"/>
        <v>hide</v>
      </c>
      <c r="C82" s="741" t="s">
        <v>423</v>
      </c>
      <c r="D82" s="742" t="s">
        <v>424</v>
      </c>
      <c r="E82" s="743"/>
      <c r="F82" s="743"/>
      <c r="G82" s="743"/>
      <c r="H82" s="744"/>
      <c r="I82" s="745"/>
      <c r="J82" s="746"/>
      <c r="K82" s="746"/>
      <c r="L82" s="746"/>
      <c r="M82" s="739"/>
      <c r="N82" s="745"/>
      <c r="O82" s="746"/>
      <c r="P82" s="746"/>
      <c r="Q82" s="746"/>
      <c r="R82" s="746"/>
      <c r="S82" s="745"/>
      <c r="T82" s="746"/>
      <c r="U82" s="746"/>
      <c r="V82" s="746"/>
      <c r="W82" s="746"/>
      <c r="X82" s="745"/>
      <c r="Y82" s="746"/>
      <c r="Z82" s="746"/>
      <c r="AA82" s="746"/>
      <c r="AB82" s="746"/>
      <c r="AC82" s="745"/>
      <c r="AD82" s="746"/>
      <c r="AE82" s="746"/>
      <c r="AF82" s="746"/>
      <c r="AG82" s="746"/>
      <c r="AI82" s="746">
        <f>-SUMIFS('1.DC_Ra soat'!$L:$L,'1.DC_Ra soat'!$F:$F,AI$4,'1.DC_Ra soat'!$H:$H,'1.BS (VND)'!$D82)+SUMIFS('1.DC_Ra soat'!$L:$L,'1.DC_Ra soat'!$F:$F,AI$4,'1.DC_Ra soat'!$I:$I,'1.BS (VND)'!$D82)</f>
        <v>0</v>
      </c>
      <c r="AJ82" s="746">
        <f>-SUMIFS('1.DC_Ra soat'!$L:$L,'1.DC_Ra soat'!$F:$F,AJ$4,'1.DC_Ra soat'!$H:$H,'1.BS (VND)'!$D82)+SUMIFS('1.DC_Ra soat'!$L:$L,'1.DC_Ra soat'!$F:$F,AJ$4,'1.DC_Ra soat'!$I:$I,'1.BS (VND)'!$D82)</f>
        <v>0</v>
      </c>
      <c r="AK82" s="746">
        <f>-SUMIFS('1.DC_Ra soat'!$L:$L,'1.DC_Ra soat'!$F:$F,AK$4,'1.DC_Ra soat'!$H:$H,'1.BS (VND)'!$D82)+SUMIFS('1.DC_Ra soat'!$L:$L,'1.DC_Ra soat'!$F:$F,AK$4,'1.DC_Ra soat'!$I:$I,'1.BS (VND)'!$D82)</f>
        <v>0</v>
      </c>
      <c r="AL82" s="746">
        <f>-SUMIFS('1.DC_Ra soat'!$L:$L,'1.DC_Ra soat'!$F:$F,AL$4,'1.DC_Ra soat'!$H:$H,'1.BS (VND)'!$D82)+SUMIFS('1.DC_Ra soat'!$L:$L,'1.DC_Ra soat'!$F:$F,AL$4,'1.DC_Ra soat'!$I:$I,'1.BS (VND)'!$D82)</f>
        <v>0</v>
      </c>
      <c r="AM82" s="745"/>
      <c r="AN82" s="746">
        <f>-SUMIFS('1.DC_Ra soat'!$L:$L,'1.DC_Ra soat'!$F:$F,AN$4,'1.DC_Ra soat'!$H:$H,'1.BS (VND)'!$D82)+SUMIFS('1.DC_Ra soat'!$L:$L,'1.DC_Ra soat'!$F:$F,AN$4,'1.DC_Ra soat'!$I:$I,'1.BS (VND)'!$D82)</f>
        <v>0</v>
      </c>
      <c r="AO82" s="746">
        <f>-SUMIFS('1.DC_Ra soat'!$L:$L,'1.DC_Ra soat'!$F:$F,AO$4,'1.DC_Ra soat'!$H:$H,'1.BS (VND)'!$D82)+SUMIFS('1.DC_Ra soat'!$L:$L,'1.DC_Ra soat'!$F:$F,AO$4,'1.DC_Ra soat'!$I:$I,'1.BS (VND)'!$D82)</f>
        <v>0</v>
      </c>
      <c r="AP82" s="746">
        <f>-SUMIFS('1.DC_Ra soat'!$L:$L,'1.DC_Ra soat'!$F:$F,AP$4,'1.DC_Ra soat'!$H:$H,'1.BS (VND)'!$D82)+SUMIFS('1.DC_Ra soat'!$L:$L,'1.DC_Ra soat'!$F:$F,AP$4,'1.DC_Ra soat'!$I:$I,'1.BS (VND)'!$D82)</f>
        <v>0</v>
      </c>
      <c r="AQ82" s="746">
        <f>-SUMIFS('1.DC_Ra soat'!$L:$L,'1.DC_Ra soat'!$F:$F,AQ$4,'1.DC_Ra soat'!$H:$H,'1.BS (VND)'!$D82)+SUMIFS('1.DC_Ra soat'!$L:$L,'1.DC_Ra soat'!$F:$F,AQ$4,'1.DC_Ra soat'!$I:$I,'1.BS (VND)'!$D82)</f>
        <v>0</v>
      </c>
      <c r="AR82" s="745"/>
      <c r="AS82" s="746">
        <f>-SUMIFS('1.DC_Ra soat'!$L:$L,'1.DC_Ra soat'!$F:$F,AS$4,'1.DC_Ra soat'!$H:$H,'1.BS (VND)'!$D82)+SUMIFS('1.DC_Ra soat'!$L:$L,'1.DC_Ra soat'!$F:$F,AS$4,'1.DC_Ra soat'!$I:$I,'1.BS (VND)'!$D82)</f>
        <v>0</v>
      </c>
      <c r="AT82" s="746">
        <f>-SUMIFS('1.DC_Ra soat'!$L:$L,'1.DC_Ra soat'!$F:$F,AT$4,'1.DC_Ra soat'!$H:$H,'1.BS (VND)'!$D82)+SUMIFS('1.DC_Ra soat'!$L:$L,'1.DC_Ra soat'!$F:$F,AT$4,'1.DC_Ra soat'!$I:$I,'1.BS (VND)'!$D82)</f>
        <v>0</v>
      </c>
      <c r="AU82" s="746">
        <f>-SUMIFS('1.DC_Ra soat'!$L:$L,'1.DC_Ra soat'!$F:$F,AU$4,'1.DC_Ra soat'!$H:$H,'1.BS (VND)'!$D82)+SUMIFS('1.DC_Ra soat'!$L:$L,'1.DC_Ra soat'!$F:$F,AU$4,'1.DC_Ra soat'!$I:$I,'1.BS (VND)'!$D82)</f>
        <v>0</v>
      </c>
      <c r="AV82" s="746">
        <f>-SUMIFS('1.DC_Ra soat'!$L:$L,'1.DC_Ra soat'!$F:$F,AV$4,'1.DC_Ra soat'!$H:$H,'1.BS (VND)'!$D82)+SUMIFS('1.DC_Ra soat'!$L:$L,'1.DC_Ra soat'!$F:$F,AV$4,'1.DC_Ra soat'!$I:$I,'1.BS (VND)'!$D82)</f>
        <v>0</v>
      </c>
      <c r="AW82" s="745"/>
      <c r="AX82" s="746">
        <f>-SUMIFS('1.DC_Ra soat'!$L:$L,'1.DC_Ra soat'!$F:$F,AX$4,'1.DC_Ra soat'!$H:$H,'1.BS (VND)'!$D82)+SUMIFS('1.DC_Ra soat'!$L:$L,'1.DC_Ra soat'!$F:$F,AX$4,'1.DC_Ra soat'!$I:$I,'1.BS (VND)'!$D82)</f>
        <v>0</v>
      </c>
      <c r="AY82" s="746">
        <f>-SUMIFS('1.DC_Ra soat'!$L:$L,'1.DC_Ra soat'!$F:$F,AY$4,'1.DC_Ra soat'!$H:$H,'1.BS (VND)'!$D82)+SUMIFS('1.DC_Ra soat'!$L:$L,'1.DC_Ra soat'!$F:$F,AY$4,'1.DC_Ra soat'!$I:$I,'1.BS (VND)'!$D82)</f>
        <v>0</v>
      </c>
      <c r="AZ82" s="746">
        <f>-SUMIFS('1.DC_Ra soat'!$L:$L,'1.DC_Ra soat'!$F:$F,AZ$4,'1.DC_Ra soat'!$H:$H,'1.BS (VND)'!$D82)+SUMIFS('1.DC_Ra soat'!$L:$L,'1.DC_Ra soat'!$F:$F,AZ$4,'1.DC_Ra soat'!$I:$I,'1.BS (VND)'!$D82)</f>
        <v>0</v>
      </c>
      <c r="BA82" s="746">
        <f>-SUMIFS('1.DC_Ra soat'!$L:$L,'1.DC_Ra soat'!$F:$F,BA$4,'1.DC_Ra soat'!$H:$H,'1.BS (VND)'!$D82)+SUMIFS('1.DC_Ra soat'!$L:$L,'1.DC_Ra soat'!$F:$F,BA$4,'1.DC_Ra soat'!$I:$I,'1.BS (VND)'!$D82)</f>
        <v>0</v>
      </c>
      <c r="BB82" s="745"/>
      <c r="BC82" s="746">
        <f>-SUMIFS('1.DC_Ra soat'!$L:$L,'1.DC_Ra soat'!$F:$F,BC$4,'1.DC_Ra soat'!$H:$H,'1.BS (VND)'!$D82)+SUMIFS('1.DC_Ra soat'!$L:$L,'1.DC_Ra soat'!$F:$F,BC$4,'1.DC_Ra soat'!$I:$I,'1.BS (VND)'!$D82)</f>
        <v>0</v>
      </c>
      <c r="BD82" s="746">
        <f>-SUMIFS('1.DC_Ra soat'!$L:$L,'1.DC_Ra soat'!$F:$F,BD$4,'1.DC_Ra soat'!$H:$H,'1.BS (VND)'!$D82)+SUMIFS('1.DC_Ra soat'!$L:$L,'1.DC_Ra soat'!$F:$F,BD$4,'1.DC_Ra soat'!$I:$I,'1.BS (VND)'!$D82)</f>
        <v>0</v>
      </c>
      <c r="BE82" s="746">
        <f>-SUMIFS('1.DC_Ra soat'!$L:$L,'1.DC_Ra soat'!$F:$F,BE$4,'1.DC_Ra soat'!$H:$H,'1.BS (VND)'!$D82)+SUMIFS('1.DC_Ra soat'!$L:$L,'1.DC_Ra soat'!$F:$F,BE$4,'1.DC_Ra soat'!$I:$I,'1.BS (VND)'!$D82)</f>
        <v>0</v>
      </c>
      <c r="BF82" s="746">
        <f>-SUMIFS('1.DC_Ra soat'!$L:$L,'1.DC_Ra soat'!$F:$F,BF$4,'1.DC_Ra soat'!$H:$H,'1.BS (VND)'!$D82)+SUMIFS('1.DC_Ra soat'!$L:$L,'1.DC_Ra soat'!$F:$F,BF$4,'1.DC_Ra soat'!$I:$I,'1.BS (VND)'!$D82)</f>
        <v>0</v>
      </c>
      <c r="BG82" s="745"/>
      <c r="BH82" s="746">
        <f>-SUMIFS('1.DC_Ra soat'!$L:$L,'1.DC_Ra soat'!$F:$F,BH$4,'1.DC_Ra soat'!$H:$H,'1.BS (VND)'!$D82)+SUMIFS('1.DC_Ra soat'!$L:$L,'1.DC_Ra soat'!$F:$F,BH$4,'1.DC_Ra soat'!$I:$I,'1.BS (VND)'!$D82)</f>
        <v>0</v>
      </c>
      <c r="BI82" s="746">
        <f>-SUMIFS('1.DC_Ra soat'!$L:$L,'1.DC_Ra soat'!$F:$F,BI$4,'1.DC_Ra soat'!$H:$H,'1.BS (VND)'!$D82)+SUMIFS('1.DC_Ra soat'!$L:$L,'1.DC_Ra soat'!$F:$F,BI$4,'1.DC_Ra soat'!$I:$I,'1.BS (VND)'!$D82)</f>
        <v>0</v>
      </c>
      <c r="BJ82" s="746">
        <f>-SUMIFS('1.DC_Ra soat'!$L:$L,'1.DC_Ra soat'!$F:$F,BJ$4,'1.DC_Ra soat'!$H:$H,'1.BS (VND)'!$D82)+SUMIFS('1.DC_Ra soat'!$L:$L,'1.DC_Ra soat'!$F:$F,BJ$4,'1.DC_Ra soat'!$I:$I,'1.BS (VND)'!$D82)</f>
        <v>0</v>
      </c>
      <c r="BK82" s="746">
        <f>-SUMIFS('1.DC_Ra soat'!$L:$L,'1.DC_Ra soat'!$F:$F,BK$4,'1.DC_Ra soat'!$H:$H,'1.BS (VND)'!$D82)+SUMIFS('1.DC_Ra soat'!$L:$L,'1.DC_Ra soat'!$F:$F,BK$4,'1.DC_Ra soat'!$I:$I,'1.BS (VND)'!$D82)</f>
        <v>0</v>
      </c>
      <c r="BM82" s="746">
        <f t="shared" si="128"/>
        <v>0</v>
      </c>
      <c r="BN82" s="746">
        <f t="shared" si="129"/>
        <v>0</v>
      </c>
      <c r="BO82" s="746">
        <f t="shared" si="130"/>
        <v>0</v>
      </c>
      <c r="BP82" s="747">
        <f t="shared" si="131"/>
        <v>0</v>
      </c>
      <c r="BQ82" s="745"/>
      <c r="BR82" s="746">
        <f t="shared" si="132"/>
        <v>0</v>
      </c>
      <c r="BS82" s="746">
        <f t="shared" si="133"/>
        <v>0</v>
      </c>
      <c r="BT82" s="746">
        <f t="shared" si="134"/>
        <v>0</v>
      </c>
      <c r="BU82" s="746">
        <f t="shared" si="135"/>
        <v>0</v>
      </c>
      <c r="BV82" s="745"/>
      <c r="BW82" s="746">
        <f t="shared" si="136"/>
        <v>0</v>
      </c>
      <c r="BX82" s="746">
        <f t="shared" si="137"/>
        <v>0</v>
      </c>
      <c r="BY82" s="746">
        <f t="shared" si="138"/>
        <v>0</v>
      </c>
      <c r="BZ82" s="747">
        <f t="shared" si="139"/>
        <v>0</v>
      </c>
      <c r="CA82" s="745"/>
      <c r="CB82" s="747">
        <f t="shared" si="140"/>
        <v>0</v>
      </c>
      <c r="CC82" s="747">
        <f t="shared" si="141"/>
        <v>0</v>
      </c>
      <c r="CD82" s="747">
        <f t="shared" si="142"/>
        <v>0</v>
      </c>
      <c r="CE82" s="747">
        <f t="shared" si="143"/>
        <v>0</v>
      </c>
      <c r="CF82" s="745"/>
      <c r="CG82" s="747">
        <f t="shared" si="144"/>
        <v>0</v>
      </c>
      <c r="CH82" s="747">
        <f t="shared" si="145"/>
        <v>0</v>
      </c>
      <c r="CI82" s="747">
        <f t="shared" si="146"/>
        <v>0</v>
      </c>
      <c r="CJ82" s="747">
        <f t="shared" si="147"/>
        <v>0</v>
      </c>
      <c r="CK82" s="745"/>
      <c r="CL82" s="746">
        <f t="shared" si="148"/>
        <v>0</v>
      </c>
      <c r="CM82" s="746">
        <f t="shared" si="149"/>
        <v>0</v>
      </c>
      <c r="CN82" s="746">
        <f t="shared" si="150"/>
        <v>0</v>
      </c>
      <c r="CO82" s="747">
        <f t="shared" si="151"/>
        <v>0</v>
      </c>
      <c r="CQ82" s="746">
        <f>SUMIF('1.PL (VND) '!$BL$6:$CD$6,'1.PL (VND) '!CP$6,$BM82:$CE82)</f>
        <v>0</v>
      </c>
      <c r="CR82" s="746">
        <f>SUMIF('1.PL (VND) '!$BL$6:$CD$6,'1.PL (VND) '!CQ$6,$BM82:$CE82)</f>
        <v>0</v>
      </c>
      <c r="CS82" s="746">
        <f>SUMIF('1.PL (VND) '!$BL$6:$CD$6,'1.PL (VND) '!CR$6,$BM82:$CE82)</f>
        <v>0</v>
      </c>
      <c r="CT82" s="746">
        <f>SUMIF('1.PL (VND) '!$BL$6:$CD$6,'1.PL (VND) '!CS$6,$BM82:$CE82)</f>
        <v>0</v>
      </c>
      <c r="CV82" s="748">
        <f>-SUMIFS('1.DC_Ra soat'!$L:$L,'1.DC_Ra soat'!$F:$F,'1.PL (VND) '!DK$4,'1.DC_Ra soat'!$H:$H,'1.BS (VND)'!$D82)+SUMIFS('1.DC_Ra soat'!$L:$L,'1.DC_Ra soat'!$F:$F,'1.PL (VND) '!DK$4,'1.DC_Ra soat'!$I:$I,'1.BS (VND)'!$D82)</f>
        <v>0</v>
      </c>
      <c r="CW82" s="748">
        <f>-SUMIFS('1.DC_Ra soat'!$L:$L,'1.DC_Ra soat'!$F:$F,'1.PL (VND) '!DL$4,'1.DC_Ra soat'!$H:$H,'1.BS (VND)'!$D82)+SUMIFS('1.DC_Ra soat'!$L:$L,'1.DC_Ra soat'!$F:$F,'1.PL (VND) '!DL$4,'1.DC_Ra soat'!$I:$I,'1.BS (VND)'!$D82)</f>
        <v>0</v>
      </c>
      <c r="CX82" s="748">
        <f>-SUMIFS('1.DC_Ra soat'!$L:$L,'1.DC_Ra soat'!$F:$F,'1.PL (VND) '!DM$4,'1.DC_Ra soat'!$H:$H,'1.BS (VND)'!$D82)+SUMIFS('1.DC_Ra soat'!$L:$L,'1.DC_Ra soat'!$F:$F,'1.PL (VND) '!DM$4,'1.DC_Ra soat'!$I:$I,'1.BS (VND)'!$D82)</f>
        <v>0</v>
      </c>
      <c r="CY82" s="748">
        <f>-SUMIFS('1.DC_Ra soat'!$L:$L,'1.DC_Ra soat'!$F:$F,'1.PL (VND) '!DN$4,'1.DC_Ra soat'!$H:$H,'1.BS (VND)'!$D82)+SUMIFS('1.DC_Ra soat'!$L:$L,'1.DC_Ra soat'!$F:$F,'1.PL (VND) '!DN$4,'1.DC_Ra soat'!$I:$I,'1.BS (VND)'!$D82)</f>
        <v>0</v>
      </c>
      <c r="DA82" s="746">
        <f t="shared" si="157"/>
        <v>0</v>
      </c>
      <c r="DB82" s="746">
        <f t="shared" si="158"/>
        <v>0</v>
      </c>
      <c r="DC82" s="746">
        <f t="shared" si="159"/>
        <v>0</v>
      </c>
      <c r="DD82" s="746">
        <f t="shared" si="160"/>
        <v>0</v>
      </c>
    </row>
    <row r="83" spans="1:112" s="740" customFormat="1" x14ac:dyDescent="0.25">
      <c r="A83" s="248">
        <f t="shared" si="166"/>
        <v>1</v>
      </c>
      <c r="C83" s="741" t="s">
        <v>425</v>
      </c>
      <c r="D83" s="742" t="s">
        <v>426</v>
      </c>
      <c r="E83" s="743">
        <v>19806576</v>
      </c>
      <c r="F83" s="743"/>
      <c r="G83" s="743"/>
      <c r="H83" s="744"/>
      <c r="I83" s="745"/>
      <c r="J83" s="746"/>
      <c r="K83" s="746"/>
      <c r="L83" s="746"/>
      <c r="M83" s="746">
        <v>23614053</v>
      </c>
      <c r="N83" s="745"/>
      <c r="O83" s="746">
        <v>2166639</v>
      </c>
      <c r="P83" s="746"/>
      <c r="Q83" s="746"/>
      <c r="R83" s="746"/>
      <c r="S83" s="745"/>
      <c r="T83" s="746"/>
      <c r="U83" s="746"/>
      <c r="V83" s="746">
        <v>1000000000</v>
      </c>
      <c r="W83" s="746">
        <v>33100000000</v>
      </c>
      <c r="X83" s="745"/>
      <c r="Y83" s="746"/>
      <c r="Z83" s="746"/>
      <c r="AA83" s="746"/>
      <c r="AB83" s="746"/>
      <c r="AC83" s="745"/>
      <c r="AD83" s="746"/>
      <c r="AE83" s="746"/>
      <c r="AF83" s="746"/>
      <c r="AG83" s="746"/>
      <c r="AI83" s="746">
        <f>-SUMIFS('1.DC_Ra soat'!$L:$L,'1.DC_Ra soat'!$F:$F,AI$4,'1.DC_Ra soat'!$H:$H,'1.BS (VND)'!$D83)+SUMIFS('1.DC_Ra soat'!$L:$L,'1.DC_Ra soat'!$F:$F,AI$4,'1.DC_Ra soat'!$I:$I,'1.BS (VND)'!$D83)</f>
        <v>0</v>
      </c>
      <c r="AJ83" s="746">
        <f>-SUMIFS('1.DC_Ra soat'!$L:$L,'1.DC_Ra soat'!$F:$F,AJ$4,'1.DC_Ra soat'!$H:$H,'1.BS (VND)'!$D83)+SUMIFS('1.DC_Ra soat'!$L:$L,'1.DC_Ra soat'!$F:$F,AJ$4,'1.DC_Ra soat'!$I:$I,'1.BS (VND)'!$D83)</f>
        <v>0</v>
      </c>
      <c r="AK83" s="746">
        <f>-SUMIFS('1.DC_Ra soat'!$L:$L,'1.DC_Ra soat'!$F:$F,AK$4,'1.DC_Ra soat'!$H:$H,'1.BS (VND)'!$D83)+SUMIFS('1.DC_Ra soat'!$L:$L,'1.DC_Ra soat'!$F:$F,AK$4,'1.DC_Ra soat'!$I:$I,'1.BS (VND)'!$D83)</f>
        <v>0</v>
      </c>
      <c r="AL83" s="746">
        <f>-SUMIFS('1.DC_Ra soat'!$L:$L,'1.DC_Ra soat'!$F:$F,AL$4,'1.DC_Ra soat'!$H:$H,'1.BS (VND)'!$D83)+SUMIFS('1.DC_Ra soat'!$L:$L,'1.DC_Ra soat'!$F:$F,AL$4,'1.DC_Ra soat'!$I:$I,'1.BS (VND)'!$D83)</f>
        <v>0</v>
      </c>
      <c r="AM83" s="745"/>
      <c r="AN83" s="746">
        <f>-SUMIFS('1.DC_Ra soat'!$L:$L,'1.DC_Ra soat'!$F:$F,AN$4,'1.DC_Ra soat'!$H:$H,'1.BS (VND)'!$D83)+SUMIFS('1.DC_Ra soat'!$L:$L,'1.DC_Ra soat'!$F:$F,AN$4,'1.DC_Ra soat'!$I:$I,'1.BS (VND)'!$D83)</f>
        <v>0</v>
      </c>
      <c r="AO83" s="746">
        <f>-SUMIFS('1.DC_Ra soat'!$L:$L,'1.DC_Ra soat'!$F:$F,AO$4,'1.DC_Ra soat'!$H:$H,'1.BS (VND)'!$D83)+SUMIFS('1.DC_Ra soat'!$L:$L,'1.DC_Ra soat'!$F:$F,AO$4,'1.DC_Ra soat'!$I:$I,'1.BS (VND)'!$D83)</f>
        <v>0</v>
      </c>
      <c r="AP83" s="746">
        <f>-SUMIFS('1.DC_Ra soat'!$L:$L,'1.DC_Ra soat'!$F:$F,AP$4,'1.DC_Ra soat'!$H:$H,'1.BS (VND)'!$D83)+SUMIFS('1.DC_Ra soat'!$L:$L,'1.DC_Ra soat'!$F:$F,AP$4,'1.DC_Ra soat'!$I:$I,'1.BS (VND)'!$D83)</f>
        <v>0</v>
      </c>
      <c r="AQ83" s="746">
        <f>-SUMIFS('1.DC_Ra soat'!$L:$L,'1.DC_Ra soat'!$F:$F,AQ$4,'1.DC_Ra soat'!$H:$H,'1.BS (VND)'!$D83)+SUMIFS('1.DC_Ra soat'!$L:$L,'1.DC_Ra soat'!$F:$F,AQ$4,'1.DC_Ra soat'!$I:$I,'1.BS (VND)'!$D83)</f>
        <v>0</v>
      </c>
      <c r="AR83" s="745"/>
      <c r="AS83" s="746">
        <f>-SUMIFS('1.DC_Ra soat'!$L:$L,'1.DC_Ra soat'!$F:$F,AS$4,'1.DC_Ra soat'!$H:$H,'1.BS (VND)'!$D83)+SUMIFS('1.DC_Ra soat'!$L:$L,'1.DC_Ra soat'!$F:$F,AS$4,'1.DC_Ra soat'!$I:$I,'1.BS (VND)'!$D83)</f>
        <v>0</v>
      </c>
      <c r="AT83" s="746">
        <f>-SUMIFS('1.DC_Ra soat'!$L:$L,'1.DC_Ra soat'!$F:$F,AT$4,'1.DC_Ra soat'!$H:$H,'1.BS (VND)'!$D83)+SUMIFS('1.DC_Ra soat'!$L:$L,'1.DC_Ra soat'!$F:$F,AT$4,'1.DC_Ra soat'!$I:$I,'1.BS (VND)'!$D83)</f>
        <v>0</v>
      </c>
      <c r="AU83" s="746">
        <f>-SUMIFS('1.DC_Ra soat'!$L:$L,'1.DC_Ra soat'!$F:$F,AU$4,'1.DC_Ra soat'!$H:$H,'1.BS (VND)'!$D83)+SUMIFS('1.DC_Ra soat'!$L:$L,'1.DC_Ra soat'!$F:$F,AU$4,'1.DC_Ra soat'!$I:$I,'1.BS (VND)'!$D83)</f>
        <v>0</v>
      </c>
      <c r="AV83" s="746">
        <f>-SUMIFS('1.DC_Ra soat'!$L:$L,'1.DC_Ra soat'!$F:$F,AV$4,'1.DC_Ra soat'!$H:$H,'1.BS (VND)'!$D83)+SUMIFS('1.DC_Ra soat'!$L:$L,'1.DC_Ra soat'!$F:$F,AV$4,'1.DC_Ra soat'!$I:$I,'1.BS (VND)'!$D83)</f>
        <v>0</v>
      </c>
      <c r="AW83" s="745"/>
      <c r="AX83" s="746">
        <f>-SUMIFS('1.DC_Ra soat'!$L:$L,'1.DC_Ra soat'!$F:$F,AX$4,'1.DC_Ra soat'!$H:$H,'1.BS (VND)'!$D83)+SUMIFS('1.DC_Ra soat'!$L:$L,'1.DC_Ra soat'!$F:$F,AX$4,'1.DC_Ra soat'!$I:$I,'1.BS (VND)'!$D83)</f>
        <v>0</v>
      </c>
      <c r="AY83" s="746">
        <f>-SUMIFS('1.DC_Ra soat'!$L:$L,'1.DC_Ra soat'!$F:$F,AY$4,'1.DC_Ra soat'!$H:$H,'1.BS (VND)'!$D83)+SUMIFS('1.DC_Ra soat'!$L:$L,'1.DC_Ra soat'!$F:$F,AY$4,'1.DC_Ra soat'!$I:$I,'1.BS (VND)'!$D83)</f>
        <v>0</v>
      </c>
      <c r="AZ83" s="746">
        <f>-SUMIFS('1.DC_Ra soat'!$L:$L,'1.DC_Ra soat'!$F:$F,AZ$4,'1.DC_Ra soat'!$H:$H,'1.BS (VND)'!$D83)+SUMIFS('1.DC_Ra soat'!$L:$L,'1.DC_Ra soat'!$F:$F,AZ$4,'1.DC_Ra soat'!$I:$I,'1.BS (VND)'!$D83)</f>
        <v>0</v>
      </c>
      <c r="BA83" s="746">
        <f>-SUMIFS('1.DC_Ra soat'!$L:$L,'1.DC_Ra soat'!$F:$F,BA$4,'1.DC_Ra soat'!$H:$H,'1.BS (VND)'!$D83)+SUMIFS('1.DC_Ra soat'!$L:$L,'1.DC_Ra soat'!$F:$F,BA$4,'1.DC_Ra soat'!$I:$I,'1.BS (VND)'!$D83)</f>
        <v>0</v>
      </c>
      <c r="BB83" s="745"/>
      <c r="BC83" s="746">
        <f>-SUMIFS('1.DC_Ra soat'!$L:$L,'1.DC_Ra soat'!$F:$F,BC$4,'1.DC_Ra soat'!$H:$H,'1.BS (VND)'!$D83)+SUMIFS('1.DC_Ra soat'!$L:$L,'1.DC_Ra soat'!$F:$F,BC$4,'1.DC_Ra soat'!$I:$I,'1.BS (VND)'!$D83)</f>
        <v>0</v>
      </c>
      <c r="BD83" s="746">
        <f>-SUMIFS('1.DC_Ra soat'!$L:$L,'1.DC_Ra soat'!$F:$F,BD$4,'1.DC_Ra soat'!$H:$H,'1.BS (VND)'!$D83)+SUMIFS('1.DC_Ra soat'!$L:$L,'1.DC_Ra soat'!$F:$F,BD$4,'1.DC_Ra soat'!$I:$I,'1.BS (VND)'!$D83)</f>
        <v>0</v>
      </c>
      <c r="BE83" s="746">
        <f>-SUMIFS('1.DC_Ra soat'!$L:$L,'1.DC_Ra soat'!$F:$F,BE$4,'1.DC_Ra soat'!$H:$H,'1.BS (VND)'!$D83)+SUMIFS('1.DC_Ra soat'!$L:$L,'1.DC_Ra soat'!$F:$F,BE$4,'1.DC_Ra soat'!$I:$I,'1.BS (VND)'!$D83)</f>
        <v>0</v>
      </c>
      <c r="BF83" s="746">
        <f>-SUMIFS('1.DC_Ra soat'!$L:$L,'1.DC_Ra soat'!$F:$F,BF$4,'1.DC_Ra soat'!$H:$H,'1.BS (VND)'!$D83)+SUMIFS('1.DC_Ra soat'!$L:$L,'1.DC_Ra soat'!$F:$F,BF$4,'1.DC_Ra soat'!$I:$I,'1.BS (VND)'!$D83)</f>
        <v>0</v>
      </c>
      <c r="BG83" s="745"/>
      <c r="BH83" s="746">
        <f>-SUMIFS('1.DC_Ra soat'!$L:$L,'1.DC_Ra soat'!$F:$F,BH$4,'1.DC_Ra soat'!$H:$H,'1.BS (VND)'!$D83)+SUMIFS('1.DC_Ra soat'!$L:$L,'1.DC_Ra soat'!$F:$F,BH$4,'1.DC_Ra soat'!$I:$I,'1.BS (VND)'!$D83)</f>
        <v>0</v>
      </c>
      <c r="BI83" s="746">
        <f>-SUMIFS('1.DC_Ra soat'!$L:$L,'1.DC_Ra soat'!$F:$F,BI$4,'1.DC_Ra soat'!$H:$H,'1.BS (VND)'!$D83)+SUMIFS('1.DC_Ra soat'!$L:$L,'1.DC_Ra soat'!$F:$F,BI$4,'1.DC_Ra soat'!$I:$I,'1.BS (VND)'!$D83)</f>
        <v>0</v>
      </c>
      <c r="BJ83" s="746">
        <f>-SUMIFS('1.DC_Ra soat'!$L:$L,'1.DC_Ra soat'!$F:$F,BJ$4,'1.DC_Ra soat'!$H:$H,'1.BS (VND)'!$D83)+SUMIFS('1.DC_Ra soat'!$L:$L,'1.DC_Ra soat'!$F:$F,BJ$4,'1.DC_Ra soat'!$I:$I,'1.BS (VND)'!$D83)</f>
        <v>0</v>
      </c>
      <c r="BK83" s="746">
        <f>-SUMIFS('1.DC_Ra soat'!$L:$L,'1.DC_Ra soat'!$F:$F,BK$4,'1.DC_Ra soat'!$H:$H,'1.BS (VND)'!$D83)+SUMIFS('1.DC_Ra soat'!$L:$L,'1.DC_Ra soat'!$F:$F,BK$4,'1.DC_Ra soat'!$I:$I,'1.BS (VND)'!$D83)</f>
        <v>0</v>
      </c>
      <c r="BM83" s="746">
        <f t="shared" si="128"/>
        <v>19806576</v>
      </c>
      <c r="BN83" s="746">
        <f t="shared" si="129"/>
        <v>0</v>
      </c>
      <c r="BO83" s="746">
        <f t="shared" si="130"/>
        <v>0</v>
      </c>
      <c r="BP83" s="747">
        <f t="shared" si="131"/>
        <v>0</v>
      </c>
      <c r="BQ83" s="745"/>
      <c r="BR83" s="746">
        <f t="shared" si="132"/>
        <v>0</v>
      </c>
      <c r="BS83" s="746">
        <f t="shared" si="133"/>
        <v>0</v>
      </c>
      <c r="BT83" s="746">
        <f t="shared" si="134"/>
        <v>0</v>
      </c>
      <c r="BU83" s="746">
        <f t="shared" si="135"/>
        <v>23614053</v>
      </c>
      <c r="BV83" s="745"/>
      <c r="BW83" s="746">
        <f t="shared" si="136"/>
        <v>2166639</v>
      </c>
      <c r="BX83" s="746">
        <f t="shared" si="137"/>
        <v>0</v>
      </c>
      <c r="BY83" s="746">
        <f t="shared" si="138"/>
        <v>0</v>
      </c>
      <c r="BZ83" s="747">
        <f t="shared" si="139"/>
        <v>0</v>
      </c>
      <c r="CA83" s="745"/>
      <c r="CB83" s="747">
        <f t="shared" si="140"/>
        <v>0</v>
      </c>
      <c r="CC83" s="747">
        <f t="shared" si="141"/>
        <v>0</v>
      </c>
      <c r="CD83" s="747">
        <f t="shared" si="142"/>
        <v>1000000000</v>
      </c>
      <c r="CE83" s="747">
        <f t="shared" si="143"/>
        <v>33100000000</v>
      </c>
      <c r="CF83" s="745"/>
      <c r="CG83" s="747">
        <f t="shared" si="144"/>
        <v>0</v>
      </c>
      <c r="CH83" s="747">
        <f t="shared" si="145"/>
        <v>0</v>
      </c>
      <c r="CI83" s="747">
        <f t="shared" si="146"/>
        <v>0</v>
      </c>
      <c r="CJ83" s="747">
        <f t="shared" si="147"/>
        <v>0</v>
      </c>
      <c r="CK83" s="745"/>
      <c r="CL83" s="746">
        <f t="shared" si="148"/>
        <v>0</v>
      </c>
      <c r="CM83" s="746">
        <f t="shared" si="149"/>
        <v>0</v>
      </c>
      <c r="CN83" s="746">
        <f t="shared" si="150"/>
        <v>0</v>
      </c>
      <c r="CO83" s="747">
        <f t="shared" si="151"/>
        <v>0</v>
      </c>
      <c r="CQ83" s="746">
        <f>SUMIF('1.PL (VND) '!$BL$6:$CD$6,'1.PL (VND) '!CP$6,$BM83:$CE83)</f>
        <v>21973215</v>
      </c>
      <c r="CR83" s="746">
        <f>SUMIF('1.PL (VND) '!$BL$6:$CD$6,'1.PL (VND) '!CQ$6,$BM83:$CE83)</f>
        <v>0</v>
      </c>
      <c r="CS83" s="746">
        <f>SUMIF('1.PL (VND) '!$BL$6:$CD$6,'1.PL (VND) '!CR$6,$BM83:$CE83)</f>
        <v>1000000000</v>
      </c>
      <c r="CT83" s="746">
        <f>SUMIF('1.PL (VND) '!$BL$6:$CD$6,'1.PL (VND) '!CS$6,$BM83:$CE83)</f>
        <v>33123614053</v>
      </c>
      <c r="CV83" s="748">
        <f>-SUMIFS('1.DC_Ra soat'!$L:$L,'1.DC_Ra soat'!$F:$F,'1.PL (VND) '!DK$4,'1.DC_Ra soat'!$H:$H,'1.BS (VND)'!$D83)+SUMIFS('1.DC_Ra soat'!$L:$L,'1.DC_Ra soat'!$F:$F,'1.PL (VND) '!DK$4,'1.DC_Ra soat'!$I:$I,'1.BS (VND)'!$D83)</f>
        <v>0</v>
      </c>
      <c r="CW83" s="748">
        <f>-SUMIFS('1.DC_Ra soat'!$L:$L,'1.DC_Ra soat'!$F:$F,'1.PL (VND) '!DL$4,'1.DC_Ra soat'!$H:$H,'1.BS (VND)'!$D83)+SUMIFS('1.DC_Ra soat'!$L:$L,'1.DC_Ra soat'!$F:$F,'1.PL (VND) '!DL$4,'1.DC_Ra soat'!$I:$I,'1.BS (VND)'!$D83)</f>
        <v>0</v>
      </c>
      <c r="CX83" s="748">
        <f>-SUMIFS('1.DC_Ra soat'!$L:$L,'1.DC_Ra soat'!$F:$F,'1.PL (VND) '!DM$4,'1.DC_Ra soat'!$H:$H,'1.BS (VND)'!$D83)+SUMIFS('1.DC_Ra soat'!$L:$L,'1.DC_Ra soat'!$F:$F,'1.PL (VND) '!DM$4,'1.DC_Ra soat'!$I:$I,'1.BS (VND)'!$D83)</f>
        <v>0</v>
      </c>
      <c r="CY83" s="748">
        <f>-SUMIFS('1.DC_Ra soat'!$L:$L,'1.DC_Ra soat'!$F:$F,'1.PL (VND) '!DN$4,'1.DC_Ra soat'!$H:$H,'1.BS (VND)'!$D83)+SUMIFS('1.DC_Ra soat'!$L:$L,'1.DC_Ra soat'!$F:$F,'1.PL (VND) '!DN$4,'1.DC_Ra soat'!$I:$I,'1.BS (VND)'!$D83)</f>
        <v>0</v>
      </c>
      <c r="DA83" s="746">
        <f t="shared" si="157"/>
        <v>21973215</v>
      </c>
      <c r="DB83" s="746">
        <f t="shared" si="158"/>
        <v>0</v>
      </c>
      <c r="DC83" s="746">
        <f t="shared" si="159"/>
        <v>1000000000</v>
      </c>
      <c r="DD83" s="746">
        <f t="shared" si="160"/>
        <v>33123614053</v>
      </c>
      <c r="DH83" s="749"/>
    </row>
    <row r="84" spans="1:112" s="740" customFormat="1" x14ac:dyDescent="0.25">
      <c r="A84" s="248">
        <f t="shared" si="166"/>
        <v>1</v>
      </c>
      <c r="C84" s="741" t="s">
        <v>427</v>
      </c>
      <c r="D84" s="742" t="s">
        <v>428</v>
      </c>
      <c r="E84" s="743">
        <v>181937725045</v>
      </c>
      <c r="F84" s="743">
        <v>147332743858</v>
      </c>
      <c r="G84" s="743">
        <v>167833868117</v>
      </c>
      <c r="H84" s="744">
        <f>153107326516-H97</f>
        <v>144416076514</v>
      </c>
      <c r="I84" s="745"/>
      <c r="J84" s="746"/>
      <c r="K84" s="746">
        <v>26715286360</v>
      </c>
      <c r="L84" s="746">
        <v>32086484294</v>
      </c>
      <c r="M84" s="746">
        <f>29943582422-M97</f>
        <v>8949425726</v>
      </c>
      <c r="N84" s="745"/>
      <c r="O84" s="746">
        <v>42564460272</v>
      </c>
      <c r="P84" s="746">
        <v>24624096875</v>
      </c>
      <c r="Q84" s="746">
        <v>25044757000</v>
      </c>
      <c r="R84" s="746">
        <f>23880929650-R97</f>
        <v>21640929650</v>
      </c>
      <c r="S84" s="745"/>
      <c r="T84" s="746">
        <v>15500534600</v>
      </c>
      <c r="U84" s="746">
        <v>15859932430</v>
      </c>
      <c r="V84" s="746">
        <v>17983375000</v>
      </c>
      <c r="W84" s="746">
        <v>17141931464</v>
      </c>
      <c r="X84" s="745"/>
      <c r="Y84" s="746"/>
      <c r="Z84" s="746"/>
      <c r="AA84" s="746"/>
      <c r="AB84" s="746"/>
      <c r="AC84" s="745"/>
      <c r="AD84" s="746"/>
      <c r="AE84" s="746"/>
      <c r="AF84" s="746"/>
      <c r="AG84" s="746"/>
      <c r="AI84" s="746">
        <f>-SUMIFS('1.DC_Ra soat'!$L:$L,'1.DC_Ra soat'!$F:$F,AI$4,'1.DC_Ra soat'!$H:$H,'1.BS (VND)'!$D84)+SUMIFS('1.DC_Ra soat'!$L:$L,'1.DC_Ra soat'!$F:$F,AI$4,'1.DC_Ra soat'!$I:$I,'1.BS (VND)'!$D84)</f>
        <v>0</v>
      </c>
      <c r="AJ84" s="746">
        <f>-SUMIFS('1.DC_Ra soat'!$L:$L,'1.DC_Ra soat'!$F:$F,AJ$4,'1.DC_Ra soat'!$H:$H,'1.BS (VND)'!$D84)+SUMIFS('1.DC_Ra soat'!$L:$L,'1.DC_Ra soat'!$F:$F,AJ$4,'1.DC_Ra soat'!$I:$I,'1.BS (VND)'!$D84)</f>
        <v>0</v>
      </c>
      <c r="AK84" s="746">
        <f>-SUMIFS('1.DC_Ra soat'!$L:$L,'1.DC_Ra soat'!$F:$F,AK$4,'1.DC_Ra soat'!$H:$H,'1.BS (VND)'!$D84)+SUMIFS('1.DC_Ra soat'!$L:$L,'1.DC_Ra soat'!$F:$F,AK$4,'1.DC_Ra soat'!$I:$I,'1.BS (VND)'!$D84)</f>
        <v>0</v>
      </c>
      <c r="AL84" s="746">
        <f>-SUMIFS('1.DC_Ra soat'!$L:$L,'1.DC_Ra soat'!$F:$F,AL$4,'1.DC_Ra soat'!$H:$H,'1.BS (VND)'!$D84)+SUMIFS('1.DC_Ra soat'!$L:$L,'1.DC_Ra soat'!$F:$F,AL$4,'1.DC_Ra soat'!$I:$I,'1.BS (VND)'!$D84)</f>
        <v>0</v>
      </c>
      <c r="AM84" s="745"/>
      <c r="AN84" s="746">
        <f>-SUMIFS('1.DC_Ra soat'!$L:$L,'1.DC_Ra soat'!$F:$F,AN$4,'1.DC_Ra soat'!$H:$H,'1.BS (VND)'!$D84)+SUMIFS('1.DC_Ra soat'!$L:$L,'1.DC_Ra soat'!$F:$F,AN$4,'1.DC_Ra soat'!$I:$I,'1.BS (VND)'!$D84)</f>
        <v>0</v>
      </c>
      <c r="AO84" s="746">
        <f>-SUMIFS('1.DC_Ra soat'!$L:$L,'1.DC_Ra soat'!$F:$F,AO$4,'1.DC_Ra soat'!$H:$H,'1.BS (VND)'!$D84)+SUMIFS('1.DC_Ra soat'!$L:$L,'1.DC_Ra soat'!$F:$F,AO$4,'1.DC_Ra soat'!$I:$I,'1.BS (VND)'!$D84)</f>
        <v>0</v>
      </c>
      <c r="AP84" s="746">
        <f>-SUMIFS('1.DC_Ra soat'!$L:$L,'1.DC_Ra soat'!$F:$F,AP$4,'1.DC_Ra soat'!$H:$H,'1.BS (VND)'!$D84)+SUMIFS('1.DC_Ra soat'!$L:$L,'1.DC_Ra soat'!$F:$F,AP$4,'1.DC_Ra soat'!$I:$I,'1.BS (VND)'!$D84)</f>
        <v>0</v>
      </c>
      <c r="AQ84" s="746">
        <f>-SUMIFS('1.DC_Ra soat'!$L:$L,'1.DC_Ra soat'!$F:$F,AQ$4,'1.DC_Ra soat'!$H:$H,'1.BS (VND)'!$D84)+SUMIFS('1.DC_Ra soat'!$L:$L,'1.DC_Ra soat'!$F:$F,AQ$4,'1.DC_Ra soat'!$I:$I,'1.BS (VND)'!$D84)</f>
        <v>0</v>
      </c>
      <c r="AR84" s="745"/>
      <c r="AS84" s="746">
        <f>-SUMIFS('1.DC_Ra soat'!$L:$L,'1.DC_Ra soat'!$F:$F,AS$4,'1.DC_Ra soat'!$H:$H,'1.BS (VND)'!$D84)+SUMIFS('1.DC_Ra soat'!$L:$L,'1.DC_Ra soat'!$F:$F,AS$4,'1.DC_Ra soat'!$I:$I,'1.BS (VND)'!$D84)</f>
        <v>0</v>
      </c>
      <c r="AT84" s="746">
        <f>-SUMIFS('1.DC_Ra soat'!$L:$L,'1.DC_Ra soat'!$F:$F,AT$4,'1.DC_Ra soat'!$H:$H,'1.BS (VND)'!$D84)+SUMIFS('1.DC_Ra soat'!$L:$L,'1.DC_Ra soat'!$F:$F,AT$4,'1.DC_Ra soat'!$I:$I,'1.BS (VND)'!$D84)</f>
        <v>0</v>
      </c>
      <c r="AU84" s="746">
        <f>-SUMIFS('1.DC_Ra soat'!$L:$L,'1.DC_Ra soat'!$F:$F,AU$4,'1.DC_Ra soat'!$H:$H,'1.BS (VND)'!$D84)+SUMIFS('1.DC_Ra soat'!$L:$L,'1.DC_Ra soat'!$F:$F,AU$4,'1.DC_Ra soat'!$I:$I,'1.BS (VND)'!$D84)</f>
        <v>0</v>
      </c>
      <c r="AV84" s="746">
        <f>-SUMIFS('1.DC_Ra soat'!$L:$L,'1.DC_Ra soat'!$F:$F,AV$4,'1.DC_Ra soat'!$H:$H,'1.BS (VND)'!$D84)+SUMIFS('1.DC_Ra soat'!$L:$L,'1.DC_Ra soat'!$F:$F,AV$4,'1.DC_Ra soat'!$I:$I,'1.BS (VND)'!$D84)</f>
        <v>0</v>
      </c>
      <c r="AW84" s="745"/>
      <c r="AX84" s="746">
        <f>-SUMIFS('1.DC_Ra soat'!$L:$L,'1.DC_Ra soat'!$F:$F,AX$4,'1.DC_Ra soat'!$H:$H,'1.BS (VND)'!$D84)+SUMIFS('1.DC_Ra soat'!$L:$L,'1.DC_Ra soat'!$F:$F,AX$4,'1.DC_Ra soat'!$I:$I,'1.BS (VND)'!$D84)</f>
        <v>0</v>
      </c>
      <c r="AY84" s="746">
        <f>-SUMIFS('1.DC_Ra soat'!$L:$L,'1.DC_Ra soat'!$F:$F,AY$4,'1.DC_Ra soat'!$H:$H,'1.BS (VND)'!$D84)+SUMIFS('1.DC_Ra soat'!$L:$L,'1.DC_Ra soat'!$F:$F,AY$4,'1.DC_Ra soat'!$I:$I,'1.BS (VND)'!$D84)</f>
        <v>0</v>
      </c>
      <c r="AZ84" s="746">
        <f>-SUMIFS('1.DC_Ra soat'!$L:$L,'1.DC_Ra soat'!$F:$F,AZ$4,'1.DC_Ra soat'!$H:$H,'1.BS (VND)'!$D84)+SUMIFS('1.DC_Ra soat'!$L:$L,'1.DC_Ra soat'!$F:$F,AZ$4,'1.DC_Ra soat'!$I:$I,'1.BS (VND)'!$D84)</f>
        <v>0</v>
      </c>
      <c r="BA84" s="746">
        <f>-SUMIFS('1.DC_Ra soat'!$L:$L,'1.DC_Ra soat'!$F:$F,BA$4,'1.DC_Ra soat'!$H:$H,'1.BS (VND)'!$D84)+SUMIFS('1.DC_Ra soat'!$L:$L,'1.DC_Ra soat'!$F:$F,BA$4,'1.DC_Ra soat'!$I:$I,'1.BS (VND)'!$D84)</f>
        <v>0</v>
      </c>
      <c r="BB84" s="745"/>
      <c r="BC84" s="746">
        <f>-SUMIFS('1.DC_Ra soat'!$L:$L,'1.DC_Ra soat'!$F:$F,BC$4,'1.DC_Ra soat'!$H:$H,'1.BS (VND)'!$D84)+SUMIFS('1.DC_Ra soat'!$L:$L,'1.DC_Ra soat'!$F:$F,BC$4,'1.DC_Ra soat'!$I:$I,'1.BS (VND)'!$D84)</f>
        <v>0</v>
      </c>
      <c r="BD84" s="746">
        <f>-SUMIFS('1.DC_Ra soat'!$L:$L,'1.DC_Ra soat'!$F:$F,BD$4,'1.DC_Ra soat'!$H:$H,'1.BS (VND)'!$D84)+SUMIFS('1.DC_Ra soat'!$L:$L,'1.DC_Ra soat'!$F:$F,BD$4,'1.DC_Ra soat'!$I:$I,'1.BS (VND)'!$D84)</f>
        <v>0</v>
      </c>
      <c r="BE84" s="746">
        <f>-SUMIFS('1.DC_Ra soat'!$L:$L,'1.DC_Ra soat'!$F:$F,BE$4,'1.DC_Ra soat'!$H:$H,'1.BS (VND)'!$D84)+SUMIFS('1.DC_Ra soat'!$L:$L,'1.DC_Ra soat'!$F:$F,BE$4,'1.DC_Ra soat'!$I:$I,'1.BS (VND)'!$D84)</f>
        <v>0</v>
      </c>
      <c r="BF84" s="746">
        <f>-SUMIFS('1.DC_Ra soat'!$L:$L,'1.DC_Ra soat'!$F:$F,BF$4,'1.DC_Ra soat'!$H:$H,'1.BS (VND)'!$D84)+SUMIFS('1.DC_Ra soat'!$L:$L,'1.DC_Ra soat'!$F:$F,BF$4,'1.DC_Ra soat'!$I:$I,'1.BS (VND)'!$D84)</f>
        <v>0</v>
      </c>
      <c r="BG84" s="745"/>
      <c r="BH84" s="746">
        <f>-SUMIFS('1.DC_Ra soat'!$L:$L,'1.DC_Ra soat'!$F:$F,BH$4,'1.DC_Ra soat'!$H:$H,'1.BS (VND)'!$D84)+SUMIFS('1.DC_Ra soat'!$L:$L,'1.DC_Ra soat'!$F:$F,BH$4,'1.DC_Ra soat'!$I:$I,'1.BS (VND)'!$D84)</f>
        <v>0</v>
      </c>
      <c r="BI84" s="746">
        <f>-SUMIFS('1.DC_Ra soat'!$L:$L,'1.DC_Ra soat'!$F:$F,BI$4,'1.DC_Ra soat'!$H:$H,'1.BS (VND)'!$D84)+SUMIFS('1.DC_Ra soat'!$L:$L,'1.DC_Ra soat'!$F:$F,BI$4,'1.DC_Ra soat'!$I:$I,'1.BS (VND)'!$D84)</f>
        <v>0</v>
      </c>
      <c r="BJ84" s="746">
        <f>-SUMIFS('1.DC_Ra soat'!$L:$L,'1.DC_Ra soat'!$F:$F,BJ$4,'1.DC_Ra soat'!$H:$H,'1.BS (VND)'!$D84)+SUMIFS('1.DC_Ra soat'!$L:$L,'1.DC_Ra soat'!$F:$F,BJ$4,'1.DC_Ra soat'!$I:$I,'1.BS (VND)'!$D84)</f>
        <v>0</v>
      </c>
      <c r="BK84" s="746">
        <f>-SUMIFS('1.DC_Ra soat'!$L:$L,'1.DC_Ra soat'!$F:$F,BK$4,'1.DC_Ra soat'!$H:$H,'1.BS (VND)'!$D84)+SUMIFS('1.DC_Ra soat'!$L:$L,'1.DC_Ra soat'!$F:$F,BK$4,'1.DC_Ra soat'!$I:$I,'1.BS (VND)'!$D84)</f>
        <v>0</v>
      </c>
      <c r="BM84" s="746">
        <f t="shared" si="128"/>
        <v>181937725045</v>
      </c>
      <c r="BN84" s="746">
        <f t="shared" si="129"/>
        <v>147332743858</v>
      </c>
      <c r="BO84" s="746">
        <f t="shared" si="130"/>
        <v>167833868117</v>
      </c>
      <c r="BP84" s="747">
        <f t="shared" si="131"/>
        <v>144416076514</v>
      </c>
      <c r="BQ84" s="745"/>
      <c r="BR84" s="746">
        <f t="shared" si="132"/>
        <v>0</v>
      </c>
      <c r="BS84" s="746">
        <f t="shared" si="133"/>
        <v>26715286360</v>
      </c>
      <c r="BT84" s="746">
        <f t="shared" si="134"/>
        <v>32086484294</v>
      </c>
      <c r="BU84" s="746">
        <f t="shared" si="135"/>
        <v>8949425726</v>
      </c>
      <c r="BV84" s="745"/>
      <c r="BW84" s="746">
        <f t="shared" si="136"/>
        <v>42564460272</v>
      </c>
      <c r="BX84" s="746">
        <f t="shared" si="137"/>
        <v>24624096875</v>
      </c>
      <c r="BY84" s="746">
        <f t="shared" si="138"/>
        <v>25044757000</v>
      </c>
      <c r="BZ84" s="747">
        <f t="shared" si="139"/>
        <v>21640929650</v>
      </c>
      <c r="CA84" s="745"/>
      <c r="CB84" s="747">
        <f t="shared" si="140"/>
        <v>15500534600</v>
      </c>
      <c r="CC84" s="747">
        <f t="shared" si="141"/>
        <v>15859932430</v>
      </c>
      <c r="CD84" s="747">
        <f t="shared" si="142"/>
        <v>17983375000</v>
      </c>
      <c r="CE84" s="747">
        <f t="shared" si="143"/>
        <v>17141931464</v>
      </c>
      <c r="CF84" s="745"/>
      <c r="CG84" s="747">
        <f t="shared" si="144"/>
        <v>0</v>
      </c>
      <c r="CH84" s="747">
        <f t="shared" si="145"/>
        <v>0</v>
      </c>
      <c r="CI84" s="747">
        <f t="shared" si="146"/>
        <v>0</v>
      </c>
      <c r="CJ84" s="747">
        <f t="shared" si="147"/>
        <v>0</v>
      </c>
      <c r="CK84" s="745"/>
      <c r="CL84" s="746">
        <f t="shared" si="148"/>
        <v>0</v>
      </c>
      <c r="CM84" s="746">
        <f t="shared" si="149"/>
        <v>0</v>
      </c>
      <c r="CN84" s="746">
        <f t="shared" si="150"/>
        <v>0</v>
      </c>
      <c r="CO84" s="747">
        <f t="shared" si="151"/>
        <v>0</v>
      </c>
      <c r="CQ84" s="746">
        <f>SUMIF('1.PL (VND) '!$BL$6:$CD$6,'1.PL (VND) '!CP$6,$BM84:$CE84)</f>
        <v>240002719917</v>
      </c>
      <c r="CR84" s="746">
        <f>SUMIF('1.PL (VND) '!$BL$6:$CD$6,'1.PL (VND) '!CQ$6,$BM84:$CE84)</f>
        <v>214532059523</v>
      </c>
      <c r="CS84" s="746">
        <f>SUMIF('1.PL (VND) '!$BL$6:$CD$6,'1.PL (VND) '!CR$6,$BM84:$CE84)</f>
        <v>242948484411</v>
      </c>
      <c r="CT84" s="746">
        <f>SUMIF('1.PL (VND) '!$BL$6:$CD$6,'1.PL (VND) '!CS$6,$BM84:$CE84)</f>
        <v>192148363354</v>
      </c>
      <c r="CV84" s="748">
        <f>-SUMIFS('1.DC_Ra soat'!$L:$L,'1.DC_Ra soat'!$F:$F,'1.PL (VND) '!DK$4,'1.DC_Ra soat'!$H:$H,'1.BS (VND)'!$D84)+SUMIFS('1.DC_Ra soat'!$L:$L,'1.DC_Ra soat'!$F:$F,'1.PL (VND) '!DK$4,'1.DC_Ra soat'!$I:$I,'1.BS (VND)'!$D84)</f>
        <v>0</v>
      </c>
      <c r="CW84" s="748">
        <f>-SUMIFS('1.DC_Ra soat'!$L:$L,'1.DC_Ra soat'!$F:$F,'1.PL (VND) '!DL$4,'1.DC_Ra soat'!$H:$H,'1.BS (VND)'!$D84)+SUMIFS('1.DC_Ra soat'!$L:$L,'1.DC_Ra soat'!$F:$F,'1.PL (VND) '!DL$4,'1.DC_Ra soat'!$I:$I,'1.BS (VND)'!$D84)</f>
        <v>0</v>
      </c>
      <c r="CX84" s="748">
        <f>-SUMIFS('1.DC_Ra soat'!$L:$L,'1.DC_Ra soat'!$F:$F,'1.PL (VND) '!DM$4,'1.DC_Ra soat'!$H:$H,'1.BS (VND)'!$D84)+SUMIFS('1.DC_Ra soat'!$L:$L,'1.DC_Ra soat'!$F:$F,'1.PL (VND) '!DM$4,'1.DC_Ra soat'!$I:$I,'1.BS (VND)'!$D84)</f>
        <v>0</v>
      </c>
      <c r="CY84" s="748">
        <f>-SUMIFS('1.DC_Ra soat'!$L:$L,'1.DC_Ra soat'!$F:$F,'1.PL (VND) '!DN$4,'1.DC_Ra soat'!$H:$H,'1.BS (VND)'!$D84)+SUMIFS('1.DC_Ra soat'!$L:$L,'1.DC_Ra soat'!$F:$F,'1.PL (VND) '!DN$4,'1.DC_Ra soat'!$I:$I,'1.BS (VND)'!$D84)</f>
        <v>0</v>
      </c>
      <c r="DA84" s="746">
        <f t="shared" si="157"/>
        <v>240002719917</v>
      </c>
      <c r="DB84" s="746">
        <f t="shared" si="158"/>
        <v>214532059523</v>
      </c>
      <c r="DC84" s="746">
        <f t="shared" si="159"/>
        <v>242948484411</v>
      </c>
      <c r="DD84" s="746">
        <f t="shared" si="160"/>
        <v>192148363354</v>
      </c>
      <c r="DH84" s="749"/>
    </row>
    <row r="85" spans="1:112" s="740" customFormat="1" x14ac:dyDescent="0.25">
      <c r="A85" s="248" t="str">
        <f t="shared" si="166"/>
        <v>hide</v>
      </c>
      <c r="C85" s="741" t="s">
        <v>429</v>
      </c>
      <c r="D85" s="742" t="s">
        <v>430</v>
      </c>
      <c r="E85" s="743"/>
      <c r="F85" s="743"/>
      <c r="G85" s="743"/>
      <c r="H85" s="744"/>
      <c r="I85" s="745"/>
      <c r="J85" s="746"/>
      <c r="K85" s="746"/>
      <c r="L85" s="746"/>
      <c r="M85" s="739">
        <v>0</v>
      </c>
      <c r="N85" s="745"/>
      <c r="O85" s="746"/>
      <c r="P85" s="746"/>
      <c r="Q85" s="746"/>
      <c r="R85" s="746"/>
      <c r="S85" s="745"/>
      <c r="T85" s="746"/>
      <c r="U85" s="746"/>
      <c r="V85" s="746"/>
      <c r="W85" s="746"/>
      <c r="X85" s="745"/>
      <c r="Y85" s="746"/>
      <c r="Z85" s="746"/>
      <c r="AA85" s="746"/>
      <c r="AB85" s="746"/>
      <c r="AC85" s="745"/>
      <c r="AD85" s="746"/>
      <c r="AE85" s="746"/>
      <c r="AF85" s="746"/>
      <c r="AG85" s="746"/>
      <c r="AI85" s="746">
        <f>-SUMIFS('1.DC_Ra soat'!$L:$L,'1.DC_Ra soat'!$F:$F,AI$4,'1.DC_Ra soat'!$H:$H,'1.BS (VND)'!$D85)+SUMIFS('1.DC_Ra soat'!$L:$L,'1.DC_Ra soat'!$F:$F,AI$4,'1.DC_Ra soat'!$I:$I,'1.BS (VND)'!$D85)</f>
        <v>0</v>
      </c>
      <c r="AJ85" s="746">
        <f>-SUMIFS('1.DC_Ra soat'!$L:$L,'1.DC_Ra soat'!$F:$F,AJ$4,'1.DC_Ra soat'!$H:$H,'1.BS (VND)'!$D85)+SUMIFS('1.DC_Ra soat'!$L:$L,'1.DC_Ra soat'!$F:$F,AJ$4,'1.DC_Ra soat'!$I:$I,'1.BS (VND)'!$D85)</f>
        <v>0</v>
      </c>
      <c r="AK85" s="746">
        <f>-SUMIFS('1.DC_Ra soat'!$L:$L,'1.DC_Ra soat'!$F:$F,AK$4,'1.DC_Ra soat'!$H:$H,'1.BS (VND)'!$D85)+SUMIFS('1.DC_Ra soat'!$L:$L,'1.DC_Ra soat'!$F:$F,AK$4,'1.DC_Ra soat'!$I:$I,'1.BS (VND)'!$D85)</f>
        <v>0</v>
      </c>
      <c r="AL85" s="746">
        <f>-SUMIFS('1.DC_Ra soat'!$L:$L,'1.DC_Ra soat'!$F:$F,AL$4,'1.DC_Ra soat'!$H:$H,'1.BS (VND)'!$D85)+SUMIFS('1.DC_Ra soat'!$L:$L,'1.DC_Ra soat'!$F:$F,AL$4,'1.DC_Ra soat'!$I:$I,'1.BS (VND)'!$D85)</f>
        <v>0</v>
      </c>
      <c r="AM85" s="745"/>
      <c r="AN85" s="746">
        <f>-SUMIFS('1.DC_Ra soat'!$L:$L,'1.DC_Ra soat'!$F:$F,AN$4,'1.DC_Ra soat'!$H:$H,'1.BS (VND)'!$D85)+SUMIFS('1.DC_Ra soat'!$L:$L,'1.DC_Ra soat'!$F:$F,AN$4,'1.DC_Ra soat'!$I:$I,'1.BS (VND)'!$D85)</f>
        <v>0</v>
      </c>
      <c r="AO85" s="746">
        <f>-SUMIFS('1.DC_Ra soat'!$L:$L,'1.DC_Ra soat'!$F:$F,AO$4,'1.DC_Ra soat'!$H:$H,'1.BS (VND)'!$D85)+SUMIFS('1.DC_Ra soat'!$L:$L,'1.DC_Ra soat'!$F:$F,AO$4,'1.DC_Ra soat'!$I:$I,'1.BS (VND)'!$D85)</f>
        <v>0</v>
      </c>
      <c r="AP85" s="746">
        <f>-SUMIFS('1.DC_Ra soat'!$L:$L,'1.DC_Ra soat'!$F:$F,AP$4,'1.DC_Ra soat'!$H:$H,'1.BS (VND)'!$D85)+SUMIFS('1.DC_Ra soat'!$L:$L,'1.DC_Ra soat'!$F:$F,AP$4,'1.DC_Ra soat'!$I:$I,'1.BS (VND)'!$D85)</f>
        <v>0</v>
      </c>
      <c r="AQ85" s="746">
        <f>-SUMIFS('1.DC_Ra soat'!$L:$L,'1.DC_Ra soat'!$F:$F,AQ$4,'1.DC_Ra soat'!$H:$H,'1.BS (VND)'!$D85)+SUMIFS('1.DC_Ra soat'!$L:$L,'1.DC_Ra soat'!$F:$F,AQ$4,'1.DC_Ra soat'!$I:$I,'1.BS (VND)'!$D85)</f>
        <v>0</v>
      </c>
      <c r="AR85" s="745"/>
      <c r="AS85" s="746">
        <f>-SUMIFS('1.DC_Ra soat'!$L:$L,'1.DC_Ra soat'!$F:$F,AS$4,'1.DC_Ra soat'!$H:$H,'1.BS (VND)'!$D85)+SUMIFS('1.DC_Ra soat'!$L:$L,'1.DC_Ra soat'!$F:$F,AS$4,'1.DC_Ra soat'!$I:$I,'1.BS (VND)'!$D85)</f>
        <v>0</v>
      </c>
      <c r="AT85" s="746">
        <f>-SUMIFS('1.DC_Ra soat'!$L:$L,'1.DC_Ra soat'!$F:$F,AT$4,'1.DC_Ra soat'!$H:$H,'1.BS (VND)'!$D85)+SUMIFS('1.DC_Ra soat'!$L:$L,'1.DC_Ra soat'!$F:$F,AT$4,'1.DC_Ra soat'!$I:$I,'1.BS (VND)'!$D85)</f>
        <v>0</v>
      </c>
      <c r="AU85" s="746">
        <f>-SUMIFS('1.DC_Ra soat'!$L:$L,'1.DC_Ra soat'!$F:$F,AU$4,'1.DC_Ra soat'!$H:$H,'1.BS (VND)'!$D85)+SUMIFS('1.DC_Ra soat'!$L:$L,'1.DC_Ra soat'!$F:$F,AU$4,'1.DC_Ra soat'!$I:$I,'1.BS (VND)'!$D85)</f>
        <v>0</v>
      </c>
      <c r="AV85" s="746">
        <f>-SUMIFS('1.DC_Ra soat'!$L:$L,'1.DC_Ra soat'!$F:$F,AV$4,'1.DC_Ra soat'!$H:$H,'1.BS (VND)'!$D85)+SUMIFS('1.DC_Ra soat'!$L:$L,'1.DC_Ra soat'!$F:$F,AV$4,'1.DC_Ra soat'!$I:$I,'1.BS (VND)'!$D85)</f>
        <v>0</v>
      </c>
      <c r="AW85" s="745"/>
      <c r="AX85" s="746">
        <f>-SUMIFS('1.DC_Ra soat'!$L:$L,'1.DC_Ra soat'!$F:$F,AX$4,'1.DC_Ra soat'!$H:$H,'1.BS (VND)'!$D85)+SUMIFS('1.DC_Ra soat'!$L:$L,'1.DC_Ra soat'!$F:$F,AX$4,'1.DC_Ra soat'!$I:$I,'1.BS (VND)'!$D85)</f>
        <v>0</v>
      </c>
      <c r="AY85" s="746">
        <f>-SUMIFS('1.DC_Ra soat'!$L:$L,'1.DC_Ra soat'!$F:$F,AY$4,'1.DC_Ra soat'!$H:$H,'1.BS (VND)'!$D85)+SUMIFS('1.DC_Ra soat'!$L:$L,'1.DC_Ra soat'!$F:$F,AY$4,'1.DC_Ra soat'!$I:$I,'1.BS (VND)'!$D85)</f>
        <v>0</v>
      </c>
      <c r="AZ85" s="746">
        <f>-SUMIFS('1.DC_Ra soat'!$L:$L,'1.DC_Ra soat'!$F:$F,AZ$4,'1.DC_Ra soat'!$H:$H,'1.BS (VND)'!$D85)+SUMIFS('1.DC_Ra soat'!$L:$L,'1.DC_Ra soat'!$F:$F,AZ$4,'1.DC_Ra soat'!$I:$I,'1.BS (VND)'!$D85)</f>
        <v>0</v>
      </c>
      <c r="BA85" s="746">
        <f>-SUMIFS('1.DC_Ra soat'!$L:$L,'1.DC_Ra soat'!$F:$F,BA$4,'1.DC_Ra soat'!$H:$H,'1.BS (VND)'!$D85)+SUMIFS('1.DC_Ra soat'!$L:$L,'1.DC_Ra soat'!$F:$F,BA$4,'1.DC_Ra soat'!$I:$I,'1.BS (VND)'!$D85)</f>
        <v>0</v>
      </c>
      <c r="BB85" s="745"/>
      <c r="BC85" s="746">
        <f>-SUMIFS('1.DC_Ra soat'!$L:$L,'1.DC_Ra soat'!$F:$F,BC$4,'1.DC_Ra soat'!$H:$H,'1.BS (VND)'!$D85)+SUMIFS('1.DC_Ra soat'!$L:$L,'1.DC_Ra soat'!$F:$F,BC$4,'1.DC_Ra soat'!$I:$I,'1.BS (VND)'!$D85)</f>
        <v>0</v>
      </c>
      <c r="BD85" s="746">
        <f>-SUMIFS('1.DC_Ra soat'!$L:$L,'1.DC_Ra soat'!$F:$F,BD$4,'1.DC_Ra soat'!$H:$H,'1.BS (VND)'!$D85)+SUMIFS('1.DC_Ra soat'!$L:$L,'1.DC_Ra soat'!$F:$F,BD$4,'1.DC_Ra soat'!$I:$I,'1.BS (VND)'!$D85)</f>
        <v>0</v>
      </c>
      <c r="BE85" s="746">
        <f>-SUMIFS('1.DC_Ra soat'!$L:$L,'1.DC_Ra soat'!$F:$F,BE$4,'1.DC_Ra soat'!$H:$H,'1.BS (VND)'!$D85)+SUMIFS('1.DC_Ra soat'!$L:$L,'1.DC_Ra soat'!$F:$F,BE$4,'1.DC_Ra soat'!$I:$I,'1.BS (VND)'!$D85)</f>
        <v>0</v>
      </c>
      <c r="BF85" s="746">
        <f>-SUMIFS('1.DC_Ra soat'!$L:$L,'1.DC_Ra soat'!$F:$F,BF$4,'1.DC_Ra soat'!$H:$H,'1.BS (VND)'!$D85)+SUMIFS('1.DC_Ra soat'!$L:$L,'1.DC_Ra soat'!$F:$F,BF$4,'1.DC_Ra soat'!$I:$I,'1.BS (VND)'!$D85)</f>
        <v>0</v>
      </c>
      <c r="BG85" s="745"/>
      <c r="BH85" s="746">
        <f>-SUMIFS('1.DC_Ra soat'!$L:$L,'1.DC_Ra soat'!$F:$F,BH$4,'1.DC_Ra soat'!$H:$H,'1.BS (VND)'!$D85)+SUMIFS('1.DC_Ra soat'!$L:$L,'1.DC_Ra soat'!$F:$F,BH$4,'1.DC_Ra soat'!$I:$I,'1.BS (VND)'!$D85)</f>
        <v>0</v>
      </c>
      <c r="BI85" s="746">
        <f>-SUMIFS('1.DC_Ra soat'!$L:$L,'1.DC_Ra soat'!$F:$F,BI$4,'1.DC_Ra soat'!$H:$H,'1.BS (VND)'!$D85)+SUMIFS('1.DC_Ra soat'!$L:$L,'1.DC_Ra soat'!$F:$F,BI$4,'1.DC_Ra soat'!$I:$I,'1.BS (VND)'!$D85)</f>
        <v>0</v>
      </c>
      <c r="BJ85" s="746">
        <f>-SUMIFS('1.DC_Ra soat'!$L:$L,'1.DC_Ra soat'!$F:$F,BJ$4,'1.DC_Ra soat'!$H:$H,'1.BS (VND)'!$D85)+SUMIFS('1.DC_Ra soat'!$L:$L,'1.DC_Ra soat'!$F:$F,BJ$4,'1.DC_Ra soat'!$I:$I,'1.BS (VND)'!$D85)</f>
        <v>0</v>
      </c>
      <c r="BK85" s="746">
        <f>-SUMIFS('1.DC_Ra soat'!$L:$L,'1.DC_Ra soat'!$F:$F,BK$4,'1.DC_Ra soat'!$H:$H,'1.BS (VND)'!$D85)+SUMIFS('1.DC_Ra soat'!$L:$L,'1.DC_Ra soat'!$F:$F,BK$4,'1.DC_Ra soat'!$I:$I,'1.BS (VND)'!$D85)</f>
        <v>0</v>
      </c>
      <c r="BM85" s="746">
        <f t="shared" si="128"/>
        <v>0</v>
      </c>
      <c r="BN85" s="746">
        <f t="shared" si="129"/>
        <v>0</v>
      </c>
      <c r="BO85" s="746">
        <f t="shared" si="130"/>
        <v>0</v>
      </c>
      <c r="BP85" s="747">
        <f t="shared" si="131"/>
        <v>0</v>
      </c>
      <c r="BQ85" s="745"/>
      <c r="BR85" s="746">
        <f t="shared" si="132"/>
        <v>0</v>
      </c>
      <c r="BS85" s="746">
        <f t="shared" si="133"/>
        <v>0</v>
      </c>
      <c r="BT85" s="746">
        <f t="shared" si="134"/>
        <v>0</v>
      </c>
      <c r="BU85" s="746">
        <f t="shared" si="135"/>
        <v>0</v>
      </c>
      <c r="BV85" s="745"/>
      <c r="BW85" s="746">
        <f t="shared" si="136"/>
        <v>0</v>
      </c>
      <c r="BX85" s="746">
        <f t="shared" si="137"/>
        <v>0</v>
      </c>
      <c r="BY85" s="746">
        <f t="shared" si="138"/>
        <v>0</v>
      </c>
      <c r="BZ85" s="747">
        <f t="shared" si="139"/>
        <v>0</v>
      </c>
      <c r="CA85" s="745"/>
      <c r="CB85" s="747">
        <f t="shared" si="140"/>
        <v>0</v>
      </c>
      <c r="CC85" s="747">
        <f t="shared" si="141"/>
        <v>0</v>
      </c>
      <c r="CD85" s="747">
        <f t="shared" si="142"/>
        <v>0</v>
      </c>
      <c r="CE85" s="747">
        <f t="shared" si="143"/>
        <v>0</v>
      </c>
      <c r="CF85" s="745"/>
      <c r="CG85" s="747">
        <f t="shared" si="144"/>
        <v>0</v>
      </c>
      <c r="CH85" s="747">
        <f t="shared" si="145"/>
        <v>0</v>
      </c>
      <c r="CI85" s="747">
        <f t="shared" si="146"/>
        <v>0</v>
      </c>
      <c r="CJ85" s="747">
        <f t="shared" si="147"/>
        <v>0</v>
      </c>
      <c r="CK85" s="745"/>
      <c r="CL85" s="746">
        <f t="shared" si="148"/>
        <v>0</v>
      </c>
      <c r="CM85" s="746">
        <f t="shared" si="149"/>
        <v>0</v>
      </c>
      <c r="CN85" s="746">
        <f t="shared" si="150"/>
        <v>0</v>
      </c>
      <c r="CO85" s="747">
        <f t="shared" si="151"/>
        <v>0</v>
      </c>
      <c r="CQ85" s="746">
        <f>SUMIF('1.PL (VND) '!$BL$6:$CD$6,'1.PL (VND) '!CP$6,$BM85:$CE85)</f>
        <v>0</v>
      </c>
      <c r="CR85" s="746">
        <f>SUMIF('1.PL (VND) '!$BL$6:$CD$6,'1.PL (VND) '!CQ$6,$BM85:$CE85)</f>
        <v>0</v>
      </c>
      <c r="CS85" s="746">
        <f>SUMIF('1.PL (VND) '!$BL$6:$CD$6,'1.PL (VND) '!CR$6,$BM85:$CE85)</f>
        <v>0</v>
      </c>
      <c r="CT85" s="746">
        <f>SUMIF('1.PL (VND) '!$BL$6:$CD$6,'1.PL (VND) '!CS$6,$BM85:$CE85)</f>
        <v>0</v>
      </c>
      <c r="CV85" s="748">
        <f>-SUMIFS('1.DC_Ra soat'!$L:$L,'1.DC_Ra soat'!$F:$F,'1.PL (VND) '!DK$4,'1.DC_Ra soat'!$H:$H,'1.BS (VND)'!$D85)+SUMIFS('1.DC_Ra soat'!$L:$L,'1.DC_Ra soat'!$F:$F,'1.PL (VND) '!DK$4,'1.DC_Ra soat'!$I:$I,'1.BS (VND)'!$D85)</f>
        <v>0</v>
      </c>
      <c r="CW85" s="748">
        <f>-SUMIFS('1.DC_Ra soat'!$L:$L,'1.DC_Ra soat'!$F:$F,'1.PL (VND) '!DL$4,'1.DC_Ra soat'!$H:$H,'1.BS (VND)'!$D85)+SUMIFS('1.DC_Ra soat'!$L:$L,'1.DC_Ra soat'!$F:$F,'1.PL (VND) '!DL$4,'1.DC_Ra soat'!$I:$I,'1.BS (VND)'!$D85)</f>
        <v>0</v>
      </c>
      <c r="CX85" s="748">
        <f>-SUMIFS('1.DC_Ra soat'!$L:$L,'1.DC_Ra soat'!$F:$F,'1.PL (VND) '!DM$4,'1.DC_Ra soat'!$H:$H,'1.BS (VND)'!$D85)+SUMIFS('1.DC_Ra soat'!$L:$L,'1.DC_Ra soat'!$F:$F,'1.PL (VND) '!DM$4,'1.DC_Ra soat'!$I:$I,'1.BS (VND)'!$D85)</f>
        <v>0</v>
      </c>
      <c r="CY85" s="748">
        <f>-SUMIFS('1.DC_Ra soat'!$L:$L,'1.DC_Ra soat'!$F:$F,'1.PL (VND) '!DN$4,'1.DC_Ra soat'!$H:$H,'1.BS (VND)'!$D85)+SUMIFS('1.DC_Ra soat'!$L:$L,'1.DC_Ra soat'!$F:$F,'1.PL (VND) '!DN$4,'1.DC_Ra soat'!$I:$I,'1.BS (VND)'!$D85)</f>
        <v>0</v>
      </c>
      <c r="DA85" s="746">
        <f t="shared" si="157"/>
        <v>0</v>
      </c>
      <c r="DB85" s="746">
        <f t="shared" si="158"/>
        <v>0</v>
      </c>
      <c r="DC85" s="746">
        <f t="shared" si="159"/>
        <v>0</v>
      </c>
      <c r="DD85" s="746">
        <f t="shared" si="160"/>
        <v>0</v>
      </c>
    </row>
    <row r="86" spans="1:112" s="740" customFormat="1" x14ac:dyDescent="0.25">
      <c r="A86" s="248" t="str">
        <f t="shared" si="166"/>
        <v>hide</v>
      </c>
      <c r="C86" s="741" t="s">
        <v>431</v>
      </c>
      <c r="D86" s="742" t="s">
        <v>432</v>
      </c>
      <c r="E86" s="743"/>
      <c r="F86" s="743"/>
      <c r="G86" s="743"/>
      <c r="H86" s="744"/>
      <c r="I86" s="745"/>
      <c r="J86" s="746"/>
      <c r="K86" s="746"/>
      <c r="L86" s="746"/>
      <c r="M86" s="739">
        <v>0</v>
      </c>
      <c r="N86" s="745"/>
      <c r="O86" s="746"/>
      <c r="P86" s="746"/>
      <c r="Q86" s="746"/>
      <c r="R86" s="746"/>
      <c r="S86" s="745"/>
      <c r="T86" s="746"/>
      <c r="U86" s="746"/>
      <c r="V86" s="746"/>
      <c r="W86" s="746"/>
      <c r="X86" s="745"/>
      <c r="Y86" s="746"/>
      <c r="Z86" s="746"/>
      <c r="AA86" s="746"/>
      <c r="AB86" s="746"/>
      <c r="AC86" s="745"/>
      <c r="AD86" s="746"/>
      <c r="AE86" s="746"/>
      <c r="AF86" s="746"/>
      <c r="AG86" s="746"/>
      <c r="AI86" s="746">
        <f>-SUMIFS('1.DC_Ra soat'!$L:$L,'1.DC_Ra soat'!$F:$F,AI$4,'1.DC_Ra soat'!$H:$H,'1.BS (VND)'!$D86)+SUMIFS('1.DC_Ra soat'!$L:$L,'1.DC_Ra soat'!$F:$F,AI$4,'1.DC_Ra soat'!$I:$I,'1.BS (VND)'!$D86)</f>
        <v>0</v>
      </c>
      <c r="AJ86" s="746">
        <f>-SUMIFS('1.DC_Ra soat'!$L:$L,'1.DC_Ra soat'!$F:$F,AJ$4,'1.DC_Ra soat'!$H:$H,'1.BS (VND)'!$D86)+SUMIFS('1.DC_Ra soat'!$L:$L,'1.DC_Ra soat'!$F:$F,AJ$4,'1.DC_Ra soat'!$I:$I,'1.BS (VND)'!$D86)</f>
        <v>0</v>
      </c>
      <c r="AK86" s="746">
        <f>-SUMIFS('1.DC_Ra soat'!$L:$L,'1.DC_Ra soat'!$F:$F,AK$4,'1.DC_Ra soat'!$H:$H,'1.BS (VND)'!$D86)+SUMIFS('1.DC_Ra soat'!$L:$L,'1.DC_Ra soat'!$F:$F,AK$4,'1.DC_Ra soat'!$I:$I,'1.BS (VND)'!$D86)</f>
        <v>0</v>
      </c>
      <c r="AL86" s="746">
        <f>-SUMIFS('1.DC_Ra soat'!$L:$L,'1.DC_Ra soat'!$F:$F,AL$4,'1.DC_Ra soat'!$H:$H,'1.BS (VND)'!$D86)+SUMIFS('1.DC_Ra soat'!$L:$L,'1.DC_Ra soat'!$F:$F,AL$4,'1.DC_Ra soat'!$I:$I,'1.BS (VND)'!$D86)</f>
        <v>0</v>
      </c>
      <c r="AM86" s="745"/>
      <c r="AN86" s="746">
        <f>-SUMIFS('1.DC_Ra soat'!$L:$L,'1.DC_Ra soat'!$F:$F,AN$4,'1.DC_Ra soat'!$H:$H,'1.BS (VND)'!$D86)+SUMIFS('1.DC_Ra soat'!$L:$L,'1.DC_Ra soat'!$F:$F,AN$4,'1.DC_Ra soat'!$I:$I,'1.BS (VND)'!$D86)</f>
        <v>0</v>
      </c>
      <c r="AO86" s="746">
        <f>-SUMIFS('1.DC_Ra soat'!$L:$L,'1.DC_Ra soat'!$F:$F,AO$4,'1.DC_Ra soat'!$H:$H,'1.BS (VND)'!$D86)+SUMIFS('1.DC_Ra soat'!$L:$L,'1.DC_Ra soat'!$F:$F,AO$4,'1.DC_Ra soat'!$I:$I,'1.BS (VND)'!$D86)</f>
        <v>0</v>
      </c>
      <c r="AP86" s="746">
        <f>-SUMIFS('1.DC_Ra soat'!$L:$L,'1.DC_Ra soat'!$F:$F,AP$4,'1.DC_Ra soat'!$H:$H,'1.BS (VND)'!$D86)+SUMIFS('1.DC_Ra soat'!$L:$L,'1.DC_Ra soat'!$F:$F,AP$4,'1.DC_Ra soat'!$I:$I,'1.BS (VND)'!$D86)</f>
        <v>0</v>
      </c>
      <c r="AQ86" s="746">
        <f>-SUMIFS('1.DC_Ra soat'!$L:$L,'1.DC_Ra soat'!$F:$F,AQ$4,'1.DC_Ra soat'!$H:$H,'1.BS (VND)'!$D86)+SUMIFS('1.DC_Ra soat'!$L:$L,'1.DC_Ra soat'!$F:$F,AQ$4,'1.DC_Ra soat'!$I:$I,'1.BS (VND)'!$D86)</f>
        <v>0</v>
      </c>
      <c r="AR86" s="745"/>
      <c r="AS86" s="746">
        <f>-SUMIFS('1.DC_Ra soat'!$L:$L,'1.DC_Ra soat'!$F:$F,AS$4,'1.DC_Ra soat'!$H:$H,'1.BS (VND)'!$D86)+SUMIFS('1.DC_Ra soat'!$L:$L,'1.DC_Ra soat'!$F:$F,AS$4,'1.DC_Ra soat'!$I:$I,'1.BS (VND)'!$D86)</f>
        <v>0</v>
      </c>
      <c r="AT86" s="746">
        <f>-SUMIFS('1.DC_Ra soat'!$L:$L,'1.DC_Ra soat'!$F:$F,AT$4,'1.DC_Ra soat'!$H:$H,'1.BS (VND)'!$D86)+SUMIFS('1.DC_Ra soat'!$L:$L,'1.DC_Ra soat'!$F:$F,AT$4,'1.DC_Ra soat'!$I:$I,'1.BS (VND)'!$D86)</f>
        <v>0</v>
      </c>
      <c r="AU86" s="746">
        <f>-SUMIFS('1.DC_Ra soat'!$L:$L,'1.DC_Ra soat'!$F:$F,AU$4,'1.DC_Ra soat'!$H:$H,'1.BS (VND)'!$D86)+SUMIFS('1.DC_Ra soat'!$L:$L,'1.DC_Ra soat'!$F:$F,AU$4,'1.DC_Ra soat'!$I:$I,'1.BS (VND)'!$D86)</f>
        <v>0</v>
      </c>
      <c r="AV86" s="746">
        <f>-SUMIFS('1.DC_Ra soat'!$L:$L,'1.DC_Ra soat'!$F:$F,AV$4,'1.DC_Ra soat'!$H:$H,'1.BS (VND)'!$D86)+SUMIFS('1.DC_Ra soat'!$L:$L,'1.DC_Ra soat'!$F:$F,AV$4,'1.DC_Ra soat'!$I:$I,'1.BS (VND)'!$D86)</f>
        <v>0</v>
      </c>
      <c r="AW86" s="745"/>
      <c r="AX86" s="746">
        <f>-SUMIFS('1.DC_Ra soat'!$L:$L,'1.DC_Ra soat'!$F:$F,AX$4,'1.DC_Ra soat'!$H:$H,'1.BS (VND)'!$D86)+SUMIFS('1.DC_Ra soat'!$L:$L,'1.DC_Ra soat'!$F:$F,AX$4,'1.DC_Ra soat'!$I:$I,'1.BS (VND)'!$D86)</f>
        <v>0</v>
      </c>
      <c r="AY86" s="746">
        <f>-SUMIFS('1.DC_Ra soat'!$L:$L,'1.DC_Ra soat'!$F:$F,AY$4,'1.DC_Ra soat'!$H:$H,'1.BS (VND)'!$D86)+SUMIFS('1.DC_Ra soat'!$L:$L,'1.DC_Ra soat'!$F:$F,AY$4,'1.DC_Ra soat'!$I:$I,'1.BS (VND)'!$D86)</f>
        <v>0</v>
      </c>
      <c r="AZ86" s="746">
        <f>-SUMIFS('1.DC_Ra soat'!$L:$L,'1.DC_Ra soat'!$F:$F,AZ$4,'1.DC_Ra soat'!$H:$H,'1.BS (VND)'!$D86)+SUMIFS('1.DC_Ra soat'!$L:$L,'1.DC_Ra soat'!$F:$F,AZ$4,'1.DC_Ra soat'!$I:$I,'1.BS (VND)'!$D86)</f>
        <v>0</v>
      </c>
      <c r="BA86" s="746">
        <f>-SUMIFS('1.DC_Ra soat'!$L:$L,'1.DC_Ra soat'!$F:$F,BA$4,'1.DC_Ra soat'!$H:$H,'1.BS (VND)'!$D86)+SUMIFS('1.DC_Ra soat'!$L:$L,'1.DC_Ra soat'!$F:$F,BA$4,'1.DC_Ra soat'!$I:$I,'1.BS (VND)'!$D86)</f>
        <v>0</v>
      </c>
      <c r="BB86" s="745"/>
      <c r="BC86" s="746">
        <f>-SUMIFS('1.DC_Ra soat'!$L:$L,'1.DC_Ra soat'!$F:$F,BC$4,'1.DC_Ra soat'!$H:$H,'1.BS (VND)'!$D86)+SUMIFS('1.DC_Ra soat'!$L:$L,'1.DC_Ra soat'!$F:$F,BC$4,'1.DC_Ra soat'!$I:$I,'1.BS (VND)'!$D86)</f>
        <v>0</v>
      </c>
      <c r="BD86" s="746">
        <f>-SUMIFS('1.DC_Ra soat'!$L:$L,'1.DC_Ra soat'!$F:$F,BD$4,'1.DC_Ra soat'!$H:$H,'1.BS (VND)'!$D86)+SUMIFS('1.DC_Ra soat'!$L:$L,'1.DC_Ra soat'!$F:$F,BD$4,'1.DC_Ra soat'!$I:$I,'1.BS (VND)'!$D86)</f>
        <v>0</v>
      </c>
      <c r="BE86" s="746">
        <f>-SUMIFS('1.DC_Ra soat'!$L:$L,'1.DC_Ra soat'!$F:$F,BE$4,'1.DC_Ra soat'!$H:$H,'1.BS (VND)'!$D86)+SUMIFS('1.DC_Ra soat'!$L:$L,'1.DC_Ra soat'!$F:$F,BE$4,'1.DC_Ra soat'!$I:$I,'1.BS (VND)'!$D86)</f>
        <v>0</v>
      </c>
      <c r="BF86" s="746">
        <f>-SUMIFS('1.DC_Ra soat'!$L:$L,'1.DC_Ra soat'!$F:$F,BF$4,'1.DC_Ra soat'!$H:$H,'1.BS (VND)'!$D86)+SUMIFS('1.DC_Ra soat'!$L:$L,'1.DC_Ra soat'!$F:$F,BF$4,'1.DC_Ra soat'!$I:$I,'1.BS (VND)'!$D86)</f>
        <v>0</v>
      </c>
      <c r="BG86" s="745"/>
      <c r="BH86" s="746">
        <f>-SUMIFS('1.DC_Ra soat'!$L:$L,'1.DC_Ra soat'!$F:$F,BH$4,'1.DC_Ra soat'!$H:$H,'1.BS (VND)'!$D86)+SUMIFS('1.DC_Ra soat'!$L:$L,'1.DC_Ra soat'!$F:$F,BH$4,'1.DC_Ra soat'!$I:$I,'1.BS (VND)'!$D86)</f>
        <v>0</v>
      </c>
      <c r="BI86" s="746">
        <f>-SUMIFS('1.DC_Ra soat'!$L:$L,'1.DC_Ra soat'!$F:$F,BI$4,'1.DC_Ra soat'!$H:$H,'1.BS (VND)'!$D86)+SUMIFS('1.DC_Ra soat'!$L:$L,'1.DC_Ra soat'!$F:$F,BI$4,'1.DC_Ra soat'!$I:$I,'1.BS (VND)'!$D86)</f>
        <v>0</v>
      </c>
      <c r="BJ86" s="746">
        <f>-SUMIFS('1.DC_Ra soat'!$L:$L,'1.DC_Ra soat'!$F:$F,BJ$4,'1.DC_Ra soat'!$H:$H,'1.BS (VND)'!$D86)+SUMIFS('1.DC_Ra soat'!$L:$L,'1.DC_Ra soat'!$F:$F,BJ$4,'1.DC_Ra soat'!$I:$I,'1.BS (VND)'!$D86)</f>
        <v>0</v>
      </c>
      <c r="BK86" s="746">
        <f>-SUMIFS('1.DC_Ra soat'!$L:$L,'1.DC_Ra soat'!$F:$F,BK$4,'1.DC_Ra soat'!$H:$H,'1.BS (VND)'!$D86)+SUMIFS('1.DC_Ra soat'!$L:$L,'1.DC_Ra soat'!$F:$F,BK$4,'1.DC_Ra soat'!$I:$I,'1.BS (VND)'!$D86)</f>
        <v>0</v>
      </c>
      <c r="BM86" s="746">
        <f t="shared" si="128"/>
        <v>0</v>
      </c>
      <c r="BN86" s="746">
        <f t="shared" si="129"/>
        <v>0</v>
      </c>
      <c r="BO86" s="746">
        <f t="shared" si="130"/>
        <v>0</v>
      </c>
      <c r="BP86" s="747">
        <f t="shared" si="131"/>
        <v>0</v>
      </c>
      <c r="BQ86" s="745"/>
      <c r="BR86" s="746">
        <f t="shared" si="132"/>
        <v>0</v>
      </c>
      <c r="BS86" s="746">
        <f t="shared" si="133"/>
        <v>0</v>
      </c>
      <c r="BT86" s="746">
        <f t="shared" si="134"/>
        <v>0</v>
      </c>
      <c r="BU86" s="746">
        <f t="shared" si="135"/>
        <v>0</v>
      </c>
      <c r="BV86" s="745"/>
      <c r="BW86" s="746">
        <f t="shared" si="136"/>
        <v>0</v>
      </c>
      <c r="BX86" s="746">
        <f t="shared" si="137"/>
        <v>0</v>
      </c>
      <c r="BY86" s="746">
        <f t="shared" si="138"/>
        <v>0</v>
      </c>
      <c r="BZ86" s="747">
        <f t="shared" si="139"/>
        <v>0</v>
      </c>
      <c r="CA86" s="745"/>
      <c r="CB86" s="747">
        <f t="shared" si="140"/>
        <v>0</v>
      </c>
      <c r="CC86" s="747">
        <f t="shared" si="141"/>
        <v>0</v>
      </c>
      <c r="CD86" s="747">
        <f t="shared" si="142"/>
        <v>0</v>
      </c>
      <c r="CE86" s="747">
        <f t="shared" si="143"/>
        <v>0</v>
      </c>
      <c r="CF86" s="745"/>
      <c r="CG86" s="747">
        <f t="shared" si="144"/>
        <v>0</v>
      </c>
      <c r="CH86" s="747">
        <f t="shared" si="145"/>
        <v>0</v>
      </c>
      <c r="CI86" s="747">
        <f t="shared" si="146"/>
        <v>0</v>
      </c>
      <c r="CJ86" s="747">
        <f t="shared" si="147"/>
        <v>0</v>
      </c>
      <c r="CK86" s="745"/>
      <c r="CL86" s="746">
        <f t="shared" si="148"/>
        <v>0</v>
      </c>
      <c r="CM86" s="746">
        <f t="shared" si="149"/>
        <v>0</v>
      </c>
      <c r="CN86" s="746">
        <f t="shared" si="150"/>
        <v>0</v>
      </c>
      <c r="CO86" s="747">
        <f t="shared" si="151"/>
        <v>0</v>
      </c>
      <c r="CQ86" s="746">
        <f>SUMIF('1.PL (VND) '!$BL$6:$CD$6,'1.PL (VND) '!CP$6,$BM86:$CE86)</f>
        <v>0</v>
      </c>
      <c r="CR86" s="746">
        <f>SUMIF('1.PL (VND) '!$BL$6:$CD$6,'1.PL (VND) '!CQ$6,$BM86:$CE86)</f>
        <v>0</v>
      </c>
      <c r="CS86" s="746">
        <f>SUMIF('1.PL (VND) '!$BL$6:$CD$6,'1.PL (VND) '!CR$6,$BM86:$CE86)</f>
        <v>0</v>
      </c>
      <c r="CT86" s="746">
        <f>SUMIF('1.PL (VND) '!$BL$6:$CD$6,'1.PL (VND) '!CS$6,$BM86:$CE86)</f>
        <v>0</v>
      </c>
      <c r="CV86" s="748">
        <f>-SUMIFS('1.DC_Ra soat'!$L:$L,'1.DC_Ra soat'!$F:$F,'1.PL (VND) '!DK$4,'1.DC_Ra soat'!$H:$H,'1.BS (VND)'!$D86)+SUMIFS('1.DC_Ra soat'!$L:$L,'1.DC_Ra soat'!$F:$F,'1.PL (VND) '!DK$4,'1.DC_Ra soat'!$I:$I,'1.BS (VND)'!$D86)</f>
        <v>0</v>
      </c>
      <c r="CW86" s="748">
        <f>-SUMIFS('1.DC_Ra soat'!$L:$L,'1.DC_Ra soat'!$F:$F,'1.PL (VND) '!DL$4,'1.DC_Ra soat'!$H:$H,'1.BS (VND)'!$D86)+SUMIFS('1.DC_Ra soat'!$L:$L,'1.DC_Ra soat'!$F:$F,'1.PL (VND) '!DL$4,'1.DC_Ra soat'!$I:$I,'1.BS (VND)'!$D86)</f>
        <v>0</v>
      </c>
      <c r="CX86" s="748">
        <f>-SUMIFS('1.DC_Ra soat'!$L:$L,'1.DC_Ra soat'!$F:$F,'1.PL (VND) '!DM$4,'1.DC_Ra soat'!$H:$H,'1.BS (VND)'!$D86)+SUMIFS('1.DC_Ra soat'!$L:$L,'1.DC_Ra soat'!$F:$F,'1.PL (VND) '!DM$4,'1.DC_Ra soat'!$I:$I,'1.BS (VND)'!$D86)</f>
        <v>0</v>
      </c>
      <c r="CY86" s="748">
        <f>-SUMIFS('1.DC_Ra soat'!$L:$L,'1.DC_Ra soat'!$F:$F,'1.PL (VND) '!DN$4,'1.DC_Ra soat'!$H:$H,'1.BS (VND)'!$D86)+SUMIFS('1.DC_Ra soat'!$L:$L,'1.DC_Ra soat'!$F:$F,'1.PL (VND) '!DN$4,'1.DC_Ra soat'!$I:$I,'1.BS (VND)'!$D86)</f>
        <v>0</v>
      </c>
      <c r="DA86" s="746">
        <f t="shared" si="157"/>
        <v>0</v>
      </c>
      <c r="DB86" s="746">
        <f t="shared" si="158"/>
        <v>0</v>
      </c>
      <c r="DC86" s="746">
        <f t="shared" si="159"/>
        <v>0</v>
      </c>
      <c r="DD86" s="746">
        <f t="shared" si="160"/>
        <v>0</v>
      </c>
    </row>
    <row r="87" spans="1:112" s="740" customFormat="1" x14ac:dyDescent="0.25">
      <c r="A87" s="248" t="str">
        <f t="shared" si="166"/>
        <v>hide</v>
      </c>
      <c r="C87" s="741" t="s">
        <v>433</v>
      </c>
      <c r="D87" s="742" t="s">
        <v>434</v>
      </c>
      <c r="E87" s="743"/>
      <c r="F87" s="743"/>
      <c r="G87" s="743"/>
      <c r="H87" s="744"/>
      <c r="I87" s="745"/>
      <c r="J87" s="746"/>
      <c r="K87" s="746"/>
      <c r="L87" s="746"/>
      <c r="M87" s="739">
        <v>0</v>
      </c>
      <c r="N87" s="745"/>
      <c r="O87" s="746"/>
      <c r="P87" s="746"/>
      <c r="Q87" s="746"/>
      <c r="R87" s="746"/>
      <c r="S87" s="745"/>
      <c r="T87" s="746"/>
      <c r="U87" s="746"/>
      <c r="V87" s="746"/>
      <c r="W87" s="746"/>
      <c r="X87" s="745"/>
      <c r="Y87" s="746"/>
      <c r="Z87" s="746"/>
      <c r="AA87" s="746"/>
      <c r="AB87" s="746"/>
      <c r="AC87" s="745"/>
      <c r="AD87" s="746"/>
      <c r="AE87" s="746"/>
      <c r="AF87" s="746"/>
      <c r="AG87" s="746"/>
      <c r="AI87" s="746">
        <f>-SUMIFS('1.DC_Ra soat'!$L:$L,'1.DC_Ra soat'!$F:$F,AI$4,'1.DC_Ra soat'!$H:$H,'1.BS (VND)'!$D87)+SUMIFS('1.DC_Ra soat'!$L:$L,'1.DC_Ra soat'!$F:$F,AI$4,'1.DC_Ra soat'!$I:$I,'1.BS (VND)'!$D87)</f>
        <v>0</v>
      </c>
      <c r="AJ87" s="746">
        <f>-SUMIFS('1.DC_Ra soat'!$L:$L,'1.DC_Ra soat'!$F:$F,AJ$4,'1.DC_Ra soat'!$H:$H,'1.BS (VND)'!$D87)+SUMIFS('1.DC_Ra soat'!$L:$L,'1.DC_Ra soat'!$F:$F,AJ$4,'1.DC_Ra soat'!$I:$I,'1.BS (VND)'!$D87)</f>
        <v>0</v>
      </c>
      <c r="AK87" s="746">
        <f>-SUMIFS('1.DC_Ra soat'!$L:$L,'1.DC_Ra soat'!$F:$F,AK$4,'1.DC_Ra soat'!$H:$H,'1.BS (VND)'!$D87)+SUMIFS('1.DC_Ra soat'!$L:$L,'1.DC_Ra soat'!$F:$F,AK$4,'1.DC_Ra soat'!$I:$I,'1.BS (VND)'!$D87)</f>
        <v>0</v>
      </c>
      <c r="AL87" s="746">
        <f>-SUMIFS('1.DC_Ra soat'!$L:$L,'1.DC_Ra soat'!$F:$F,AL$4,'1.DC_Ra soat'!$H:$H,'1.BS (VND)'!$D87)+SUMIFS('1.DC_Ra soat'!$L:$L,'1.DC_Ra soat'!$F:$F,AL$4,'1.DC_Ra soat'!$I:$I,'1.BS (VND)'!$D87)</f>
        <v>0</v>
      </c>
      <c r="AM87" s="745"/>
      <c r="AN87" s="746">
        <f>-SUMIFS('1.DC_Ra soat'!$L:$L,'1.DC_Ra soat'!$F:$F,AN$4,'1.DC_Ra soat'!$H:$H,'1.BS (VND)'!$D87)+SUMIFS('1.DC_Ra soat'!$L:$L,'1.DC_Ra soat'!$F:$F,AN$4,'1.DC_Ra soat'!$I:$I,'1.BS (VND)'!$D87)</f>
        <v>0</v>
      </c>
      <c r="AO87" s="746">
        <f>-SUMIFS('1.DC_Ra soat'!$L:$L,'1.DC_Ra soat'!$F:$F,AO$4,'1.DC_Ra soat'!$H:$H,'1.BS (VND)'!$D87)+SUMIFS('1.DC_Ra soat'!$L:$L,'1.DC_Ra soat'!$F:$F,AO$4,'1.DC_Ra soat'!$I:$I,'1.BS (VND)'!$D87)</f>
        <v>0</v>
      </c>
      <c r="AP87" s="746">
        <f>-SUMIFS('1.DC_Ra soat'!$L:$L,'1.DC_Ra soat'!$F:$F,AP$4,'1.DC_Ra soat'!$H:$H,'1.BS (VND)'!$D87)+SUMIFS('1.DC_Ra soat'!$L:$L,'1.DC_Ra soat'!$F:$F,AP$4,'1.DC_Ra soat'!$I:$I,'1.BS (VND)'!$D87)</f>
        <v>0</v>
      </c>
      <c r="AQ87" s="746">
        <f>-SUMIFS('1.DC_Ra soat'!$L:$L,'1.DC_Ra soat'!$F:$F,AQ$4,'1.DC_Ra soat'!$H:$H,'1.BS (VND)'!$D87)+SUMIFS('1.DC_Ra soat'!$L:$L,'1.DC_Ra soat'!$F:$F,AQ$4,'1.DC_Ra soat'!$I:$I,'1.BS (VND)'!$D87)</f>
        <v>0</v>
      </c>
      <c r="AR87" s="745"/>
      <c r="AS87" s="746">
        <f>-SUMIFS('1.DC_Ra soat'!$L:$L,'1.DC_Ra soat'!$F:$F,AS$4,'1.DC_Ra soat'!$H:$H,'1.BS (VND)'!$D87)+SUMIFS('1.DC_Ra soat'!$L:$L,'1.DC_Ra soat'!$F:$F,AS$4,'1.DC_Ra soat'!$I:$I,'1.BS (VND)'!$D87)</f>
        <v>0</v>
      </c>
      <c r="AT87" s="746">
        <f>-SUMIFS('1.DC_Ra soat'!$L:$L,'1.DC_Ra soat'!$F:$F,AT$4,'1.DC_Ra soat'!$H:$H,'1.BS (VND)'!$D87)+SUMIFS('1.DC_Ra soat'!$L:$L,'1.DC_Ra soat'!$F:$F,AT$4,'1.DC_Ra soat'!$I:$I,'1.BS (VND)'!$D87)</f>
        <v>0</v>
      </c>
      <c r="AU87" s="746">
        <f>-SUMIFS('1.DC_Ra soat'!$L:$L,'1.DC_Ra soat'!$F:$F,AU$4,'1.DC_Ra soat'!$H:$H,'1.BS (VND)'!$D87)+SUMIFS('1.DC_Ra soat'!$L:$L,'1.DC_Ra soat'!$F:$F,AU$4,'1.DC_Ra soat'!$I:$I,'1.BS (VND)'!$D87)</f>
        <v>0</v>
      </c>
      <c r="AV87" s="746">
        <f>-SUMIFS('1.DC_Ra soat'!$L:$L,'1.DC_Ra soat'!$F:$F,AV$4,'1.DC_Ra soat'!$H:$H,'1.BS (VND)'!$D87)+SUMIFS('1.DC_Ra soat'!$L:$L,'1.DC_Ra soat'!$F:$F,AV$4,'1.DC_Ra soat'!$I:$I,'1.BS (VND)'!$D87)</f>
        <v>0</v>
      </c>
      <c r="AW87" s="745"/>
      <c r="AX87" s="746">
        <f>-SUMIFS('1.DC_Ra soat'!$L:$L,'1.DC_Ra soat'!$F:$F,AX$4,'1.DC_Ra soat'!$H:$H,'1.BS (VND)'!$D87)+SUMIFS('1.DC_Ra soat'!$L:$L,'1.DC_Ra soat'!$F:$F,AX$4,'1.DC_Ra soat'!$I:$I,'1.BS (VND)'!$D87)</f>
        <v>0</v>
      </c>
      <c r="AY87" s="746">
        <f>-SUMIFS('1.DC_Ra soat'!$L:$L,'1.DC_Ra soat'!$F:$F,AY$4,'1.DC_Ra soat'!$H:$H,'1.BS (VND)'!$D87)+SUMIFS('1.DC_Ra soat'!$L:$L,'1.DC_Ra soat'!$F:$F,AY$4,'1.DC_Ra soat'!$I:$I,'1.BS (VND)'!$D87)</f>
        <v>0</v>
      </c>
      <c r="AZ87" s="746">
        <f>-SUMIFS('1.DC_Ra soat'!$L:$L,'1.DC_Ra soat'!$F:$F,AZ$4,'1.DC_Ra soat'!$H:$H,'1.BS (VND)'!$D87)+SUMIFS('1.DC_Ra soat'!$L:$L,'1.DC_Ra soat'!$F:$F,AZ$4,'1.DC_Ra soat'!$I:$I,'1.BS (VND)'!$D87)</f>
        <v>0</v>
      </c>
      <c r="BA87" s="746">
        <f>-SUMIFS('1.DC_Ra soat'!$L:$L,'1.DC_Ra soat'!$F:$F,BA$4,'1.DC_Ra soat'!$H:$H,'1.BS (VND)'!$D87)+SUMIFS('1.DC_Ra soat'!$L:$L,'1.DC_Ra soat'!$F:$F,BA$4,'1.DC_Ra soat'!$I:$I,'1.BS (VND)'!$D87)</f>
        <v>0</v>
      </c>
      <c r="BB87" s="745"/>
      <c r="BC87" s="746">
        <f>-SUMIFS('1.DC_Ra soat'!$L:$L,'1.DC_Ra soat'!$F:$F,BC$4,'1.DC_Ra soat'!$H:$H,'1.BS (VND)'!$D87)+SUMIFS('1.DC_Ra soat'!$L:$L,'1.DC_Ra soat'!$F:$F,BC$4,'1.DC_Ra soat'!$I:$I,'1.BS (VND)'!$D87)</f>
        <v>0</v>
      </c>
      <c r="BD87" s="746">
        <f>-SUMIFS('1.DC_Ra soat'!$L:$L,'1.DC_Ra soat'!$F:$F,BD$4,'1.DC_Ra soat'!$H:$H,'1.BS (VND)'!$D87)+SUMIFS('1.DC_Ra soat'!$L:$L,'1.DC_Ra soat'!$F:$F,BD$4,'1.DC_Ra soat'!$I:$I,'1.BS (VND)'!$D87)</f>
        <v>0</v>
      </c>
      <c r="BE87" s="746">
        <f>-SUMIFS('1.DC_Ra soat'!$L:$L,'1.DC_Ra soat'!$F:$F,BE$4,'1.DC_Ra soat'!$H:$H,'1.BS (VND)'!$D87)+SUMIFS('1.DC_Ra soat'!$L:$L,'1.DC_Ra soat'!$F:$F,BE$4,'1.DC_Ra soat'!$I:$I,'1.BS (VND)'!$D87)</f>
        <v>0</v>
      </c>
      <c r="BF87" s="746">
        <f>-SUMIFS('1.DC_Ra soat'!$L:$L,'1.DC_Ra soat'!$F:$F,BF$4,'1.DC_Ra soat'!$H:$H,'1.BS (VND)'!$D87)+SUMIFS('1.DC_Ra soat'!$L:$L,'1.DC_Ra soat'!$F:$F,BF$4,'1.DC_Ra soat'!$I:$I,'1.BS (VND)'!$D87)</f>
        <v>0</v>
      </c>
      <c r="BG87" s="745"/>
      <c r="BH87" s="746">
        <f>-SUMIFS('1.DC_Ra soat'!$L:$L,'1.DC_Ra soat'!$F:$F,BH$4,'1.DC_Ra soat'!$H:$H,'1.BS (VND)'!$D87)+SUMIFS('1.DC_Ra soat'!$L:$L,'1.DC_Ra soat'!$F:$F,BH$4,'1.DC_Ra soat'!$I:$I,'1.BS (VND)'!$D87)</f>
        <v>0</v>
      </c>
      <c r="BI87" s="746">
        <f>-SUMIFS('1.DC_Ra soat'!$L:$L,'1.DC_Ra soat'!$F:$F,BI$4,'1.DC_Ra soat'!$H:$H,'1.BS (VND)'!$D87)+SUMIFS('1.DC_Ra soat'!$L:$L,'1.DC_Ra soat'!$F:$F,BI$4,'1.DC_Ra soat'!$I:$I,'1.BS (VND)'!$D87)</f>
        <v>0</v>
      </c>
      <c r="BJ87" s="746">
        <f>-SUMIFS('1.DC_Ra soat'!$L:$L,'1.DC_Ra soat'!$F:$F,BJ$4,'1.DC_Ra soat'!$H:$H,'1.BS (VND)'!$D87)+SUMIFS('1.DC_Ra soat'!$L:$L,'1.DC_Ra soat'!$F:$F,BJ$4,'1.DC_Ra soat'!$I:$I,'1.BS (VND)'!$D87)</f>
        <v>0</v>
      </c>
      <c r="BK87" s="746">
        <f>-SUMIFS('1.DC_Ra soat'!$L:$L,'1.DC_Ra soat'!$F:$F,BK$4,'1.DC_Ra soat'!$H:$H,'1.BS (VND)'!$D87)+SUMIFS('1.DC_Ra soat'!$L:$L,'1.DC_Ra soat'!$F:$F,BK$4,'1.DC_Ra soat'!$I:$I,'1.BS (VND)'!$D87)</f>
        <v>0</v>
      </c>
      <c r="BM87" s="746">
        <f t="shared" si="128"/>
        <v>0</v>
      </c>
      <c r="BN87" s="746">
        <f t="shared" si="129"/>
        <v>0</v>
      </c>
      <c r="BO87" s="746">
        <f t="shared" si="130"/>
        <v>0</v>
      </c>
      <c r="BP87" s="747">
        <f t="shared" si="131"/>
        <v>0</v>
      </c>
      <c r="BQ87" s="745"/>
      <c r="BR87" s="746">
        <f t="shared" si="132"/>
        <v>0</v>
      </c>
      <c r="BS87" s="746">
        <f t="shared" si="133"/>
        <v>0</v>
      </c>
      <c r="BT87" s="746">
        <f t="shared" si="134"/>
        <v>0</v>
      </c>
      <c r="BU87" s="746">
        <f t="shared" si="135"/>
        <v>0</v>
      </c>
      <c r="BV87" s="745"/>
      <c r="BW87" s="746">
        <f t="shared" si="136"/>
        <v>0</v>
      </c>
      <c r="BX87" s="746">
        <f t="shared" si="137"/>
        <v>0</v>
      </c>
      <c r="BY87" s="746">
        <f t="shared" si="138"/>
        <v>0</v>
      </c>
      <c r="BZ87" s="747">
        <f t="shared" si="139"/>
        <v>0</v>
      </c>
      <c r="CA87" s="745"/>
      <c r="CB87" s="747">
        <f t="shared" si="140"/>
        <v>0</v>
      </c>
      <c r="CC87" s="747">
        <f t="shared" si="141"/>
        <v>0</v>
      </c>
      <c r="CD87" s="747">
        <f t="shared" si="142"/>
        <v>0</v>
      </c>
      <c r="CE87" s="747">
        <f t="shared" si="143"/>
        <v>0</v>
      </c>
      <c r="CF87" s="745"/>
      <c r="CG87" s="747">
        <f t="shared" si="144"/>
        <v>0</v>
      </c>
      <c r="CH87" s="747">
        <f t="shared" si="145"/>
        <v>0</v>
      </c>
      <c r="CI87" s="747">
        <f t="shared" si="146"/>
        <v>0</v>
      </c>
      <c r="CJ87" s="747">
        <f t="shared" si="147"/>
        <v>0</v>
      </c>
      <c r="CK87" s="745"/>
      <c r="CL87" s="746">
        <f t="shared" si="148"/>
        <v>0</v>
      </c>
      <c r="CM87" s="746">
        <f t="shared" si="149"/>
        <v>0</v>
      </c>
      <c r="CN87" s="746">
        <f t="shared" si="150"/>
        <v>0</v>
      </c>
      <c r="CO87" s="747">
        <f t="shared" si="151"/>
        <v>0</v>
      </c>
      <c r="CQ87" s="746">
        <f>SUMIF('1.PL (VND) '!$BL$6:$CD$6,'1.PL (VND) '!CP$6,$BM87:$CE87)</f>
        <v>0</v>
      </c>
      <c r="CR87" s="746">
        <f>SUMIF('1.PL (VND) '!$BL$6:$CD$6,'1.PL (VND) '!CQ$6,$BM87:$CE87)</f>
        <v>0</v>
      </c>
      <c r="CS87" s="746">
        <f>SUMIF('1.PL (VND) '!$BL$6:$CD$6,'1.PL (VND) '!CR$6,$BM87:$CE87)</f>
        <v>0</v>
      </c>
      <c r="CT87" s="746">
        <f>SUMIF('1.PL (VND) '!$BL$6:$CD$6,'1.PL (VND) '!CS$6,$BM87:$CE87)</f>
        <v>0</v>
      </c>
      <c r="CV87" s="748">
        <f>-SUMIFS('1.DC_Ra soat'!$L:$L,'1.DC_Ra soat'!$F:$F,'1.PL (VND) '!DK$4,'1.DC_Ra soat'!$H:$H,'1.BS (VND)'!$D87)+SUMIFS('1.DC_Ra soat'!$L:$L,'1.DC_Ra soat'!$F:$F,'1.PL (VND) '!DK$4,'1.DC_Ra soat'!$I:$I,'1.BS (VND)'!$D87)</f>
        <v>0</v>
      </c>
      <c r="CW87" s="748">
        <f>-SUMIFS('1.DC_Ra soat'!$L:$L,'1.DC_Ra soat'!$F:$F,'1.PL (VND) '!DL$4,'1.DC_Ra soat'!$H:$H,'1.BS (VND)'!$D87)+SUMIFS('1.DC_Ra soat'!$L:$L,'1.DC_Ra soat'!$F:$F,'1.PL (VND) '!DL$4,'1.DC_Ra soat'!$I:$I,'1.BS (VND)'!$D87)</f>
        <v>0</v>
      </c>
      <c r="CX87" s="748">
        <f>-SUMIFS('1.DC_Ra soat'!$L:$L,'1.DC_Ra soat'!$F:$F,'1.PL (VND) '!DM$4,'1.DC_Ra soat'!$H:$H,'1.BS (VND)'!$D87)+SUMIFS('1.DC_Ra soat'!$L:$L,'1.DC_Ra soat'!$F:$F,'1.PL (VND) '!DM$4,'1.DC_Ra soat'!$I:$I,'1.BS (VND)'!$D87)</f>
        <v>0</v>
      </c>
      <c r="CY87" s="748">
        <f>-SUMIFS('1.DC_Ra soat'!$L:$L,'1.DC_Ra soat'!$F:$F,'1.PL (VND) '!DN$4,'1.DC_Ra soat'!$H:$H,'1.BS (VND)'!$D87)+SUMIFS('1.DC_Ra soat'!$L:$L,'1.DC_Ra soat'!$F:$F,'1.PL (VND) '!DN$4,'1.DC_Ra soat'!$I:$I,'1.BS (VND)'!$D87)</f>
        <v>0</v>
      </c>
      <c r="DA87" s="746">
        <f t="shared" si="157"/>
        <v>0</v>
      </c>
      <c r="DB87" s="746">
        <f t="shared" si="158"/>
        <v>0</v>
      </c>
      <c r="DC87" s="746">
        <f t="shared" si="159"/>
        <v>0</v>
      </c>
      <c r="DD87" s="746">
        <f t="shared" si="160"/>
        <v>0</v>
      </c>
    </row>
    <row r="88" spans="1:112" s="740" customFormat="1" x14ac:dyDescent="0.25">
      <c r="A88" s="248" t="str">
        <f t="shared" si="166"/>
        <v>hide</v>
      </c>
      <c r="C88" s="741" t="s">
        <v>435</v>
      </c>
      <c r="D88" s="742" t="s">
        <v>436</v>
      </c>
      <c r="E88" s="743"/>
      <c r="F88" s="743"/>
      <c r="G88" s="743"/>
      <c r="H88" s="744"/>
      <c r="I88" s="745"/>
      <c r="J88" s="746"/>
      <c r="K88" s="746"/>
      <c r="L88" s="746"/>
      <c r="M88" s="739">
        <v>0</v>
      </c>
      <c r="N88" s="745"/>
      <c r="O88" s="746"/>
      <c r="P88" s="746"/>
      <c r="Q88" s="746"/>
      <c r="R88" s="746"/>
      <c r="S88" s="745"/>
      <c r="T88" s="746"/>
      <c r="U88" s="746"/>
      <c r="V88" s="746"/>
      <c r="W88" s="746"/>
      <c r="X88" s="745"/>
      <c r="Y88" s="746"/>
      <c r="Z88" s="746"/>
      <c r="AA88" s="746"/>
      <c r="AB88" s="746"/>
      <c r="AC88" s="745"/>
      <c r="AD88" s="746"/>
      <c r="AE88" s="746"/>
      <c r="AF88" s="746"/>
      <c r="AG88" s="746"/>
      <c r="AI88" s="746">
        <f>-SUMIFS('1.DC_Ra soat'!$L:$L,'1.DC_Ra soat'!$F:$F,AI$4,'1.DC_Ra soat'!$H:$H,'1.BS (VND)'!$D88)+SUMIFS('1.DC_Ra soat'!$L:$L,'1.DC_Ra soat'!$F:$F,AI$4,'1.DC_Ra soat'!$I:$I,'1.BS (VND)'!$D88)</f>
        <v>0</v>
      </c>
      <c r="AJ88" s="746">
        <f>-SUMIFS('1.DC_Ra soat'!$L:$L,'1.DC_Ra soat'!$F:$F,AJ$4,'1.DC_Ra soat'!$H:$H,'1.BS (VND)'!$D88)+SUMIFS('1.DC_Ra soat'!$L:$L,'1.DC_Ra soat'!$F:$F,AJ$4,'1.DC_Ra soat'!$I:$I,'1.BS (VND)'!$D88)</f>
        <v>0</v>
      </c>
      <c r="AK88" s="746">
        <f>-SUMIFS('1.DC_Ra soat'!$L:$L,'1.DC_Ra soat'!$F:$F,AK$4,'1.DC_Ra soat'!$H:$H,'1.BS (VND)'!$D88)+SUMIFS('1.DC_Ra soat'!$L:$L,'1.DC_Ra soat'!$F:$F,AK$4,'1.DC_Ra soat'!$I:$I,'1.BS (VND)'!$D88)</f>
        <v>0</v>
      </c>
      <c r="AL88" s="746">
        <f>-SUMIFS('1.DC_Ra soat'!$L:$L,'1.DC_Ra soat'!$F:$F,AL$4,'1.DC_Ra soat'!$H:$H,'1.BS (VND)'!$D88)+SUMIFS('1.DC_Ra soat'!$L:$L,'1.DC_Ra soat'!$F:$F,AL$4,'1.DC_Ra soat'!$I:$I,'1.BS (VND)'!$D88)</f>
        <v>0</v>
      </c>
      <c r="AM88" s="745"/>
      <c r="AN88" s="746">
        <f>-SUMIFS('1.DC_Ra soat'!$L:$L,'1.DC_Ra soat'!$F:$F,AN$4,'1.DC_Ra soat'!$H:$H,'1.BS (VND)'!$D88)+SUMIFS('1.DC_Ra soat'!$L:$L,'1.DC_Ra soat'!$F:$F,AN$4,'1.DC_Ra soat'!$I:$I,'1.BS (VND)'!$D88)</f>
        <v>0</v>
      </c>
      <c r="AO88" s="746">
        <f>-SUMIFS('1.DC_Ra soat'!$L:$L,'1.DC_Ra soat'!$F:$F,AO$4,'1.DC_Ra soat'!$H:$H,'1.BS (VND)'!$D88)+SUMIFS('1.DC_Ra soat'!$L:$L,'1.DC_Ra soat'!$F:$F,AO$4,'1.DC_Ra soat'!$I:$I,'1.BS (VND)'!$D88)</f>
        <v>0</v>
      </c>
      <c r="AP88" s="746">
        <f>-SUMIFS('1.DC_Ra soat'!$L:$L,'1.DC_Ra soat'!$F:$F,AP$4,'1.DC_Ra soat'!$H:$H,'1.BS (VND)'!$D88)+SUMIFS('1.DC_Ra soat'!$L:$L,'1.DC_Ra soat'!$F:$F,AP$4,'1.DC_Ra soat'!$I:$I,'1.BS (VND)'!$D88)</f>
        <v>0</v>
      </c>
      <c r="AQ88" s="746">
        <f>-SUMIFS('1.DC_Ra soat'!$L:$L,'1.DC_Ra soat'!$F:$F,AQ$4,'1.DC_Ra soat'!$H:$H,'1.BS (VND)'!$D88)+SUMIFS('1.DC_Ra soat'!$L:$L,'1.DC_Ra soat'!$F:$F,AQ$4,'1.DC_Ra soat'!$I:$I,'1.BS (VND)'!$D88)</f>
        <v>0</v>
      </c>
      <c r="AR88" s="745"/>
      <c r="AS88" s="746">
        <f>-SUMIFS('1.DC_Ra soat'!$L:$L,'1.DC_Ra soat'!$F:$F,AS$4,'1.DC_Ra soat'!$H:$H,'1.BS (VND)'!$D88)+SUMIFS('1.DC_Ra soat'!$L:$L,'1.DC_Ra soat'!$F:$F,AS$4,'1.DC_Ra soat'!$I:$I,'1.BS (VND)'!$D88)</f>
        <v>0</v>
      </c>
      <c r="AT88" s="746">
        <f>-SUMIFS('1.DC_Ra soat'!$L:$L,'1.DC_Ra soat'!$F:$F,AT$4,'1.DC_Ra soat'!$H:$H,'1.BS (VND)'!$D88)+SUMIFS('1.DC_Ra soat'!$L:$L,'1.DC_Ra soat'!$F:$F,AT$4,'1.DC_Ra soat'!$I:$I,'1.BS (VND)'!$D88)</f>
        <v>0</v>
      </c>
      <c r="AU88" s="746">
        <f>-SUMIFS('1.DC_Ra soat'!$L:$L,'1.DC_Ra soat'!$F:$F,AU$4,'1.DC_Ra soat'!$H:$H,'1.BS (VND)'!$D88)+SUMIFS('1.DC_Ra soat'!$L:$L,'1.DC_Ra soat'!$F:$F,AU$4,'1.DC_Ra soat'!$I:$I,'1.BS (VND)'!$D88)</f>
        <v>0</v>
      </c>
      <c r="AV88" s="746">
        <f>-SUMIFS('1.DC_Ra soat'!$L:$L,'1.DC_Ra soat'!$F:$F,AV$4,'1.DC_Ra soat'!$H:$H,'1.BS (VND)'!$D88)+SUMIFS('1.DC_Ra soat'!$L:$L,'1.DC_Ra soat'!$F:$F,AV$4,'1.DC_Ra soat'!$I:$I,'1.BS (VND)'!$D88)</f>
        <v>0</v>
      </c>
      <c r="AW88" s="745"/>
      <c r="AX88" s="746">
        <f>-SUMIFS('1.DC_Ra soat'!$L:$L,'1.DC_Ra soat'!$F:$F,AX$4,'1.DC_Ra soat'!$H:$H,'1.BS (VND)'!$D88)+SUMIFS('1.DC_Ra soat'!$L:$L,'1.DC_Ra soat'!$F:$F,AX$4,'1.DC_Ra soat'!$I:$I,'1.BS (VND)'!$D88)</f>
        <v>0</v>
      </c>
      <c r="AY88" s="746">
        <f>-SUMIFS('1.DC_Ra soat'!$L:$L,'1.DC_Ra soat'!$F:$F,AY$4,'1.DC_Ra soat'!$H:$H,'1.BS (VND)'!$D88)+SUMIFS('1.DC_Ra soat'!$L:$L,'1.DC_Ra soat'!$F:$F,AY$4,'1.DC_Ra soat'!$I:$I,'1.BS (VND)'!$D88)</f>
        <v>0</v>
      </c>
      <c r="AZ88" s="746">
        <f>-SUMIFS('1.DC_Ra soat'!$L:$L,'1.DC_Ra soat'!$F:$F,AZ$4,'1.DC_Ra soat'!$H:$H,'1.BS (VND)'!$D88)+SUMIFS('1.DC_Ra soat'!$L:$L,'1.DC_Ra soat'!$F:$F,AZ$4,'1.DC_Ra soat'!$I:$I,'1.BS (VND)'!$D88)</f>
        <v>0</v>
      </c>
      <c r="BA88" s="746">
        <f>-SUMIFS('1.DC_Ra soat'!$L:$L,'1.DC_Ra soat'!$F:$F,BA$4,'1.DC_Ra soat'!$H:$H,'1.BS (VND)'!$D88)+SUMIFS('1.DC_Ra soat'!$L:$L,'1.DC_Ra soat'!$F:$F,BA$4,'1.DC_Ra soat'!$I:$I,'1.BS (VND)'!$D88)</f>
        <v>0</v>
      </c>
      <c r="BB88" s="745"/>
      <c r="BC88" s="746">
        <f>-SUMIFS('1.DC_Ra soat'!$L:$L,'1.DC_Ra soat'!$F:$F,BC$4,'1.DC_Ra soat'!$H:$H,'1.BS (VND)'!$D88)+SUMIFS('1.DC_Ra soat'!$L:$L,'1.DC_Ra soat'!$F:$F,BC$4,'1.DC_Ra soat'!$I:$I,'1.BS (VND)'!$D88)</f>
        <v>0</v>
      </c>
      <c r="BD88" s="746">
        <f>-SUMIFS('1.DC_Ra soat'!$L:$L,'1.DC_Ra soat'!$F:$F,BD$4,'1.DC_Ra soat'!$H:$H,'1.BS (VND)'!$D88)+SUMIFS('1.DC_Ra soat'!$L:$L,'1.DC_Ra soat'!$F:$F,BD$4,'1.DC_Ra soat'!$I:$I,'1.BS (VND)'!$D88)</f>
        <v>0</v>
      </c>
      <c r="BE88" s="746">
        <f>-SUMIFS('1.DC_Ra soat'!$L:$L,'1.DC_Ra soat'!$F:$F,BE$4,'1.DC_Ra soat'!$H:$H,'1.BS (VND)'!$D88)+SUMIFS('1.DC_Ra soat'!$L:$L,'1.DC_Ra soat'!$F:$F,BE$4,'1.DC_Ra soat'!$I:$I,'1.BS (VND)'!$D88)</f>
        <v>0</v>
      </c>
      <c r="BF88" s="746">
        <f>-SUMIFS('1.DC_Ra soat'!$L:$L,'1.DC_Ra soat'!$F:$F,BF$4,'1.DC_Ra soat'!$H:$H,'1.BS (VND)'!$D88)+SUMIFS('1.DC_Ra soat'!$L:$L,'1.DC_Ra soat'!$F:$F,BF$4,'1.DC_Ra soat'!$I:$I,'1.BS (VND)'!$D88)</f>
        <v>0</v>
      </c>
      <c r="BG88" s="745"/>
      <c r="BH88" s="746">
        <f>-SUMIFS('1.DC_Ra soat'!$L:$L,'1.DC_Ra soat'!$F:$F,BH$4,'1.DC_Ra soat'!$H:$H,'1.BS (VND)'!$D88)+SUMIFS('1.DC_Ra soat'!$L:$L,'1.DC_Ra soat'!$F:$F,BH$4,'1.DC_Ra soat'!$I:$I,'1.BS (VND)'!$D88)</f>
        <v>0</v>
      </c>
      <c r="BI88" s="746">
        <f>-SUMIFS('1.DC_Ra soat'!$L:$L,'1.DC_Ra soat'!$F:$F,BI$4,'1.DC_Ra soat'!$H:$H,'1.BS (VND)'!$D88)+SUMIFS('1.DC_Ra soat'!$L:$L,'1.DC_Ra soat'!$F:$F,BI$4,'1.DC_Ra soat'!$I:$I,'1.BS (VND)'!$D88)</f>
        <v>0</v>
      </c>
      <c r="BJ88" s="746">
        <f>-SUMIFS('1.DC_Ra soat'!$L:$L,'1.DC_Ra soat'!$F:$F,BJ$4,'1.DC_Ra soat'!$H:$H,'1.BS (VND)'!$D88)+SUMIFS('1.DC_Ra soat'!$L:$L,'1.DC_Ra soat'!$F:$F,BJ$4,'1.DC_Ra soat'!$I:$I,'1.BS (VND)'!$D88)</f>
        <v>0</v>
      </c>
      <c r="BK88" s="746">
        <f>-SUMIFS('1.DC_Ra soat'!$L:$L,'1.DC_Ra soat'!$F:$F,BK$4,'1.DC_Ra soat'!$H:$H,'1.BS (VND)'!$D88)+SUMIFS('1.DC_Ra soat'!$L:$L,'1.DC_Ra soat'!$F:$F,BK$4,'1.DC_Ra soat'!$I:$I,'1.BS (VND)'!$D88)</f>
        <v>0</v>
      </c>
      <c r="BM88" s="746">
        <f t="shared" si="128"/>
        <v>0</v>
      </c>
      <c r="BN88" s="746">
        <f t="shared" si="129"/>
        <v>0</v>
      </c>
      <c r="BO88" s="746">
        <f t="shared" si="130"/>
        <v>0</v>
      </c>
      <c r="BP88" s="747">
        <f t="shared" si="131"/>
        <v>0</v>
      </c>
      <c r="BQ88" s="745"/>
      <c r="BR88" s="746">
        <f t="shared" si="132"/>
        <v>0</v>
      </c>
      <c r="BS88" s="746">
        <f t="shared" si="133"/>
        <v>0</v>
      </c>
      <c r="BT88" s="746">
        <f t="shared" si="134"/>
        <v>0</v>
      </c>
      <c r="BU88" s="746">
        <f t="shared" si="135"/>
        <v>0</v>
      </c>
      <c r="BV88" s="745"/>
      <c r="BW88" s="746">
        <f t="shared" si="136"/>
        <v>0</v>
      </c>
      <c r="BX88" s="746">
        <f t="shared" si="137"/>
        <v>0</v>
      </c>
      <c r="BY88" s="746">
        <f t="shared" si="138"/>
        <v>0</v>
      </c>
      <c r="BZ88" s="747">
        <f t="shared" si="139"/>
        <v>0</v>
      </c>
      <c r="CA88" s="745"/>
      <c r="CB88" s="747">
        <f t="shared" si="140"/>
        <v>0</v>
      </c>
      <c r="CC88" s="747">
        <f t="shared" si="141"/>
        <v>0</v>
      </c>
      <c r="CD88" s="747">
        <f t="shared" si="142"/>
        <v>0</v>
      </c>
      <c r="CE88" s="747">
        <f t="shared" si="143"/>
        <v>0</v>
      </c>
      <c r="CF88" s="745"/>
      <c r="CG88" s="747">
        <f t="shared" si="144"/>
        <v>0</v>
      </c>
      <c r="CH88" s="747">
        <f t="shared" si="145"/>
        <v>0</v>
      </c>
      <c r="CI88" s="747">
        <f t="shared" si="146"/>
        <v>0</v>
      </c>
      <c r="CJ88" s="747">
        <f t="shared" si="147"/>
        <v>0</v>
      </c>
      <c r="CK88" s="745"/>
      <c r="CL88" s="746">
        <f t="shared" si="148"/>
        <v>0</v>
      </c>
      <c r="CM88" s="746">
        <f t="shared" si="149"/>
        <v>0</v>
      </c>
      <c r="CN88" s="746">
        <f t="shared" si="150"/>
        <v>0</v>
      </c>
      <c r="CO88" s="747">
        <f t="shared" si="151"/>
        <v>0</v>
      </c>
      <c r="CQ88" s="746">
        <f>SUMIF('1.PL (VND) '!$BL$6:$CD$6,'1.PL (VND) '!CP$6,$BM88:$CE88)</f>
        <v>0</v>
      </c>
      <c r="CR88" s="746">
        <f>SUMIF('1.PL (VND) '!$BL$6:$CD$6,'1.PL (VND) '!CQ$6,$BM88:$CE88)</f>
        <v>0</v>
      </c>
      <c r="CS88" s="746">
        <f>SUMIF('1.PL (VND) '!$BL$6:$CD$6,'1.PL (VND) '!CR$6,$BM88:$CE88)</f>
        <v>0</v>
      </c>
      <c r="CT88" s="746">
        <f>SUMIF('1.PL (VND) '!$BL$6:$CD$6,'1.PL (VND) '!CS$6,$BM88:$CE88)</f>
        <v>0</v>
      </c>
      <c r="CV88" s="748">
        <f>-SUMIFS('1.DC_Ra soat'!$L:$L,'1.DC_Ra soat'!$F:$F,'1.PL (VND) '!DK$4,'1.DC_Ra soat'!$H:$H,'1.BS (VND)'!$D88)+SUMIFS('1.DC_Ra soat'!$L:$L,'1.DC_Ra soat'!$F:$F,'1.PL (VND) '!DK$4,'1.DC_Ra soat'!$I:$I,'1.BS (VND)'!$D88)</f>
        <v>0</v>
      </c>
      <c r="CW88" s="748">
        <f>-SUMIFS('1.DC_Ra soat'!$L:$L,'1.DC_Ra soat'!$F:$F,'1.PL (VND) '!DL$4,'1.DC_Ra soat'!$H:$H,'1.BS (VND)'!$D88)+SUMIFS('1.DC_Ra soat'!$L:$L,'1.DC_Ra soat'!$F:$F,'1.PL (VND) '!DL$4,'1.DC_Ra soat'!$I:$I,'1.BS (VND)'!$D88)</f>
        <v>0</v>
      </c>
      <c r="CX88" s="748">
        <f>-SUMIFS('1.DC_Ra soat'!$L:$L,'1.DC_Ra soat'!$F:$F,'1.PL (VND) '!DM$4,'1.DC_Ra soat'!$H:$H,'1.BS (VND)'!$D88)+SUMIFS('1.DC_Ra soat'!$L:$L,'1.DC_Ra soat'!$F:$F,'1.PL (VND) '!DM$4,'1.DC_Ra soat'!$I:$I,'1.BS (VND)'!$D88)</f>
        <v>0</v>
      </c>
      <c r="CY88" s="748">
        <f>-SUMIFS('1.DC_Ra soat'!$L:$L,'1.DC_Ra soat'!$F:$F,'1.PL (VND) '!DN$4,'1.DC_Ra soat'!$H:$H,'1.BS (VND)'!$D88)+SUMIFS('1.DC_Ra soat'!$L:$L,'1.DC_Ra soat'!$F:$F,'1.PL (VND) '!DN$4,'1.DC_Ra soat'!$I:$I,'1.BS (VND)'!$D88)</f>
        <v>0</v>
      </c>
      <c r="DA88" s="746">
        <f t="shared" si="157"/>
        <v>0</v>
      </c>
      <c r="DB88" s="746">
        <f t="shared" si="158"/>
        <v>0</v>
      </c>
      <c r="DC88" s="746">
        <f t="shared" si="159"/>
        <v>0</v>
      </c>
      <c r="DD88" s="746">
        <f t="shared" si="160"/>
        <v>0</v>
      </c>
    </row>
    <row r="89" spans="1:112" s="248" customFormat="1" x14ac:dyDescent="0.25">
      <c r="A89" s="248">
        <f t="shared" si="166"/>
        <v>1</v>
      </c>
      <c r="C89" s="259" t="s">
        <v>437</v>
      </c>
      <c r="D89" s="260" t="s">
        <v>438</v>
      </c>
      <c r="E89" s="719">
        <f>SUM(E90:E102)</f>
        <v>0</v>
      </c>
      <c r="F89" s="719">
        <f>SUM(F90:F102)</f>
        <v>0</v>
      </c>
      <c r="G89" s="719">
        <f>SUM(G90:G102)</f>
        <v>0</v>
      </c>
      <c r="H89" s="720">
        <f>H90+H91+H92+H93+H94+H95+H96+H97+H98+H99+H100+H101+H102</f>
        <v>8691250002</v>
      </c>
      <c r="I89" s="266"/>
      <c r="J89" s="241">
        <f>SUM(J90:J102)</f>
        <v>0</v>
      </c>
      <c r="K89" s="241">
        <f>SUM(K90:K102)</f>
        <v>0</v>
      </c>
      <c r="L89" s="252">
        <f>L90+L91+L92+L93+L94+L95+L96+L97+L98+L99+L100+L101+L102</f>
        <v>0</v>
      </c>
      <c r="M89" s="241">
        <f>SUM(M90:M102)</f>
        <v>20994156696</v>
      </c>
      <c r="N89" s="266"/>
      <c r="O89" s="241">
        <f>SUM(O90:O102)</f>
        <v>0</v>
      </c>
      <c r="P89" s="241">
        <f>SUM(P90:P102)</f>
        <v>0</v>
      </c>
      <c r="Q89" s="241">
        <f>SUM(Q90:Q102)</f>
        <v>0</v>
      </c>
      <c r="R89" s="241">
        <f>SUM(R90:R102)</f>
        <v>2240000000</v>
      </c>
      <c r="S89" s="266"/>
      <c r="T89" s="241">
        <f>SUM(T90:T102)</f>
        <v>0</v>
      </c>
      <c r="U89" s="241">
        <f>SUM(U90:U102)</f>
        <v>0</v>
      </c>
      <c r="V89" s="241">
        <f>SUM(V90:V102)</f>
        <v>0</v>
      </c>
      <c r="W89" s="241">
        <f>SUM(W90:W102)</f>
        <v>0</v>
      </c>
      <c r="X89" s="266"/>
      <c r="Y89" s="241">
        <f>SUM(Y90:Y102)</f>
        <v>0</v>
      </c>
      <c r="Z89" s="241">
        <f>SUM(Z90:Z102)</f>
        <v>0</v>
      </c>
      <c r="AA89" s="241">
        <f>SUM(AA90:AA102)</f>
        <v>0</v>
      </c>
      <c r="AB89" s="241">
        <f>SUM(AB90:AB102)</f>
        <v>0</v>
      </c>
      <c r="AC89" s="266"/>
      <c r="AD89" s="241">
        <f>SUM(AD90:AD102)</f>
        <v>0</v>
      </c>
      <c r="AE89" s="241">
        <f>SUM(AE90:AE102)</f>
        <v>0</v>
      </c>
      <c r="AF89" s="241">
        <f>SUM(AF90:AF102)</f>
        <v>0</v>
      </c>
      <c r="AG89" s="241">
        <f>SUM(AG90:AG102)</f>
        <v>0</v>
      </c>
      <c r="AI89" s="249">
        <f>SUM(AI90:AI102)</f>
        <v>0</v>
      </c>
      <c r="AJ89" s="249">
        <f>SUM(AJ90:AJ102)</f>
        <v>0</v>
      </c>
      <c r="AK89" s="249">
        <f>SUM(AK90:AK102)</f>
        <v>0</v>
      </c>
      <c r="AL89" s="249">
        <f t="shared" ref="AL89" si="167">SUM(AL90:AL102)</f>
        <v>0</v>
      </c>
      <c r="AM89" s="266"/>
      <c r="AN89" s="241"/>
      <c r="AO89" s="249">
        <f t="shared" ref="AO89:AQ89" si="168">SUM(AO90:AO102)</f>
        <v>0</v>
      </c>
      <c r="AP89" s="249">
        <f t="shared" si="168"/>
        <v>0</v>
      </c>
      <c r="AQ89" s="249">
        <f t="shared" si="168"/>
        <v>0</v>
      </c>
      <c r="AR89" s="266"/>
      <c r="AS89" s="249">
        <f>SUM(AS90:AS102)</f>
        <v>0</v>
      </c>
      <c r="AT89" s="249">
        <f>SUM(AT90:AT102)</f>
        <v>0</v>
      </c>
      <c r="AU89" s="249">
        <f>SUM(AU90:AU102)</f>
        <v>0</v>
      </c>
      <c r="AV89" s="249">
        <f t="shared" ref="AV89" si="169">SUM(AV90:AV102)</f>
        <v>0</v>
      </c>
      <c r="AW89" s="266"/>
      <c r="AX89" s="249">
        <f>SUM(AX90:AX102)</f>
        <v>0</v>
      </c>
      <c r="AY89" s="249">
        <f>SUM(AY90:AY102)</f>
        <v>0</v>
      </c>
      <c r="AZ89" s="249">
        <f>SUM(AZ90:AZ102)</f>
        <v>0</v>
      </c>
      <c r="BA89" s="249">
        <f>SUM(BA90:BA102)</f>
        <v>0</v>
      </c>
      <c r="BB89" s="266"/>
      <c r="BC89" s="249">
        <f>SUM(BC90:BC102)</f>
        <v>0</v>
      </c>
      <c r="BD89" s="249">
        <f>SUM(BD90:BD102)</f>
        <v>0</v>
      </c>
      <c r="BE89" s="249">
        <f>SUM(BE90:BE102)</f>
        <v>0</v>
      </c>
      <c r="BF89" s="249">
        <f>SUM(BF90:BF102)</f>
        <v>0</v>
      </c>
      <c r="BG89" s="266"/>
      <c r="BH89" s="249">
        <f>SUM(BH90:BH102)</f>
        <v>0</v>
      </c>
      <c r="BI89" s="249">
        <f>SUM(BI90:BI102)</f>
        <v>0</v>
      </c>
      <c r="BJ89" s="249">
        <f>SUM(BJ90:BJ102)</f>
        <v>0</v>
      </c>
      <c r="BK89" s="249">
        <f t="shared" ref="BK89" si="170">SUM(BK90:BK102)</f>
        <v>0</v>
      </c>
      <c r="BM89" s="241">
        <f t="shared" si="128"/>
        <v>0</v>
      </c>
      <c r="BN89" s="241">
        <f t="shared" si="129"/>
        <v>0</v>
      </c>
      <c r="BO89" s="241">
        <f t="shared" si="130"/>
        <v>0</v>
      </c>
      <c r="BP89" s="241">
        <f t="shared" si="131"/>
        <v>8691250002</v>
      </c>
      <c r="BQ89" s="266"/>
      <c r="BR89" s="241">
        <f t="shared" si="132"/>
        <v>0</v>
      </c>
      <c r="BS89" s="241">
        <f t="shared" si="133"/>
        <v>0</v>
      </c>
      <c r="BT89" s="241">
        <f t="shared" si="134"/>
        <v>0</v>
      </c>
      <c r="BU89" s="241">
        <f t="shared" si="135"/>
        <v>20994156696</v>
      </c>
      <c r="BV89" s="266"/>
      <c r="BW89" s="241">
        <f t="shared" si="136"/>
        <v>0</v>
      </c>
      <c r="BX89" s="241">
        <f t="shared" si="137"/>
        <v>0</v>
      </c>
      <c r="BY89" s="241">
        <f t="shared" si="138"/>
        <v>0</v>
      </c>
      <c r="BZ89" s="241">
        <f t="shared" si="139"/>
        <v>2240000000</v>
      </c>
      <c r="CA89" s="266"/>
      <c r="CB89" s="241">
        <f t="shared" si="140"/>
        <v>0</v>
      </c>
      <c r="CC89" s="241">
        <f t="shared" si="141"/>
        <v>0</v>
      </c>
      <c r="CD89" s="241">
        <f t="shared" si="142"/>
        <v>0</v>
      </c>
      <c r="CE89" s="241">
        <f t="shared" si="143"/>
        <v>0</v>
      </c>
      <c r="CF89" s="266"/>
      <c r="CG89" s="241">
        <f t="shared" si="144"/>
        <v>0</v>
      </c>
      <c r="CH89" s="241">
        <f t="shared" si="145"/>
        <v>0</v>
      </c>
      <c r="CI89" s="241">
        <f t="shared" si="146"/>
        <v>0</v>
      </c>
      <c r="CJ89" s="241">
        <f t="shared" si="147"/>
        <v>0</v>
      </c>
      <c r="CK89" s="266"/>
      <c r="CL89" s="241">
        <f t="shared" si="148"/>
        <v>0</v>
      </c>
      <c r="CM89" s="241">
        <f t="shared" si="149"/>
        <v>0</v>
      </c>
      <c r="CN89" s="241">
        <f t="shared" si="150"/>
        <v>0</v>
      </c>
      <c r="CO89" s="241">
        <f t="shared" si="151"/>
        <v>0</v>
      </c>
      <c r="CQ89" s="241">
        <f>SUMIF('1.PL (VND) '!$BL$6:$CD$6,'1.PL (VND) '!CP$6,$BM89:$CE89)</f>
        <v>0</v>
      </c>
      <c r="CR89" s="241">
        <f>SUMIF('1.PL (VND) '!$BL$6:$CD$6,'1.PL (VND) '!CQ$6,$BM89:$CE89)</f>
        <v>0</v>
      </c>
      <c r="CS89" s="241">
        <f>SUMIF('1.PL (VND) '!$BL$6:$CD$6,'1.PL (VND) '!CR$6,$BM89:$CE89)</f>
        <v>0</v>
      </c>
      <c r="CT89" s="241">
        <f>SUMIF('1.PL (VND) '!$BL$6:$CD$6,'1.PL (VND) '!CS$6,$BM89:$CE89)</f>
        <v>31925406698</v>
      </c>
      <c r="CV89" s="241">
        <f>SUM(CV90:CV102)</f>
        <v>0</v>
      </c>
      <c r="CW89" s="241">
        <f>SUM(CW90:CW102)</f>
        <v>0</v>
      </c>
      <c r="CX89" s="241">
        <f>SUM(CX90:CX102)</f>
        <v>0</v>
      </c>
      <c r="CY89" s="241">
        <f t="shared" ref="CY89" si="171">SUM(CY90:CY102)</f>
        <v>0</v>
      </c>
      <c r="DA89" s="241">
        <f t="shared" si="157"/>
        <v>0</v>
      </c>
      <c r="DB89" s="241">
        <f t="shared" si="158"/>
        <v>0</v>
      </c>
      <c r="DC89" s="241">
        <f t="shared" si="159"/>
        <v>0</v>
      </c>
      <c r="DD89" s="241">
        <f t="shared" si="160"/>
        <v>31925406698</v>
      </c>
      <c r="DH89" s="245"/>
    </row>
    <row r="90" spans="1:112" s="740" customFormat="1" x14ac:dyDescent="0.25">
      <c r="A90" s="248" t="str">
        <f t="shared" si="166"/>
        <v>hide</v>
      </c>
      <c r="C90" s="741" t="s">
        <v>439</v>
      </c>
      <c r="D90" s="742" t="s">
        <v>440</v>
      </c>
      <c r="E90" s="743"/>
      <c r="F90" s="743"/>
      <c r="G90" s="743"/>
      <c r="H90" s="744"/>
      <c r="I90" s="745"/>
      <c r="J90" s="746"/>
      <c r="K90" s="746"/>
      <c r="L90" s="746"/>
      <c r="M90" s="739">
        <v>0</v>
      </c>
      <c r="N90" s="745"/>
      <c r="O90" s="746"/>
      <c r="P90" s="746"/>
      <c r="Q90" s="746"/>
      <c r="R90" s="746"/>
      <c r="S90" s="745"/>
      <c r="T90" s="746"/>
      <c r="U90" s="746"/>
      <c r="V90" s="746"/>
      <c r="W90" s="746"/>
      <c r="X90" s="745"/>
      <c r="Y90" s="746"/>
      <c r="Z90" s="746"/>
      <c r="AA90" s="746"/>
      <c r="AB90" s="746"/>
      <c r="AC90" s="745"/>
      <c r="AD90" s="746"/>
      <c r="AE90" s="746"/>
      <c r="AF90" s="746"/>
      <c r="AG90" s="746"/>
      <c r="AI90" s="746">
        <f>-SUMIFS('1.DC_Ra soat'!$L:$L,'1.DC_Ra soat'!$F:$F,AI$4,'1.DC_Ra soat'!$H:$H,'1.BS (VND)'!$D90)+SUMIFS('1.DC_Ra soat'!$L:$L,'1.DC_Ra soat'!$F:$F,AI$4,'1.DC_Ra soat'!$I:$I,'1.BS (VND)'!$D90)</f>
        <v>0</v>
      </c>
      <c r="AJ90" s="746">
        <f>-SUMIFS('1.DC_Ra soat'!$L:$L,'1.DC_Ra soat'!$F:$F,AJ$4,'1.DC_Ra soat'!$H:$H,'1.BS (VND)'!$D90)+SUMIFS('1.DC_Ra soat'!$L:$L,'1.DC_Ra soat'!$F:$F,AJ$4,'1.DC_Ra soat'!$I:$I,'1.BS (VND)'!$D90)</f>
        <v>0</v>
      </c>
      <c r="AK90" s="746">
        <f>-SUMIFS('1.DC_Ra soat'!$L:$L,'1.DC_Ra soat'!$F:$F,AK$4,'1.DC_Ra soat'!$H:$H,'1.BS (VND)'!$D90)+SUMIFS('1.DC_Ra soat'!$L:$L,'1.DC_Ra soat'!$F:$F,AK$4,'1.DC_Ra soat'!$I:$I,'1.BS (VND)'!$D90)</f>
        <v>0</v>
      </c>
      <c r="AL90" s="746">
        <f>-SUMIFS('1.DC_Ra soat'!$L:$L,'1.DC_Ra soat'!$F:$F,AL$4,'1.DC_Ra soat'!$H:$H,'1.BS (VND)'!$D90)+SUMIFS('1.DC_Ra soat'!$L:$L,'1.DC_Ra soat'!$F:$F,AL$4,'1.DC_Ra soat'!$I:$I,'1.BS (VND)'!$D90)</f>
        <v>0</v>
      </c>
      <c r="AM90" s="745"/>
      <c r="AN90" s="746">
        <f>-SUMIFS('1.DC_Ra soat'!$L:$L,'1.DC_Ra soat'!$F:$F,AN$4,'1.DC_Ra soat'!$H:$H,'1.BS (VND)'!$D90)+SUMIFS('1.DC_Ra soat'!$L:$L,'1.DC_Ra soat'!$F:$F,AN$4,'1.DC_Ra soat'!$I:$I,'1.BS (VND)'!$D90)</f>
        <v>0</v>
      </c>
      <c r="AO90" s="746">
        <f>-SUMIFS('1.DC_Ra soat'!$L:$L,'1.DC_Ra soat'!$F:$F,AO$4,'1.DC_Ra soat'!$H:$H,'1.BS (VND)'!$D90)+SUMIFS('1.DC_Ra soat'!$L:$L,'1.DC_Ra soat'!$F:$F,AO$4,'1.DC_Ra soat'!$I:$I,'1.BS (VND)'!$D90)</f>
        <v>0</v>
      </c>
      <c r="AP90" s="746">
        <f>-SUMIFS('1.DC_Ra soat'!$L:$L,'1.DC_Ra soat'!$F:$F,AP$4,'1.DC_Ra soat'!$H:$H,'1.BS (VND)'!$D90)+SUMIFS('1.DC_Ra soat'!$L:$L,'1.DC_Ra soat'!$F:$F,AP$4,'1.DC_Ra soat'!$I:$I,'1.BS (VND)'!$D90)</f>
        <v>0</v>
      </c>
      <c r="AQ90" s="746">
        <f>-SUMIFS('1.DC_Ra soat'!$L:$L,'1.DC_Ra soat'!$F:$F,AQ$4,'1.DC_Ra soat'!$H:$H,'1.BS (VND)'!$D90)+SUMIFS('1.DC_Ra soat'!$L:$L,'1.DC_Ra soat'!$F:$F,AQ$4,'1.DC_Ra soat'!$I:$I,'1.BS (VND)'!$D90)</f>
        <v>0</v>
      </c>
      <c r="AR90" s="745"/>
      <c r="AS90" s="746">
        <f>-SUMIFS('1.DC_Ra soat'!$L:$L,'1.DC_Ra soat'!$F:$F,AS$4,'1.DC_Ra soat'!$H:$H,'1.BS (VND)'!$D90)+SUMIFS('1.DC_Ra soat'!$L:$L,'1.DC_Ra soat'!$F:$F,AS$4,'1.DC_Ra soat'!$I:$I,'1.BS (VND)'!$D90)</f>
        <v>0</v>
      </c>
      <c r="AT90" s="746">
        <f>-SUMIFS('1.DC_Ra soat'!$L:$L,'1.DC_Ra soat'!$F:$F,AT$4,'1.DC_Ra soat'!$H:$H,'1.BS (VND)'!$D90)+SUMIFS('1.DC_Ra soat'!$L:$L,'1.DC_Ra soat'!$F:$F,AT$4,'1.DC_Ra soat'!$I:$I,'1.BS (VND)'!$D90)</f>
        <v>0</v>
      </c>
      <c r="AU90" s="746">
        <f>-SUMIFS('1.DC_Ra soat'!$L:$L,'1.DC_Ra soat'!$F:$F,AU$4,'1.DC_Ra soat'!$H:$H,'1.BS (VND)'!$D90)+SUMIFS('1.DC_Ra soat'!$L:$L,'1.DC_Ra soat'!$F:$F,AU$4,'1.DC_Ra soat'!$I:$I,'1.BS (VND)'!$D90)</f>
        <v>0</v>
      </c>
      <c r="AV90" s="746">
        <f>-SUMIFS('1.DC_Ra soat'!$L:$L,'1.DC_Ra soat'!$F:$F,AV$4,'1.DC_Ra soat'!$H:$H,'1.BS (VND)'!$D90)+SUMIFS('1.DC_Ra soat'!$L:$L,'1.DC_Ra soat'!$F:$F,AV$4,'1.DC_Ra soat'!$I:$I,'1.BS (VND)'!$D90)</f>
        <v>0</v>
      </c>
      <c r="AW90" s="745"/>
      <c r="AX90" s="746">
        <f>-SUMIFS('1.DC_Ra soat'!$L:$L,'1.DC_Ra soat'!$F:$F,AX$4,'1.DC_Ra soat'!$H:$H,'1.BS (VND)'!$D90)+SUMIFS('1.DC_Ra soat'!$L:$L,'1.DC_Ra soat'!$F:$F,AX$4,'1.DC_Ra soat'!$I:$I,'1.BS (VND)'!$D90)</f>
        <v>0</v>
      </c>
      <c r="AY90" s="746">
        <f>-SUMIFS('1.DC_Ra soat'!$L:$L,'1.DC_Ra soat'!$F:$F,AY$4,'1.DC_Ra soat'!$H:$H,'1.BS (VND)'!$D90)+SUMIFS('1.DC_Ra soat'!$L:$L,'1.DC_Ra soat'!$F:$F,AY$4,'1.DC_Ra soat'!$I:$I,'1.BS (VND)'!$D90)</f>
        <v>0</v>
      </c>
      <c r="AZ90" s="746">
        <f>-SUMIFS('1.DC_Ra soat'!$L:$L,'1.DC_Ra soat'!$F:$F,AZ$4,'1.DC_Ra soat'!$H:$H,'1.BS (VND)'!$D90)+SUMIFS('1.DC_Ra soat'!$L:$L,'1.DC_Ra soat'!$F:$F,AZ$4,'1.DC_Ra soat'!$I:$I,'1.BS (VND)'!$D90)</f>
        <v>0</v>
      </c>
      <c r="BA90" s="746">
        <f>-SUMIFS('1.DC_Ra soat'!$L:$L,'1.DC_Ra soat'!$F:$F,BA$4,'1.DC_Ra soat'!$H:$H,'1.BS (VND)'!$D90)+SUMIFS('1.DC_Ra soat'!$L:$L,'1.DC_Ra soat'!$F:$F,BA$4,'1.DC_Ra soat'!$I:$I,'1.BS (VND)'!$D90)</f>
        <v>0</v>
      </c>
      <c r="BB90" s="745"/>
      <c r="BC90" s="746">
        <f>-SUMIFS('1.DC_Ra soat'!$L:$L,'1.DC_Ra soat'!$F:$F,BC$4,'1.DC_Ra soat'!$H:$H,'1.BS (VND)'!$D90)+SUMIFS('1.DC_Ra soat'!$L:$L,'1.DC_Ra soat'!$F:$F,BC$4,'1.DC_Ra soat'!$I:$I,'1.BS (VND)'!$D90)</f>
        <v>0</v>
      </c>
      <c r="BD90" s="746">
        <f>-SUMIFS('1.DC_Ra soat'!$L:$L,'1.DC_Ra soat'!$F:$F,BD$4,'1.DC_Ra soat'!$H:$H,'1.BS (VND)'!$D90)+SUMIFS('1.DC_Ra soat'!$L:$L,'1.DC_Ra soat'!$F:$F,BD$4,'1.DC_Ra soat'!$I:$I,'1.BS (VND)'!$D90)</f>
        <v>0</v>
      </c>
      <c r="BE90" s="746">
        <f>-SUMIFS('1.DC_Ra soat'!$L:$L,'1.DC_Ra soat'!$F:$F,BE$4,'1.DC_Ra soat'!$H:$H,'1.BS (VND)'!$D90)+SUMIFS('1.DC_Ra soat'!$L:$L,'1.DC_Ra soat'!$F:$F,BE$4,'1.DC_Ra soat'!$I:$I,'1.BS (VND)'!$D90)</f>
        <v>0</v>
      </c>
      <c r="BF90" s="746">
        <f>-SUMIFS('1.DC_Ra soat'!$L:$L,'1.DC_Ra soat'!$F:$F,BF$4,'1.DC_Ra soat'!$H:$H,'1.BS (VND)'!$D90)+SUMIFS('1.DC_Ra soat'!$L:$L,'1.DC_Ra soat'!$F:$F,BF$4,'1.DC_Ra soat'!$I:$I,'1.BS (VND)'!$D90)</f>
        <v>0</v>
      </c>
      <c r="BG90" s="745"/>
      <c r="BH90" s="746">
        <f>-SUMIFS('1.DC_Ra soat'!$L:$L,'1.DC_Ra soat'!$F:$F,BH$4,'1.DC_Ra soat'!$H:$H,'1.BS (VND)'!$D90)+SUMIFS('1.DC_Ra soat'!$L:$L,'1.DC_Ra soat'!$F:$F,BH$4,'1.DC_Ra soat'!$I:$I,'1.BS (VND)'!$D90)</f>
        <v>0</v>
      </c>
      <c r="BI90" s="746">
        <f>-SUMIFS('1.DC_Ra soat'!$L:$L,'1.DC_Ra soat'!$F:$F,BI$4,'1.DC_Ra soat'!$H:$H,'1.BS (VND)'!$D90)+SUMIFS('1.DC_Ra soat'!$L:$L,'1.DC_Ra soat'!$F:$F,BI$4,'1.DC_Ra soat'!$I:$I,'1.BS (VND)'!$D90)</f>
        <v>0</v>
      </c>
      <c r="BJ90" s="746">
        <f>-SUMIFS('1.DC_Ra soat'!$L:$L,'1.DC_Ra soat'!$F:$F,BJ$4,'1.DC_Ra soat'!$H:$H,'1.BS (VND)'!$D90)+SUMIFS('1.DC_Ra soat'!$L:$L,'1.DC_Ra soat'!$F:$F,BJ$4,'1.DC_Ra soat'!$I:$I,'1.BS (VND)'!$D90)</f>
        <v>0</v>
      </c>
      <c r="BK90" s="746">
        <f>-SUMIFS('1.DC_Ra soat'!$L:$L,'1.DC_Ra soat'!$F:$F,BK$4,'1.DC_Ra soat'!$H:$H,'1.BS (VND)'!$D90)+SUMIFS('1.DC_Ra soat'!$L:$L,'1.DC_Ra soat'!$F:$F,BK$4,'1.DC_Ra soat'!$I:$I,'1.BS (VND)'!$D90)</f>
        <v>0</v>
      </c>
      <c r="BM90" s="746">
        <f t="shared" si="128"/>
        <v>0</v>
      </c>
      <c r="BN90" s="746">
        <f t="shared" si="129"/>
        <v>0</v>
      </c>
      <c r="BO90" s="746">
        <f t="shared" si="130"/>
        <v>0</v>
      </c>
      <c r="BP90" s="747">
        <f t="shared" si="131"/>
        <v>0</v>
      </c>
      <c r="BQ90" s="745"/>
      <c r="BR90" s="746">
        <f t="shared" si="132"/>
        <v>0</v>
      </c>
      <c r="BS90" s="746">
        <f t="shared" si="133"/>
        <v>0</v>
      </c>
      <c r="BT90" s="746">
        <f t="shared" si="134"/>
        <v>0</v>
      </c>
      <c r="BU90" s="746">
        <f t="shared" si="135"/>
        <v>0</v>
      </c>
      <c r="BV90" s="745"/>
      <c r="BW90" s="746">
        <f t="shared" si="136"/>
        <v>0</v>
      </c>
      <c r="BX90" s="746">
        <f t="shared" si="137"/>
        <v>0</v>
      </c>
      <c r="BY90" s="746">
        <f t="shared" si="138"/>
        <v>0</v>
      </c>
      <c r="BZ90" s="747">
        <f t="shared" si="139"/>
        <v>0</v>
      </c>
      <c r="CA90" s="745"/>
      <c r="CB90" s="747">
        <f t="shared" si="140"/>
        <v>0</v>
      </c>
      <c r="CC90" s="747">
        <f t="shared" si="141"/>
        <v>0</v>
      </c>
      <c r="CD90" s="747">
        <f t="shared" si="142"/>
        <v>0</v>
      </c>
      <c r="CE90" s="747">
        <f t="shared" si="143"/>
        <v>0</v>
      </c>
      <c r="CF90" s="745"/>
      <c r="CG90" s="747">
        <f t="shared" si="144"/>
        <v>0</v>
      </c>
      <c r="CH90" s="747">
        <f t="shared" si="145"/>
        <v>0</v>
      </c>
      <c r="CI90" s="747">
        <f t="shared" si="146"/>
        <v>0</v>
      </c>
      <c r="CJ90" s="747">
        <f t="shared" si="147"/>
        <v>0</v>
      </c>
      <c r="CK90" s="745"/>
      <c r="CL90" s="746">
        <f t="shared" si="148"/>
        <v>0</v>
      </c>
      <c r="CM90" s="746">
        <f t="shared" si="149"/>
        <v>0</v>
      </c>
      <c r="CN90" s="746">
        <f t="shared" si="150"/>
        <v>0</v>
      </c>
      <c r="CO90" s="747">
        <f t="shared" si="151"/>
        <v>0</v>
      </c>
      <c r="CQ90" s="746">
        <f>SUMIF('1.PL (VND) '!$BL$6:$CD$6,'1.PL (VND) '!CP$6,$BM90:$CE90)</f>
        <v>0</v>
      </c>
      <c r="CR90" s="746">
        <f>SUMIF('1.PL (VND) '!$BL$6:$CD$6,'1.PL (VND) '!CQ$6,$BM90:$CE90)</f>
        <v>0</v>
      </c>
      <c r="CS90" s="746">
        <f>SUMIF('1.PL (VND) '!$BL$6:$CD$6,'1.PL (VND) '!CR$6,$BM90:$CE90)</f>
        <v>0</v>
      </c>
      <c r="CT90" s="746">
        <f>SUMIF('1.PL (VND) '!$BL$6:$CD$6,'1.PL (VND) '!CS$6,$BM90:$CE90)</f>
        <v>0</v>
      </c>
      <c r="CV90" s="748">
        <f>-SUMIFS('1.DC_Ra soat'!$L:$L,'1.DC_Ra soat'!$F:$F,'1.PL (VND) '!DK$4,'1.DC_Ra soat'!$H:$H,'1.BS (VND)'!$D90)+SUMIFS('1.DC_Ra soat'!$L:$L,'1.DC_Ra soat'!$F:$F,'1.PL (VND) '!DK$4,'1.DC_Ra soat'!$I:$I,'1.BS (VND)'!$D90)</f>
        <v>0</v>
      </c>
      <c r="CW90" s="748">
        <f>-SUMIFS('1.DC_Ra soat'!$L:$L,'1.DC_Ra soat'!$F:$F,'1.PL (VND) '!DL$4,'1.DC_Ra soat'!$H:$H,'1.BS (VND)'!$D90)+SUMIFS('1.DC_Ra soat'!$L:$L,'1.DC_Ra soat'!$F:$F,'1.PL (VND) '!DL$4,'1.DC_Ra soat'!$I:$I,'1.BS (VND)'!$D90)</f>
        <v>0</v>
      </c>
      <c r="CX90" s="748">
        <f>-SUMIFS('1.DC_Ra soat'!$L:$L,'1.DC_Ra soat'!$F:$F,'1.PL (VND) '!DM$4,'1.DC_Ra soat'!$H:$H,'1.BS (VND)'!$D90)+SUMIFS('1.DC_Ra soat'!$L:$L,'1.DC_Ra soat'!$F:$F,'1.PL (VND) '!DM$4,'1.DC_Ra soat'!$I:$I,'1.BS (VND)'!$D90)</f>
        <v>0</v>
      </c>
      <c r="CY90" s="748">
        <f>-SUMIFS('1.DC_Ra soat'!$L:$L,'1.DC_Ra soat'!$F:$F,'1.PL (VND) '!DN$4,'1.DC_Ra soat'!$H:$H,'1.BS (VND)'!$D90)+SUMIFS('1.DC_Ra soat'!$L:$L,'1.DC_Ra soat'!$F:$F,'1.PL (VND) '!DN$4,'1.DC_Ra soat'!$I:$I,'1.BS (VND)'!$D90)</f>
        <v>0</v>
      </c>
      <c r="DA90" s="746">
        <f t="shared" si="157"/>
        <v>0</v>
      </c>
      <c r="DB90" s="746">
        <f t="shared" si="158"/>
        <v>0</v>
      </c>
      <c r="DC90" s="746">
        <f t="shared" si="159"/>
        <v>0</v>
      </c>
      <c r="DD90" s="746">
        <f t="shared" si="160"/>
        <v>0</v>
      </c>
    </row>
    <row r="91" spans="1:112" s="740" customFormat="1" x14ac:dyDescent="0.25">
      <c r="A91" s="248" t="str">
        <f t="shared" si="166"/>
        <v>hide</v>
      </c>
      <c r="C91" s="741" t="s">
        <v>441</v>
      </c>
      <c r="D91" s="742" t="s">
        <v>442</v>
      </c>
      <c r="E91" s="743"/>
      <c r="F91" s="743"/>
      <c r="G91" s="743"/>
      <c r="H91" s="744"/>
      <c r="I91" s="745"/>
      <c r="J91" s="746"/>
      <c r="K91" s="746"/>
      <c r="L91" s="746"/>
      <c r="M91" s="739">
        <v>0</v>
      </c>
      <c r="N91" s="745"/>
      <c r="O91" s="746"/>
      <c r="P91" s="746"/>
      <c r="Q91" s="746"/>
      <c r="R91" s="746"/>
      <c r="S91" s="745"/>
      <c r="T91" s="746"/>
      <c r="U91" s="746"/>
      <c r="V91" s="746"/>
      <c r="W91" s="746"/>
      <c r="X91" s="745"/>
      <c r="Y91" s="746"/>
      <c r="Z91" s="746"/>
      <c r="AA91" s="746"/>
      <c r="AB91" s="746"/>
      <c r="AC91" s="745"/>
      <c r="AD91" s="746"/>
      <c r="AE91" s="746"/>
      <c r="AF91" s="746"/>
      <c r="AG91" s="746"/>
      <c r="AI91" s="746">
        <f>-SUMIFS('1.DC_Ra soat'!$L:$L,'1.DC_Ra soat'!$F:$F,AI$4,'1.DC_Ra soat'!$H:$H,'1.BS (VND)'!$D91)+SUMIFS('1.DC_Ra soat'!$L:$L,'1.DC_Ra soat'!$F:$F,AI$4,'1.DC_Ra soat'!$I:$I,'1.BS (VND)'!$D91)</f>
        <v>0</v>
      </c>
      <c r="AJ91" s="746">
        <f>-SUMIFS('1.DC_Ra soat'!$L:$L,'1.DC_Ra soat'!$F:$F,AJ$4,'1.DC_Ra soat'!$H:$H,'1.BS (VND)'!$D91)+SUMIFS('1.DC_Ra soat'!$L:$L,'1.DC_Ra soat'!$F:$F,AJ$4,'1.DC_Ra soat'!$I:$I,'1.BS (VND)'!$D91)</f>
        <v>0</v>
      </c>
      <c r="AK91" s="746">
        <f>-SUMIFS('1.DC_Ra soat'!$L:$L,'1.DC_Ra soat'!$F:$F,AK$4,'1.DC_Ra soat'!$H:$H,'1.BS (VND)'!$D91)+SUMIFS('1.DC_Ra soat'!$L:$L,'1.DC_Ra soat'!$F:$F,AK$4,'1.DC_Ra soat'!$I:$I,'1.BS (VND)'!$D91)</f>
        <v>0</v>
      </c>
      <c r="AL91" s="746">
        <f>-SUMIFS('1.DC_Ra soat'!$L:$L,'1.DC_Ra soat'!$F:$F,AL$4,'1.DC_Ra soat'!$H:$H,'1.BS (VND)'!$D91)+SUMIFS('1.DC_Ra soat'!$L:$L,'1.DC_Ra soat'!$F:$F,AL$4,'1.DC_Ra soat'!$I:$I,'1.BS (VND)'!$D91)</f>
        <v>0</v>
      </c>
      <c r="AM91" s="745"/>
      <c r="AN91" s="746">
        <f>-SUMIFS('1.DC_Ra soat'!$L:$L,'1.DC_Ra soat'!$F:$F,AN$4,'1.DC_Ra soat'!$H:$H,'1.BS (VND)'!$D91)+SUMIFS('1.DC_Ra soat'!$L:$L,'1.DC_Ra soat'!$F:$F,AN$4,'1.DC_Ra soat'!$I:$I,'1.BS (VND)'!$D91)</f>
        <v>0</v>
      </c>
      <c r="AO91" s="746">
        <f>-SUMIFS('1.DC_Ra soat'!$L:$L,'1.DC_Ra soat'!$F:$F,AO$4,'1.DC_Ra soat'!$H:$H,'1.BS (VND)'!$D91)+SUMIFS('1.DC_Ra soat'!$L:$L,'1.DC_Ra soat'!$F:$F,AO$4,'1.DC_Ra soat'!$I:$I,'1.BS (VND)'!$D91)</f>
        <v>0</v>
      </c>
      <c r="AP91" s="746">
        <f>-SUMIFS('1.DC_Ra soat'!$L:$L,'1.DC_Ra soat'!$F:$F,AP$4,'1.DC_Ra soat'!$H:$H,'1.BS (VND)'!$D91)+SUMIFS('1.DC_Ra soat'!$L:$L,'1.DC_Ra soat'!$F:$F,AP$4,'1.DC_Ra soat'!$I:$I,'1.BS (VND)'!$D91)</f>
        <v>0</v>
      </c>
      <c r="AQ91" s="746">
        <f>-SUMIFS('1.DC_Ra soat'!$L:$L,'1.DC_Ra soat'!$F:$F,AQ$4,'1.DC_Ra soat'!$H:$H,'1.BS (VND)'!$D91)+SUMIFS('1.DC_Ra soat'!$L:$L,'1.DC_Ra soat'!$F:$F,AQ$4,'1.DC_Ra soat'!$I:$I,'1.BS (VND)'!$D91)</f>
        <v>0</v>
      </c>
      <c r="AR91" s="745"/>
      <c r="AS91" s="746">
        <f>-SUMIFS('1.DC_Ra soat'!$L:$L,'1.DC_Ra soat'!$F:$F,AS$4,'1.DC_Ra soat'!$H:$H,'1.BS (VND)'!$D91)+SUMIFS('1.DC_Ra soat'!$L:$L,'1.DC_Ra soat'!$F:$F,AS$4,'1.DC_Ra soat'!$I:$I,'1.BS (VND)'!$D91)</f>
        <v>0</v>
      </c>
      <c r="AT91" s="746">
        <f>-SUMIFS('1.DC_Ra soat'!$L:$L,'1.DC_Ra soat'!$F:$F,AT$4,'1.DC_Ra soat'!$H:$H,'1.BS (VND)'!$D91)+SUMIFS('1.DC_Ra soat'!$L:$L,'1.DC_Ra soat'!$F:$F,AT$4,'1.DC_Ra soat'!$I:$I,'1.BS (VND)'!$D91)</f>
        <v>0</v>
      </c>
      <c r="AU91" s="746">
        <f>-SUMIFS('1.DC_Ra soat'!$L:$L,'1.DC_Ra soat'!$F:$F,AU$4,'1.DC_Ra soat'!$H:$H,'1.BS (VND)'!$D91)+SUMIFS('1.DC_Ra soat'!$L:$L,'1.DC_Ra soat'!$F:$F,AU$4,'1.DC_Ra soat'!$I:$I,'1.BS (VND)'!$D91)</f>
        <v>0</v>
      </c>
      <c r="AV91" s="746">
        <f>-SUMIFS('1.DC_Ra soat'!$L:$L,'1.DC_Ra soat'!$F:$F,AV$4,'1.DC_Ra soat'!$H:$H,'1.BS (VND)'!$D91)+SUMIFS('1.DC_Ra soat'!$L:$L,'1.DC_Ra soat'!$F:$F,AV$4,'1.DC_Ra soat'!$I:$I,'1.BS (VND)'!$D91)</f>
        <v>0</v>
      </c>
      <c r="AW91" s="745"/>
      <c r="AX91" s="746">
        <f>-SUMIFS('1.DC_Ra soat'!$L:$L,'1.DC_Ra soat'!$F:$F,AX$4,'1.DC_Ra soat'!$H:$H,'1.BS (VND)'!$D91)+SUMIFS('1.DC_Ra soat'!$L:$L,'1.DC_Ra soat'!$F:$F,AX$4,'1.DC_Ra soat'!$I:$I,'1.BS (VND)'!$D91)</f>
        <v>0</v>
      </c>
      <c r="AY91" s="746">
        <f>-SUMIFS('1.DC_Ra soat'!$L:$L,'1.DC_Ra soat'!$F:$F,AY$4,'1.DC_Ra soat'!$H:$H,'1.BS (VND)'!$D91)+SUMIFS('1.DC_Ra soat'!$L:$L,'1.DC_Ra soat'!$F:$F,AY$4,'1.DC_Ra soat'!$I:$I,'1.BS (VND)'!$D91)</f>
        <v>0</v>
      </c>
      <c r="AZ91" s="746">
        <f>-SUMIFS('1.DC_Ra soat'!$L:$L,'1.DC_Ra soat'!$F:$F,AZ$4,'1.DC_Ra soat'!$H:$H,'1.BS (VND)'!$D91)+SUMIFS('1.DC_Ra soat'!$L:$L,'1.DC_Ra soat'!$F:$F,AZ$4,'1.DC_Ra soat'!$I:$I,'1.BS (VND)'!$D91)</f>
        <v>0</v>
      </c>
      <c r="BA91" s="746">
        <f>-SUMIFS('1.DC_Ra soat'!$L:$L,'1.DC_Ra soat'!$F:$F,BA$4,'1.DC_Ra soat'!$H:$H,'1.BS (VND)'!$D91)+SUMIFS('1.DC_Ra soat'!$L:$L,'1.DC_Ra soat'!$F:$F,BA$4,'1.DC_Ra soat'!$I:$I,'1.BS (VND)'!$D91)</f>
        <v>0</v>
      </c>
      <c r="BB91" s="745"/>
      <c r="BC91" s="746">
        <f>-SUMIFS('1.DC_Ra soat'!$L:$L,'1.DC_Ra soat'!$F:$F,BC$4,'1.DC_Ra soat'!$H:$H,'1.BS (VND)'!$D91)+SUMIFS('1.DC_Ra soat'!$L:$L,'1.DC_Ra soat'!$F:$F,BC$4,'1.DC_Ra soat'!$I:$I,'1.BS (VND)'!$D91)</f>
        <v>0</v>
      </c>
      <c r="BD91" s="746">
        <f>-SUMIFS('1.DC_Ra soat'!$L:$L,'1.DC_Ra soat'!$F:$F,BD$4,'1.DC_Ra soat'!$H:$H,'1.BS (VND)'!$D91)+SUMIFS('1.DC_Ra soat'!$L:$L,'1.DC_Ra soat'!$F:$F,BD$4,'1.DC_Ra soat'!$I:$I,'1.BS (VND)'!$D91)</f>
        <v>0</v>
      </c>
      <c r="BE91" s="746">
        <f>-SUMIFS('1.DC_Ra soat'!$L:$L,'1.DC_Ra soat'!$F:$F,BE$4,'1.DC_Ra soat'!$H:$H,'1.BS (VND)'!$D91)+SUMIFS('1.DC_Ra soat'!$L:$L,'1.DC_Ra soat'!$F:$F,BE$4,'1.DC_Ra soat'!$I:$I,'1.BS (VND)'!$D91)</f>
        <v>0</v>
      </c>
      <c r="BF91" s="746">
        <f>-SUMIFS('1.DC_Ra soat'!$L:$L,'1.DC_Ra soat'!$F:$F,BF$4,'1.DC_Ra soat'!$H:$H,'1.BS (VND)'!$D91)+SUMIFS('1.DC_Ra soat'!$L:$L,'1.DC_Ra soat'!$F:$F,BF$4,'1.DC_Ra soat'!$I:$I,'1.BS (VND)'!$D91)</f>
        <v>0</v>
      </c>
      <c r="BG91" s="745"/>
      <c r="BH91" s="746">
        <f>-SUMIFS('1.DC_Ra soat'!$L:$L,'1.DC_Ra soat'!$F:$F,BH$4,'1.DC_Ra soat'!$H:$H,'1.BS (VND)'!$D91)+SUMIFS('1.DC_Ra soat'!$L:$L,'1.DC_Ra soat'!$F:$F,BH$4,'1.DC_Ra soat'!$I:$I,'1.BS (VND)'!$D91)</f>
        <v>0</v>
      </c>
      <c r="BI91" s="746">
        <f>-SUMIFS('1.DC_Ra soat'!$L:$L,'1.DC_Ra soat'!$F:$F,BI$4,'1.DC_Ra soat'!$H:$H,'1.BS (VND)'!$D91)+SUMIFS('1.DC_Ra soat'!$L:$L,'1.DC_Ra soat'!$F:$F,BI$4,'1.DC_Ra soat'!$I:$I,'1.BS (VND)'!$D91)</f>
        <v>0</v>
      </c>
      <c r="BJ91" s="746">
        <f>-SUMIFS('1.DC_Ra soat'!$L:$L,'1.DC_Ra soat'!$F:$F,BJ$4,'1.DC_Ra soat'!$H:$H,'1.BS (VND)'!$D91)+SUMIFS('1.DC_Ra soat'!$L:$L,'1.DC_Ra soat'!$F:$F,BJ$4,'1.DC_Ra soat'!$I:$I,'1.BS (VND)'!$D91)</f>
        <v>0</v>
      </c>
      <c r="BK91" s="746">
        <f>-SUMIFS('1.DC_Ra soat'!$L:$L,'1.DC_Ra soat'!$F:$F,BK$4,'1.DC_Ra soat'!$H:$H,'1.BS (VND)'!$D91)+SUMIFS('1.DC_Ra soat'!$L:$L,'1.DC_Ra soat'!$F:$F,BK$4,'1.DC_Ra soat'!$I:$I,'1.BS (VND)'!$D91)</f>
        <v>0</v>
      </c>
      <c r="BM91" s="746">
        <f t="shared" si="128"/>
        <v>0</v>
      </c>
      <c r="BN91" s="746">
        <f t="shared" si="129"/>
        <v>0</v>
      </c>
      <c r="BO91" s="746">
        <f t="shared" si="130"/>
        <v>0</v>
      </c>
      <c r="BP91" s="747">
        <f t="shared" si="131"/>
        <v>0</v>
      </c>
      <c r="BQ91" s="745"/>
      <c r="BR91" s="746">
        <f t="shared" si="132"/>
        <v>0</v>
      </c>
      <c r="BS91" s="746">
        <f t="shared" si="133"/>
        <v>0</v>
      </c>
      <c r="BT91" s="746">
        <f t="shared" si="134"/>
        <v>0</v>
      </c>
      <c r="BU91" s="746">
        <f t="shared" si="135"/>
        <v>0</v>
      </c>
      <c r="BV91" s="745"/>
      <c r="BW91" s="746">
        <f t="shared" si="136"/>
        <v>0</v>
      </c>
      <c r="BX91" s="746">
        <f t="shared" si="137"/>
        <v>0</v>
      </c>
      <c r="BY91" s="746">
        <f t="shared" si="138"/>
        <v>0</v>
      </c>
      <c r="BZ91" s="747">
        <f t="shared" si="139"/>
        <v>0</v>
      </c>
      <c r="CA91" s="745"/>
      <c r="CB91" s="747">
        <f t="shared" si="140"/>
        <v>0</v>
      </c>
      <c r="CC91" s="747">
        <f t="shared" si="141"/>
        <v>0</v>
      </c>
      <c r="CD91" s="747">
        <f t="shared" si="142"/>
        <v>0</v>
      </c>
      <c r="CE91" s="747">
        <f t="shared" si="143"/>
        <v>0</v>
      </c>
      <c r="CF91" s="745"/>
      <c r="CG91" s="747">
        <f t="shared" si="144"/>
        <v>0</v>
      </c>
      <c r="CH91" s="747">
        <f t="shared" si="145"/>
        <v>0</v>
      </c>
      <c r="CI91" s="747">
        <f t="shared" si="146"/>
        <v>0</v>
      </c>
      <c r="CJ91" s="747">
        <f t="shared" si="147"/>
        <v>0</v>
      </c>
      <c r="CK91" s="745"/>
      <c r="CL91" s="746">
        <f t="shared" si="148"/>
        <v>0</v>
      </c>
      <c r="CM91" s="746">
        <f t="shared" si="149"/>
        <v>0</v>
      </c>
      <c r="CN91" s="746">
        <f t="shared" si="150"/>
        <v>0</v>
      </c>
      <c r="CO91" s="747">
        <f t="shared" si="151"/>
        <v>0</v>
      </c>
      <c r="CQ91" s="746">
        <f>SUMIF('1.PL (VND) '!$BL$6:$CD$6,'1.PL (VND) '!CP$6,$BM91:$CE91)</f>
        <v>0</v>
      </c>
      <c r="CR91" s="746">
        <f>SUMIF('1.PL (VND) '!$BL$6:$CD$6,'1.PL (VND) '!CQ$6,$BM91:$CE91)</f>
        <v>0</v>
      </c>
      <c r="CS91" s="746">
        <f>SUMIF('1.PL (VND) '!$BL$6:$CD$6,'1.PL (VND) '!CR$6,$BM91:$CE91)</f>
        <v>0</v>
      </c>
      <c r="CT91" s="746">
        <f>SUMIF('1.PL (VND) '!$BL$6:$CD$6,'1.PL (VND) '!CS$6,$BM91:$CE91)</f>
        <v>0</v>
      </c>
      <c r="CV91" s="748">
        <f>-SUMIFS('1.DC_Ra soat'!$L:$L,'1.DC_Ra soat'!$F:$F,'1.PL (VND) '!DK$4,'1.DC_Ra soat'!$H:$H,'1.BS (VND)'!$D91)+SUMIFS('1.DC_Ra soat'!$L:$L,'1.DC_Ra soat'!$F:$F,'1.PL (VND) '!DK$4,'1.DC_Ra soat'!$I:$I,'1.BS (VND)'!$D91)</f>
        <v>0</v>
      </c>
      <c r="CW91" s="748">
        <f>-SUMIFS('1.DC_Ra soat'!$L:$L,'1.DC_Ra soat'!$F:$F,'1.PL (VND) '!DL$4,'1.DC_Ra soat'!$H:$H,'1.BS (VND)'!$D91)+SUMIFS('1.DC_Ra soat'!$L:$L,'1.DC_Ra soat'!$F:$F,'1.PL (VND) '!DL$4,'1.DC_Ra soat'!$I:$I,'1.BS (VND)'!$D91)</f>
        <v>0</v>
      </c>
      <c r="CX91" s="748">
        <f>-SUMIFS('1.DC_Ra soat'!$L:$L,'1.DC_Ra soat'!$F:$F,'1.PL (VND) '!DM$4,'1.DC_Ra soat'!$H:$H,'1.BS (VND)'!$D91)+SUMIFS('1.DC_Ra soat'!$L:$L,'1.DC_Ra soat'!$F:$F,'1.PL (VND) '!DM$4,'1.DC_Ra soat'!$I:$I,'1.BS (VND)'!$D91)</f>
        <v>0</v>
      </c>
      <c r="CY91" s="748">
        <f>-SUMIFS('1.DC_Ra soat'!$L:$L,'1.DC_Ra soat'!$F:$F,'1.PL (VND) '!DN$4,'1.DC_Ra soat'!$H:$H,'1.BS (VND)'!$D91)+SUMIFS('1.DC_Ra soat'!$L:$L,'1.DC_Ra soat'!$F:$F,'1.PL (VND) '!DN$4,'1.DC_Ra soat'!$I:$I,'1.BS (VND)'!$D91)</f>
        <v>0</v>
      </c>
      <c r="DA91" s="746">
        <f t="shared" si="157"/>
        <v>0</v>
      </c>
      <c r="DB91" s="746">
        <f t="shared" si="158"/>
        <v>0</v>
      </c>
      <c r="DC91" s="746">
        <f t="shared" si="159"/>
        <v>0</v>
      </c>
      <c r="DD91" s="746">
        <f t="shared" si="160"/>
        <v>0</v>
      </c>
    </row>
    <row r="92" spans="1:112" s="740" customFormat="1" x14ac:dyDescent="0.25">
      <c r="A92" s="248" t="str">
        <f t="shared" si="166"/>
        <v>hide</v>
      </c>
      <c r="C92" s="741" t="s">
        <v>443</v>
      </c>
      <c r="D92" s="742" t="s">
        <v>444</v>
      </c>
      <c r="E92" s="743"/>
      <c r="F92" s="743"/>
      <c r="G92" s="743"/>
      <c r="H92" s="744"/>
      <c r="I92" s="745"/>
      <c r="J92" s="746"/>
      <c r="K92" s="746"/>
      <c r="L92" s="746"/>
      <c r="M92" s="739">
        <v>0</v>
      </c>
      <c r="N92" s="745"/>
      <c r="O92" s="746"/>
      <c r="P92" s="746"/>
      <c r="Q92" s="746"/>
      <c r="R92" s="746"/>
      <c r="S92" s="745"/>
      <c r="T92" s="746"/>
      <c r="U92" s="746"/>
      <c r="V92" s="746"/>
      <c r="W92" s="746"/>
      <c r="X92" s="745"/>
      <c r="Y92" s="746"/>
      <c r="Z92" s="746"/>
      <c r="AA92" s="746"/>
      <c r="AB92" s="746"/>
      <c r="AC92" s="745"/>
      <c r="AD92" s="746"/>
      <c r="AE92" s="746"/>
      <c r="AF92" s="746"/>
      <c r="AG92" s="746"/>
      <c r="AI92" s="746">
        <f>-SUMIFS('1.DC_Ra soat'!$L:$L,'1.DC_Ra soat'!$F:$F,AI$4,'1.DC_Ra soat'!$H:$H,'1.BS (VND)'!$D92)+SUMIFS('1.DC_Ra soat'!$L:$L,'1.DC_Ra soat'!$F:$F,AI$4,'1.DC_Ra soat'!$I:$I,'1.BS (VND)'!$D92)</f>
        <v>0</v>
      </c>
      <c r="AJ92" s="746">
        <f>-SUMIFS('1.DC_Ra soat'!$L:$L,'1.DC_Ra soat'!$F:$F,AJ$4,'1.DC_Ra soat'!$H:$H,'1.BS (VND)'!$D92)+SUMIFS('1.DC_Ra soat'!$L:$L,'1.DC_Ra soat'!$F:$F,AJ$4,'1.DC_Ra soat'!$I:$I,'1.BS (VND)'!$D92)</f>
        <v>0</v>
      </c>
      <c r="AK92" s="746">
        <f>-SUMIFS('1.DC_Ra soat'!$L:$L,'1.DC_Ra soat'!$F:$F,AK$4,'1.DC_Ra soat'!$H:$H,'1.BS (VND)'!$D92)+SUMIFS('1.DC_Ra soat'!$L:$L,'1.DC_Ra soat'!$F:$F,AK$4,'1.DC_Ra soat'!$I:$I,'1.BS (VND)'!$D92)</f>
        <v>0</v>
      </c>
      <c r="AL92" s="746">
        <f>-SUMIFS('1.DC_Ra soat'!$L:$L,'1.DC_Ra soat'!$F:$F,AL$4,'1.DC_Ra soat'!$H:$H,'1.BS (VND)'!$D92)+SUMIFS('1.DC_Ra soat'!$L:$L,'1.DC_Ra soat'!$F:$F,AL$4,'1.DC_Ra soat'!$I:$I,'1.BS (VND)'!$D92)</f>
        <v>0</v>
      </c>
      <c r="AM92" s="745"/>
      <c r="AN92" s="746">
        <f>-SUMIFS('1.DC_Ra soat'!$L:$L,'1.DC_Ra soat'!$F:$F,AN$4,'1.DC_Ra soat'!$H:$H,'1.BS (VND)'!$D92)+SUMIFS('1.DC_Ra soat'!$L:$L,'1.DC_Ra soat'!$F:$F,AN$4,'1.DC_Ra soat'!$I:$I,'1.BS (VND)'!$D92)</f>
        <v>0</v>
      </c>
      <c r="AO92" s="746">
        <f>-SUMIFS('1.DC_Ra soat'!$L:$L,'1.DC_Ra soat'!$F:$F,AO$4,'1.DC_Ra soat'!$H:$H,'1.BS (VND)'!$D92)+SUMIFS('1.DC_Ra soat'!$L:$L,'1.DC_Ra soat'!$F:$F,AO$4,'1.DC_Ra soat'!$I:$I,'1.BS (VND)'!$D92)</f>
        <v>0</v>
      </c>
      <c r="AP92" s="746">
        <f>-SUMIFS('1.DC_Ra soat'!$L:$L,'1.DC_Ra soat'!$F:$F,AP$4,'1.DC_Ra soat'!$H:$H,'1.BS (VND)'!$D92)+SUMIFS('1.DC_Ra soat'!$L:$L,'1.DC_Ra soat'!$F:$F,AP$4,'1.DC_Ra soat'!$I:$I,'1.BS (VND)'!$D92)</f>
        <v>0</v>
      </c>
      <c r="AQ92" s="746">
        <f>-SUMIFS('1.DC_Ra soat'!$L:$L,'1.DC_Ra soat'!$F:$F,AQ$4,'1.DC_Ra soat'!$H:$H,'1.BS (VND)'!$D92)+SUMIFS('1.DC_Ra soat'!$L:$L,'1.DC_Ra soat'!$F:$F,AQ$4,'1.DC_Ra soat'!$I:$I,'1.BS (VND)'!$D92)</f>
        <v>0</v>
      </c>
      <c r="AR92" s="745"/>
      <c r="AS92" s="746">
        <f>-SUMIFS('1.DC_Ra soat'!$L:$L,'1.DC_Ra soat'!$F:$F,AS$4,'1.DC_Ra soat'!$H:$H,'1.BS (VND)'!$D92)+SUMIFS('1.DC_Ra soat'!$L:$L,'1.DC_Ra soat'!$F:$F,AS$4,'1.DC_Ra soat'!$I:$I,'1.BS (VND)'!$D92)</f>
        <v>0</v>
      </c>
      <c r="AT92" s="746">
        <f>-SUMIFS('1.DC_Ra soat'!$L:$L,'1.DC_Ra soat'!$F:$F,AT$4,'1.DC_Ra soat'!$H:$H,'1.BS (VND)'!$D92)+SUMIFS('1.DC_Ra soat'!$L:$L,'1.DC_Ra soat'!$F:$F,AT$4,'1.DC_Ra soat'!$I:$I,'1.BS (VND)'!$D92)</f>
        <v>0</v>
      </c>
      <c r="AU92" s="746">
        <f>-SUMIFS('1.DC_Ra soat'!$L:$L,'1.DC_Ra soat'!$F:$F,AU$4,'1.DC_Ra soat'!$H:$H,'1.BS (VND)'!$D92)+SUMIFS('1.DC_Ra soat'!$L:$L,'1.DC_Ra soat'!$F:$F,AU$4,'1.DC_Ra soat'!$I:$I,'1.BS (VND)'!$D92)</f>
        <v>0</v>
      </c>
      <c r="AV92" s="746">
        <f>-SUMIFS('1.DC_Ra soat'!$L:$L,'1.DC_Ra soat'!$F:$F,AV$4,'1.DC_Ra soat'!$H:$H,'1.BS (VND)'!$D92)+SUMIFS('1.DC_Ra soat'!$L:$L,'1.DC_Ra soat'!$F:$F,AV$4,'1.DC_Ra soat'!$I:$I,'1.BS (VND)'!$D92)</f>
        <v>0</v>
      </c>
      <c r="AW92" s="745"/>
      <c r="AX92" s="746">
        <f>-SUMIFS('1.DC_Ra soat'!$L:$L,'1.DC_Ra soat'!$F:$F,AX$4,'1.DC_Ra soat'!$H:$H,'1.BS (VND)'!$D92)+SUMIFS('1.DC_Ra soat'!$L:$L,'1.DC_Ra soat'!$F:$F,AX$4,'1.DC_Ra soat'!$I:$I,'1.BS (VND)'!$D92)</f>
        <v>0</v>
      </c>
      <c r="AY92" s="746">
        <f>-SUMIFS('1.DC_Ra soat'!$L:$L,'1.DC_Ra soat'!$F:$F,AY$4,'1.DC_Ra soat'!$H:$H,'1.BS (VND)'!$D92)+SUMIFS('1.DC_Ra soat'!$L:$L,'1.DC_Ra soat'!$F:$F,AY$4,'1.DC_Ra soat'!$I:$I,'1.BS (VND)'!$D92)</f>
        <v>0</v>
      </c>
      <c r="AZ92" s="746">
        <f>-SUMIFS('1.DC_Ra soat'!$L:$L,'1.DC_Ra soat'!$F:$F,AZ$4,'1.DC_Ra soat'!$H:$H,'1.BS (VND)'!$D92)+SUMIFS('1.DC_Ra soat'!$L:$L,'1.DC_Ra soat'!$F:$F,AZ$4,'1.DC_Ra soat'!$I:$I,'1.BS (VND)'!$D92)</f>
        <v>0</v>
      </c>
      <c r="BA92" s="746">
        <f>-SUMIFS('1.DC_Ra soat'!$L:$L,'1.DC_Ra soat'!$F:$F,BA$4,'1.DC_Ra soat'!$H:$H,'1.BS (VND)'!$D92)+SUMIFS('1.DC_Ra soat'!$L:$L,'1.DC_Ra soat'!$F:$F,BA$4,'1.DC_Ra soat'!$I:$I,'1.BS (VND)'!$D92)</f>
        <v>0</v>
      </c>
      <c r="BB92" s="745"/>
      <c r="BC92" s="746">
        <f>-SUMIFS('1.DC_Ra soat'!$L:$L,'1.DC_Ra soat'!$F:$F,BC$4,'1.DC_Ra soat'!$H:$H,'1.BS (VND)'!$D92)+SUMIFS('1.DC_Ra soat'!$L:$L,'1.DC_Ra soat'!$F:$F,BC$4,'1.DC_Ra soat'!$I:$I,'1.BS (VND)'!$D92)</f>
        <v>0</v>
      </c>
      <c r="BD92" s="746">
        <f>-SUMIFS('1.DC_Ra soat'!$L:$L,'1.DC_Ra soat'!$F:$F,BD$4,'1.DC_Ra soat'!$H:$H,'1.BS (VND)'!$D92)+SUMIFS('1.DC_Ra soat'!$L:$L,'1.DC_Ra soat'!$F:$F,BD$4,'1.DC_Ra soat'!$I:$I,'1.BS (VND)'!$D92)</f>
        <v>0</v>
      </c>
      <c r="BE92" s="746">
        <f>-SUMIFS('1.DC_Ra soat'!$L:$L,'1.DC_Ra soat'!$F:$F,BE$4,'1.DC_Ra soat'!$H:$H,'1.BS (VND)'!$D92)+SUMIFS('1.DC_Ra soat'!$L:$L,'1.DC_Ra soat'!$F:$F,BE$4,'1.DC_Ra soat'!$I:$I,'1.BS (VND)'!$D92)</f>
        <v>0</v>
      </c>
      <c r="BF92" s="746">
        <f>-SUMIFS('1.DC_Ra soat'!$L:$L,'1.DC_Ra soat'!$F:$F,BF$4,'1.DC_Ra soat'!$H:$H,'1.BS (VND)'!$D92)+SUMIFS('1.DC_Ra soat'!$L:$L,'1.DC_Ra soat'!$F:$F,BF$4,'1.DC_Ra soat'!$I:$I,'1.BS (VND)'!$D92)</f>
        <v>0</v>
      </c>
      <c r="BG92" s="745"/>
      <c r="BH92" s="746">
        <f>-SUMIFS('1.DC_Ra soat'!$L:$L,'1.DC_Ra soat'!$F:$F,BH$4,'1.DC_Ra soat'!$H:$H,'1.BS (VND)'!$D92)+SUMIFS('1.DC_Ra soat'!$L:$L,'1.DC_Ra soat'!$F:$F,BH$4,'1.DC_Ra soat'!$I:$I,'1.BS (VND)'!$D92)</f>
        <v>0</v>
      </c>
      <c r="BI92" s="746">
        <f>-SUMIFS('1.DC_Ra soat'!$L:$L,'1.DC_Ra soat'!$F:$F,BI$4,'1.DC_Ra soat'!$H:$H,'1.BS (VND)'!$D92)+SUMIFS('1.DC_Ra soat'!$L:$L,'1.DC_Ra soat'!$F:$F,BI$4,'1.DC_Ra soat'!$I:$I,'1.BS (VND)'!$D92)</f>
        <v>0</v>
      </c>
      <c r="BJ92" s="746">
        <f>-SUMIFS('1.DC_Ra soat'!$L:$L,'1.DC_Ra soat'!$F:$F,BJ$4,'1.DC_Ra soat'!$H:$H,'1.BS (VND)'!$D92)+SUMIFS('1.DC_Ra soat'!$L:$L,'1.DC_Ra soat'!$F:$F,BJ$4,'1.DC_Ra soat'!$I:$I,'1.BS (VND)'!$D92)</f>
        <v>0</v>
      </c>
      <c r="BK92" s="746">
        <f>-SUMIFS('1.DC_Ra soat'!$L:$L,'1.DC_Ra soat'!$F:$F,BK$4,'1.DC_Ra soat'!$H:$H,'1.BS (VND)'!$D92)+SUMIFS('1.DC_Ra soat'!$L:$L,'1.DC_Ra soat'!$F:$F,BK$4,'1.DC_Ra soat'!$I:$I,'1.BS (VND)'!$D92)</f>
        <v>0</v>
      </c>
      <c r="BM92" s="746">
        <f t="shared" si="128"/>
        <v>0</v>
      </c>
      <c r="BN92" s="746">
        <f t="shared" si="129"/>
        <v>0</v>
      </c>
      <c r="BO92" s="746">
        <f t="shared" si="130"/>
        <v>0</v>
      </c>
      <c r="BP92" s="747">
        <f t="shared" si="131"/>
        <v>0</v>
      </c>
      <c r="BQ92" s="745"/>
      <c r="BR92" s="746">
        <f t="shared" si="132"/>
        <v>0</v>
      </c>
      <c r="BS92" s="746">
        <f t="shared" si="133"/>
        <v>0</v>
      </c>
      <c r="BT92" s="746">
        <f t="shared" si="134"/>
        <v>0</v>
      </c>
      <c r="BU92" s="746">
        <f t="shared" si="135"/>
        <v>0</v>
      </c>
      <c r="BV92" s="745"/>
      <c r="BW92" s="746">
        <f t="shared" si="136"/>
        <v>0</v>
      </c>
      <c r="BX92" s="746">
        <f t="shared" si="137"/>
        <v>0</v>
      </c>
      <c r="BY92" s="746">
        <f t="shared" si="138"/>
        <v>0</v>
      </c>
      <c r="BZ92" s="747">
        <f t="shared" si="139"/>
        <v>0</v>
      </c>
      <c r="CA92" s="745"/>
      <c r="CB92" s="747">
        <f t="shared" si="140"/>
        <v>0</v>
      </c>
      <c r="CC92" s="747">
        <f t="shared" si="141"/>
        <v>0</v>
      </c>
      <c r="CD92" s="747">
        <f t="shared" si="142"/>
        <v>0</v>
      </c>
      <c r="CE92" s="747">
        <f t="shared" si="143"/>
        <v>0</v>
      </c>
      <c r="CF92" s="745"/>
      <c r="CG92" s="747">
        <f t="shared" si="144"/>
        <v>0</v>
      </c>
      <c r="CH92" s="747">
        <f t="shared" si="145"/>
        <v>0</v>
      </c>
      <c r="CI92" s="747">
        <f t="shared" si="146"/>
        <v>0</v>
      </c>
      <c r="CJ92" s="747">
        <f t="shared" si="147"/>
        <v>0</v>
      </c>
      <c r="CK92" s="745"/>
      <c r="CL92" s="746">
        <f t="shared" si="148"/>
        <v>0</v>
      </c>
      <c r="CM92" s="746">
        <f t="shared" si="149"/>
        <v>0</v>
      </c>
      <c r="CN92" s="746">
        <f t="shared" si="150"/>
        <v>0</v>
      </c>
      <c r="CO92" s="747">
        <f t="shared" si="151"/>
        <v>0</v>
      </c>
      <c r="CQ92" s="746">
        <f>SUMIF('1.PL (VND) '!$BL$6:$CD$6,'1.PL (VND) '!CP$6,$BM92:$CE92)</f>
        <v>0</v>
      </c>
      <c r="CR92" s="746">
        <f>SUMIF('1.PL (VND) '!$BL$6:$CD$6,'1.PL (VND) '!CQ$6,$BM92:$CE92)</f>
        <v>0</v>
      </c>
      <c r="CS92" s="746">
        <f>SUMIF('1.PL (VND) '!$BL$6:$CD$6,'1.PL (VND) '!CR$6,$BM92:$CE92)</f>
        <v>0</v>
      </c>
      <c r="CT92" s="746">
        <f>SUMIF('1.PL (VND) '!$BL$6:$CD$6,'1.PL (VND) '!CS$6,$BM92:$CE92)</f>
        <v>0</v>
      </c>
      <c r="CV92" s="748">
        <f>-SUMIFS('1.DC_Ra soat'!$L:$L,'1.DC_Ra soat'!$F:$F,'1.PL (VND) '!DK$4,'1.DC_Ra soat'!$H:$H,'1.BS (VND)'!$D92)+SUMIFS('1.DC_Ra soat'!$L:$L,'1.DC_Ra soat'!$F:$F,'1.PL (VND) '!DK$4,'1.DC_Ra soat'!$I:$I,'1.BS (VND)'!$D92)</f>
        <v>0</v>
      </c>
      <c r="CW92" s="748">
        <f>-SUMIFS('1.DC_Ra soat'!$L:$L,'1.DC_Ra soat'!$F:$F,'1.PL (VND) '!DL$4,'1.DC_Ra soat'!$H:$H,'1.BS (VND)'!$D92)+SUMIFS('1.DC_Ra soat'!$L:$L,'1.DC_Ra soat'!$F:$F,'1.PL (VND) '!DL$4,'1.DC_Ra soat'!$I:$I,'1.BS (VND)'!$D92)</f>
        <v>0</v>
      </c>
      <c r="CX92" s="748">
        <f>-SUMIFS('1.DC_Ra soat'!$L:$L,'1.DC_Ra soat'!$F:$F,'1.PL (VND) '!DM$4,'1.DC_Ra soat'!$H:$H,'1.BS (VND)'!$D92)+SUMIFS('1.DC_Ra soat'!$L:$L,'1.DC_Ra soat'!$F:$F,'1.PL (VND) '!DM$4,'1.DC_Ra soat'!$I:$I,'1.BS (VND)'!$D92)</f>
        <v>0</v>
      </c>
      <c r="CY92" s="748">
        <f>-SUMIFS('1.DC_Ra soat'!$L:$L,'1.DC_Ra soat'!$F:$F,'1.PL (VND) '!DN$4,'1.DC_Ra soat'!$H:$H,'1.BS (VND)'!$D92)+SUMIFS('1.DC_Ra soat'!$L:$L,'1.DC_Ra soat'!$F:$F,'1.PL (VND) '!DN$4,'1.DC_Ra soat'!$I:$I,'1.BS (VND)'!$D92)</f>
        <v>0</v>
      </c>
      <c r="DA92" s="746">
        <f t="shared" si="157"/>
        <v>0</v>
      </c>
      <c r="DB92" s="746">
        <f t="shared" si="158"/>
        <v>0</v>
      </c>
      <c r="DC92" s="746">
        <f t="shared" si="159"/>
        <v>0</v>
      </c>
      <c r="DD92" s="746">
        <f t="shared" si="160"/>
        <v>0</v>
      </c>
    </row>
    <row r="93" spans="1:112" s="740" customFormat="1" x14ac:dyDescent="0.25">
      <c r="A93" s="248" t="str">
        <f t="shared" si="166"/>
        <v>hide</v>
      </c>
      <c r="C93" s="741" t="s">
        <v>445</v>
      </c>
      <c r="D93" s="742" t="s">
        <v>446</v>
      </c>
      <c r="E93" s="743"/>
      <c r="F93" s="743"/>
      <c r="G93" s="743"/>
      <c r="H93" s="744"/>
      <c r="I93" s="745"/>
      <c r="J93" s="746"/>
      <c r="K93" s="746"/>
      <c r="L93" s="746"/>
      <c r="M93" s="739">
        <v>0</v>
      </c>
      <c r="N93" s="745"/>
      <c r="O93" s="746"/>
      <c r="P93" s="746"/>
      <c r="Q93" s="746"/>
      <c r="R93" s="746"/>
      <c r="S93" s="745"/>
      <c r="T93" s="746"/>
      <c r="U93" s="746"/>
      <c r="V93" s="746"/>
      <c r="W93" s="746"/>
      <c r="X93" s="745"/>
      <c r="Y93" s="746"/>
      <c r="Z93" s="746"/>
      <c r="AA93" s="746"/>
      <c r="AB93" s="746"/>
      <c r="AC93" s="745"/>
      <c r="AD93" s="746"/>
      <c r="AE93" s="746"/>
      <c r="AF93" s="746"/>
      <c r="AG93" s="746"/>
      <c r="AI93" s="746">
        <f>-SUMIFS('1.DC_Ra soat'!$L:$L,'1.DC_Ra soat'!$F:$F,AI$4,'1.DC_Ra soat'!$H:$H,'1.BS (VND)'!$D93)+SUMIFS('1.DC_Ra soat'!$L:$L,'1.DC_Ra soat'!$F:$F,AI$4,'1.DC_Ra soat'!$I:$I,'1.BS (VND)'!$D93)</f>
        <v>0</v>
      </c>
      <c r="AJ93" s="746">
        <f>-SUMIFS('1.DC_Ra soat'!$L:$L,'1.DC_Ra soat'!$F:$F,AJ$4,'1.DC_Ra soat'!$H:$H,'1.BS (VND)'!$D93)+SUMIFS('1.DC_Ra soat'!$L:$L,'1.DC_Ra soat'!$F:$F,AJ$4,'1.DC_Ra soat'!$I:$I,'1.BS (VND)'!$D93)</f>
        <v>0</v>
      </c>
      <c r="AK93" s="746">
        <f>-SUMIFS('1.DC_Ra soat'!$L:$L,'1.DC_Ra soat'!$F:$F,AK$4,'1.DC_Ra soat'!$H:$H,'1.BS (VND)'!$D93)+SUMIFS('1.DC_Ra soat'!$L:$L,'1.DC_Ra soat'!$F:$F,AK$4,'1.DC_Ra soat'!$I:$I,'1.BS (VND)'!$D93)</f>
        <v>0</v>
      </c>
      <c r="AL93" s="746">
        <f>-SUMIFS('1.DC_Ra soat'!$L:$L,'1.DC_Ra soat'!$F:$F,AL$4,'1.DC_Ra soat'!$H:$H,'1.BS (VND)'!$D93)+SUMIFS('1.DC_Ra soat'!$L:$L,'1.DC_Ra soat'!$F:$F,AL$4,'1.DC_Ra soat'!$I:$I,'1.BS (VND)'!$D93)</f>
        <v>0</v>
      </c>
      <c r="AM93" s="745"/>
      <c r="AN93" s="746">
        <f>-SUMIFS('1.DC_Ra soat'!$L:$L,'1.DC_Ra soat'!$F:$F,AN$4,'1.DC_Ra soat'!$H:$H,'1.BS (VND)'!$D93)+SUMIFS('1.DC_Ra soat'!$L:$L,'1.DC_Ra soat'!$F:$F,AN$4,'1.DC_Ra soat'!$I:$I,'1.BS (VND)'!$D93)</f>
        <v>0</v>
      </c>
      <c r="AO93" s="746">
        <f>-SUMIFS('1.DC_Ra soat'!$L:$L,'1.DC_Ra soat'!$F:$F,AO$4,'1.DC_Ra soat'!$H:$H,'1.BS (VND)'!$D93)+SUMIFS('1.DC_Ra soat'!$L:$L,'1.DC_Ra soat'!$F:$F,AO$4,'1.DC_Ra soat'!$I:$I,'1.BS (VND)'!$D93)</f>
        <v>0</v>
      </c>
      <c r="AP93" s="746">
        <f>-SUMIFS('1.DC_Ra soat'!$L:$L,'1.DC_Ra soat'!$F:$F,AP$4,'1.DC_Ra soat'!$H:$H,'1.BS (VND)'!$D93)+SUMIFS('1.DC_Ra soat'!$L:$L,'1.DC_Ra soat'!$F:$F,AP$4,'1.DC_Ra soat'!$I:$I,'1.BS (VND)'!$D93)</f>
        <v>0</v>
      </c>
      <c r="AQ93" s="746">
        <f>-SUMIFS('1.DC_Ra soat'!$L:$L,'1.DC_Ra soat'!$F:$F,AQ$4,'1.DC_Ra soat'!$H:$H,'1.BS (VND)'!$D93)+SUMIFS('1.DC_Ra soat'!$L:$L,'1.DC_Ra soat'!$F:$F,AQ$4,'1.DC_Ra soat'!$I:$I,'1.BS (VND)'!$D93)</f>
        <v>0</v>
      </c>
      <c r="AR93" s="745"/>
      <c r="AS93" s="746">
        <f>-SUMIFS('1.DC_Ra soat'!$L:$L,'1.DC_Ra soat'!$F:$F,AS$4,'1.DC_Ra soat'!$H:$H,'1.BS (VND)'!$D93)+SUMIFS('1.DC_Ra soat'!$L:$L,'1.DC_Ra soat'!$F:$F,AS$4,'1.DC_Ra soat'!$I:$I,'1.BS (VND)'!$D93)</f>
        <v>0</v>
      </c>
      <c r="AT93" s="746">
        <f>-SUMIFS('1.DC_Ra soat'!$L:$L,'1.DC_Ra soat'!$F:$F,AT$4,'1.DC_Ra soat'!$H:$H,'1.BS (VND)'!$D93)+SUMIFS('1.DC_Ra soat'!$L:$L,'1.DC_Ra soat'!$F:$F,AT$4,'1.DC_Ra soat'!$I:$I,'1.BS (VND)'!$D93)</f>
        <v>0</v>
      </c>
      <c r="AU93" s="746">
        <f>-SUMIFS('1.DC_Ra soat'!$L:$L,'1.DC_Ra soat'!$F:$F,AU$4,'1.DC_Ra soat'!$H:$H,'1.BS (VND)'!$D93)+SUMIFS('1.DC_Ra soat'!$L:$L,'1.DC_Ra soat'!$F:$F,AU$4,'1.DC_Ra soat'!$I:$I,'1.BS (VND)'!$D93)</f>
        <v>0</v>
      </c>
      <c r="AV93" s="746">
        <f>-SUMIFS('1.DC_Ra soat'!$L:$L,'1.DC_Ra soat'!$F:$F,AV$4,'1.DC_Ra soat'!$H:$H,'1.BS (VND)'!$D93)+SUMIFS('1.DC_Ra soat'!$L:$L,'1.DC_Ra soat'!$F:$F,AV$4,'1.DC_Ra soat'!$I:$I,'1.BS (VND)'!$D93)</f>
        <v>0</v>
      </c>
      <c r="AW93" s="745"/>
      <c r="AX93" s="746">
        <f>-SUMIFS('1.DC_Ra soat'!$L:$L,'1.DC_Ra soat'!$F:$F,AX$4,'1.DC_Ra soat'!$H:$H,'1.BS (VND)'!$D93)+SUMIFS('1.DC_Ra soat'!$L:$L,'1.DC_Ra soat'!$F:$F,AX$4,'1.DC_Ra soat'!$I:$I,'1.BS (VND)'!$D93)</f>
        <v>0</v>
      </c>
      <c r="AY93" s="746">
        <f>-SUMIFS('1.DC_Ra soat'!$L:$L,'1.DC_Ra soat'!$F:$F,AY$4,'1.DC_Ra soat'!$H:$H,'1.BS (VND)'!$D93)+SUMIFS('1.DC_Ra soat'!$L:$L,'1.DC_Ra soat'!$F:$F,AY$4,'1.DC_Ra soat'!$I:$I,'1.BS (VND)'!$D93)</f>
        <v>0</v>
      </c>
      <c r="AZ93" s="746">
        <f>-SUMIFS('1.DC_Ra soat'!$L:$L,'1.DC_Ra soat'!$F:$F,AZ$4,'1.DC_Ra soat'!$H:$H,'1.BS (VND)'!$D93)+SUMIFS('1.DC_Ra soat'!$L:$L,'1.DC_Ra soat'!$F:$F,AZ$4,'1.DC_Ra soat'!$I:$I,'1.BS (VND)'!$D93)</f>
        <v>0</v>
      </c>
      <c r="BA93" s="746">
        <f>-SUMIFS('1.DC_Ra soat'!$L:$L,'1.DC_Ra soat'!$F:$F,BA$4,'1.DC_Ra soat'!$H:$H,'1.BS (VND)'!$D93)+SUMIFS('1.DC_Ra soat'!$L:$L,'1.DC_Ra soat'!$F:$F,BA$4,'1.DC_Ra soat'!$I:$I,'1.BS (VND)'!$D93)</f>
        <v>0</v>
      </c>
      <c r="BB93" s="745"/>
      <c r="BC93" s="746">
        <f>-SUMIFS('1.DC_Ra soat'!$L:$L,'1.DC_Ra soat'!$F:$F,BC$4,'1.DC_Ra soat'!$H:$H,'1.BS (VND)'!$D93)+SUMIFS('1.DC_Ra soat'!$L:$L,'1.DC_Ra soat'!$F:$F,BC$4,'1.DC_Ra soat'!$I:$I,'1.BS (VND)'!$D93)</f>
        <v>0</v>
      </c>
      <c r="BD93" s="746">
        <f>-SUMIFS('1.DC_Ra soat'!$L:$L,'1.DC_Ra soat'!$F:$F,BD$4,'1.DC_Ra soat'!$H:$H,'1.BS (VND)'!$D93)+SUMIFS('1.DC_Ra soat'!$L:$L,'1.DC_Ra soat'!$F:$F,BD$4,'1.DC_Ra soat'!$I:$I,'1.BS (VND)'!$D93)</f>
        <v>0</v>
      </c>
      <c r="BE93" s="746">
        <f>-SUMIFS('1.DC_Ra soat'!$L:$L,'1.DC_Ra soat'!$F:$F,BE$4,'1.DC_Ra soat'!$H:$H,'1.BS (VND)'!$D93)+SUMIFS('1.DC_Ra soat'!$L:$L,'1.DC_Ra soat'!$F:$F,BE$4,'1.DC_Ra soat'!$I:$I,'1.BS (VND)'!$D93)</f>
        <v>0</v>
      </c>
      <c r="BF93" s="746">
        <f>-SUMIFS('1.DC_Ra soat'!$L:$L,'1.DC_Ra soat'!$F:$F,BF$4,'1.DC_Ra soat'!$H:$H,'1.BS (VND)'!$D93)+SUMIFS('1.DC_Ra soat'!$L:$L,'1.DC_Ra soat'!$F:$F,BF$4,'1.DC_Ra soat'!$I:$I,'1.BS (VND)'!$D93)</f>
        <v>0</v>
      </c>
      <c r="BG93" s="745"/>
      <c r="BH93" s="746">
        <f>-SUMIFS('1.DC_Ra soat'!$L:$L,'1.DC_Ra soat'!$F:$F,BH$4,'1.DC_Ra soat'!$H:$H,'1.BS (VND)'!$D93)+SUMIFS('1.DC_Ra soat'!$L:$L,'1.DC_Ra soat'!$F:$F,BH$4,'1.DC_Ra soat'!$I:$I,'1.BS (VND)'!$D93)</f>
        <v>0</v>
      </c>
      <c r="BI93" s="746">
        <f>-SUMIFS('1.DC_Ra soat'!$L:$L,'1.DC_Ra soat'!$F:$F,BI$4,'1.DC_Ra soat'!$H:$H,'1.BS (VND)'!$D93)+SUMIFS('1.DC_Ra soat'!$L:$L,'1.DC_Ra soat'!$F:$F,BI$4,'1.DC_Ra soat'!$I:$I,'1.BS (VND)'!$D93)</f>
        <v>0</v>
      </c>
      <c r="BJ93" s="746">
        <f>-SUMIFS('1.DC_Ra soat'!$L:$L,'1.DC_Ra soat'!$F:$F,BJ$4,'1.DC_Ra soat'!$H:$H,'1.BS (VND)'!$D93)+SUMIFS('1.DC_Ra soat'!$L:$L,'1.DC_Ra soat'!$F:$F,BJ$4,'1.DC_Ra soat'!$I:$I,'1.BS (VND)'!$D93)</f>
        <v>0</v>
      </c>
      <c r="BK93" s="746">
        <f>-SUMIFS('1.DC_Ra soat'!$L:$L,'1.DC_Ra soat'!$F:$F,BK$4,'1.DC_Ra soat'!$H:$H,'1.BS (VND)'!$D93)+SUMIFS('1.DC_Ra soat'!$L:$L,'1.DC_Ra soat'!$F:$F,BK$4,'1.DC_Ra soat'!$I:$I,'1.BS (VND)'!$D93)</f>
        <v>0</v>
      </c>
      <c r="BM93" s="746">
        <f t="shared" si="128"/>
        <v>0</v>
      </c>
      <c r="BN93" s="746">
        <f t="shared" si="129"/>
        <v>0</v>
      </c>
      <c r="BO93" s="746">
        <f t="shared" si="130"/>
        <v>0</v>
      </c>
      <c r="BP93" s="747">
        <f t="shared" si="131"/>
        <v>0</v>
      </c>
      <c r="BQ93" s="745"/>
      <c r="BR93" s="746">
        <f t="shared" si="132"/>
        <v>0</v>
      </c>
      <c r="BS93" s="746">
        <f t="shared" si="133"/>
        <v>0</v>
      </c>
      <c r="BT93" s="746">
        <f t="shared" si="134"/>
        <v>0</v>
      </c>
      <c r="BU93" s="746">
        <f t="shared" si="135"/>
        <v>0</v>
      </c>
      <c r="BV93" s="745"/>
      <c r="BW93" s="746">
        <f t="shared" si="136"/>
        <v>0</v>
      </c>
      <c r="BX93" s="746">
        <f t="shared" si="137"/>
        <v>0</v>
      </c>
      <c r="BY93" s="746">
        <f t="shared" si="138"/>
        <v>0</v>
      </c>
      <c r="BZ93" s="747">
        <f t="shared" si="139"/>
        <v>0</v>
      </c>
      <c r="CA93" s="745"/>
      <c r="CB93" s="747">
        <f t="shared" si="140"/>
        <v>0</v>
      </c>
      <c r="CC93" s="747">
        <f t="shared" si="141"/>
        <v>0</v>
      </c>
      <c r="CD93" s="747">
        <f t="shared" si="142"/>
        <v>0</v>
      </c>
      <c r="CE93" s="747">
        <f t="shared" si="143"/>
        <v>0</v>
      </c>
      <c r="CF93" s="745"/>
      <c r="CG93" s="747">
        <f t="shared" si="144"/>
        <v>0</v>
      </c>
      <c r="CH93" s="747">
        <f t="shared" si="145"/>
        <v>0</v>
      </c>
      <c r="CI93" s="747">
        <f t="shared" si="146"/>
        <v>0</v>
      </c>
      <c r="CJ93" s="747">
        <f t="shared" si="147"/>
        <v>0</v>
      </c>
      <c r="CK93" s="745"/>
      <c r="CL93" s="746">
        <f t="shared" si="148"/>
        <v>0</v>
      </c>
      <c r="CM93" s="746">
        <f t="shared" si="149"/>
        <v>0</v>
      </c>
      <c r="CN93" s="746">
        <f t="shared" si="150"/>
        <v>0</v>
      </c>
      <c r="CO93" s="747">
        <f t="shared" si="151"/>
        <v>0</v>
      </c>
      <c r="CQ93" s="746">
        <f>SUMIF('1.PL (VND) '!$BL$6:$CD$6,'1.PL (VND) '!CP$6,$BM93:$CE93)</f>
        <v>0</v>
      </c>
      <c r="CR93" s="746">
        <f>SUMIF('1.PL (VND) '!$BL$6:$CD$6,'1.PL (VND) '!CQ$6,$BM93:$CE93)</f>
        <v>0</v>
      </c>
      <c r="CS93" s="746">
        <f>SUMIF('1.PL (VND) '!$BL$6:$CD$6,'1.PL (VND) '!CR$6,$BM93:$CE93)</f>
        <v>0</v>
      </c>
      <c r="CT93" s="746">
        <f>SUMIF('1.PL (VND) '!$BL$6:$CD$6,'1.PL (VND) '!CS$6,$BM93:$CE93)</f>
        <v>0</v>
      </c>
      <c r="CV93" s="748">
        <f>-SUMIFS('1.DC_Ra soat'!$L:$L,'1.DC_Ra soat'!$F:$F,'1.PL (VND) '!DK$4,'1.DC_Ra soat'!$H:$H,'1.BS (VND)'!$D93)+SUMIFS('1.DC_Ra soat'!$L:$L,'1.DC_Ra soat'!$F:$F,'1.PL (VND) '!DK$4,'1.DC_Ra soat'!$I:$I,'1.BS (VND)'!$D93)</f>
        <v>0</v>
      </c>
      <c r="CW93" s="748">
        <f>-SUMIFS('1.DC_Ra soat'!$L:$L,'1.DC_Ra soat'!$F:$F,'1.PL (VND) '!DL$4,'1.DC_Ra soat'!$H:$H,'1.BS (VND)'!$D93)+SUMIFS('1.DC_Ra soat'!$L:$L,'1.DC_Ra soat'!$F:$F,'1.PL (VND) '!DL$4,'1.DC_Ra soat'!$I:$I,'1.BS (VND)'!$D93)</f>
        <v>0</v>
      </c>
      <c r="CX93" s="748">
        <f>-SUMIFS('1.DC_Ra soat'!$L:$L,'1.DC_Ra soat'!$F:$F,'1.PL (VND) '!DM$4,'1.DC_Ra soat'!$H:$H,'1.BS (VND)'!$D93)+SUMIFS('1.DC_Ra soat'!$L:$L,'1.DC_Ra soat'!$F:$F,'1.PL (VND) '!DM$4,'1.DC_Ra soat'!$I:$I,'1.BS (VND)'!$D93)</f>
        <v>0</v>
      </c>
      <c r="CY93" s="748">
        <f>-SUMIFS('1.DC_Ra soat'!$L:$L,'1.DC_Ra soat'!$F:$F,'1.PL (VND) '!DN$4,'1.DC_Ra soat'!$H:$H,'1.BS (VND)'!$D93)+SUMIFS('1.DC_Ra soat'!$L:$L,'1.DC_Ra soat'!$F:$F,'1.PL (VND) '!DN$4,'1.DC_Ra soat'!$I:$I,'1.BS (VND)'!$D93)</f>
        <v>0</v>
      </c>
      <c r="DA93" s="746">
        <f t="shared" si="157"/>
        <v>0</v>
      </c>
      <c r="DB93" s="746">
        <f t="shared" si="158"/>
        <v>0</v>
      </c>
      <c r="DC93" s="746">
        <f t="shared" si="159"/>
        <v>0</v>
      </c>
      <c r="DD93" s="746">
        <f t="shared" si="160"/>
        <v>0</v>
      </c>
    </row>
    <row r="94" spans="1:112" s="740" customFormat="1" x14ac:dyDescent="0.25">
      <c r="A94" s="248" t="str">
        <f t="shared" si="166"/>
        <v>hide</v>
      </c>
      <c r="C94" s="741" t="s">
        <v>447</v>
      </c>
      <c r="D94" s="742" t="s">
        <v>448</v>
      </c>
      <c r="E94" s="743"/>
      <c r="F94" s="743"/>
      <c r="G94" s="743"/>
      <c r="H94" s="744"/>
      <c r="I94" s="745"/>
      <c r="J94" s="746"/>
      <c r="K94" s="746"/>
      <c r="L94" s="746"/>
      <c r="M94" s="739">
        <v>0</v>
      </c>
      <c r="N94" s="745"/>
      <c r="O94" s="746"/>
      <c r="P94" s="746"/>
      <c r="Q94" s="746"/>
      <c r="R94" s="746"/>
      <c r="S94" s="745"/>
      <c r="T94" s="746"/>
      <c r="U94" s="746"/>
      <c r="V94" s="746"/>
      <c r="W94" s="746"/>
      <c r="X94" s="745"/>
      <c r="Y94" s="746"/>
      <c r="Z94" s="746"/>
      <c r="AA94" s="746"/>
      <c r="AB94" s="746"/>
      <c r="AC94" s="745"/>
      <c r="AD94" s="746"/>
      <c r="AE94" s="746"/>
      <c r="AF94" s="746"/>
      <c r="AG94" s="746"/>
      <c r="AI94" s="746">
        <f>-SUMIFS('1.DC_Ra soat'!$L:$L,'1.DC_Ra soat'!$F:$F,AI$4,'1.DC_Ra soat'!$H:$H,'1.BS (VND)'!$D94)+SUMIFS('1.DC_Ra soat'!$L:$L,'1.DC_Ra soat'!$F:$F,AI$4,'1.DC_Ra soat'!$I:$I,'1.BS (VND)'!$D94)</f>
        <v>0</v>
      </c>
      <c r="AJ94" s="746">
        <f>-SUMIFS('1.DC_Ra soat'!$L:$L,'1.DC_Ra soat'!$F:$F,AJ$4,'1.DC_Ra soat'!$H:$H,'1.BS (VND)'!$D94)+SUMIFS('1.DC_Ra soat'!$L:$L,'1.DC_Ra soat'!$F:$F,AJ$4,'1.DC_Ra soat'!$I:$I,'1.BS (VND)'!$D94)</f>
        <v>0</v>
      </c>
      <c r="AK94" s="746">
        <f>-SUMIFS('1.DC_Ra soat'!$L:$L,'1.DC_Ra soat'!$F:$F,AK$4,'1.DC_Ra soat'!$H:$H,'1.BS (VND)'!$D94)+SUMIFS('1.DC_Ra soat'!$L:$L,'1.DC_Ra soat'!$F:$F,AK$4,'1.DC_Ra soat'!$I:$I,'1.BS (VND)'!$D94)</f>
        <v>0</v>
      </c>
      <c r="AL94" s="746">
        <f>-SUMIFS('1.DC_Ra soat'!$L:$L,'1.DC_Ra soat'!$F:$F,AL$4,'1.DC_Ra soat'!$H:$H,'1.BS (VND)'!$D94)+SUMIFS('1.DC_Ra soat'!$L:$L,'1.DC_Ra soat'!$F:$F,AL$4,'1.DC_Ra soat'!$I:$I,'1.BS (VND)'!$D94)</f>
        <v>0</v>
      </c>
      <c r="AM94" s="745"/>
      <c r="AN94" s="746">
        <f>-SUMIFS('1.DC_Ra soat'!$L:$L,'1.DC_Ra soat'!$F:$F,AN$4,'1.DC_Ra soat'!$H:$H,'1.BS (VND)'!$D94)+SUMIFS('1.DC_Ra soat'!$L:$L,'1.DC_Ra soat'!$F:$F,AN$4,'1.DC_Ra soat'!$I:$I,'1.BS (VND)'!$D94)</f>
        <v>0</v>
      </c>
      <c r="AO94" s="746">
        <f>-SUMIFS('1.DC_Ra soat'!$L:$L,'1.DC_Ra soat'!$F:$F,AO$4,'1.DC_Ra soat'!$H:$H,'1.BS (VND)'!$D94)+SUMIFS('1.DC_Ra soat'!$L:$L,'1.DC_Ra soat'!$F:$F,AO$4,'1.DC_Ra soat'!$I:$I,'1.BS (VND)'!$D94)</f>
        <v>0</v>
      </c>
      <c r="AP94" s="746">
        <f>-SUMIFS('1.DC_Ra soat'!$L:$L,'1.DC_Ra soat'!$F:$F,AP$4,'1.DC_Ra soat'!$H:$H,'1.BS (VND)'!$D94)+SUMIFS('1.DC_Ra soat'!$L:$L,'1.DC_Ra soat'!$F:$F,AP$4,'1.DC_Ra soat'!$I:$I,'1.BS (VND)'!$D94)</f>
        <v>0</v>
      </c>
      <c r="AQ94" s="746">
        <f>-SUMIFS('1.DC_Ra soat'!$L:$L,'1.DC_Ra soat'!$F:$F,AQ$4,'1.DC_Ra soat'!$H:$H,'1.BS (VND)'!$D94)+SUMIFS('1.DC_Ra soat'!$L:$L,'1.DC_Ra soat'!$F:$F,AQ$4,'1.DC_Ra soat'!$I:$I,'1.BS (VND)'!$D94)</f>
        <v>0</v>
      </c>
      <c r="AR94" s="745"/>
      <c r="AS94" s="746">
        <f>-SUMIFS('1.DC_Ra soat'!$L:$L,'1.DC_Ra soat'!$F:$F,AS$4,'1.DC_Ra soat'!$H:$H,'1.BS (VND)'!$D94)+SUMIFS('1.DC_Ra soat'!$L:$L,'1.DC_Ra soat'!$F:$F,AS$4,'1.DC_Ra soat'!$I:$I,'1.BS (VND)'!$D94)</f>
        <v>0</v>
      </c>
      <c r="AT94" s="746">
        <f>-SUMIFS('1.DC_Ra soat'!$L:$L,'1.DC_Ra soat'!$F:$F,AT$4,'1.DC_Ra soat'!$H:$H,'1.BS (VND)'!$D94)+SUMIFS('1.DC_Ra soat'!$L:$L,'1.DC_Ra soat'!$F:$F,AT$4,'1.DC_Ra soat'!$I:$I,'1.BS (VND)'!$D94)</f>
        <v>0</v>
      </c>
      <c r="AU94" s="746">
        <f>-SUMIFS('1.DC_Ra soat'!$L:$L,'1.DC_Ra soat'!$F:$F,AU$4,'1.DC_Ra soat'!$H:$H,'1.BS (VND)'!$D94)+SUMIFS('1.DC_Ra soat'!$L:$L,'1.DC_Ra soat'!$F:$F,AU$4,'1.DC_Ra soat'!$I:$I,'1.BS (VND)'!$D94)</f>
        <v>0</v>
      </c>
      <c r="AV94" s="746">
        <f>-SUMIFS('1.DC_Ra soat'!$L:$L,'1.DC_Ra soat'!$F:$F,AV$4,'1.DC_Ra soat'!$H:$H,'1.BS (VND)'!$D94)+SUMIFS('1.DC_Ra soat'!$L:$L,'1.DC_Ra soat'!$F:$F,AV$4,'1.DC_Ra soat'!$I:$I,'1.BS (VND)'!$D94)</f>
        <v>0</v>
      </c>
      <c r="AW94" s="745"/>
      <c r="AX94" s="746">
        <f>-SUMIFS('1.DC_Ra soat'!$L:$L,'1.DC_Ra soat'!$F:$F,AX$4,'1.DC_Ra soat'!$H:$H,'1.BS (VND)'!$D94)+SUMIFS('1.DC_Ra soat'!$L:$L,'1.DC_Ra soat'!$F:$F,AX$4,'1.DC_Ra soat'!$I:$I,'1.BS (VND)'!$D94)</f>
        <v>0</v>
      </c>
      <c r="AY94" s="746">
        <f>-SUMIFS('1.DC_Ra soat'!$L:$L,'1.DC_Ra soat'!$F:$F,AY$4,'1.DC_Ra soat'!$H:$H,'1.BS (VND)'!$D94)+SUMIFS('1.DC_Ra soat'!$L:$L,'1.DC_Ra soat'!$F:$F,AY$4,'1.DC_Ra soat'!$I:$I,'1.BS (VND)'!$D94)</f>
        <v>0</v>
      </c>
      <c r="AZ94" s="746">
        <f>-SUMIFS('1.DC_Ra soat'!$L:$L,'1.DC_Ra soat'!$F:$F,AZ$4,'1.DC_Ra soat'!$H:$H,'1.BS (VND)'!$D94)+SUMIFS('1.DC_Ra soat'!$L:$L,'1.DC_Ra soat'!$F:$F,AZ$4,'1.DC_Ra soat'!$I:$I,'1.BS (VND)'!$D94)</f>
        <v>0</v>
      </c>
      <c r="BA94" s="746">
        <f>-SUMIFS('1.DC_Ra soat'!$L:$L,'1.DC_Ra soat'!$F:$F,BA$4,'1.DC_Ra soat'!$H:$H,'1.BS (VND)'!$D94)+SUMIFS('1.DC_Ra soat'!$L:$L,'1.DC_Ra soat'!$F:$F,BA$4,'1.DC_Ra soat'!$I:$I,'1.BS (VND)'!$D94)</f>
        <v>0</v>
      </c>
      <c r="BB94" s="745"/>
      <c r="BC94" s="746">
        <f>-SUMIFS('1.DC_Ra soat'!$L:$L,'1.DC_Ra soat'!$F:$F,BC$4,'1.DC_Ra soat'!$H:$H,'1.BS (VND)'!$D94)+SUMIFS('1.DC_Ra soat'!$L:$L,'1.DC_Ra soat'!$F:$F,BC$4,'1.DC_Ra soat'!$I:$I,'1.BS (VND)'!$D94)</f>
        <v>0</v>
      </c>
      <c r="BD94" s="746">
        <f>-SUMIFS('1.DC_Ra soat'!$L:$L,'1.DC_Ra soat'!$F:$F,BD$4,'1.DC_Ra soat'!$H:$H,'1.BS (VND)'!$D94)+SUMIFS('1.DC_Ra soat'!$L:$L,'1.DC_Ra soat'!$F:$F,BD$4,'1.DC_Ra soat'!$I:$I,'1.BS (VND)'!$D94)</f>
        <v>0</v>
      </c>
      <c r="BE94" s="746">
        <f>-SUMIFS('1.DC_Ra soat'!$L:$L,'1.DC_Ra soat'!$F:$F,BE$4,'1.DC_Ra soat'!$H:$H,'1.BS (VND)'!$D94)+SUMIFS('1.DC_Ra soat'!$L:$L,'1.DC_Ra soat'!$F:$F,BE$4,'1.DC_Ra soat'!$I:$I,'1.BS (VND)'!$D94)</f>
        <v>0</v>
      </c>
      <c r="BF94" s="746">
        <f>-SUMIFS('1.DC_Ra soat'!$L:$L,'1.DC_Ra soat'!$F:$F,BF$4,'1.DC_Ra soat'!$H:$H,'1.BS (VND)'!$D94)+SUMIFS('1.DC_Ra soat'!$L:$L,'1.DC_Ra soat'!$F:$F,BF$4,'1.DC_Ra soat'!$I:$I,'1.BS (VND)'!$D94)</f>
        <v>0</v>
      </c>
      <c r="BG94" s="745"/>
      <c r="BH94" s="746">
        <f>-SUMIFS('1.DC_Ra soat'!$L:$L,'1.DC_Ra soat'!$F:$F,BH$4,'1.DC_Ra soat'!$H:$H,'1.BS (VND)'!$D94)+SUMIFS('1.DC_Ra soat'!$L:$L,'1.DC_Ra soat'!$F:$F,BH$4,'1.DC_Ra soat'!$I:$I,'1.BS (VND)'!$D94)</f>
        <v>0</v>
      </c>
      <c r="BI94" s="746">
        <f>-SUMIFS('1.DC_Ra soat'!$L:$L,'1.DC_Ra soat'!$F:$F,BI$4,'1.DC_Ra soat'!$H:$H,'1.BS (VND)'!$D94)+SUMIFS('1.DC_Ra soat'!$L:$L,'1.DC_Ra soat'!$F:$F,BI$4,'1.DC_Ra soat'!$I:$I,'1.BS (VND)'!$D94)</f>
        <v>0</v>
      </c>
      <c r="BJ94" s="746">
        <f>-SUMIFS('1.DC_Ra soat'!$L:$L,'1.DC_Ra soat'!$F:$F,BJ$4,'1.DC_Ra soat'!$H:$H,'1.BS (VND)'!$D94)+SUMIFS('1.DC_Ra soat'!$L:$L,'1.DC_Ra soat'!$F:$F,BJ$4,'1.DC_Ra soat'!$I:$I,'1.BS (VND)'!$D94)</f>
        <v>0</v>
      </c>
      <c r="BK94" s="746">
        <f>-SUMIFS('1.DC_Ra soat'!$L:$L,'1.DC_Ra soat'!$F:$F,BK$4,'1.DC_Ra soat'!$H:$H,'1.BS (VND)'!$D94)+SUMIFS('1.DC_Ra soat'!$L:$L,'1.DC_Ra soat'!$F:$F,BK$4,'1.DC_Ra soat'!$I:$I,'1.BS (VND)'!$D94)</f>
        <v>0</v>
      </c>
      <c r="BM94" s="746">
        <f t="shared" si="128"/>
        <v>0</v>
      </c>
      <c r="BN94" s="746">
        <f t="shared" si="129"/>
        <v>0</v>
      </c>
      <c r="BO94" s="746">
        <f t="shared" si="130"/>
        <v>0</v>
      </c>
      <c r="BP94" s="747">
        <f t="shared" si="131"/>
        <v>0</v>
      </c>
      <c r="BQ94" s="745"/>
      <c r="BR94" s="746">
        <f t="shared" si="132"/>
        <v>0</v>
      </c>
      <c r="BS94" s="746">
        <f t="shared" si="133"/>
        <v>0</v>
      </c>
      <c r="BT94" s="746">
        <f t="shared" si="134"/>
        <v>0</v>
      </c>
      <c r="BU94" s="746">
        <f t="shared" si="135"/>
        <v>0</v>
      </c>
      <c r="BV94" s="745"/>
      <c r="BW94" s="746">
        <f t="shared" si="136"/>
        <v>0</v>
      </c>
      <c r="BX94" s="746">
        <f t="shared" si="137"/>
        <v>0</v>
      </c>
      <c r="BY94" s="746">
        <f t="shared" si="138"/>
        <v>0</v>
      </c>
      <c r="BZ94" s="747">
        <f t="shared" si="139"/>
        <v>0</v>
      </c>
      <c r="CA94" s="745"/>
      <c r="CB94" s="747">
        <f t="shared" si="140"/>
        <v>0</v>
      </c>
      <c r="CC94" s="747">
        <f t="shared" si="141"/>
        <v>0</v>
      </c>
      <c r="CD94" s="747">
        <f t="shared" si="142"/>
        <v>0</v>
      </c>
      <c r="CE94" s="747">
        <f t="shared" si="143"/>
        <v>0</v>
      </c>
      <c r="CF94" s="745"/>
      <c r="CG94" s="747">
        <f t="shared" si="144"/>
        <v>0</v>
      </c>
      <c r="CH94" s="747">
        <f t="shared" si="145"/>
        <v>0</v>
      </c>
      <c r="CI94" s="747">
        <f t="shared" si="146"/>
        <v>0</v>
      </c>
      <c r="CJ94" s="747">
        <f t="shared" si="147"/>
        <v>0</v>
      </c>
      <c r="CK94" s="745"/>
      <c r="CL94" s="746">
        <f t="shared" si="148"/>
        <v>0</v>
      </c>
      <c r="CM94" s="746">
        <f t="shared" si="149"/>
        <v>0</v>
      </c>
      <c r="CN94" s="746">
        <f t="shared" si="150"/>
        <v>0</v>
      </c>
      <c r="CO94" s="747">
        <f t="shared" si="151"/>
        <v>0</v>
      </c>
      <c r="CQ94" s="746">
        <f>SUMIF('1.PL (VND) '!$BL$6:$CD$6,'1.PL (VND) '!CP$6,$BM94:$CE94)</f>
        <v>0</v>
      </c>
      <c r="CR94" s="746">
        <f>SUMIF('1.PL (VND) '!$BL$6:$CD$6,'1.PL (VND) '!CQ$6,$BM94:$CE94)</f>
        <v>0</v>
      </c>
      <c r="CS94" s="746">
        <f>SUMIF('1.PL (VND) '!$BL$6:$CD$6,'1.PL (VND) '!CR$6,$BM94:$CE94)</f>
        <v>0</v>
      </c>
      <c r="CT94" s="746">
        <f>SUMIF('1.PL (VND) '!$BL$6:$CD$6,'1.PL (VND) '!CS$6,$BM94:$CE94)</f>
        <v>0</v>
      </c>
      <c r="CV94" s="748">
        <f>-SUMIFS('1.DC_Ra soat'!$L:$L,'1.DC_Ra soat'!$F:$F,'1.PL (VND) '!DK$4,'1.DC_Ra soat'!$H:$H,'1.BS (VND)'!$D94)+SUMIFS('1.DC_Ra soat'!$L:$L,'1.DC_Ra soat'!$F:$F,'1.PL (VND) '!DK$4,'1.DC_Ra soat'!$I:$I,'1.BS (VND)'!$D94)</f>
        <v>0</v>
      </c>
      <c r="CW94" s="748">
        <f>-SUMIFS('1.DC_Ra soat'!$L:$L,'1.DC_Ra soat'!$F:$F,'1.PL (VND) '!DL$4,'1.DC_Ra soat'!$H:$H,'1.BS (VND)'!$D94)+SUMIFS('1.DC_Ra soat'!$L:$L,'1.DC_Ra soat'!$F:$F,'1.PL (VND) '!DL$4,'1.DC_Ra soat'!$I:$I,'1.BS (VND)'!$D94)</f>
        <v>0</v>
      </c>
      <c r="CX94" s="748">
        <f>-SUMIFS('1.DC_Ra soat'!$L:$L,'1.DC_Ra soat'!$F:$F,'1.PL (VND) '!DM$4,'1.DC_Ra soat'!$H:$H,'1.BS (VND)'!$D94)+SUMIFS('1.DC_Ra soat'!$L:$L,'1.DC_Ra soat'!$F:$F,'1.PL (VND) '!DM$4,'1.DC_Ra soat'!$I:$I,'1.BS (VND)'!$D94)</f>
        <v>0</v>
      </c>
      <c r="CY94" s="748">
        <f>-SUMIFS('1.DC_Ra soat'!$L:$L,'1.DC_Ra soat'!$F:$F,'1.PL (VND) '!DN$4,'1.DC_Ra soat'!$H:$H,'1.BS (VND)'!$D94)+SUMIFS('1.DC_Ra soat'!$L:$L,'1.DC_Ra soat'!$F:$F,'1.PL (VND) '!DN$4,'1.DC_Ra soat'!$I:$I,'1.BS (VND)'!$D94)</f>
        <v>0</v>
      </c>
      <c r="DA94" s="746">
        <f t="shared" si="157"/>
        <v>0</v>
      </c>
      <c r="DB94" s="746">
        <f t="shared" si="158"/>
        <v>0</v>
      </c>
      <c r="DC94" s="746">
        <f t="shared" si="159"/>
        <v>0</v>
      </c>
      <c r="DD94" s="746">
        <f t="shared" si="160"/>
        <v>0</v>
      </c>
    </row>
    <row r="95" spans="1:112" s="740" customFormat="1" x14ac:dyDescent="0.25">
      <c r="A95" s="248" t="str">
        <f t="shared" si="166"/>
        <v>hide</v>
      </c>
      <c r="C95" s="741" t="s">
        <v>449</v>
      </c>
      <c r="D95" s="742" t="s">
        <v>450</v>
      </c>
      <c r="E95" s="743"/>
      <c r="F95" s="743"/>
      <c r="G95" s="743"/>
      <c r="H95" s="744"/>
      <c r="I95" s="745"/>
      <c r="J95" s="746"/>
      <c r="K95" s="746"/>
      <c r="L95" s="746"/>
      <c r="M95" s="739">
        <v>0</v>
      </c>
      <c r="N95" s="745"/>
      <c r="O95" s="746"/>
      <c r="P95" s="746"/>
      <c r="Q95" s="746"/>
      <c r="R95" s="746"/>
      <c r="S95" s="745"/>
      <c r="T95" s="746"/>
      <c r="U95" s="746"/>
      <c r="V95" s="746"/>
      <c r="W95" s="746"/>
      <c r="X95" s="745"/>
      <c r="Y95" s="746"/>
      <c r="Z95" s="746"/>
      <c r="AA95" s="746"/>
      <c r="AB95" s="746"/>
      <c r="AC95" s="745"/>
      <c r="AD95" s="746"/>
      <c r="AE95" s="746"/>
      <c r="AF95" s="746"/>
      <c r="AG95" s="746"/>
      <c r="AI95" s="746">
        <f>-SUMIFS('1.DC_Ra soat'!$L:$L,'1.DC_Ra soat'!$F:$F,AI$4,'1.DC_Ra soat'!$H:$H,'1.BS (VND)'!$D95)+SUMIFS('1.DC_Ra soat'!$L:$L,'1.DC_Ra soat'!$F:$F,AI$4,'1.DC_Ra soat'!$I:$I,'1.BS (VND)'!$D95)</f>
        <v>0</v>
      </c>
      <c r="AJ95" s="746">
        <f>-SUMIFS('1.DC_Ra soat'!$L:$L,'1.DC_Ra soat'!$F:$F,AJ$4,'1.DC_Ra soat'!$H:$H,'1.BS (VND)'!$D95)+SUMIFS('1.DC_Ra soat'!$L:$L,'1.DC_Ra soat'!$F:$F,AJ$4,'1.DC_Ra soat'!$I:$I,'1.BS (VND)'!$D95)</f>
        <v>0</v>
      </c>
      <c r="AK95" s="746">
        <f>-SUMIFS('1.DC_Ra soat'!$L:$L,'1.DC_Ra soat'!$F:$F,AK$4,'1.DC_Ra soat'!$H:$H,'1.BS (VND)'!$D95)+SUMIFS('1.DC_Ra soat'!$L:$L,'1.DC_Ra soat'!$F:$F,AK$4,'1.DC_Ra soat'!$I:$I,'1.BS (VND)'!$D95)</f>
        <v>0</v>
      </c>
      <c r="AL95" s="746">
        <f>-SUMIFS('1.DC_Ra soat'!$L:$L,'1.DC_Ra soat'!$F:$F,AL$4,'1.DC_Ra soat'!$H:$H,'1.BS (VND)'!$D95)+SUMIFS('1.DC_Ra soat'!$L:$L,'1.DC_Ra soat'!$F:$F,AL$4,'1.DC_Ra soat'!$I:$I,'1.BS (VND)'!$D95)</f>
        <v>0</v>
      </c>
      <c r="AM95" s="745"/>
      <c r="AN95" s="746">
        <f>-SUMIFS('1.DC_Ra soat'!$L:$L,'1.DC_Ra soat'!$F:$F,AN$4,'1.DC_Ra soat'!$H:$H,'1.BS (VND)'!$D95)+SUMIFS('1.DC_Ra soat'!$L:$L,'1.DC_Ra soat'!$F:$F,AN$4,'1.DC_Ra soat'!$I:$I,'1.BS (VND)'!$D95)</f>
        <v>0</v>
      </c>
      <c r="AO95" s="746">
        <f>-SUMIFS('1.DC_Ra soat'!$L:$L,'1.DC_Ra soat'!$F:$F,AO$4,'1.DC_Ra soat'!$H:$H,'1.BS (VND)'!$D95)+SUMIFS('1.DC_Ra soat'!$L:$L,'1.DC_Ra soat'!$F:$F,AO$4,'1.DC_Ra soat'!$I:$I,'1.BS (VND)'!$D95)</f>
        <v>0</v>
      </c>
      <c r="AP95" s="746">
        <f>-SUMIFS('1.DC_Ra soat'!$L:$L,'1.DC_Ra soat'!$F:$F,AP$4,'1.DC_Ra soat'!$H:$H,'1.BS (VND)'!$D95)+SUMIFS('1.DC_Ra soat'!$L:$L,'1.DC_Ra soat'!$F:$F,AP$4,'1.DC_Ra soat'!$I:$I,'1.BS (VND)'!$D95)</f>
        <v>0</v>
      </c>
      <c r="AQ95" s="746">
        <f>-SUMIFS('1.DC_Ra soat'!$L:$L,'1.DC_Ra soat'!$F:$F,AQ$4,'1.DC_Ra soat'!$H:$H,'1.BS (VND)'!$D95)+SUMIFS('1.DC_Ra soat'!$L:$L,'1.DC_Ra soat'!$F:$F,AQ$4,'1.DC_Ra soat'!$I:$I,'1.BS (VND)'!$D95)</f>
        <v>0</v>
      </c>
      <c r="AR95" s="745"/>
      <c r="AS95" s="746">
        <f>-SUMIFS('1.DC_Ra soat'!$L:$L,'1.DC_Ra soat'!$F:$F,AS$4,'1.DC_Ra soat'!$H:$H,'1.BS (VND)'!$D95)+SUMIFS('1.DC_Ra soat'!$L:$L,'1.DC_Ra soat'!$F:$F,AS$4,'1.DC_Ra soat'!$I:$I,'1.BS (VND)'!$D95)</f>
        <v>0</v>
      </c>
      <c r="AT95" s="746">
        <f>-SUMIFS('1.DC_Ra soat'!$L:$L,'1.DC_Ra soat'!$F:$F,AT$4,'1.DC_Ra soat'!$H:$H,'1.BS (VND)'!$D95)+SUMIFS('1.DC_Ra soat'!$L:$L,'1.DC_Ra soat'!$F:$F,AT$4,'1.DC_Ra soat'!$I:$I,'1.BS (VND)'!$D95)</f>
        <v>0</v>
      </c>
      <c r="AU95" s="746">
        <f>-SUMIFS('1.DC_Ra soat'!$L:$L,'1.DC_Ra soat'!$F:$F,AU$4,'1.DC_Ra soat'!$H:$H,'1.BS (VND)'!$D95)+SUMIFS('1.DC_Ra soat'!$L:$L,'1.DC_Ra soat'!$F:$F,AU$4,'1.DC_Ra soat'!$I:$I,'1.BS (VND)'!$D95)</f>
        <v>0</v>
      </c>
      <c r="AV95" s="746">
        <f>-SUMIFS('1.DC_Ra soat'!$L:$L,'1.DC_Ra soat'!$F:$F,AV$4,'1.DC_Ra soat'!$H:$H,'1.BS (VND)'!$D95)+SUMIFS('1.DC_Ra soat'!$L:$L,'1.DC_Ra soat'!$F:$F,AV$4,'1.DC_Ra soat'!$I:$I,'1.BS (VND)'!$D95)</f>
        <v>0</v>
      </c>
      <c r="AW95" s="745"/>
      <c r="AX95" s="746">
        <f>-SUMIFS('1.DC_Ra soat'!$L:$L,'1.DC_Ra soat'!$F:$F,AX$4,'1.DC_Ra soat'!$H:$H,'1.BS (VND)'!$D95)+SUMIFS('1.DC_Ra soat'!$L:$L,'1.DC_Ra soat'!$F:$F,AX$4,'1.DC_Ra soat'!$I:$I,'1.BS (VND)'!$D95)</f>
        <v>0</v>
      </c>
      <c r="AY95" s="746">
        <f>-SUMIFS('1.DC_Ra soat'!$L:$L,'1.DC_Ra soat'!$F:$F,AY$4,'1.DC_Ra soat'!$H:$H,'1.BS (VND)'!$D95)+SUMIFS('1.DC_Ra soat'!$L:$L,'1.DC_Ra soat'!$F:$F,AY$4,'1.DC_Ra soat'!$I:$I,'1.BS (VND)'!$D95)</f>
        <v>0</v>
      </c>
      <c r="AZ95" s="746">
        <f>-SUMIFS('1.DC_Ra soat'!$L:$L,'1.DC_Ra soat'!$F:$F,AZ$4,'1.DC_Ra soat'!$H:$H,'1.BS (VND)'!$D95)+SUMIFS('1.DC_Ra soat'!$L:$L,'1.DC_Ra soat'!$F:$F,AZ$4,'1.DC_Ra soat'!$I:$I,'1.BS (VND)'!$D95)</f>
        <v>0</v>
      </c>
      <c r="BA95" s="746">
        <f>-SUMIFS('1.DC_Ra soat'!$L:$L,'1.DC_Ra soat'!$F:$F,BA$4,'1.DC_Ra soat'!$H:$H,'1.BS (VND)'!$D95)+SUMIFS('1.DC_Ra soat'!$L:$L,'1.DC_Ra soat'!$F:$F,BA$4,'1.DC_Ra soat'!$I:$I,'1.BS (VND)'!$D95)</f>
        <v>0</v>
      </c>
      <c r="BB95" s="745"/>
      <c r="BC95" s="746">
        <f>-SUMIFS('1.DC_Ra soat'!$L:$L,'1.DC_Ra soat'!$F:$F,BC$4,'1.DC_Ra soat'!$H:$H,'1.BS (VND)'!$D95)+SUMIFS('1.DC_Ra soat'!$L:$L,'1.DC_Ra soat'!$F:$F,BC$4,'1.DC_Ra soat'!$I:$I,'1.BS (VND)'!$D95)</f>
        <v>0</v>
      </c>
      <c r="BD95" s="746">
        <f>-SUMIFS('1.DC_Ra soat'!$L:$L,'1.DC_Ra soat'!$F:$F,BD$4,'1.DC_Ra soat'!$H:$H,'1.BS (VND)'!$D95)+SUMIFS('1.DC_Ra soat'!$L:$L,'1.DC_Ra soat'!$F:$F,BD$4,'1.DC_Ra soat'!$I:$I,'1.BS (VND)'!$D95)</f>
        <v>0</v>
      </c>
      <c r="BE95" s="746">
        <f>-SUMIFS('1.DC_Ra soat'!$L:$L,'1.DC_Ra soat'!$F:$F,BE$4,'1.DC_Ra soat'!$H:$H,'1.BS (VND)'!$D95)+SUMIFS('1.DC_Ra soat'!$L:$L,'1.DC_Ra soat'!$F:$F,BE$4,'1.DC_Ra soat'!$I:$I,'1.BS (VND)'!$D95)</f>
        <v>0</v>
      </c>
      <c r="BF95" s="746">
        <f>-SUMIFS('1.DC_Ra soat'!$L:$L,'1.DC_Ra soat'!$F:$F,BF$4,'1.DC_Ra soat'!$H:$H,'1.BS (VND)'!$D95)+SUMIFS('1.DC_Ra soat'!$L:$L,'1.DC_Ra soat'!$F:$F,BF$4,'1.DC_Ra soat'!$I:$I,'1.BS (VND)'!$D95)</f>
        <v>0</v>
      </c>
      <c r="BG95" s="745"/>
      <c r="BH95" s="746">
        <f>-SUMIFS('1.DC_Ra soat'!$L:$L,'1.DC_Ra soat'!$F:$F,BH$4,'1.DC_Ra soat'!$H:$H,'1.BS (VND)'!$D95)+SUMIFS('1.DC_Ra soat'!$L:$L,'1.DC_Ra soat'!$F:$F,BH$4,'1.DC_Ra soat'!$I:$I,'1.BS (VND)'!$D95)</f>
        <v>0</v>
      </c>
      <c r="BI95" s="746">
        <f>-SUMIFS('1.DC_Ra soat'!$L:$L,'1.DC_Ra soat'!$F:$F,BI$4,'1.DC_Ra soat'!$H:$H,'1.BS (VND)'!$D95)+SUMIFS('1.DC_Ra soat'!$L:$L,'1.DC_Ra soat'!$F:$F,BI$4,'1.DC_Ra soat'!$I:$I,'1.BS (VND)'!$D95)</f>
        <v>0</v>
      </c>
      <c r="BJ95" s="746">
        <f>-SUMIFS('1.DC_Ra soat'!$L:$L,'1.DC_Ra soat'!$F:$F,BJ$4,'1.DC_Ra soat'!$H:$H,'1.BS (VND)'!$D95)+SUMIFS('1.DC_Ra soat'!$L:$L,'1.DC_Ra soat'!$F:$F,BJ$4,'1.DC_Ra soat'!$I:$I,'1.BS (VND)'!$D95)</f>
        <v>0</v>
      </c>
      <c r="BK95" s="746">
        <f>-SUMIFS('1.DC_Ra soat'!$L:$L,'1.DC_Ra soat'!$F:$F,BK$4,'1.DC_Ra soat'!$H:$H,'1.BS (VND)'!$D95)+SUMIFS('1.DC_Ra soat'!$L:$L,'1.DC_Ra soat'!$F:$F,BK$4,'1.DC_Ra soat'!$I:$I,'1.BS (VND)'!$D95)</f>
        <v>0</v>
      </c>
      <c r="BM95" s="746">
        <f t="shared" si="128"/>
        <v>0</v>
      </c>
      <c r="BN95" s="746">
        <f t="shared" si="129"/>
        <v>0</v>
      </c>
      <c r="BO95" s="746">
        <f t="shared" si="130"/>
        <v>0</v>
      </c>
      <c r="BP95" s="747">
        <f t="shared" si="131"/>
        <v>0</v>
      </c>
      <c r="BQ95" s="745"/>
      <c r="BR95" s="746">
        <f t="shared" si="132"/>
        <v>0</v>
      </c>
      <c r="BS95" s="746">
        <f t="shared" si="133"/>
        <v>0</v>
      </c>
      <c r="BT95" s="746">
        <f t="shared" si="134"/>
        <v>0</v>
      </c>
      <c r="BU95" s="746">
        <f t="shared" si="135"/>
        <v>0</v>
      </c>
      <c r="BV95" s="745"/>
      <c r="BW95" s="746">
        <f t="shared" si="136"/>
        <v>0</v>
      </c>
      <c r="BX95" s="746">
        <f t="shared" si="137"/>
        <v>0</v>
      </c>
      <c r="BY95" s="746">
        <f t="shared" si="138"/>
        <v>0</v>
      </c>
      <c r="BZ95" s="747">
        <f t="shared" si="139"/>
        <v>0</v>
      </c>
      <c r="CA95" s="745"/>
      <c r="CB95" s="747">
        <f t="shared" si="140"/>
        <v>0</v>
      </c>
      <c r="CC95" s="747">
        <f t="shared" si="141"/>
        <v>0</v>
      </c>
      <c r="CD95" s="747">
        <f t="shared" si="142"/>
        <v>0</v>
      </c>
      <c r="CE95" s="747">
        <f t="shared" si="143"/>
        <v>0</v>
      </c>
      <c r="CF95" s="745"/>
      <c r="CG95" s="747">
        <f t="shared" si="144"/>
        <v>0</v>
      </c>
      <c r="CH95" s="747">
        <f t="shared" si="145"/>
        <v>0</v>
      </c>
      <c r="CI95" s="747">
        <f t="shared" si="146"/>
        <v>0</v>
      </c>
      <c r="CJ95" s="747">
        <f t="shared" si="147"/>
        <v>0</v>
      </c>
      <c r="CK95" s="745"/>
      <c r="CL95" s="746">
        <f t="shared" si="148"/>
        <v>0</v>
      </c>
      <c r="CM95" s="746">
        <f t="shared" si="149"/>
        <v>0</v>
      </c>
      <c r="CN95" s="746">
        <f t="shared" si="150"/>
        <v>0</v>
      </c>
      <c r="CO95" s="747">
        <f t="shared" si="151"/>
        <v>0</v>
      </c>
      <c r="CQ95" s="746">
        <f>SUMIF('1.PL (VND) '!$BL$6:$CD$6,'1.PL (VND) '!CP$6,$BM95:$CE95)</f>
        <v>0</v>
      </c>
      <c r="CR95" s="746">
        <f>SUMIF('1.PL (VND) '!$BL$6:$CD$6,'1.PL (VND) '!CQ$6,$BM95:$CE95)</f>
        <v>0</v>
      </c>
      <c r="CS95" s="746">
        <f>SUMIF('1.PL (VND) '!$BL$6:$CD$6,'1.PL (VND) '!CR$6,$BM95:$CE95)</f>
        <v>0</v>
      </c>
      <c r="CT95" s="746">
        <f>SUMIF('1.PL (VND) '!$BL$6:$CD$6,'1.PL (VND) '!CS$6,$BM95:$CE95)</f>
        <v>0</v>
      </c>
      <c r="CV95" s="748">
        <f>-SUMIFS('1.DC_Ra soat'!$L:$L,'1.DC_Ra soat'!$F:$F,'1.PL (VND) '!DK$4,'1.DC_Ra soat'!$H:$H,'1.BS (VND)'!$D95)+SUMIFS('1.DC_Ra soat'!$L:$L,'1.DC_Ra soat'!$F:$F,'1.PL (VND) '!DK$4,'1.DC_Ra soat'!$I:$I,'1.BS (VND)'!$D95)</f>
        <v>0</v>
      </c>
      <c r="CW95" s="748">
        <f>-SUMIFS('1.DC_Ra soat'!$L:$L,'1.DC_Ra soat'!$F:$F,'1.PL (VND) '!DL$4,'1.DC_Ra soat'!$H:$H,'1.BS (VND)'!$D95)+SUMIFS('1.DC_Ra soat'!$L:$L,'1.DC_Ra soat'!$F:$F,'1.PL (VND) '!DL$4,'1.DC_Ra soat'!$I:$I,'1.BS (VND)'!$D95)</f>
        <v>0</v>
      </c>
      <c r="CX95" s="748">
        <f>-SUMIFS('1.DC_Ra soat'!$L:$L,'1.DC_Ra soat'!$F:$F,'1.PL (VND) '!DM$4,'1.DC_Ra soat'!$H:$H,'1.BS (VND)'!$D95)+SUMIFS('1.DC_Ra soat'!$L:$L,'1.DC_Ra soat'!$F:$F,'1.PL (VND) '!DM$4,'1.DC_Ra soat'!$I:$I,'1.BS (VND)'!$D95)</f>
        <v>0</v>
      </c>
      <c r="CY95" s="748">
        <f>-SUMIFS('1.DC_Ra soat'!$L:$L,'1.DC_Ra soat'!$F:$F,'1.PL (VND) '!DN$4,'1.DC_Ra soat'!$H:$H,'1.BS (VND)'!$D95)+SUMIFS('1.DC_Ra soat'!$L:$L,'1.DC_Ra soat'!$F:$F,'1.PL (VND) '!DN$4,'1.DC_Ra soat'!$I:$I,'1.BS (VND)'!$D95)</f>
        <v>0</v>
      </c>
      <c r="DA95" s="746">
        <f t="shared" si="157"/>
        <v>0</v>
      </c>
      <c r="DB95" s="746">
        <f t="shared" si="158"/>
        <v>0</v>
      </c>
      <c r="DC95" s="746">
        <f t="shared" si="159"/>
        <v>0</v>
      </c>
      <c r="DD95" s="746">
        <f t="shared" si="160"/>
        <v>0</v>
      </c>
    </row>
    <row r="96" spans="1:112" s="740" customFormat="1" x14ac:dyDescent="0.25">
      <c r="A96" s="248" t="str">
        <f t="shared" si="166"/>
        <v>hide</v>
      </c>
      <c r="C96" s="741" t="s">
        <v>451</v>
      </c>
      <c r="D96" s="742" t="s">
        <v>452</v>
      </c>
      <c r="E96" s="743"/>
      <c r="F96" s="743"/>
      <c r="G96" s="743"/>
      <c r="H96" s="744"/>
      <c r="I96" s="745"/>
      <c r="J96" s="746"/>
      <c r="K96" s="746"/>
      <c r="L96" s="746"/>
      <c r="M96" s="739">
        <v>0</v>
      </c>
      <c r="N96" s="745"/>
      <c r="O96" s="746"/>
      <c r="P96" s="746"/>
      <c r="Q96" s="746"/>
      <c r="R96" s="746"/>
      <c r="S96" s="745"/>
      <c r="T96" s="746"/>
      <c r="U96" s="746"/>
      <c r="V96" s="746"/>
      <c r="W96" s="746"/>
      <c r="X96" s="745"/>
      <c r="Y96" s="746"/>
      <c r="Z96" s="746"/>
      <c r="AA96" s="746"/>
      <c r="AB96" s="746"/>
      <c r="AC96" s="745"/>
      <c r="AD96" s="746"/>
      <c r="AE96" s="746"/>
      <c r="AF96" s="746"/>
      <c r="AG96" s="746"/>
      <c r="AI96" s="746">
        <f>-SUMIFS('1.DC_Ra soat'!$L:$L,'1.DC_Ra soat'!$F:$F,AI$4,'1.DC_Ra soat'!$H:$H,'1.BS (VND)'!$D96)+SUMIFS('1.DC_Ra soat'!$L:$L,'1.DC_Ra soat'!$F:$F,AI$4,'1.DC_Ra soat'!$I:$I,'1.BS (VND)'!$D96)</f>
        <v>0</v>
      </c>
      <c r="AJ96" s="746">
        <f>-SUMIFS('1.DC_Ra soat'!$L:$L,'1.DC_Ra soat'!$F:$F,AJ$4,'1.DC_Ra soat'!$H:$H,'1.BS (VND)'!$D96)+SUMIFS('1.DC_Ra soat'!$L:$L,'1.DC_Ra soat'!$F:$F,AJ$4,'1.DC_Ra soat'!$I:$I,'1.BS (VND)'!$D96)</f>
        <v>0</v>
      </c>
      <c r="AK96" s="746">
        <f>-SUMIFS('1.DC_Ra soat'!$L:$L,'1.DC_Ra soat'!$F:$F,AK$4,'1.DC_Ra soat'!$H:$H,'1.BS (VND)'!$D96)+SUMIFS('1.DC_Ra soat'!$L:$L,'1.DC_Ra soat'!$F:$F,AK$4,'1.DC_Ra soat'!$I:$I,'1.BS (VND)'!$D96)</f>
        <v>0</v>
      </c>
      <c r="AL96" s="746">
        <f>-SUMIFS('1.DC_Ra soat'!$L:$L,'1.DC_Ra soat'!$F:$F,AL$4,'1.DC_Ra soat'!$H:$H,'1.BS (VND)'!$D96)+SUMIFS('1.DC_Ra soat'!$L:$L,'1.DC_Ra soat'!$F:$F,AL$4,'1.DC_Ra soat'!$I:$I,'1.BS (VND)'!$D96)</f>
        <v>0</v>
      </c>
      <c r="AM96" s="745"/>
      <c r="AN96" s="746">
        <f>-SUMIFS('1.DC_Ra soat'!$L:$L,'1.DC_Ra soat'!$F:$F,AN$4,'1.DC_Ra soat'!$H:$H,'1.BS (VND)'!$D96)+SUMIFS('1.DC_Ra soat'!$L:$L,'1.DC_Ra soat'!$F:$F,AN$4,'1.DC_Ra soat'!$I:$I,'1.BS (VND)'!$D96)</f>
        <v>0</v>
      </c>
      <c r="AO96" s="746">
        <f>-SUMIFS('1.DC_Ra soat'!$L:$L,'1.DC_Ra soat'!$F:$F,AO$4,'1.DC_Ra soat'!$H:$H,'1.BS (VND)'!$D96)+SUMIFS('1.DC_Ra soat'!$L:$L,'1.DC_Ra soat'!$F:$F,AO$4,'1.DC_Ra soat'!$I:$I,'1.BS (VND)'!$D96)</f>
        <v>0</v>
      </c>
      <c r="AP96" s="746">
        <f>-SUMIFS('1.DC_Ra soat'!$L:$L,'1.DC_Ra soat'!$F:$F,AP$4,'1.DC_Ra soat'!$H:$H,'1.BS (VND)'!$D96)+SUMIFS('1.DC_Ra soat'!$L:$L,'1.DC_Ra soat'!$F:$F,AP$4,'1.DC_Ra soat'!$I:$I,'1.BS (VND)'!$D96)</f>
        <v>0</v>
      </c>
      <c r="AQ96" s="746">
        <f>-SUMIFS('1.DC_Ra soat'!$L:$L,'1.DC_Ra soat'!$F:$F,AQ$4,'1.DC_Ra soat'!$H:$H,'1.BS (VND)'!$D96)+SUMIFS('1.DC_Ra soat'!$L:$L,'1.DC_Ra soat'!$F:$F,AQ$4,'1.DC_Ra soat'!$I:$I,'1.BS (VND)'!$D96)</f>
        <v>0</v>
      </c>
      <c r="AR96" s="745"/>
      <c r="AS96" s="746">
        <f>-SUMIFS('1.DC_Ra soat'!$L:$L,'1.DC_Ra soat'!$F:$F,AS$4,'1.DC_Ra soat'!$H:$H,'1.BS (VND)'!$D96)+SUMIFS('1.DC_Ra soat'!$L:$L,'1.DC_Ra soat'!$F:$F,AS$4,'1.DC_Ra soat'!$I:$I,'1.BS (VND)'!$D96)</f>
        <v>0</v>
      </c>
      <c r="AT96" s="746">
        <f>-SUMIFS('1.DC_Ra soat'!$L:$L,'1.DC_Ra soat'!$F:$F,AT$4,'1.DC_Ra soat'!$H:$H,'1.BS (VND)'!$D96)+SUMIFS('1.DC_Ra soat'!$L:$L,'1.DC_Ra soat'!$F:$F,AT$4,'1.DC_Ra soat'!$I:$I,'1.BS (VND)'!$D96)</f>
        <v>0</v>
      </c>
      <c r="AU96" s="746">
        <f>-SUMIFS('1.DC_Ra soat'!$L:$L,'1.DC_Ra soat'!$F:$F,AU$4,'1.DC_Ra soat'!$H:$H,'1.BS (VND)'!$D96)+SUMIFS('1.DC_Ra soat'!$L:$L,'1.DC_Ra soat'!$F:$F,AU$4,'1.DC_Ra soat'!$I:$I,'1.BS (VND)'!$D96)</f>
        <v>0</v>
      </c>
      <c r="AV96" s="746">
        <f>-SUMIFS('1.DC_Ra soat'!$L:$L,'1.DC_Ra soat'!$F:$F,AV$4,'1.DC_Ra soat'!$H:$H,'1.BS (VND)'!$D96)+SUMIFS('1.DC_Ra soat'!$L:$L,'1.DC_Ra soat'!$F:$F,AV$4,'1.DC_Ra soat'!$I:$I,'1.BS (VND)'!$D96)</f>
        <v>0</v>
      </c>
      <c r="AW96" s="745"/>
      <c r="AX96" s="746">
        <f>-SUMIFS('1.DC_Ra soat'!$L:$L,'1.DC_Ra soat'!$F:$F,AX$4,'1.DC_Ra soat'!$H:$H,'1.BS (VND)'!$D96)+SUMIFS('1.DC_Ra soat'!$L:$L,'1.DC_Ra soat'!$F:$F,AX$4,'1.DC_Ra soat'!$I:$I,'1.BS (VND)'!$D96)</f>
        <v>0</v>
      </c>
      <c r="AY96" s="746">
        <f>-SUMIFS('1.DC_Ra soat'!$L:$L,'1.DC_Ra soat'!$F:$F,AY$4,'1.DC_Ra soat'!$H:$H,'1.BS (VND)'!$D96)+SUMIFS('1.DC_Ra soat'!$L:$L,'1.DC_Ra soat'!$F:$F,AY$4,'1.DC_Ra soat'!$I:$I,'1.BS (VND)'!$D96)</f>
        <v>0</v>
      </c>
      <c r="AZ96" s="746">
        <f>-SUMIFS('1.DC_Ra soat'!$L:$L,'1.DC_Ra soat'!$F:$F,AZ$4,'1.DC_Ra soat'!$H:$H,'1.BS (VND)'!$D96)+SUMIFS('1.DC_Ra soat'!$L:$L,'1.DC_Ra soat'!$F:$F,AZ$4,'1.DC_Ra soat'!$I:$I,'1.BS (VND)'!$D96)</f>
        <v>0</v>
      </c>
      <c r="BA96" s="746">
        <f>-SUMIFS('1.DC_Ra soat'!$L:$L,'1.DC_Ra soat'!$F:$F,BA$4,'1.DC_Ra soat'!$H:$H,'1.BS (VND)'!$D96)+SUMIFS('1.DC_Ra soat'!$L:$L,'1.DC_Ra soat'!$F:$F,BA$4,'1.DC_Ra soat'!$I:$I,'1.BS (VND)'!$D96)</f>
        <v>0</v>
      </c>
      <c r="BB96" s="745"/>
      <c r="BC96" s="746">
        <f>-SUMIFS('1.DC_Ra soat'!$L:$L,'1.DC_Ra soat'!$F:$F,BC$4,'1.DC_Ra soat'!$H:$H,'1.BS (VND)'!$D96)+SUMIFS('1.DC_Ra soat'!$L:$L,'1.DC_Ra soat'!$F:$F,BC$4,'1.DC_Ra soat'!$I:$I,'1.BS (VND)'!$D96)</f>
        <v>0</v>
      </c>
      <c r="BD96" s="746">
        <f>-SUMIFS('1.DC_Ra soat'!$L:$L,'1.DC_Ra soat'!$F:$F,BD$4,'1.DC_Ra soat'!$H:$H,'1.BS (VND)'!$D96)+SUMIFS('1.DC_Ra soat'!$L:$L,'1.DC_Ra soat'!$F:$F,BD$4,'1.DC_Ra soat'!$I:$I,'1.BS (VND)'!$D96)</f>
        <v>0</v>
      </c>
      <c r="BE96" s="746">
        <f>-SUMIFS('1.DC_Ra soat'!$L:$L,'1.DC_Ra soat'!$F:$F,BE$4,'1.DC_Ra soat'!$H:$H,'1.BS (VND)'!$D96)+SUMIFS('1.DC_Ra soat'!$L:$L,'1.DC_Ra soat'!$F:$F,BE$4,'1.DC_Ra soat'!$I:$I,'1.BS (VND)'!$D96)</f>
        <v>0</v>
      </c>
      <c r="BF96" s="746">
        <f>-SUMIFS('1.DC_Ra soat'!$L:$L,'1.DC_Ra soat'!$F:$F,BF$4,'1.DC_Ra soat'!$H:$H,'1.BS (VND)'!$D96)+SUMIFS('1.DC_Ra soat'!$L:$L,'1.DC_Ra soat'!$F:$F,BF$4,'1.DC_Ra soat'!$I:$I,'1.BS (VND)'!$D96)</f>
        <v>0</v>
      </c>
      <c r="BG96" s="745"/>
      <c r="BH96" s="746">
        <f>-SUMIFS('1.DC_Ra soat'!$L:$L,'1.DC_Ra soat'!$F:$F,BH$4,'1.DC_Ra soat'!$H:$H,'1.BS (VND)'!$D96)+SUMIFS('1.DC_Ra soat'!$L:$L,'1.DC_Ra soat'!$F:$F,BH$4,'1.DC_Ra soat'!$I:$I,'1.BS (VND)'!$D96)</f>
        <v>0</v>
      </c>
      <c r="BI96" s="746">
        <f>-SUMIFS('1.DC_Ra soat'!$L:$L,'1.DC_Ra soat'!$F:$F,BI$4,'1.DC_Ra soat'!$H:$H,'1.BS (VND)'!$D96)+SUMIFS('1.DC_Ra soat'!$L:$L,'1.DC_Ra soat'!$F:$F,BI$4,'1.DC_Ra soat'!$I:$I,'1.BS (VND)'!$D96)</f>
        <v>0</v>
      </c>
      <c r="BJ96" s="746">
        <f>-SUMIFS('1.DC_Ra soat'!$L:$L,'1.DC_Ra soat'!$F:$F,BJ$4,'1.DC_Ra soat'!$H:$H,'1.BS (VND)'!$D96)+SUMIFS('1.DC_Ra soat'!$L:$L,'1.DC_Ra soat'!$F:$F,BJ$4,'1.DC_Ra soat'!$I:$I,'1.BS (VND)'!$D96)</f>
        <v>0</v>
      </c>
      <c r="BK96" s="746">
        <f>-SUMIFS('1.DC_Ra soat'!$L:$L,'1.DC_Ra soat'!$F:$F,BK$4,'1.DC_Ra soat'!$H:$H,'1.BS (VND)'!$D96)+SUMIFS('1.DC_Ra soat'!$L:$L,'1.DC_Ra soat'!$F:$F,BK$4,'1.DC_Ra soat'!$I:$I,'1.BS (VND)'!$D96)</f>
        <v>0</v>
      </c>
      <c r="BM96" s="746">
        <f t="shared" si="128"/>
        <v>0</v>
      </c>
      <c r="BN96" s="746">
        <f t="shared" si="129"/>
        <v>0</v>
      </c>
      <c r="BO96" s="746">
        <f t="shared" si="130"/>
        <v>0</v>
      </c>
      <c r="BP96" s="747">
        <f t="shared" si="131"/>
        <v>0</v>
      </c>
      <c r="BQ96" s="745"/>
      <c r="BR96" s="746">
        <f t="shared" si="132"/>
        <v>0</v>
      </c>
      <c r="BS96" s="746">
        <f t="shared" si="133"/>
        <v>0</v>
      </c>
      <c r="BT96" s="746">
        <f t="shared" si="134"/>
        <v>0</v>
      </c>
      <c r="BU96" s="746">
        <f t="shared" si="135"/>
        <v>0</v>
      </c>
      <c r="BV96" s="745"/>
      <c r="BW96" s="746">
        <f t="shared" si="136"/>
        <v>0</v>
      </c>
      <c r="BX96" s="746">
        <f t="shared" si="137"/>
        <v>0</v>
      </c>
      <c r="BY96" s="746">
        <f t="shared" si="138"/>
        <v>0</v>
      </c>
      <c r="BZ96" s="747">
        <f t="shared" si="139"/>
        <v>0</v>
      </c>
      <c r="CA96" s="745"/>
      <c r="CB96" s="747">
        <f t="shared" si="140"/>
        <v>0</v>
      </c>
      <c r="CC96" s="747">
        <f t="shared" si="141"/>
        <v>0</v>
      </c>
      <c r="CD96" s="747">
        <f t="shared" si="142"/>
        <v>0</v>
      </c>
      <c r="CE96" s="747">
        <f t="shared" si="143"/>
        <v>0</v>
      </c>
      <c r="CF96" s="745"/>
      <c r="CG96" s="747">
        <f t="shared" si="144"/>
        <v>0</v>
      </c>
      <c r="CH96" s="747">
        <f t="shared" si="145"/>
        <v>0</v>
      </c>
      <c r="CI96" s="747">
        <f t="shared" si="146"/>
        <v>0</v>
      </c>
      <c r="CJ96" s="747">
        <f t="shared" si="147"/>
        <v>0</v>
      </c>
      <c r="CK96" s="745"/>
      <c r="CL96" s="746">
        <f t="shared" si="148"/>
        <v>0</v>
      </c>
      <c r="CM96" s="746">
        <f t="shared" si="149"/>
        <v>0</v>
      </c>
      <c r="CN96" s="746">
        <f t="shared" si="150"/>
        <v>0</v>
      </c>
      <c r="CO96" s="747">
        <f t="shared" si="151"/>
        <v>0</v>
      </c>
      <c r="CQ96" s="746">
        <f>SUMIF('1.PL (VND) '!$BL$6:$CD$6,'1.PL (VND) '!CP$6,$BM96:$CE96)</f>
        <v>0</v>
      </c>
      <c r="CR96" s="746">
        <f>SUMIF('1.PL (VND) '!$BL$6:$CD$6,'1.PL (VND) '!CQ$6,$BM96:$CE96)</f>
        <v>0</v>
      </c>
      <c r="CS96" s="746">
        <f>SUMIF('1.PL (VND) '!$BL$6:$CD$6,'1.PL (VND) '!CR$6,$BM96:$CE96)</f>
        <v>0</v>
      </c>
      <c r="CT96" s="746">
        <f>SUMIF('1.PL (VND) '!$BL$6:$CD$6,'1.PL (VND) '!CS$6,$BM96:$CE96)</f>
        <v>0</v>
      </c>
      <c r="CV96" s="748">
        <f>-SUMIFS('1.DC_Ra soat'!$L:$L,'1.DC_Ra soat'!$F:$F,'1.PL (VND) '!DK$4,'1.DC_Ra soat'!$H:$H,'1.BS (VND)'!$D96)+SUMIFS('1.DC_Ra soat'!$L:$L,'1.DC_Ra soat'!$F:$F,'1.PL (VND) '!DK$4,'1.DC_Ra soat'!$I:$I,'1.BS (VND)'!$D96)</f>
        <v>0</v>
      </c>
      <c r="CW96" s="748">
        <f>-SUMIFS('1.DC_Ra soat'!$L:$L,'1.DC_Ra soat'!$F:$F,'1.PL (VND) '!DL$4,'1.DC_Ra soat'!$H:$H,'1.BS (VND)'!$D96)+SUMIFS('1.DC_Ra soat'!$L:$L,'1.DC_Ra soat'!$F:$F,'1.PL (VND) '!DL$4,'1.DC_Ra soat'!$I:$I,'1.BS (VND)'!$D96)</f>
        <v>0</v>
      </c>
      <c r="CX96" s="748">
        <f>-SUMIFS('1.DC_Ra soat'!$L:$L,'1.DC_Ra soat'!$F:$F,'1.PL (VND) '!DM$4,'1.DC_Ra soat'!$H:$H,'1.BS (VND)'!$D96)+SUMIFS('1.DC_Ra soat'!$L:$L,'1.DC_Ra soat'!$F:$F,'1.PL (VND) '!DM$4,'1.DC_Ra soat'!$I:$I,'1.BS (VND)'!$D96)</f>
        <v>0</v>
      </c>
      <c r="CY96" s="748">
        <f>-SUMIFS('1.DC_Ra soat'!$L:$L,'1.DC_Ra soat'!$F:$F,'1.PL (VND) '!DN$4,'1.DC_Ra soat'!$H:$H,'1.BS (VND)'!$D96)+SUMIFS('1.DC_Ra soat'!$L:$L,'1.DC_Ra soat'!$F:$F,'1.PL (VND) '!DN$4,'1.DC_Ra soat'!$I:$I,'1.BS (VND)'!$D96)</f>
        <v>0</v>
      </c>
      <c r="DA96" s="746">
        <f t="shared" si="157"/>
        <v>0</v>
      </c>
      <c r="DB96" s="746">
        <f t="shared" si="158"/>
        <v>0</v>
      </c>
      <c r="DC96" s="746">
        <f t="shared" si="159"/>
        <v>0</v>
      </c>
      <c r="DD96" s="746">
        <f t="shared" si="160"/>
        <v>0</v>
      </c>
      <c r="DH96" s="749"/>
    </row>
    <row r="97" spans="1:112" s="740" customFormat="1" x14ac:dyDescent="0.25">
      <c r="A97" s="248">
        <f t="shared" si="166"/>
        <v>1</v>
      </c>
      <c r="C97" s="741" t="s">
        <v>453</v>
      </c>
      <c r="D97" s="742" t="s">
        <v>454</v>
      </c>
      <c r="E97" s="743"/>
      <c r="F97" s="743"/>
      <c r="G97" s="743"/>
      <c r="H97" s="744">
        <v>8691250002</v>
      </c>
      <c r="I97" s="745"/>
      <c r="J97" s="746"/>
      <c r="K97" s="746"/>
      <c r="L97" s="746"/>
      <c r="M97" s="746">
        <v>20994156696</v>
      </c>
      <c r="N97" s="745"/>
      <c r="O97" s="746"/>
      <c r="P97" s="746"/>
      <c r="Q97" s="746"/>
      <c r="R97" s="746">
        <v>2240000000</v>
      </c>
      <c r="S97" s="745"/>
      <c r="T97" s="746"/>
      <c r="U97" s="746"/>
      <c r="V97" s="746"/>
      <c r="W97" s="746"/>
      <c r="X97" s="745"/>
      <c r="Y97" s="746"/>
      <c r="Z97" s="746"/>
      <c r="AA97" s="746"/>
      <c r="AB97" s="746"/>
      <c r="AC97" s="745"/>
      <c r="AD97" s="746"/>
      <c r="AE97" s="746"/>
      <c r="AF97" s="746"/>
      <c r="AG97" s="746"/>
      <c r="AI97" s="746">
        <f>-SUMIFS('1.DC_Ra soat'!$L:$L,'1.DC_Ra soat'!$F:$F,AI$4,'1.DC_Ra soat'!$H:$H,'1.BS (VND)'!$D97)+SUMIFS('1.DC_Ra soat'!$L:$L,'1.DC_Ra soat'!$F:$F,AI$4,'1.DC_Ra soat'!$I:$I,'1.BS (VND)'!$D97)</f>
        <v>0</v>
      </c>
      <c r="AJ97" s="746">
        <f>-SUMIFS('1.DC_Ra soat'!$L:$L,'1.DC_Ra soat'!$F:$F,AJ$4,'1.DC_Ra soat'!$H:$H,'1.BS (VND)'!$D97)+SUMIFS('1.DC_Ra soat'!$L:$L,'1.DC_Ra soat'!$F:$F,AJ$4,'1.DC_Ra soat'!$I:$I,'1.BS (VND)'!$D97)</f>
        <v>0</v>
      </c>
      <c r="AK97" s="746">
        <f>-SUMIFS('1.DC_Ra soat'!$L:$L,'1.DC_Ra soat'!$F:$F,AK$4,'1.DC_Ra soat'!$H:$H,'1.BS (VND)'!$D97)+SUMIFS('1.DC_Ra soat'!$L:$L,'1.DC_Ra soat'!$F:$F,AK$4,'1.DC_Ra soat'!$I:$I,'1.BS (VND)'!$D97)</f>
        <v>0</v>
      </c>
      <c r="AL97" s="746">
        <f>-SUMIFS('1.DC_Ra soat'!$L:$L,'1.DC_Ra soat'!$F:$F,AL$4,'1.DC_Ra soat'!$H:$H,'1.BS (VND)'!$D97)+SUMIFS('1.DC_Ra soat'!$L:$L,'1.DC_Ra soat'!$F:$F,AL$4,'1.DC_Ra soat'!$I:$I,'1.BS (VND)'!$D97)</f>
        <v>0</v>
      </c>
      <c r="AM97" s="745"/>
      <c r="AN97" s="746">
        <f>-SUMIFS('1.DC_Ra soat'!$L:$L,'1.DC_Ra soat'!$F:$F,AN$4,'1.DC_Ra soat'!$H:$H,'1.BS (VND)'!$D97)+SUMIFS('1.DC_Ra soat'!$L:$L,'1.DC_Ra soat'!$F:$F,AN$4,'1.DC_Ra soat'!$I:$I,'1.BS (VND)'!$D97)</f>
        <v>0</v>
      </c>
      <c r="AO97" s="746">
        <f>-SUMIFS('1.DC_Ra soat'!$L:$L,'1.DC_Ra soat'!$F:$F,AO$4,'1.DC_Ra soat'!$H:$H,'1.BS (VND)'!$D97)+SUMIFS('1.DC_Ra soat'!$L:$L,'1.DC_Ra soat'!$F:$F,AO$4,'1.DC_Ra soat'!$I:$I,'1.BS (VND)'!$D97)</f>
        <v>0</v>
      </c>
      <c r="AP97" s="746">
        <f>-SUMIFS('1.DC_Ra soat'!$L:$L,'1.DC_Ra soat'!$F:$F,AP$4,'1.DC_Ra soat'!$H:$H,'1.BS (VND)'!$D97)+SUMIFS('1.DC_Ra soat'!$L:$L,'1.DC_Ra soat'!$F:$F,AP$4,'1.DC_Ra soat'!$I:$I,'1.BS (VND)'!$D97)</f>
        <v>0</v>
      </c>
      <c r="AQ97" s="746">
        <f>-SUMIFS('1.DC_Ra soat'!$L:$L,'1.DC_Ra soat'!$F:$F,AQ$4,'1.DC_Ra soat'!$H:$H,'1.BS (VND)'!$D97)+SUMIFS('1.DC_Ra soat'!$L:$L,'1.DC_Ra soat'!$F:$F,AQ$4,'1.DC_Ra soat'!$I:$I,'1.BS (VND)'!$D97)</f>
        <v>0</v>
      </c>
      <c r="AR97" s="745"/>
      <c r="AS97" s="746">
        <f>-SUMIFS('1.DC_Ra soat'!$L:$L,'1.DC_Ra soat'!$F:$F,AS$4,'1.DC_Ra soat'!$H:$H,'1.BS (VND)'!$D97)+SUMIFS('1.DC_Ra soat'!$L:$L,'1.DC_Ra soat'!$F:$F,AS$4,'1.DC_Ra soat'!$I:$I,'1.BS (VND)'!$D97)</f>
        <v>0</v>
      </c>
      <c r="AT97" s="746">
        <f>-SUMIFS('1.DC_Ra soat'!$L:$L,'1.DC_Ra soat'!$F:$F,AT$4,'1.DC_Ra soat'!$H:$H,'1.BS (VND)'!$D97)+SUMIFS('1.DC_Ra soat'!$L:$L,'1.DC_Ra soat'!$F:$F,AT$4,'1.DC_Ra soat'!$I:$I,'1.BS (VND)'!$D97)</f>
        <v>0</v>
      </c>
      <c r="AU97" s="746">
        <f>-SUMIFS('1.DC_Ra soat'!$L:$L,'1.DC_Ra soat'!$F:$F,AU$4,'1.DC_Ra soat'!$H:$H,'1.BS (VND)'!$D97)+SUMIFS('1.DC_Ra soat'!$L:$L,'1.DC_Ra soat'!$F:$F,AU$4,'1.DC_Ra soat'!$I:$I,'1.BS (VND)'!$D97)</f>
        <v>0</v>
      </c>
      <c r="AV97" s="746">
        <f>-SUMIFS('1.DC_Ra soat'!$L:$L,'1.DC_Ra soat'!$F:$F,AV$4,'1.DC_Ra soat'!$H:$H,'1.BS (VND)'!$D97)+SUMIFS('1.DC_Ra soat'!$L:$L,'1.DC_Ra soat'!$F:$F,AV$4,'1.DC_Ra soat'!$I:$I,'1.BS (VND)'!$D97)</f>
        <v>0</v>
      </c>
      <c r="AW97" s="745"/>
      <c r="AX97" s="746">
        <f>-SUMIFS('1.DC_Ra soat'!$L:$L,'1.DC_Ra soat'!$F:$F,AX$4,'1.DC_Ra soat'!$H:$H,'1.BS (VND)'!$D97)+SUMIFS('1.DC_Ra soat'!$L:$L,'1.DC_Ra soat'!$F:$F,AX$4,'1.DC_Ra soat'!$I:$I,'1.BS (VND)'!$D97)</f>
        <v>0</v>
      </c>
      <c r="AY97" s="746">
        <f>-SUMIFS('1.DC_Ra soat'!$L:$L,'1.DC_Ra soat'!$F:$F,AY$4,'1.DC_Ra soat'!$H:$H,'1.BS (VND)'!$D97)+SUMIFS('1.DC_Ra soat'!$L:$L,'1.DC_Ra soat'!$F:$F,AY$4,'1.DC_Ra soat'!$I:$I,'1.BS (VND)'!$D97)</f>
        <v>0</v>
      </c>
      <c r="AZ97" s="746">
        <f>-SUMIFS('1.DC_Ra soat'!$L:$L,'1.DC_Ra soat'!$F:$F,AZ$4,'1.DC_Ra soat'!$H:$H,'1.BS (VND)'!$D97)+SUMIFS('1.DC_Ra soat'!$L:$L,'1.DC_Ra soat'!$F:$F,AZ$4,'1.DC_Ra soat'!$I:$I,'1.BS (VND)'!$D97)</f>
        <v>0</v>
      </c>
      <c r="BA97" s="746">
        <f>-SUMIFS('1.DC_Ra soat'!$L:$L,'1.DC_Ra soat'!$F:$F,BA$4,'1.DC_Ra soat'!$H:$H,'1.BS (VND)'!$D97)+SUMIFS('1.DC_Ra soat'!$L:$L,'1.DC_Ra soat'!$F:$F,BA$4,'1.DC_Ra soat'!$I:$I,'1.BS (VND)'!$D97)</f>
        <v>0</v>
      </c>
      <c r="BB97" s="745"/>
      <c r="BC97" s="746">
        <f>-SUMIFS('1.DC_Ra soat'!$L:$L,'1.DC_Ra soat'!$F:$F,BC$4,'1.DC_Ra soat'!$H:$H,'1.BS (VND)'!$D97)+SUMIFS('1.DC_Ra soat'!$L:$L,'1.DC_Ra soat'!$F:$F,BC$4,'1.DC_Ra soat'!$I:$I,'1.BS (VND)'!$D97)</f>
        <v>0</v>
      </c>
      <c r="BD97" s="746">
        <f>-SUMIFS('1.DC_Ra soat'!$L:$L,'1.DC_Ra soat'!$F:$F,BD$4,'1.DC_Ra soat'!$H:$H,'1.BS (VND)'!$D97)+SUMIFS('1.DC_Ra soat'!$L:$L,'1.DC_Ra soat'!$F:$F,BD$4,'1.DC_Ra soat'!$I:$I,'1.BS (VND)'!$D97)</f>
        <v>0</v>
      </c>
      <c r="BE97" s="746">
        <f>-SUMIFS('1.DC_Ra soat'!$L:$L,'1.DC_Ra soat'!$F:$F,BE$4,'1.DC_Ra soat'!$H:$H,'1.BS (VND)'!$D97)+SUMIFS('1.DC_Ra soat'!$L:$L,'1.DC_Ra soat'!$F:$F,BE$4,'1.DC_Ra soat'!$I:$I,'1.BS (VND)'!$D97)</f>
        <v>0</v>
      </c>
      <c r="BF97" s="746">
        <f>-SUMIFS('1.DC_Ra soat'!$L:$L,'1.DC_Ra soat'!$F:$F,BF$4,'1.DC_Ra soat'!$H:$H,'1.BS (VND)'!$D97)+SUMIFS('1.DC_Ra soat'!$L:$L,'1.DC_Ra soat'!$F:$F,BF$4,'1.DC_Ra soat'!$I:$I,'1.BS (VND)'!$D97)</f>
        <v>0</v>
      </c>
      <c r="BG97" s="745"/>
      <c r="BH97" s="746">
        <f>-SUMIFS('1.DC_Ra soat'!$L:$L,'1.DC_Ra soat'!$F:$F,BH$4,'1.DC_Ra soat'!$H:$H,'1.BS (VND)'!$D97)+SUMIFS('1.DC_Ra soat'!$L:$L,'1.DC_Ra soat'!$F:$F,BH$4,'1.DC_Ra soat'!$I:$I,'1.BS (VND)'!$D97)</f>
        <v>0</v>
      </c>
      <c r="BI97" s="746">
        <f>-SUMIFS('1.DC_Ra soat'!$L:$L,'1.DC_Ra soat'!$F:$F,BI$4,'1.DC_Ra soat'!$H:$H,'1.BS (VND)'!$D97)+SUMIFS('1.DC_Ra soat'!$L:$L,'1.DC_Ra soat'!$F:$F,BI$4,'1.DC_Ra soat'!$I:$I,'1.BS (VND)'!$D97)</f>
        <v>0</v>
      </c>
      <c r="BJ97" s="746">
        <f>-SUMIFS('1.DC_Ra soat'!$L:$L,'1.DC_Ra soat'!$F:$F,BJ$4,'1.DC_Ra soat'!$H:$H,'1.BS (VND)'!$D97)+SUMIFS('1.DC_Ra soat'!$L:$L,'1.DC_Ra soat'!$F:$F,BJ$4,'1.DC_Ra soat'!$I:$I,'1.BS (VND)'!$D97)</f>
        <v>0</v>
      </c>
      <c r="BK97" s="746">
        <f>-SUMIFS('1.DC_Ra soat'!$L:$L,'1.DC_Ra soat'!$F:$F,BK$4,'1.DC_Ra soat'!$H:$H,'1.BS (VND)'!$D97)+SUMIFS('1.DC_Ra soat'!$L:$L,'1.DC_Ra soat'!$F:$F,BK$4,'1.DC_Ra soat'!$I:$I,'1.BS (VND)'!$D97)</f>
        <v>0</v>
      </c>
      <c r="BM97" s="746">
        <f t="shared" si="128"/>
        <v>0</v>
      </c>
      <c r="BN97" s="746">
        <f t="shared" si="129"/>
        <v>0</v>
      </c>
      <c r="BO97" s="746">
        <f t="shared" si="130"/>
        <v>0</v>
      </c>
      <c r="BP97" s="747">
        <f t="shared" si="131"/>
        <v>8691250002</v>
      </c>
      <c r="BQ97" s="745"/>
      <c r="BR97" s="746">
        <f t="shared" si="132"/>
        <v>0</v>
      </c>
      <c r="BS97" s="746">
        <f t="shared" si="133"/>
        <v>0</v>
      </c>
      <c r="BT97" s="746">
        <f t="shared" si="134"/>
        <v>0</v>
      </c>
      <c r="BU97" s="746">
        <f t="shared" si="135"/>
        <v>20994156696</v>
      </c>
      <c r="BV97" s="745"/>
      <c r="BW97" s="746">
        <f t="shared" si="136"/>
        <v>0</v>
      </c>
      <c r="BX97" s="746">
        <f t="shared" si="137"/>
        <v>0</v>
      </c>
      <c r="BY97" s="746">
        <f t="shared" si="138"/>
        <v>0</v>
      </c>
      <c r="BZ97" s="747">
        <f t="shared" si="139"/>
        <v>2240000000</v>
      </c>
      <c r="CA97" s="745"/>
      <c r="CB97" s="747">
        <f t="shared" si="140"/>
        <v>0</v>
      </c>
      <c r="CC97" s="747">
        <f t="shared" si="141"/>
        <v>0</v>
      </c>
      <c r="CD97" s="747">
        <f t="shared" si="142"/>
        <v>0</v>
      </c>
      <c r="CE97" s="747">
        <f t="shared" si="143"/>
        <v>0</v>
      </c>
      <c r="CF97" s="745"/>
      <c r="CG97" s="747">
        <f t="shared" si="144"/>
        <v>0</v>
      </c>
      <c r="CH97" s="747">
        <f t="shared" si="145"/>
        <v>0</v>
      </c>
      <c r="CI97" s="747">
        <f t="shared" si="146"/>
        <v>0</v>
      </c>
      <c r="CJ97" s="747">
        <f t="shared" si="147"/>
        <v>0</v>
      </c>
      <c r="CK97" s="745"/>
      <c r="CL97" s="746">
        <f t="shared" si="148"/>
        <v>0</v>
      </c>
      <c r="CM97" s="746">
        <f t="shared" si="149"/>
        <v>0</v>
      </c>
      <c r="CN97" s="746">
        <f t="shared" si="150"/>
        <v>0</v>
      </c>
      <c r="CO97" s="747">
        <f t="shared" si="151"/>
        <v>0</v>
      </c>
      <c r="CQ97" s="746">
        <f>SUMIF('1.PL (VND) '!$BL$6:$CD$6,'1.PL (VND) '!CP$6,$BM97:$CE97)</f>
        <v>0</v>
      </c>
      <c r="CR97" s="746">
        <f>SUMIF('1.PL (VND) '!$BL$6:$CD$6,'1.PL (VND) '!CQ$6,$BM97:$CE97)</f>
        <v>0</v>
      </c>
      <c r="CS97" s="746">
        <f>SUMIF('1.PL (VND) '!$BL$6:$CD$6,'1.PL (VND) '!CR$6,$BM97:$CE97)</f>
        <v>0</v>
      </c>
      <c r="CT97" s="746">
        <f>SUMIF('1.PL (VND) '!$BL$6:$CD$6,'1.PL (VND) '!CS$6,$BM97:$CE97)</f>
        <v>31925406698</v>
      </c>
      <c r="CV97" s="748">
        <f>-SUMIFS('1.DC_Ra soat'!$L:$L,'1.DC_Ra soat'!$F:$F,'1.PL (VND) '!DK$4,'1.DC_Ra soat'!$H:$H,'1.BS (VND)'!$D97)+SUMIFS('1.DC_Ra soat'!$L:$L,'1.DC_Ra soat'!$F:$F,'1.PL (VND) '!DK$4,'1.DC_Ra soat'!$I:$I,'1.BS (VND)'!$D97)</f>
        <v>0</v>
      </c>
      <c r="CW97" s="748">
        <f>-SUMIFS('1.DC_Ra soat'!$L:$L,'1.DC_Ra soat'!$F:$F,'1.PL (VND) '!DL$4,'1.DC_Ra soat'!$H:$H,'1.BS (VND)'!$D97)+SUMIFS('1.DC_Ra soat'!$L:$L,'1.DC_Ra soat'!$F:$F,'1.PL (VND) '!DL$4,'1.DC_Ra soat'!$I:$I,'1.BS (VND)'!$D97)</f>
        <v>0</v>
      </c>
      <c r="CX97" s="748">
        <f>-SUMIFS('1.DC_Ra soat'!$L:$L,'1.DC_Ra soat'!$F:$F,'1.PL (VND) '!DM$4,'1.DC_Ra soat'!$H:$H,'1.BS (VND)'!$D97)+SUMIFS('1.DC_Ra soat'!$L:$L,'1.DC_Ra soat'!$F:$F,'1.PL (VND) '!DM$4,'1.DC_Ra soat'!$I:$I,'1.BS (VND)'!$D97)</f>
        <v>0</v>
      </c>
      <c r="CY97" s="748">
        <f>-SUMIFS('1.DC_Ra soat'!$L:$L,'1.DC_Ra soat'!$F:$F,'1.PL (VND) '!DN$4,'1.DC_Ra soat'!$H:$H,'1.BS (VND)'!$D97)+SUMIFS('1.DC_Ra soat'!$L:$L,'1.DC_Ra soat'!$F:$F,'1.PL (VND) '!DN$4,'1.DC_Ra soat'!$I:$I,'1.BS (VND)'!$D97)</f>
        <v>0</v>
      </c>
      <c r="DA97" s="746">
        <f t="shared" si="157"/>
        <v>0</v>
      </c>
      <c r="DB97" s="746">
        <f t="shared" si="158"/>
        <v>0</v>
      </c>
      <c r="DC97" s="746">
        <f t="shared" si="159"/>
        <v>0</v>
      </c>
      <c r="DD97" s="746">
        <f t="shared" si="160"/>
        <v>31925406698</v>
      </c>
      <c r="DH97" s="749"/>
    </row>
    <row r="98" spans="1:112" s="740" customFormat="1" x14ac:dyDescent="0.25">
      <c r="A98" s="248" t="str">
        <f t="shared" si="166"/>
        <v>hide</v>
      </c>
      <c r="C98" s="741" t="s">
        <v>455</v>
      </c>
      <c r="D98" s="742" t="s">
        <v>456</v>
      </c>
      <c r="E98" s="743"/>
      <c r="F98" s="743"/>
      <c r="G98" s="743"/>
      <c r="H98" s="744"/>
      <c r="I98" s="745"/>
      <c r="J98" s="746"/>
      <c r="K98" s="746"/>
      <c r="L98" s="746"/>
      <c r="M98" s="739">
        <v>0</v>
      </c>
      <c r="N98" s="745"/>
      <c r="O98" s="746"/>
      <c r="P98" s="746"/>
      <c r="Q98" s="746"/>
      <c r="R98" s="746"/>
      <c r="S98" s="745"/>
      <c r="T98" s="746"/>
      <c r="U98" s="746"/>
      <c r="V98" s="746"/>
      <c r="W98" s="746"/>
      <c r="X98" s="745"/>
      <c r="Y98" s="746"/>
      <c r="Z98" s="746"/>
      <c r="AA98" s="746"/>
      <c r="AB98" s="746"/>
      <c r="AC98" s="745"/>
      <c r="AD98" s="746"/>
      <c r="AE98" s="746"/>
      <c r="AF98" s="746"/>
      <c r="AG98" s="746"/>
      <c r="AI98" s="746">
        <f>-SUMIFS('1.DC_Ra soat'!$L:$L,'1.DC_Ra soat'!$F:$F,AI$4,'1.DC_Ra soat'!$H:$H,'1.BS (VND)'!$D98)+SUMIFS('1.DC_Ra soat'!$L:$L,'1.DC_Ra soat'!$F:$F,AI$4,'1.DC_Ra soat'!$I:$I,'1.BS (VND)'!$D98)</f>
        <v>0</v>
      </c>
      <c r="AJ98" s="746">
        <f>-SUMIFS('1.DC_Ra soat'!$L:$L,'1.DC_Ra soat'!$F:$F,AJ$4,'1.DC_Ra soat'!$H:$H,'1.BS (VND)'!$D98)+SUMIFS('1.DC_Ra soat'!$L:$L,'1.DC_Ra soat'!$F:$F,AJ$4,'1.DC_Ra soat'!$I:$I,'1.BS (VND)'!$D98)</f>
        <v>0</v>
      </c>
      <c r="AK98" s="746">
        <f>-SUMIFS('1.DC_Ra soat'!$L:$L,'1.DC_Ra soat'!$F:$F,AK$4,'1.DC_Ra soat'!$H:$H,'1.BS (VND)'!$D98)+SUMIFS('1.DC_Ra soat'!$L:$L,'1.DC_Ra soat'!$F:$F,AK$4,'1.DC_Ra soat'!$I:$I,'1.BS (VND)'!$D98)</f>
        <v>0</v>
      </c>
      <c r="AL98" s="746">
        <f>-SUMIFS('1.DC_Ra soat'!$L:$L,'1.DC_Ra soat'!$F:$F,AL$4,'1.DC_Ra soat'!$H:$H,'1.BS (VND)'!$D98)+SUMIFS('1.DC_Ra soat'!$L:$L,'1.DC_Ra soat'!$F:$F,AL$4,'1.DC_Ra soat'!$I:$I,'1.BS (VND)'!$D98)</f>
        <v>0</v>
      </c>
      <c r="AM98" s="745"/>
      <c r="AN98" s="746">
        <f>-SUMIFS('1.DC_Ra soat'!$L:$L,'1.DC_Ra soat'!$F:$F,AN$4,'1.DC_Ra soat'!$H:$H,'1.BS (VND)'!$D98)+SUMIFS('1.DC_Ra soat'!$L:$L,'1.DC_Ra soat'!$F:$F,AN$4,'1.DC_Ra soat'!$I:$I,'1.BS (VND)'!$D98)</f>
        <v>0</v>
      </c>
      <c r="AO98" s="746">
        <f>-SUMIFS('1.DC_Ra soat'!$L:$L,'1.DC_Ra soat'!$F:$F,AO$4,'1.DC_Ra soat'!$H:$H,'1.BS (VND)'!$D98)+SUMIFS('1.DC_Ra soat'!$L:$L,'1.DC_Ra soat'!$F:$F,AO$4,'1.DC_Ra soat'!$I:$I,'1.BS (VND)'!$D98)</f>
        <v>0</v>
      </c>
      <c r="AP98" s="746">
        <f>-SUMIFS('1.DC_Ra soat'!$L:$L,'1.DC_Ra soat'!$F:$F,AP$4,'1.DC_Ra soat'!$H:$H,'1.BS (VND)'!$D98)+SUMIFS('1.DC_Ra soat'!$L:$L,'1.DC_Ra soat'!$F:$F,AP$4,'1.DC_Ra soat'!$I:$I,'1.BS (VND)'!$D98)</f>
        <v>0</v>
      </c>
      <c r="AQ98" s="746">
        <f>-SUMIFS('1.DC_Ra soat'!$L:$L,'1.DC_Ra soat'!$F:$F,AQ$4,'1.DC_Ra soat'!$H:$H,'1.BS (VND)'!$D98)+SUMIFS('1.DC_Ra soat'!$L:$L,'1.DC_Ra soat'!$F:$F,AQ$4,'1.DC_Ra soat'!$I:$I,'1.BS (VND)'!$D98)</f>
        <v>0</v>
      </c>
      <c r="AR98" s="745"/>
      <c r="AS98" s="746">
        <f>-SUMIFS('1.DC_Ra soat'!$L:$L,'1.DC_Ra soat'!$F:$F,AS$4,'1.DC_Ra soat'!$H:$H,'1.BS (VND)'!$D98)+SUMIFS('1.DC_Ra soat'!$L:$L,'1.DC_Ra soat'!$F:$F,AS$4,'1.DC_Ra soat'!$I:$I,'1.BS (VND)'!$D98)</f>
        <v>0</v>
      </c>
      <c r="AT98" s="746">
        <f>-SUMIFS('1.DC_Ra soat'!$L:$L,'1.DC_Ra soat'!$F:$F,AT$4,'1.DC_Ra soat'!$H:$H,'1.BS (VND)'!$D98)+SUMIFS('1.DC_Ra soat'!$L:$L,'1.DC_Ra soat'!$F:$F,AT$4,'1.DC_Ra soat'!$I:$I,'1.BS (VND)'!$D98)</f>
        <v>0</v>
      </c>
      <c r="AU98" s="746">
        <f>-SUMIFS('1.DC_Ra soat'!$L:$L,'1.DC_Ra soat'!$F:$F,AU$4,'1.DC_Ra soat'!$H:$H,'1.BS (VND)'!$D98)+SUMIFS('1.DC_Ra soat'!$L:$L,'1.DC_Ra soat'!$F:$F,AU$4,'1.DC_Ra soat'!$I:$I,'1.BS (VND)'!$D98)</f>
        <v>0</v>
      </c>
      <c r="AV98" s="746">
        <f>-SUMIFS('1.DC_Ra soat'!$L:$L,'1.DC_Ra soat'!$F:$F,AV$4,'1.DC_Ra soat'!$H:$H,'1.BS (VND)'!$D98)+SUMIFS('1.DC_Ra soat'!$L:$L,'1.DC_Ra soat'!$F:$F,AV$4,'1.DC_Ra soat'!$I:$I,'1.BS (VND)'!$D98)</f>
        <v>0</v>
      </c>
      <c r="AW98" s="745"/>
      <c r="AX98" s="746">
        <f>-SUMIFS('1.DC_Ra soat'!$L:$L,'1.DC_Ra soat'!$F:$F,AX$4,'1.DC_Ra soat'!$H:$H,'1.BS (VND)'!$D98)+SUMIFS('1.DC_Ra soat'!$L:$L,'1.DC_Ra soat'!$F:$F,AX$4,'1.DC_Ra soat'!$I:$I,'1.BS (VND)'!$D98)</f>
        <v>0</v>
      </c>
      <c r="AY98" s="746">
        <f>-SUMIFS('1.DC_Ra soat'!$L:$L,'1.DC_Ra soat'!$F:$F,AY$4,'1.DC_Ra soat'!$H:$H,'1.BS (VND)'!$D98)+SUMIFS('1.DC_Ra soat'!$L:$L,'1.DC_Ra soat'!$F:$F,AY$4,'1.DC_Ra soat'!$I:$I,'1.BS (VND)'!$D98)</f>
        <v>0</v>
      </c>
      <c r="AZ98" s="746">
        <f>-SUMIFS('1.DC_Ra soat'!$L:$L,'1.DC_Ra soat'!$F:$F,AZ$4,'1.DC_Ra soat'!$H:$H,'1.BS (VND)'!$D98)+SUMIFS('1.DC_Ra soat'!$L:$L,'1.DC_Ra soat'!$F:$F,AZ$4,'1.DC_Ra soat'!$I:$I,'1.BS (VND)'!$D98)</f>
        <v>0</v>
      </c>
      <c r="BA98" s="746">
        <f>-SUMIFS('1.DC_Ra soat'!$L:$L,'1.DC_Ra soat'!$F:$F,BA$4,'1.DC_Ra soat'!$H:$H,'1.BS (VND)'!$D98)+SUMIFS('1.DC_Ra soat'!$L:$L,'1.DC_Ra soat'!$F:$F,BA$4,'1.DC_Ra soat'!$I:$I,'1.BS (VND)'!$D98)</f>
        <v>0</v>
      </c>
      <c r="BB98" s="745"/>
      <c r="BC98" s="746">
        <f>-SUMIFS('1.DC_Ra soat'!$L:$L,'1.DC_Ra soat'!$F:$F,BC$4,'1.DC_Ra soat'!$H:$H,'1.BS (VND)'!$D98)+SUMIFS('1.DC_Ra soat'!$L:$L,'1.DC_Ra soat'!$F:$F,BC$4,'1.DC_Ra soat'!$I:$I,'1.BS (VND)'!$D98)</f>
        <v>0</v>
      </c>
      <c r="BD98" s="746">
        <f>-SUMIFS('1.DC_Ra soat'!$L:$L,'1.DC_Ra soat'!$F:$F,BD$4,'1.DC_Ra soat'!$H:$H,'1.BS (VND)'!$D98)+SUMIFS('1.DC_Ra soat'!$L:$L,'1.DC_Ra soat'!$F:$F,BD$4,'1.DC_Ra soat'!$I:$I,'1.BS (VND)'!$D98)</f>
        <v>0</v>
      </c>
      <c r="BE98" s="746">
        <f>-SUMIFS('1.DC_Ra soat'!$L:$L,'1.DC_Ra soat'!$F:$F,BE$4,'1.DC_Ra soat'!$H:$H,'1.BS (VND)'!$D98)+SUMIFS('1.DC_Ra soat'!$L:$L,'1.DC_Ra soat'!$F:$F,BE$4,'1.DC_Ra soat'!$I:$I,'1.BS (VND)'!$D98)</f>
        <v>0</v>
      </c>
      <c r="BF98" s="746">
        <f>-SUMIFS('1.DC_Ra soat'!$L:$L,'1.DC_Ra soat'!$F:$F,BF$4,'1.DC_Ra soat'!$H:$H,'1.BS (VND)'!$D98)+SUMIFS('1.DC_Ra soat'!$L:$L,'1.DC_Ra soat'!$F:$F,BF$4,'1.DC_Ra soat'!$I:$I,'1.BS (VND)'!$D98)</f>
        <v>0</v>
      </c>
      <c r="BG98" s="745"/>
      <c r="BH98" s="746">
        <f>-SUMIFS('1.DC_Ra soat'!$L:$L,'1.DC_Ra soat'!$F:$F,BH$4,'1.DC_Ra soat'!$H:$H,'1.BS (VND)'!$D98)+SUMIFS('1.DC_Ra soat'!$L:$L,'1.DC_Ra soat'!$F:$F,BH$4,'1.DC_Ra soat'!$I:$I,'1.BS (VND)'!$D98)</f>
        <v>0</v>
      </c>
      <c r="BI98" s="746">
        <f>-SUMIFS('1.DC_Ra soat'!$L:$L,'1.DC_Ra soat'!$F:$F,BI$4,'1.DC_Ra soat'!$H:$H,'1.BS (VND)'!$D98)+SUMIFS('1.DC_Ra soat'!$L:$L,'1.DC_Ra soat'!$F:$F,BI$4,'1.DC_Ra soat'!$I:$I,'1.BS (VND)'!$D98)</f>
        <v>0</v>
      </c>
      <c r="BJ98" s="746">
        <f>-SUMIFS('1.DC_Ra soat'!$L:$L,'1.DC_Ra soat'!$F:$F,BJ$4,'1.DC_Ra soat'!$H:$H,'1.BS (VND)'!$D98)+SUMIFS('1.DC_Ra soat'!$L:$L,'1.DC_Ra soat'!$F:$F,BJ$4,'1.DC_Ra soat'!$I:$I,'1.BS (VND)'!$D98)</f>
        <v>0</v>
      </c>
      <c r="BK98" s="746">
        <f>-SUMIFS('1.DC_Ra soat'!$L:$L,'1.DC_Ra soat'!$F:$F,BK$4,'1.DC_Ra soat'!$H:$H,'1.BS (VND)'!$D98)+SUMIFS('1.DC_Ra soat'!$L:$L,'1.DC_Ra soat'!$F:$F,BK$4,'1.DC_Ra soat'!$I:$I,'1.BS (VND)'!$D98)</f>
        <v>0</v>
      </c>
      <c r="BM98" s="746">
        <f t="shared" si="128"/>
        <v>0</v>
      </c>
      <c r="BN98" s="746">
        <f t="shared" si="129"/>
        <v>0</v>
      </c>
      <c r="BO98" s="746">
        <f t="shared" si="130"/>
        <v>0</v>
      </c>
      <c r="BP98" s="747">
        <f t="shared" si="131"/>
        <v>0</v>
      </c>
      <c r="BQ98" s="745"/>
      <c r="BR98" s="746">
        <f t="shared" si="132"/>
        <v>0</v>
      </c>
      <c r="BS98" s="746">
        <f t="shared" si="133"/>
        <v>0</v>
      </c>
      <c r="BT98" s="746">
        <f t="shared" si="134"/>
        <v>0</v>
      </c>
      <c r="BU98" s="746">
        <f t="shared" si="135"/>
        <v>0</v>
      </c>
      <c r="BV98" s="745"/>
      <c r="BW98" s="746">
        <f t="shared" si="136"/>
        <v>0</v>
      </c>
      <c r="BX98" s="746">
        <f t="shared" si="137"/>
        <v>0</v>
      </c>
      <c r="BY98" s="746">
        <f t="shared" si="138"/>
        <v>0</v>
      </c>
      <c r="BZ98" s="747">
        <f t="shared" si="139"/>
        <v>0</v>
      </c>
      <c r="CA98" s="745"/>
      <c r="CB98" s="747">
        <f t="shared" si="140"/>
        <v>0</v>
      </c>
      <c r="CC98" s="747">
        <f t="shared" si="141"/>
        <v>0</v>
      </c>
      <c r="CD98" s="747">
        <f t="shared" si="142"/>
        <v>0</v>
      </c>
      <c r="CE98" s="747">
        <f t="shared" si="143"/>
        <v>0</v>
      </c>
      <c r="CF98" s="745"/>
      <c r="CG98" s="747">
        <f t="shared" si="144"/>
        <v>0</v>
      </c>
      <c r="CH98" s="747">
        <f t="shared" si="145"/>
        <v>0</v>
      </c>
      <c r="CI98" s="747">
        <f t="shared" si="146"/>
        <v>0</v>
      </c>
      <c r="CJ98" s="747">
        <f t="shared" si="147"/>
        <v>0</v>
      </c>
      <c r="CK98" s="745"/>
      <c r="CL98" s="746">
        <f t="shared" si="148"/>
        <v>0</v>
      </c>
      <c r="CM98" s="746">
        <f t="shared" si="149"/>
        <v>0</v>
      </c>
      <c r="CN98" s="746">
        <f t="shared" si="150"/>
        <v>0</v>
      </c>
      <c r="CO98" s="747">
        <f t="shared" si="151"/>
        <v>0</v>
      </c>
      <c r="CQ98" s="746">
        <f>SUMIF('1.PL (VND) '!$BL$6:$CD$6,'1.PL (VND) '!CP$6,$BM98:$CE98)</f>
        <v>0</v>
      </c>
      <c r="CR98" s="746">
        <f>SUMIF('1.PL (VND) '!$BL$6:$CD$6,'1.PL (VND) '!CQ$6,$BM98:$CE98)</f>
        <v>0</v>
      </c>
      <c r="CS98" s="746">
        <f>SUMIF('1.PL (VND) '!$BL$6:$CD$6,'1.PL (VND) '!CR$6,$BM98:$CE98)</f>
        <v>0</v>
      </c>
      <c r="CT98" s="746">
        <f>SUMIF('1.PL (VND) '!$BL$6:$CD$6,'1.PL (VND) '!CS$6,$BM98:$CE98)</f>
        <v>0</v>
      </c>
      <c r="CV98" s="748">
        <f>-SUMIFS('1.DC_Ra soat'!$L:$L,'1.DC_Ra soat'!$F:$F,'1.PL (VND) '!DK$4,'1.DC_Ra soat'!$H:$H,'1.BS (VND)'!$D98)+SUMIFS('1.DC_Ra soat'!$L:$L,'1.DC_Ra soat'!$F:$F,'1.PL (VND) '!DK$4,'1.DC_Ra soat'!$I:$I,'1.BS (VND)'!$D98)</f>
        <v>0</v>
      </c>
      <c r="CW98" s="748">
        <f>-SUMIFS('1.DC_Ra soat'!$L:$L,'1.DC_Ra soat'!$F:$F,'1.PL (VND) '!DL$4,'1.DC_Ra soat'!$H:$H,'1.BS (VND)'!$D98)+SUMIFS('1.DC_Ra soat'!$L:$L,'1.DC_Ra soat'!$F:$F,'1.PL (VND) '!DL$4,'1.DC_Ra soat'!$I:$I,'1.BS (VND)'!$D98)</f>
        <v>0</v>
      </c>
      <c r="CX98" s="748">
        <f>-SUMIFS('1.DC_Ra soat'!$L:$L,'1.DC_Ra soat'!$F:$F,'1.PL (VND) '!DM$4,'1.DC_Ra soat'!$H:$H,'1.BS (VND)'!$D98)+SUMIFS('1.DC_Ra soat'!$L:$L,'1.DC_Ra soat'!$F:$F,'1.PL (VND) '!DM$4,'1.DC_Ra soat'!$I:$I,'1.BS (VND)'!$D98)</f>
        <v>0</v>
      </c>
      <c r="CY98" s="748">
        <f>-SUMIFS('1.DC_Ra soat'!$L:$L,'1.DC_Ra soat'!$F:$F,'1.PL (VND) '!DN$4,'1.DC_Ra soat'!$H:$H,'1.BS (VND)'!$D98)+SUMIFS('1.DC_Ra soat'!$L:$L,'1.DC_Ra soat'!$F:$F,'1.PL (VND) '!DN$4,'1.DC_Ra soat'!$I:$I,'1.BS (VND)'!$D98)</f>
        <v>0</v>
      </c>
      <c r="DA98" s="746">
        <f t="shared" si="157"/>
        <v>0</v>
      </c>
      <c r="DB98" s="746">
        <f t="shared" si="158"/>
        <v>0</v>
      </c>
      <c r="DC98" s="746">
        <f t="shared" si="159"/>
        <v>0</v>
      </c>
      <c r="DD98" s="746">
        <f t="shared" si="160"/>
        <v>0</v>
      </c>
    </row>
    <row r="99" spans="1:112" s="740" customFormat="1" x14ac:dyDescent="0.25">
      <c r="A99" s="248" t="str">
        <f t="shared" si="166"/>
        <v>hide</v>
      </c>
      <c r="C99" s="741" t="s">
        <v>457</v>
      </c>
      <c r="D99" s="742" t="s">
        <v>458</v>
      </c>
      <c r="E99" s="743"/>
      <c r="F99" s="743"/>
      <c r="G99" s="743"/>
      <c r="H99" s="744"/>
      <c r="I99" s="745"/>
      <c r="J99" s="746"/>
      <c r="K99" s="746"/>
      <c r="L99" s="746"/>
      <c r="M99" s="739">
        <v>0</v>
      </c>
      <c r="N99" s="745"/>
      <c r="O99" s="746"/>
      <c r="P99" s="746"/>
      <c r="Q99" s="746"/>
      <c r="R99" s="746"/>
      <c r="S99" s="745"/>
      <c r="T99" s="746"/>
      <c r="U99" s="746"/>
      <c r="V99" s="746"/>
      <c r="W99" s="746"/>
      <c r="X99" s="745"/>
      <c r="Y99" s="746"/>
      <c r="Z99" s="746"/>
      <c r="AA99" s="746"/>
      <c r="AB99" s="746"/>
      <c r="AC99" s="745"/>
      <c r="AD99" s="746"/>
      <c r="AE99" s="746"/>
      <c r="AF99" s="746"/>
      <c r="AG99" s="746"/>
      <c r="AI99" s="746">
        <f>-SUMIFS('1.DC_Ra soat'!$L:$L,'1.DC_Ra soat'!$F:$F,AI$4,'1.DC_Ra soat'!$H:$H,'1.BS (VND)'!$D99)+SUMIFS('1.DC_Ra soat'!$L:$L,'1.DC_Ra soat'!$F:$F,AI$4,'1.DC_Ra soat'!$I:$I,'1.BS (VND)'!$D99)</f>
        <v>0</v>
      </c>
      <c r="AJ99" s="746">
        <f>-SUMIFS('1.DC_Ra soat'!$L:$L,'1.DC_Ra soat'!$F:$F,AJ$4,'1.DC_Ra soat'!$H:$H,'1.BS (VND)'!$D99)+SUMIFS('1.DC_Ra soat'!$L:$L,'1.DC_Ra soat'!$F:$F,AJ$4,'1.DC_Ra soat'!$I:$I,'1.BS (VND)'!$D99)</f>
        <v>0</v>
      </c>
      <c r="AK99" s="746">
        <f>-SUMIFS('1.DC_Ra soat'!$L:$L,'1.DC_Ra soat'!$F:$F,AK$4,'1.DC_Ra soat'!$H:$H,'1.BS (VND)'!$D99)+SUMIFS('1.DC_Ra soat'!$L:$L,'1.DC_Ra soat'!$F:$F,AK$4,'1.DC_Ra soat'!$I:$I,'1.BS (VND)'!$D99)</f>
        <v>0</v>
      </c>
      <c r="AL99" s="746">
        <f>-SUMIFS('1.DC_Ra soat'!$L:$L,'1.DC_Ra soat'!$F:$F,AL$4,'1.DC_Ra soat'!$H:$H,'1.BS (VND)'!$D99)+SUMIFS('1.DC_Ra soat'!$L:$L,'1.DC_Ra soat'!$F:$F,AL$4,'1.DC_Ra soat'!$I:$I,'1.BS (VND)'!$D99)</f>
        <v>0</v>
      </c>
      <c r="AM99" s="745"/>
      <c r="AN99" s="746">
        <f>-SUMIFS('1.DC_Ra soat'!$L:$L,'1.DC_Ra soat'!$F:$F,AN$4,'1.DC_Ra soat'!$H:$H,'1.BS (VND)'!$D99)+SUMIFS('1.DC_Ra soat'!$L:$L,'1.DC_Ra soat'!$F:$F,AN$4,'1.DC_Ra soat'!$I:$I,'1.BS (VND)'!$D99)</f>
        <v>0</v>
      </c>
      <c r="AO99" s="746">
        <f>-SUMIFS('1.DC_Ra soat'!$L:$L,'1.DC_Ra soat'!$F:$F,AO$4,'1.DC_Ra soat'!$H:$H,'1.BS (VND)'!$D99)+SUMIFS('1.DC_Ra soat'!$L:$L,'1.DC_Ra soat'!$F:$F,AO$4,'1.DC_Ra soat'!$I:$I,'1.BS (VND)'!$D99)</f>
        <v>0</v>
      </c>
      <c r="AP99" s="746">
        <f>-SUMIFS('1.DC_Ra soat'!$L:$L,'1.DC_Ra soat'!$F:$F,AP$4,'1.DC_Ra soat'!$H:$H,'1.BS (VND)'!$D99)+SUMIFS('1.DC_Ra soat'!$L:$L,'1.DC_Ra soat'!$F:$F,AP$4,'1.DC_Ra soat'!$I:$I,'1.BS (VND)'!$D99)</f>
        <v>0</v>
      </c>
      <c r="AQ99" s="746">
        <f>-SUMIFS('1.DC_Ra soat'!$L:$L,'1.DC_Ra soat'!$F:$F,AQ$4,'1.DC_Ra soat'!$H:$H,'1.BS (VND)'!$D99)+SUMIFS('1.DC_Ra soat'!$L:$L,'1.DC_Ra soat'!$F:$F,AQ$4,'1.DC_Ra soat'!$I:$I,'1.BS (VND)'!$D99)</f>
        <v>0</v>
      </c>
      <c r="AR99" s="745"/>
      <c r="AS99" s="746">
        <f>-SUMIFS('1.DC_Ra soat'!$L:$L,'1.DC_Ra soat'!$F:$F,AS$4,'1.DC_Ra soat'!$H:$H,'1.BS (VND)'!$D99)+SUMIFS('1.DC_Ra soat'!$L:$L,'1.DC_Ra soat'!$F:$F,AS$4,'1.DC_Ra soat'!$I:$I,'1.BS (VND)'!$D99)</f>
        <v>0</v>
      </c>
      <c r="AT99" s="746">
        <f>-SUMIFS('1.DC_Ra soat'!$L:$L,'1.DC_Ra soat'!$F:$F,AT$4,'1.DC_Ra soat'!$H:$H,'1.BS (VND)'!$D99)+SUMIFS('1.DC_Ra soat'!$L:$L,'1.DC_Ra soat'!$F:$F,AT$4,'1.DC_Ra soat'!$I:$I,'1.BS (VND)'!$D99)</f>
        <v>0</v>
      </c>
      <c r="AU99" s="746">
        <f>-SUMIFS('1.DC_Ra soat'!$L:$L,'1.DC_Ra soat'!$F:$F,AU$4,'1.DC_Ra soat'!$H:$H,'1.BS (VND)'!$D99)+SUMIFS('1.DC_Ra soat'!$L:$L,'1.DC_Ra soat'!$F:$F,AU$4,'1.DC_Ra soat'!$I:$I,'1.BS (VND)'!$D99)</f>
        <v>0</v>
      </c>
      <c r="AV99" s="746">
        <f>-SUMIFS('1.DC_Ra soat'!$L:$L,'1.DC_Ra soat'!$F:$F,AV$4,'1.DC_Ra soat'!$H:$H,'1.BS (VND)'!$D99)+SUMIFS('1.DC_Ra soat'!$L:$L,'1.DC_Ra soat'!$F:$F,AV$4,'1.DC_Ra soat'!$I:$I,'1.BS (VND)'!$D99)</f>
        <v>0</v>
      </c>
      <c r="AW99" s="745"/>
      <c r="AX99" s="746">
        <f>-SUMIFS('1.DC_Ra soat'!$L:$L,'1.DC_Ra soat'!$F:$F,AX$4,'1.DC_Ra soat'!$H:$H,'1.BS (VND)'!$D99)+SUMIFS('1.DC_Ra soat'!$L:$L,'1.DC_Ra soat'!$F:$F,AX$4,'1.DC_Ra soat'!$I:$I,'1.BS (VND)'!$D99)</f>
        <v>0</v>
      </c>
      <c r="AY99" s="746">
        <f>-SUMIFS('1.DC_Ra soat'!$L:$L,'1.DC_Ra soat'!$F:$F,AY$4,'1.DC_Ra soat'!$H:$H,'1.BS (VND)'!$D99)+SUMIFS('1.DC_Ra soat'!$L:$L,'1.DC_Ra soat'!$F:$F,AY$4,'1.DC_Ra soat'!$I:$I,'1.BS (VND)'!$D99)</f>
        <v>0</v>
      </c>
      <c r="AZ99" s="746">
        <f>-SUMIFS('1.DC_Ra soat'!$L:$L,'1.DC_Ra soat'!$F:$F,AZ$4,'1.DC_Ra soat'!$H:$H,'1.BS (VND)'!$D99)+SUMIFS('1.DC_Ra soat'!$L:$L,'1.DC_Ra soat'!$F:$F,AZ$4,'1.DC_Ra soat'!$I:$I,'1.BS (VND)'!$D99)</f>
        <v>0</v>
      </c>
      <c r="BA99" s="746">
        <f>-SUMIFS('1.DC_Ra soat'!$L:$L,'1.DC_Ra soat'!$F:$F,BA$4,'1.DC_Ra soat'!$H:$H,'1.BS (VND)'!$D99)+SUMIFS('1.DC_Ra soat'!$L:$L,'1.DC_Ra soat'!$F:$F,BA$4,'1.DC_Ra soat'!$I:$I,'1.BS (VND)'!$D99)</f>
        <v>0</v>
      </c>
      <c r="BB99" s="745"/>
      <c r="BC99" s="746">
        <f>-SUMIFS('1.DC_Ra soat'!$L:$L,'1.DC_Ra soat'!$F:$F,BC$4,'1.DC_Ra soat'!$H:$H,'1.BS (VND)'!$D99)+SUMIFS('1.DC_Ra soat'!$L:$L,'1.DC_Ra soat'!$F:$F,BC$4,'1.DC_Ra soat'!$I:$I,'1.BS (VND)'!$D99)</f>
        <v>0</v>
      </c>
      <c r="BD99" s="746">
        <f>-SUMIFS('1.DC_Ra soat'!$L:$L,'1.DC_Ra soat'!$F:$F,BD$4,'1.DC_Ra soat'!$H:$H,'1.BS (VND)'!$D99)+SUMIFS('1.DC_Ra soat'!$L:$L,'1.DC_Ra soat'!$F:$F,BD$4,'1.DC_Ra soat'!$I:$I,'1.BS (VND)'!$D99)</f>
        <v>0</v>
      </c>
      <c r="BE99" s="746">
        <f>-SUMIFS('1.DC_Ra soat'!$L:$L,'1.DC_Ra soat'!$F:$F,BE$4,'1.DC_Ra soat'!$H:$H,'1.BS (VND)'!$D99)+SUMIFS('1.DC_Ra soat'!$L:$L,'1.DC_Ra soat'!$F:$F,BE$4,'1.DC_Ra soat'!$I:$I,'1.BS (VND)'!$D99)</f>
        <v>0</v>
      </c>
      <c r="BF99" s="746">
        <f>-SUMIFS('1.DC_Ra soat'!$L:$L,'1.DC_Ra soat'!$F:$F,BF$4,'1.DC_Ra soat'!$H:$H,'1.BS (VND)'!$D99)+SUMIFS('1.DC_Ra soat'!$L:$L,'1.DC_Ra soat'!$F:$F,BF$4,'1.DC_Ra soat'!$I:$I,'1.BS (VND)'!$D99)</f>
        <v>0</v>
      </c>
      <c r="BG99" s="745"/>
      <c r="BH99" s="746">
        <f>-SUMIFS('1.DC_Ra soat'!$L:$L,'1.DC_Ra soat'!$F:$F,BH$4,'1.DC_Ra soat'!$H:$H,'1.BS (VND)'!$D99)+SUMIFS('1.DC_Ra soat'!$L:$L,'1.DC_Ra soat'!$F:$F,BH$4,'1.DC_Ra soat'!$I:$I,'1.BS (VND)'!$D99)</f>
        <v>0</v>
      </c>
      <c r="BI99" s="746">
        <f>-SUMIFS('1.DC_Ra soat'!$L:$L,'1.DC_Ra soat'!$F:$F,BI$4,'1.DC_Ra soat'!$H:$H,'1.BS (VND)'!$D99)+SUMIFS('1.DC_Ra soat'!$L:$L,'1.DC_Ra soat'!$F:$F,BI$4,'1.DC_Ra soat'!$I:$I,'1.BS (VND)'!$D99)</f>
        <v>0</v>
      </c>
      <c r="BJ99" s="746">
        <f>-SUMIFS('1.DC_Ra soat'!$L:$L,'1.DC_Ra soat'!$F:$F,BJ$4,'1.DC_Ra soat'!$H:$H,'1.BS (VND)'!$D99)+SUMIFS('1.DC_Ra soat'!$L:$L,'1.DC_Ra soat'!$F:$F,BJ$4,'1.DC_Ra soat'!$I:$I,'1.BS (VND)'!$D99)</f>
        <v>0</v>
      </c>
      <c r="BK99" s="746">
        <f>-SUMIFS('1.DC_Ra soat'!$L:$L,'1.DC_Ra soat'!$F:$F,BK$4,'1.DC_Ra soat'!$H:$H,'1.BS (VND)'!$D99)+SUMIFS('1.DC_Ra soat'!$L:$L,'1.DC_Ra soat'!$F:$F,BK$4,'1.DC_Ra soat'!$I:$I,'1.BS (VND)'!$D99)</f>
        <v>0</v>
      </c>
      <c r="BM99" s="746">
        <f t="shared" si="128"/>
        <v>0</v>
      </c>
      <c r="BN99" s="746">
        <f t="shared" si="129"/>
        <v>0</v>
      </c>
      <c r="BO99" s="746">
        <f t="shared" si="130"/>
        <v>0</v>
      </c>
      <c r="BP99" s="747">
        <f t="shared" si="131"/>
        <v>0</v>
      </c>
      <c r="BQ99" s="745"/>
      <c r="BR99" s="746">
        <f t="shared" si="132"/>
        <v>0</v>
      </c>
      <c r="BS99" s="746">
        <f t="shared" si="133"/>
        <v>0</v>
      </c>
      <c r="BT99" s="746">
        <f t="shared" si="134"/>
        <v>0</v>
      </c>
      <c r="BU99" s="746">
        <f t="shared" si="135"/>
        <v>0</v>
      </c>
      <c r="BV99" s="745"/>
      <c r="BW99" s="746">
        <f t="shared" si="136"/>
        <v>0</v>
      </c>
      <c r="BX99" s="746">
        <f t="shared" si="137"/>
        <v>0</v>
      </c>
      <c r="BY99" s="746">
        <f t="shared" si="138"/>
        <v>0</v>
      </c>
      <c r="BZ99" s="747">
        <f t="shared" si="139"/>
        <v>0</v>
      </c>
      <c r="CA99" s="745"/>
      <c r="CB99" s="747">
        <f t="shared" si="140"/>
        <v>0</v>
      </c>
      <c r="CC99" s="747">
        <f t="shared" si="141"/>
        <v>0</v>
      </c>
      <c r="CD99" s="747">
        <f t="shared" si="142"/>
        <v>0</v>
      </c>
      <c r="CE99" s="747">
        <f t="shared" si="143"/>
        <v>0</v>
      </c>
      <c r="CF99" s="745"/>
      <c r="CG99" s="747">
        <f t="shared" si="144"/>
        <v>0</v>
      </c>
      <c r="CH99" s="747">
        <f t="shared" si="145"/>
        <v>0</v>
      </c>
      <c r="CI99" s="747">
        <f t="shared" si="146"/>
        <v>0</v>
      </c>
      <c r="CJ99" s="747">
        <f t="shared" si="147"/>
        <v>0</v>
      </c>
      <c r="CK99" s="745"/>
      <c r="CL99" s="746">
        <f t="shared" si="148"/>
        <v>0</v>
      </c>
      <c r="CM99" s="746">
        <f t="shared" si="149"/>
        <v>0</v>
      </c>
      <c r="CN99" s="746">
        <f t="shared" si="150"/>
        <v>0</v>
      </c>
      <c r="CO99" s="747">
        <f t="shared" si="151"/>
        <v>0</v>
      </c>
      <c r="CQ99" s="746">
        <f>SUMIF('1.PL (VND) '!$BL$6:$CD$6,'1.PL (VND) '!CP$6,$BM99:$CE99)</f>
        <v>0</v>
      </c>
      <c r="CR99" s="746">
        <f>SUMIF('1.PL (VND) '!$BL$6:$CD$6,'1.PL (VND) '!CQ$6,$BM99:$CE99)</f>
        <v>0</v>
      </c>
      <c r="CS99" s="746">
        <f>SUMIF('1.PL (VND) '!$BL$6:$CD$6,'1.PL (VND) '!CR$6,$BM99:$CE99)</f>
        <v>0</v>
      </c>
      <c r="CT99" s="746">
        <f>SUMIF('1.PL (VND) '!$BL$6:$CD$6,'1.PL (VND) '!CS$6,$BM99:$CE99)</f>
        <v>0</v>
      </c>
      <c r="CV99" s="748">
        <f>-SUMIFS('1.DC_Ra soat'!$L:$L,'1.DC_Ra soat'!$F:$F,'1.PL (VND) '!DK$4,'1.DC_Ra soat'!$H:$H,'1.BS (VND)'!$D99)+SUMIFS('1.DC_Ra soat'!$L:$L,'1.DC_Ra soat'!$F:$F,'1.PL (VND) '!DK$4,'1.DC_Ra soat'!$I:$I,'1.BS (VND)'!$D99)</f>
        <v>0</v>
      </c>
      <c r="CW99" s="748">
        <f>-SUMIFS('1.DC_Ra soat'!$L:$L,'1.DC_Ra soat'!$F:$F,'1.PL (VND) '!DL$4,'1.DC_Ra soat'!$H:$H,'1.BS (VND)'!$D99)+SUMIFS('1.DC_Ra soat'!$L:$L,'1.DC_Ra soat'!$F:$F,'1.PL (VND) '!DL$4,'1.DC_Ra soat'!$I:$I,'1.BS (VND)'!$D99)</f>
        <v>0</v>
      </c>
      <c r="CX99" s="748">
        <f>-SUMIFS('1.DC_Ra soat'!$L:$L,'1.DC_Ra soat'!$F:$F,'1.PL (VND) '!DM$4,'1.DC_Ra soat'!$H:$H,'1.BS (VND)'!$D99)+SUMIFS('1.DC_Ra soat'!$L:$L,'1.DC_Ra soat'!$F:$F,'1.PL (VND) '!DM$4,'1.DC_Ra soat'!$I:$I,'1.BS (VND)'!$D99)</f>
        <v>0</v>
      </c>
      <c r="CY99" s="748">
        <f>-SUMIFS('1.DC_Ra soat'!$L:$L,'1.DC_Ra soat'!$F:$F,'1.PL (VND) '!DN$4,'1.DC_Ra soat'!$H:$H,'1.BS (VND)'!$D99)+SUMIFS('1.DC_Ra soat'!$L:$L,'1.DC_Ra soat'!$F:$F,'1.PL (VND) '!DN$4,'1.DC_Ra soat'!$I:$I,'1.BS (VND)'!$D99)</f>
        <v>0</v>
      </c>
      <c r="DA99" s="746">
        <f t="shared" si="157"/>
        <v>0</v>
      </c>
      <c r="DB99" s="746">
        <f t="shared" si="158"/>
        <v>0</v>
      </c>
      <c r="DC99" s="746">
        <f t="shared" si="159"/>
        <v>0</v>
      </c>
      <c r="DD99" s="746">
        <f t="shared" si="160"/>
        <v>0</v>
      </c>
    </row>
    <row r="100" spans="1:112" s="740" customFormat="1" x14ac:dyDescent="0.25">
      <c r="A100" s="248" t="str">
        <f t="shared" si="166"/>
        <v>hide</v>
      </c>
      <c r="C100" s="741" t="s">
        <v>586</v>
      </c>
      <c r="D100" s="742" t="s">
        <v>459</v>
      </c>
      <c r="E100" s="743"/>
      <c r="F100" s="743"/>
      <c r="G100" s="743"/>
      <c r="H100" s="744"/>
      <c r="I100" s="745"/>
      <c r="J100" s="746"/>
      <c r="K100" s="746"/>
      <c r="L100" s="746"/>
      <c r="M100" s="739">
        <v>0</v>
      </c>
      <c r="N100" s="745"/>
      <c r="O100" s="746"/>
      <c r="P100" s="746"/>
      <c r="Q100" s="746"/>
      <c r="R100" s="746"/>
      <c r="S100" s="745"/>
      <c r="T100" s="746"/>
      <c r="U100" s="746"/>
      <c r="V100" s="746"/>
      <c r="W100" s="746"/>
      <c r="X100" s="745"/>
      <c r="Y100" s="746"/>
      <c r="Z100" s="746"/>
      <c r="AA100" s="746"/>
      <c r="AB100" s="746"/>
      <c r="AC100" s="745"/>
      <c r="AD100" s="746"/>
      <c r="AE100" s="746"/>
      <c r="AF100" s="746"/>
      <c r="AG100" s="746"/>
      <c r="AI100" s="746">
        <f>-SUMIFS('1.DC_Ra soat'!$L:$L,'1.DC_Ra soat'!$F:$F,AI$4,'1.DC_Ra soat'!$H:$H,'1.BS (VND)'!$D100)+SUMIFS('1.DC_Ra soat'!$L:$L,'1.DC_Ra soat'!$F:$F,AI$4,'1.DC_Ra soat'!$I:$I,'1.BS (VND)'!$D100)</f>
        <v>0</v>
      </c>
      <c r="AJ100" s="746">
        <f>-SUMIFS('1.DC_Ra soat'!$L:$L,'1.DC_Ra soat'!$F:$F,AJ$4,'1.DC_Ra soat'!$H:$H,'1.BS (VND)'!$D100)+SUMIFS('1.DC_Ra soat'!$L:$L,'1.DC_Ra soat'!$F:$F,AJ$4,'1.DC_Ra soat'!$I:$I,'1.BS (VND)'!$D100)</f>
        <v>0</v>
      </c>
      <c r="AK100" s="746">
        <f>-SUMIFS('1.DC_Ra soat'!$L:$L,'1.DC_Ra soat'!$F:$F,AK$4,'1.DC_Ra soat'!$H:$H,'1.BS (VND)'!$D100)+SUMIFS('1.DC_Ra soat'!$L:$L,'1.DC_Ra soat'!$F:$F,AK$4,'1.DC_Ra soat'!$I:$I,'1.BS (VND)'!$D100)</f>
        <v>0</v>
      </c>
      <c r="AL100" s="746">
        <f>-SUMIFS('1.DC_Ra soat'!$L:$L,'1.DC_Ra soat'!$F:$F,AL$4,'1.DC_Ra soat'!$H:$H,'1.BS (VND)'!$D100)+SUMIFS('1.DC_Ra soat'!$L:$L,'1.DC_Ra soat'!$F:$F,AL$4,'1.DC_Ra soat'!$I:$I,'1.BS (VND)'!$D100)</f>
        <v>0</v>
      </c>
      <c r="AM100" s="745"/>
      <c r="AN100" s="746">
        <f>-SUMIFS('1.DC_Ra soat'!$L:$L,'1.DC_Ra soat'!$F:$F,AN$4,'1.DC_Ra soat'!$H:$H,'1.BS (VND)'!$D100)+SUMIFS('1.DC_Ra soat'!$L:$L,'1.DC_Ra soat'!$F:$F,AN$4,'1.DC_Ra soat'!$I:$I,'1.BS (VND)'!$D100)</f>
        <v>0</v>
      </c>
      <c r="AO100" s="746">
        <f>-SUMIFS('1.DC_Ra soat'!$L:$L,'1.DC_Ra soat'!$F:$F,AO$4,'1.DC_Ra soat'!$H:$H,'1.BS (VND)'!$D100)+SUMIFS('1.DC_Ra soat'!$L:$L,'1.DC_Ra soat'!$F:$F,AO$4,'1.DC_Ra soat'!$I:$I,'1.BS (VND)'!$D100)</f>
        <v>0</v>
      </c>
      <c r="AP100" s="746">
        <f>-SUMIFS('1.DC_Ra soat'!$L:$L,'1.DC_Ra soat'!$F:$F,AP$4,'1.DC_Ra soat'!$H:$H,'1.BS (VND)'!$D100)+SUMIFS('1.DC_Ra soat'!$L:$L,'1.DC_Ra soat'!$F:$F,AP$4,'1.DC_Ra soat'!$I:$I,'1.BS (VND)'!$D100)</f>
        <v>0</v>
      </c>
      <c r="AQ100" s="746">
        <f>-SUMIFS('1.DC_Ra soat'!$L:$L,'1.DC_Ra soat'!$F:$F,AQ$4,'1.DC_Ra soat'!$H:$H,'1.BS (VND)'!$D100)+SUMIFS('1.DC_Ra soat'!$L:$L,'1.DC_Ra soat'!$F:$F,AQ$4,'1.DC_Ra soat'!$I:$I,'1.BS (VND)'!$D100)</f>
        <v>0</v>
      </c>
      <c r="AR100" s="745"/>
      <c r="AS100" s="746">
        <f>-SUMIFS('1.DC_Ra soat'!$L:$L,'1.DC_Ra soat'!$F:$F,AS$4,'1.DC_Ra soat'!$H:$H,'1.BS (VND)'!$D100)+SUMIFS('1.DC_Ra soat'!$L:$L,'1.DC_Ra soat'!$F:$F,AS$4,'1.DC_Ra soat'!$I:$I,'1.BS (VND)'!$D100)</f>
        <v>0</v>
      </c>
      <c r="AT100" s="746">
        <f>-SUMIFS('1.DC_Ra soat'!$L:$L,'1.DC_Ra soat'!$F:$F,AT$4,'1.DC_Ra soat'!$H:$H,'1.BS (VND)'!$D100)+SUMIFS('1.DC_Ra soat'!$L:$L,'1.DC_Ra soat'!$F:$F,AT$4,'1.DC_Ra soat'!$I:$I,'1.BS (VND)'!$D100)</f>
        <v>0</v>
      </c>
      <c r="AU100" s="746">
        <f>-SUMIFS('1.DC_Ra soat'!$L:$L,'1.DC_Ra soat'!$F:$F,AU$4,'1.DC_Ra soat'!$H:$H,'1.BS (VND)'!$D100)+SUMIFS('1.DC_Ra soat'!$L:$L,'1.DC_Ra soat'!$F:$F,AU$4,'1.DC_Ra soat'!$I:$I,'1.BS (VND)'!$D100)</f>
        <v>0</v>
      </c>
      <c r="AV100" s="746">
        <f>-SUMIFS('1.DC_Ra soat'!$L:$L,'1.DC_Ra soat'!$F:$F,AV$4,'1.DC_Ra soat'!$H:$H,'1.BS (VND)'!$D100)+SUMIFS('1.DC_Ra soat'!$L:$L,'1.DC_Ra soat'!$F:$F,AV$4,'1.DC_Ra soat'!$I:$I,'1.BS (VND)'!$D100)</f>
        <v>0</v>
      </c>
      <c r="AW100" s="745"/>
      <c r="AX100" s="746">
        <f>-SUMIFS('1.DC_Ra soat'!$L:$L,'1.DC_Ra soat'!$F:$F,AX$4,'1.DC_Ra soat'!$H:$H,'1.BS (VND)'!$D100)+SUMIFS('1.DC_Ra soat'!$L:$L,'1.DC_Ra soat'!$F:$F,AX$4,'1.DC_Ra soat'!$I:$I,'1.BS (VND)'!$D100)</f>
        <v>0</v>
      </c>
      <c r="AY100" s="746">
        <f>-SUMIFS('1.DC_Ra soat'!$L:$L,'1.DC_Ra soat'!$F:$F,AY$4,'1.DC_Ra soat'!$H:$H,'1.BS (VND)'!$D100)+SUMIFS('1.DC_Ra soat'!$L:$L,'1.DC_Ra soat'!$F:$F,AY$4,'1.DC_Ra soat'!$I:$I,'1.BS (VND)'!$D100)</f>
        <v>0</v>
      </c>
      <c r="AZ100" s="746">
        <f>-SUMIFS('1.DC_Ra soat'!$L:$L,'1.DC_Ra soat'!$F:$F,AZ$4,'1.DC_Ra soat'!$H:$H,'1.BS (VND)'!$D100)+SUMIFS('1.DC_Ra soat'!$L:$L,'1.DC_Ra soat'!$F:$F,AZ$4,'1.DC_Ra soat'!$I:$I,'1.BS (VND)'!$D100)</f>
        <v>0</v>
      </c>
      <c r="BA100" s="746">
        <f>-SUMIFS('1.DC_Ra soat'!$L:$L,'1.DC_Ra soat'!$F:$F,BA$4,'1.DC_Ra soat'!$H:$H,'1.BS (VND)'!$D100)+SUMIFS('1.DC_Ra soat'!$L:$L,'1.DC_Ra soat'!$F:$F,BA$4,'1.DC_Ra soat'!$I:$I,'1.BS (VND)'!$D100)</f>
        <v>0</v>
      </c>
      <c r="BB100" s="745"/>
      <c r="BC100" s="746">
        <f>-SUMIFS('1.DC_Ra soat'!$L:$L,'1.DC_Ra soat'!$F:$F,BC$4,'1.DC_Ra soat'!$H:$H,'1.BS (VND)'!$D100)+SUMIFS('1.DC_Ra soat'!$L:$L,'1.DC_Ra soat'!$F:$F,BC$4,'1.DC_Ra soat'!$I:$I,'1.BS (VND)'!$D100)</f>
        <v>0</v>
      </c>
      <c r="BD100" s="746">
        <f>-SUMIFS('1.DC_Ra soat'!$L:$L,'1.DC_Ra soat'!$F:$F,BD$4,'1.DC_Ra soat'!$H:$H,'1.BS (VND)'!$D100)+SUMIFS('1.DC_Ra soat'!$L:$L,'1.DC_Ra soat'!$F:$F,BD$4,'1.DC_Ra soat'!$I:$I,'1.BS (VND)'!$D100)</f>
        <v>0</v>
      </c>
      <c r="BE100" s="746">
        <f>-SUMIFS('1.DC_Ra soat'!$L:$L,'1.DC_Ra soat'!$F:$F,BE$4,'1.DC_Ra soat'!$H:$H,'1.BS (VND)'!$D100)+SUMIFS('1.DC_Ra soat'!$L:$L,'1.DC_Ra soat'!$F:$F,BE$4,'1.DC_Ra soat'!$I:$I,'1.BS (VND)'!$D100)</f>
        <v>0</v>
      </c>
      <c r="BF100" s="746">
        <f>-SUMIFS('1.DC_Ra soat'!$L:$L,'1.DC_Ra soat'!$F:$F,BF$4,'1.DC_Ra soat'!$H:$H,'1.BS (VND)'!$D100)+SUMIFS('1.DC_Ra soat'!$L:$L,'1.DC_Ra soat'!$F:$F,BF$4,'1.DC_Ra soat'!$I:$I,'1.BS (VND)'!$D100)</f>
        <v>0</v>
      </c>
      <c r="BG100" s="745"/>
      <c r="BH100" s="746">
        <f>-SUMIFS('1.DC_Ra soat'!$L:$L,'1.DC_Ra soat'!$F:$F,BH$4,'1.DC_Ra soat'!$H:$H,'1.BS (VND)'!$D100)+SUMIFS('1.DC_Ra soat'!$L:$L,'1.DC_Ra soat'!$F:$F,BH$4,'1.DC_Ra soat'!$I:$I,'1.BS (VND)'!$D100)</f>
        <v>0</v>
      </c>
      <c r="BI100" s="746">
        <f>-SUMIFS('1.DC_Ra soat'!$L:$L,'1.DC_Ra soat'!$F:$F,BI$4,'1.DC_Ra soat'!$H:$H,'1.BS (VND)'!$D100)+SUMIFS('1.DC_Ra soat'!$L:$L,'1.DC_Ra soat'!$F:$F,BI$4,'1.DC_Ra soat'!$I:$I,'1.BS (VND)'!$D100)</f>
        <v>0</v>
      </c>
      <c r="BJ100" s="746">
        <f>-SUMIFS('1.DC_Ra soat'!$L:$L,'1.DC_Ra soat'!$F:$F,BJ$4,'1.DC_Ra soat'!$H:$H,'1.BS (VND)'!$D100)+SUMIFS('1.DC_Ra soat'!$L:$L,'1.DC_Ra soat'!$F:$F,BJ$4,'1.DC_Ra soat'!$I:$I,'1.BS (VND)'!$D100)</f>
        <v>0</v>
      </c>
      <c r="BK100" s="746">
        <f>-SUMIFS('1.DC_Ra soat'!$L:$L,'1.DC_Ra soat'!$F:$F,BK$4,'1.DC_Ra soat'!$H:$H,'1.BS (VND)'!$D100)+SUMIFS('1.DC_Ra soat'!$L:$L,'1.DC_Ra soat'!$F:$F,BK$4,'1.DC_Ra soat'!$I:$I,'1.BS (VND)'!$D100)</f>
        <v>0</v>
      </c>
      <c r="BM100" s="746">
        <f t="shared" si="128"/>
        <v>0</v>
      </c>
      <c r="BN100" s="746">
        <f t="shared" si="129"/>
        <v>0</v>
      </c>
      <c r="BO100" s="746">
        <f t="shared" si="130"/>
        <v>0</v>
      </c>
      <c r="BP100" s="747">
        <f t="shared" si="131"/>
        <v>0</v>
      </c>
      <c r="BQ100" s="745"/>
      <c r="BR100" s="746">
        <f t="shared" si="132"/>
        <v>0</v>
      </c>
      <c r="BS100" s="746">
        <f t="shared" si="133"/>
        <v>0</v>
      </c>
      <c r="BT100" s="746">
        <f t="shared" si="134"/>
        <v>0</v>
      </c>
      <c r="BU100" s="746">
        <f t="shared" si="135"/>
        <v>0</v>
      </c>
      <c r="BV100" s="745"/>
      <c r="BW100" s="746">
        <f t="shared" si="136"/>
        <v>0</v>
      </c>
      <c r="BX100" s="746">
        <f t="shared" si="137"/>
        <v>0</v>
      </c>
      <c r="BY100" s="746">
        <f t="shared" si="138"/>
        <v>0</v>
      </c>
      <c r="BZ100" s="747">
        <f t="shared" si="139"/>
        <v>0</v>
      </c>
      <c r="CA100" s="745"/>
      <c r="CB100" s="747">
        <f t="shared" si="140"/>
        <v>0</v>
      </c>
      <c r="CC100" s="747">
        <f t="shared" si="141"/>
        <v>0</v>
      </c>
      <c r="CD100" s="747">
        <f t="shared" si="142"/>
        <v>0</v>
      </c>
      <c r="CE100" s="747">
        <f t="shared" si="143"/>
        <v>0</v>
      </c>
      <c r="CF100" s="745"/>
      <c r="CG100" s="747">
        <f t="shared" si="144"/>
        <v>0</v>
      </c>
      <c r="CH100" s="747">
        <f t="shared" si="145"/>
        <v>0</v>
      </c>
      <c r="CI100" s="747">
        <f t="shared" si="146"/>
        <v>0</v>
      </c>
      <c r="CJ100" s="747">
        <f t="shared" si="147"/>
        <v>0</v>
      </c>
      <c r="CK100" s="745"/>
      <c r="CL100" s="746">
        <f t="shared" si="148"/>
        <v>0</v>
      </c>
      <c r="CM100" s="746">
        <f t="shared" si="149"/>
        <v>0</v>
      </c>
      <c r="CN100" s="746">
        <f t="shared" si="150"/>
        <v>0</v>
      </c>
      <c r="CO100" s="747">
        <f t="shared" si="151"/>
        <v>0</v>
      </c>
      <c r="CQ100" s="746">
        <f>SUMIF('1.PL (VND) '!$BL$6:$CD$6,'1.PL (VND) '!CP$6,$BM100:$CE100)</f>
        <v>0</v>
      </c>
      <c r="CR100" s="746">
        <f>SUMIF('1.PL (VND) '!$BL$6:$CD$6,'1.PL (VND) '!CQ$6,$BM100:$CE100)</f>
        <v>0</v>
      </c>
      <c r="CS100" s="746">
        <f>SUMIF('1.PL (VND) '!$BL$6:$CD$6,'1.PL (VND) '!CR$6,$BM100:$CE100)</f>
        <v>0</v>
      </c>
      <c r="CT100" s="746">
        <f>SUMIF('1.PL (VND) '!$BL$6:$CD$6,'1.PL (VND) '!CS$6,$BM100:$CE100)</f>
        <v>0</v>
      </c>
      <c r="CV100" s="748">
        <f>-SUMIFS('1.DC_Ra soat'!$L:$L,'1.DC_Ra soat'!$F:$F,'1.PL (VND) '!DK$4,'1.DC_Ra soat'!$H:$H,'1.BS (VND)'!$D100)+SUMIFS('1.DC_Ra soat'!$L:$L,'1.DC_Ra soat'!$F:$F,'1.PL (VND) '!DK$4,'1.DC_Ra soat'!$I:$I,'1.BS (VND)'!$D100)</f>
        <v>0</v>
      </c>
      <c r="CW100" s="748">
        <f>-SUMIFS('1.DC_Ra soat'!$L:$L,'1.DC_Ra soat'!$F:$F,'1.PL (VND) '!DL$4,'1.DC_Ra soat'!$H:$H,'1.BS (VND)'!$D100)+SUMIFS('1.DC_Ra soat'!$L:$L,'1.DC_Ra soat'!$F:$F,'1.PL (VND) '!DL$4,'1.DC_Ra soat'!$I:$I,'1.BS (VND)'!$D100)</f>
        <v>0</v>
      </c>
      <c r="CX100" s="748">
        <f>-SUMIFS('1.DC_Ra soat'!$L:$L,'1.DC_Ra soat'!$F:$F,'1.PL (VND) '!DM$4,'1.DC_Ra soat'!$H:$H,'1.BS (VND)'!$D100)+SUMIFS('1.DC_Ra soat'!$L:$L,'1.DC_Ra soat'!$F:$F,'1.PL (VND) '!DM$4,'1.DC_Ra soat'!$I:$I,'1.BS (VND)'!$D100)</f>
        <v>0</v>
      </c>
      <c r="CY100" s="748">
        <f>-SUMIFS('1.DC_Ra soat'!$L:$L,'1.DC_Ra soat'!$F:$F,'1.PL (VND) '!DN$4,'1.DC_Ra soat'!$H:$H,'1.BS (VND)'!$D100)+SUMIFS('1.DC_Ra soat'!$L:$L,'1.DC_Ra soat'!$F:$F,'1.PL (VND) '!DN$4,'1.DC_Ra soat'!$I:$I,'1.BS (VND)'!$D100)</f>
        <v>0</v>
      </c>
      <c r="DA100" s="746">
        <f t="shared" si="157"/>
        <v>0</v>
      </c>
      <c r="DB100" s="746">
        <f t="shared" si="158"/>
        <v>0</v>
      </c>
      <c r="DC100" s="746">
        <f t="shared" si="159"/>
        <v>0</v>
      </c>
      <c r="DD100" s="746">
        <f t="shared" si="160"/>
        <v>0</v>
      </c>
    </row>
    <row r="101" spans="1:112" s="740" customFormat="1" x14ac:dyDescent="0.25">
      <c r="A101" s="248" t="str">
        <f t="shared" si="166"/>
        <v>hide</v>
      </c>
      <c r="C101" s="741" t="s">
        <v>460</v>
      </c>
      <c r="D101" s="742" t="s">
        <v>461</v>
      </c>
      <c r="E101" s="743"/>
      <c r="F101" s="743"/>
      <c r="G101" s="743"/>
      <c r="H101" s="744"/>
      <c r="I101" s="745"/>
      <c r="J101" s="746"/>
      <c r="K101" s="746"/>
      <c r="L101" s="746"/>
      <c r="M101" s="739">
        <v>0</v>
      </c>
      <c r="N101" s="745"/>
      <c r="O101" s="746"/>
      <c r="P101" s="746"/>
      <c r="Q101" s="746"/>
      <c r="R101" s="746"/>
      <c r="S101" s="745"/>
      <c r="T101" s="746"/>
      <c r="U101" s="746"/>
      <c r="V101" s="746"/>
      <c r="W101" s="746"/>
      <c r="X101" s="745"/>
      <c r="Y101" s="746"/>
      <c r="Z101" s="746"/>
      <c r="AA101" s="746"/>
      <c r="AB101" s="746"/>
      <c r="AC101" s="745"/>
      <c r="AD101" s="746"/>
      <c r="AE101" s="746"/>
      <c r="AF101" s="746"/>
      <c r="AG101" s="746"/>
      <c r="AI101" s="746">
        <f>-SUMIFS('1.DC_Ra soat'!$L:$L,'1.DC_Ra soat'!$F:$F,AI$4,'1.DC_Ra soat'!$H:$H,'1.BS (VND)'!$D101)+SUMIFS('1.DC_Ra soat'!$L:$L,'1.DC_Ra soat'!$F:$F,AI$4,'1.DC_Ra soat'!$I:$I,'1.BS (VND)'!$D101)</f>
        <v>0</v>
      </c>
      <c r="AJ101" s="746">
        <f>-SUMIFS('1.DC_Ra soat'!$L:$L,'1.DC_Ra soat'!$F:$F,AJ$4,'1.DC_Ra soat'!$H:$H,'1.BS (VND)'!$D101)+SUMIFS('1.DC_Ra soat'!$L:$L,'1.DC_Ra soat'!$F:$F,AJ$4,'1.DC_Ra soat'!$I:$I,'1.BS (VND)'!$D101)</f>
        <v>0</v>
      </c>
      <c r="AK101" s="746">
        <f>-SUMIFS('1.DC_Ra soat'!$L:$L,'1.DC_Ra soat'!$F:$F,AK$4,'1.DC_Ra soat'!$H:$H,'1.BS (VND)'!$D101)+SUMIFS('1.DC_Ra soat'!$L:$L,'1.DC_Ra soat'!$F:$F,AK$4,'1.DC_Ra soat'!$I:$I,'1.BS (VND)'!$D101)</f>
        <v>0</v>
      </c>
      <c r="AL101" s="746">
        <f>-SUMIFS('1.DC_Ra soat'!$L:$L,'1.DC_Ra soat'!$F:$F,AL$4,'1.DC_Ra soat'!$H:$H,'1.BS (VND)'!$D101)+SUMIFS('1.DC_Ra soat'!$L:$L,'1.DC_Ra soat'!$F:$F,AL$4,'1.DC_Ra soat'!$I:$I,'1.BS (VND)'!$D101)</f>
        <v>0</v>
      </c>
      <c r="AM101" s="745"/>
      <c r="AN101" s="746">
        <f>-SUMIFS('1.DC_Ra soat'!$L:$L,'1.DC_Ra soat'!$F:$F,AN$4,'1.DC_Ra soat'!$H:$H,'1.BS (VND)'!$D101)+SUMIFS('1.DC_Ra soat'!$L:$L,'1.DC_Ra soat'!$F:$F,AN$4,'1.DC_Ra soat'!$I:$I,'1.BS (VND)'!$D101)</f>
        <v>0</v>
      </c>
      <c r="AO101" s="746">
        <f>-SUMIFS('1.DC_Ra soat'!$L:$L,'1.DC_Ra soat'!$F:$F,AO$4,'1.DC_Ra soat'!$H:$H,'1.BS (VND)'!$D101)+SUMIFS('1.DC_Ra soat'!$L:$L,'1.DC_Ra soat'!$F:$F,AO$4,'1.DC_Ra soat'!$I:$I,'1.BS (VND)'!$D101)</f>
        <v>0</v>
      </c>
      <c r="AP101" s="746">
        <f>-SUMIFS('1.DC_Ra soat'!$L:$L,'1.DC_Ra soat'!$F:$F,AP$4,'1.DC_Ra soat'!$H:$H,'1.BS (VND)'!$D101)+SUMIFS('1.DC_Ra soat'!$L:$L,'1.DC_Ra soat'!$F:$F,AP$4,'1.DC_Ra soat'!$I:$I,'1.BS (VND)'!$D101)</f>
        <v>0</v>
      </c>
      <c r="AQ101" s="746">
        <f>-SUMIFS('1.DC_Ra soat'!$L:$L,'1.DC_Ra soat'!$F:$F,AQ$4,'1.DC_Ra soat'!$H:$H,'1.BS (VND)'!$D101)+SUMIFS('1.DC_Ra soat'!$L:$L,'1.DC_Ra soat'!$F:$F,AQ$4,'1.DC_Ra soat'!$I:$I,'1.BS (VND)'!$D101)</f>
        <v>0</v>
      </c>
      <c r="AR101" s="745"/>
      <c r="AS101" s="746">
        <f>-SUMIFS('1.DC_Ra soat'!$L:$L,'1.DC_Ra soat'!$F:$F,AS$4,'1.DC_Ra soat'!$H:$H,'1.BS (VND)'!$D101)+SUMIFS('1.DC_Ra soat'!$L:$L,'1.DC_Ra soat'!$F:$F,AS$4,'1.DC_Ra soat'!$I:$I,'1.BS (VND)'!$D101)</f>
        <v>0</v>
      </c>
      <c r="AT101" s="746">
        <f>-SUMIFS('1.DC_Ra soat'!$L:$L,'1.DC_Ra soat'!$F:$F,AT$4,'1.DC_Ra soat'!$H:$H,'1.BS (VND)'!$D101)+SUMIFS('1.DC_Ra soat'!$L:$L,'1.DC_Ra soat'!$F:$F,AT$4,'1.DC_Ra soat'!$I:$I,'1.BS (VND)'!$D101)</f>
        <v>0</v>
      </c>
      <c r="AU101" s="746">
        <f>-SUMIFS('1.DC_Ra soat'!$L:$L,'1.DC_Ra soat'!$F:$F,AU$4,'1.DC_Ra soat'!$H:$H,'1.BS (VND)'!$D101)+SUMIFS('1.DC_Ra soat'!$L:$L,'1.DC_Ra soat'!$F:$F,AU$4,'1.DC_Ra soat'!$I:$I,'1.BS (VND)'!$D101)</f>
        <v>0</v>
      </c>
      <c r="AV101" s="746">
        <f>-SUMIFS('1.DC_Ra soat'!$L:$L,'1.DC_Ra soat'!$F:$F,AV$4,'1.DC_Ra soat'!$H:$H,'1.BS (VND)'!$D101)+SUMIFS('1.DC_Ra soat'!$L:$L,'1.DC_Ra soat'!$F:$F,AV$4,'1.DC_Ra soat'!$I:$I,'1.BS (VND)'!$D101)</f>
        <v>0</v>
      </c>
      <c r="AW101" s="745"/>
      <c r="AX101" s="746">
        <f>-SUMIFS('1.DC_Ra soat'!$L:$L,'1.DC_Ra soat'!$F:$F,AX$4,'1.DC_Ra soat'!$H:$H,'1.BS (VND)'!$D101)+SUMIFS('1.DC_Ra soat'!$L:$L,'1.DC_Ra soat'!$F:$F,AX$4,'1.DC_Ra soat'!$I:$I,'1.BS (VND)'!$D101)</f>
        <v>0</v>
      </c>
      <c r="AY101" s="746">
        <f>-SUMIFS('1.DC_Ra soat'!$L:$L,'1.DC_Ra soat'!$F:$F,AY$4,'1.DC_Ra soat'!$H:$H,'1.BS (VND)'!$D101)+SUMIFS('1.DC_Ra soat'!$L:$L,'1.DC_Ra soat'!$F:$F,AY$4,'1.DC_Ra soat'!$I:$I,'1.BS (VND)'!$D101)</f>
        <v>0</v>
      </c>
      <c r="AZ101" s="746">
        <f>-SUMIFS('1.DC_Ra soat'!$L:$L,'1.DC_Ra soat'!$F:$F,AZ$4,'1.DC_Ra soat'!$H:$H,'1.BS (VND)'!$D101)+SUMIFS('1.DC_Ra soat'!$L:$L,'1.DC_Ra soat'!$F:$F,AZ$4,'1.DC_Ra soat'!$I:$I,'1.BS (VND)'!$D101)</f>
        <v>0</v>
      </c>
      <c r="BA101" s="746">
        <f>-SUMIFS('1.DC_Ra soat'!$L:$L,'1.DC_Ra soat'!$F:$F,BA$4,'1.DC_Ra soat'!$H:$H,'1.BS (VND)'!$D101)+SUMIFS('1.DC_Ra soat'!$L:$L,'1.DC_Ra soat'!$F:$F,BA$4,'1.DC_Ra soat'!$I:$I,'1.BS (VND)'!$D101)</f>
        <v>0</v>
      </c>
      <c r="BB101" s="745"/>
      <c r="BC101" s="746">
        <f>-SUMIFS('1.DC_Ra soat'!$L:$L,'1.DC_Ra soat'!$F:$F,BC$4,'1.DC_Ra soat'!$H:$H,'1.BS (VND)'!$D101)+SUMIFS('1.DC_Ra soat'!$L:$L,'1.DC_Ra soat'!$F:$F,BC$4,'1.DC_Ra soat'!$I:$I,'1.BS (VND)'!$D101)</f>
        <v>0</v>
      </c>
      <c r="BD101" s="746">
        <f>-SUMIFS('1.DC_Ra soat'!$L:$L,'1.DC_Ra soat'!$F:$F,BD$4,'1.DC_Ra soat'!$H:$H,'1.BS (VND)'!$D101)+SUMIFS('1.DC_Ra soat'!$L:$L,'1.DC_Ra soat'!$F:$F,BD$4,'1.DC_Ra soat'!$I:$I,'1.BS (VND)'!$D101)</f>
        <v>0</v>
      </c>
      <c r="BE101" s="746">
        <f>-SUMIFS('1.DC_Ra soat'!$L:$L,'1.DC_Ra soat'!$F:$F,BE$4,'1.DC_Ra soat'!$H:$H,'1.BS (VND)'!$D101)+SUMIFS('1.DC_Ra soat'!$L:$L,'1.DC_Ra soat'!$F:$F,BE$4,'1.DC_Ra soat'!$I:$I,'1.BS (VND)'!$D101)</f>
        <v>0</v>
      </c>
      <c r="BF101" s="746">
        <f>-SUMIFS('1.DC_Ra soat'!$L:$L,'1.DC_Ra soat'!$F:$F,BF$4,'1.DC_Ra soat'!$H:$H,'1.BS (VND)'!$D101)+SUMIFS('1.DC_Ra soat'!$L:$L,'1.DC_Ra soat'!$F:$F,BF$4,'1.DC_Ra soat'!$I:$I,'1.BS (VND)'!$D101)</f>
        <v>0</v>
      </c>
      <c r="BG101" s="745"/>
      <c r="BH101" s="746">
        <f>-SUMIFS('1.DC_Ra soat'!$L:$L,'1.DC_Ra soat'!$F:$F,BH$4,'1.DC_Ra soat'!$H:$H,'1.BS (VND)'!$D101)+SUMIFS('1.DC_Ra soat'!$L:$L,'1.DC_Ra soat'!$F:$F,BH$4,'1.DC_Ra soat'!$I:$I,'1.BS (VND)'!$D101)</f>
        <v>0</v>
      </c>
      <c r="BI101" s="746">
        <f>-SUMIFS('1.DC_Ra soat'!$L:$L,'1.DC_Ra soat'!$F:$F,BI$4,'1.DC_Ra soat'!$H:$H,'1.BS (VND)'!$D101)+SUMIFS('1.DC_Ra soat'!$L:$L,'1.DC_Ra soat'!$F:$F,BI$4,'1.DC_Ra soat'!$I:$I,'1.BS (VND)'!$D101)</f>
        <v>0</v>
      </c>
      <c r="BJ101" s="746">
        <f>-SUMIFS('1.DC_Ra soat'!$L:$L,'1.DC_Ra soat'!$F:$F,BJ$4,'1.DC_Ra soat'!$H:$H,'1.BS (VND)'!$D101)+SUMIFS('1.DC_Ra soat'!$L:$L,'1.DC_Ra soat'!$F:$F,BJ$4,'1.DC_Ra soat'!$I:$I,'1.BS (VND)'!$D101)</f>
        <v>0</v>
      </c>
      <c r="BK101" s="746">
        <f>-SUMIFS('1.DC_Ra soat'!$L:$L,'1.DC_Ra soat'!$F:$F,BK$4,'1.DC_Ra soat'!$H:$H,'1.BS (VND)'!$D101)+SUMIFS('1.DC_Ra soat'!$L:$L,'1.DC_Ra soat'!$F:$F,BK$4,'1.DC_Ra soat'!$I:$I,'1.BS (VND)'!$D101)</f>
        <v>0</v>
      </c>
      <c r="BM101" s="746">
        <f t="shared" si="128"/>
        <v>0</v>
      </c>
      <c r="BN101" s="746">
        <f t="shared" si="129"/>
        <v>0</v>
      </c>
      <c r="BO101" s="746">
        <f t="shared" si="130"/>
        <v>0</v>
      </c>
      <c r="BP101" s="747">
        <f t="shared" si="131"/>
        <v>0</v>
      </c>
      <c r="BQ101" s="745"/>
      <c r="BR101" s="746">
        <f t="shared" si="132"/>
        <v>0</v>
      </c>
      <c r="BS101" s="746">
        <f t="shared" si="133"/>
        <v>0</v>
      </c>
      <c r="BT101" s="746">
        <f t="shared" si="134"/>
        <v>0</v>
      </c>
      <c r="BU101" s="746">
        <f t="shared" si="135"/>
        <v>0</v>
      </c>
      <c r="BV101" s="745"/>
      <c r="BW101" s="746">
        <f t="shared" si="136"/>
        <v>0</v>
      </c>
      <c r="BX101" s="746">
        <f t="shared" si="137"/>
        <v>0</v>
      </c>
      <c r="BY101" s="746">
        <f t="shared" si="138"/>
        <v>0</v>
      </c>
      <c r="BZ101" s="747">
        <f t="shared" si="139"/>
        <v>0</v>
      </c>
      <c r="CA101" s="745"/>
      <c r="CB101" s="747">
        <f t="shared" si="140"/>
        <v>0</v>
      </c>
      <c r="CC101" s="747">
        <f t="shared" si="141"/>
        <v>0</v>
      </c>
      <c r="CD101" s="747">
        <f t="shared" si="142"/>
        <v>0</v>
      </c>
      <c r="CE101" s="747">
        <f t="shared" si="143"/>
        <v>0</v>
      </c>
      <c r="CF101" s="745"/>
      <c r="CG101" s="747">
        <f t="shared" si="144"/>
        <v>0</v>
      </c>
      <c r="CH101" s="747">
        <f t="shared" si="145"/>
        <v>0</v>
      </c>
      <c r="CI101" s="747">
        <f t="shared" si="146"/>
        <v>0</v>
      </c>
      <c r="CJ101" s="747">
        <f t="shared" si="147"/>
        <v>0</v>
      </c>
      <c r="CK101" s="745"/>
      <c r="CL101" s="746">
        <f t="shared" si="148"/>
        <v>0</v>
      </c>
      <c r="CM101" s="746">
        <f t="shared" si="149"/>
        <v>0</v>
      </c>
      <c r="CN101" s="746">
        <f t="shared" si="150"/>
        <v>0</v>
      </c>
      <c r="CO101" s="747">
        <f t="shared" si="151"/>
        <v>0</v>
      </c>
      <c r="CQ101" s="746">
        <f>SUMIF('1.PL (VND) '!$BL$6:$CD$6,'1.PL (VND) '!CP$6,$BM101:$CE101)</f>
        <v>0</v>
      </c>
      <c r="CR101" s="746">
        <f>SUMIF('1.PL (VND) '!$BL$6:$CD$6,'1.PL (VND) '!CQ$6,$BM101:$CE101)</f>
        <v>0</v>
      </c>
      <c r="CS101" s="746">
        <f>SUMIF('1.PL (VND) '!$BL$6:$CD$6,'1.PL (VND) '!CR$6,$BM101:$CE101)</f>
        <v>0</v>
      </c>
      <c r="CT101" s="746">
        <f>SUMIF('1.PL (VND) '!$BL$6:$CD$6,'1.PL (VND) '!CS$6,$BM101:$CE101)</f>
        <v>0</v>
      </c>
      <c r="CV101" s="748">
        <f>-SUMIFS('1.DC_Ra soat'!$L:$L,'1.DC_Ra soat'!$F:$F,'1.PL (VND) '!DK$4,'1.DC_Ra soat'!$H:$H,'1.BS (VND)'!$D101)+SUMIFS('1.DC_Ra soat'!$L:$L,'1.DC_Ra soat'!$F:$F,'1.PL (VND) '!DK$4,'1.DC_Ra soat'!$I:$I,'1.BS (VND)'!$D101)</f>
        <v>0</v>
      </c>
      <c r="CW101" s="748">
        <f>-SUMIFS('1.DC_Ra soat'!$L:$L,'1.DC_Ra soat'!$F:$F,'1.PL (VND) '!DL$4,'1.DC_Ra soat'!$H:$H,'1.BS (VND)'!$D101)+SUMIFS('1.DC_Ra soat'!$L:$L,'1.DC_Ra soat'!$F:$F,'1.PL (VND) '!DL$4,'1.DC_Ra soat'!$I:$I,'1.BS (VND)'!$D101)</f>
        <v>0</v>
      </c>
      <c r="CX101" s="748">
        <f>-SUMIFS('1.DC_Ra soat'!$L:$L,'1.DC_Ra soat'!$F:$F,'1.PL (VND) '!DM$4,'1.DC_Ra soat'!$H:$H,'1.BS (VND)'!$D101)+SUMIFS('1.DC_Ra soat'!$L:$L,'1.DC_Ra soat'!$F:$F,'1.PL (VND) '!DM$4,'1.DC_Ra soat'!$I:$I,'1.BS (VND)'!$D101)</f>
        <v>0</v>
      </c>
      <c r="CY101" s="748">
        <f>-SUMIFS('1.DC_Ra soat'!$L:$L,'1.DC_Ra soat'!$F:$F,'1.PL (VND) '!DN$4,'1.DC_Ra soat'!$H:$H,'1.BS (VND)'!$D101)+SUMIFS('1.DC_Ra soat'!$L:$L,'1.DC_Ra soat'!$F:$F,'1.PL (VND) '!DN$4,'1.DC_Ra soat'!$I:$I,'1.BS (VND)'!$D101)</f>
        <v>0</v>
      </c>
      <c r="DA101" s="746">
        <f t="shared" si="157"/>
        <v>0</v>
      </c>
      <c r="DB101" s="746">
        <f t="shared" si="158"/>
        <v>0</v>
      </c>
      <c r="DC101" s="746">
        <f t="shared" si="159"/>
        <v>0</v>
      </c>
      <c r="DD101" s="746">
        <f t="shared" si="160"/>
        <v>0</v>
      </c>
    </row>
    <row r="102" spans="1:112" s="740" customFormat="1" x14ac:dyDescent="0.25">
      <c r="A102" s="248" t="str">
        <f t="shared" si="166"/>
        <v>hide</v>
      </c>
      <c r="C102" s="741" t="s">
        <v>462</v>
      </c>
      <c r="D102" s="742" t="s">
        <v>463</v>
      </c>
      <c r="E102" s="743"/>
      <c r="F102" s="743"/>
      <c r="G102" s="743"/>
      <c r="H102" s="744"/>
      <c r="I102" s="745"/>
      <c r="J102" s="746"/>
      <c r="K102" s="746"/>
      <c r="L102" s="746"/>
      <c r="M102" s="739">
        <v>0</v>
      </c>
      <c r="N102" s="745"/>
      <c r="O102" s="746"/>
      <c r="P102" s="746"/>
      <c r="Q102" s="746"/>
      <c r="R102" s="746"/>
      <c r="S102" s="745"/>
      <c r="T102" s="746"/>
      <c r="U102" s="746"/>
      <c r="V102" s="746"/>
      <c r="W102" s="746"/>
      <c r="X102" s="745"/>
      <c r="Y102" s="746"/>
      <c r="Z102" s="746"/>
      <c r="AA102" s="746"/>
      <c r="AB102" s="746"/>
      <c r="AC102" s="745"/>
      <c r="AD102" s="746"/>
      <c r="AE102" s="746"/>
      <c r="AF102" s="746"/>
      <c r="AG102" s="746"/>
      <c r="AI102" s="746">
        <f>-SUMIFS('1.DC_Ra soat'!$L:$L,'1.DC_Ra soat'!$F:$F,AI$4,'1.DC_Ra soat'!$H:$H,'1.BS (VND)'!$D102)+SUMIFS('1.DC_Ra soat'!$L:$L,'1.DC_Ra soat'!$F:$F,AI$4,'1.DC_Ra soat'!$I:$I,'1.BS (VND)'!$D102)</f>
        <v>0</v>
      </c>
      <c r="AJ102" s="746">
        <f>-SUMIFS('1.DC_Ra soat'!$L:$L,'1.DC_Ra soat'!$F:$F,AJ$4,'1.DC_Ra soat'!$H:$H,'1.BS (VND)'!$D102)+SUMIFS('1.DC_Ra soat'!$L:$L,'1.DC_Ra soat'!$F:$F,AJ$4,'1.DC_Ra soat'!$I:$I,'1.BS (VND)'!$D102)</f>
        <v>0</v>
      </c>
      <c r="AK102" s="746">
        <f>-SUMIFS('1.DC_Ra soat'!$L:$L,'1.DC_Ra soat'!$F:$F,AK$4,'1.DC_Ra soat'!$H:$H,'1.BS (VND)'!$D102)+SUMIFS('1.DC_Ra soat'!$L:$L,'1.DC_Ra soat'!$F:$F,AK$4,'1.DC_Ra soat'!$I:$I,'1.BS (VND)'!$D102)</f>
        <v>0</v>
      </c>
      <c r="AL102" s="746">
        <f>-SUMIFS('1.DC_Ra soat'!$L:$L,'1.DC_Ra soat'!$F:$F,AL$4,'1.DC_Ra soat'!$H:$H,'1.BS (VND)'!$D102)+SUMIFS('1.DC_Ra soat'!$L:$L,'1.DC_Ra soat'!$F:$F,AL$4,'1.DC_Ra soat'!$I:$I,'1.BS (VND)'!$D102)</f>
        <v>0</v>
      </c>
      <c r="AM102" s="745"/>
      <c r="AN102" s="746">
        <f>-SUMIFS('1.DC_Ra soat'!$L:$L,'1.DC_Ra soat'!$F:$F,AN$4,'1.DC_Ra soat'!$H:$H,'1.BS (VND)'!$D102)+SUMIFS('1.DC_Ra soat'!$L:$L,'1.DC_Ra soat'!$F:$F,AN$4,'1.DC_Ra soat'!$I:$I,'1.BS (VND)'!$D102)</f>
        <v>0</v>
      </c>
      <c r="AO102" s="746">
        <f>-SUMIFS('1.DC_Ra soat'!$L:$L,'1.DC_Ra soat'!$F:$F,AO$4,'1.DC_Ra soat'!$H:$H,'1.BS (VND)'!$D102)+SUMIFS('1.DC_Ra soat'!$L:$L,'1.DC_Ra soat'!$F:$F,AO$4,'1.DC_Ra soat'!$I:$I,'1.BS (VND)'!$D102)</f>
        <v>0</v>
      </c>
      <c r="AP102" s="746">
        <f>-SUMIFS('1.DC_Ra soat'!$L:$L,'1.DC_Ra soat'!$F:$F,AP$4,'1.DC_Ra soat'!$H:$H,'1.BS (VND)'!$D102)+SUMIFS('1.DC_Ra soat'!$L:$L,'1.DC_Ra soat'!$F:$F,AP$4,'1.DC_Ra soat'!$I:$I,'1.BS (VND)'!$D102)</f>
        <v>0</v>
      </c>
      <c r="AQ102" s="746">
        <f>-SUMIFS('1.DC_Ra soat'!$L:$L,'1.DC_Ra soat'!$F:$F,AQ$4,'1.DC_Ra soat'!$H:$H,'1.BS (VND)'!$D102)+SUMIFS('1.DC_Ra soat'!$L:$L,'1.DC_Ra soat'!$F:$F,AQ$4,'1.DC_Ra soat'!$I:$I,'1.BS (VND)'!$D102)</f>
        <v>0</v>
      </c>
      <c r="AR102" s="745"/>
      <c r="AS102" s="746">
        <f>-SUMIFS('1.DC_Ra soat'!$L:$L,'1.DC_Ra soat'!$F:$F,AS$4,'1.DC_Ra soat'!$H:$H,'1.BS (VND)'!$D102)+SUMIFS('1.DC_Ra soat'!$L:$L,'1.DC_Ra soat'!$F:$F,AS$4,'1.DC_Ra soat'!$I:$I,'1.BS (VND)'!$D102)</f>
        <v>0</v>
      </c>
      <c r="AT102" s="746">
        <f>-SUMIFS('1.DC_Ra soat'!$L:$L,'1.DC_Ra soat'!$F:$F,AT$4,'1.DC_Ra soat'!$H:$H,'1.BS (VND)'!$D102)+SUMIFS('1.DC_Ra soat'!$L:$L,'1.DC_Ra soat'!$F:$F,AT$4,'1.DC_Ra soat'!$I:$I,'1.BS (VND)'!$D102)</f>
        <v>0</v>
      </c>
      <c r="AU102" s="746">
        <f>-SUMIFS('1.DC_Ra soat'!$L:$L,'1.DC_Ra soat'!$F:$F,AU$4,'1.DC_Ra soat'!$H:$H,'1.BS (VND)'!$D102)+SUMIFS('1.DC_Ra soat'!$L:$L,'1.DC_Ra soat'!$F:$F,AU$4,'1.DC_Ra soat'!$I:$I,'1.BS (VND)'!$D102)</f>
        <v>0</v>
      </c>
      <c r="AV102" s="746">
        <f>-SUMIFS('1.DC_Ra soat'!$L:$L,'1.DC_Ra soat'!$F:$F,AV$4,'1.DC_Ra soat'!$H:$H,'1.BS (VND)'!$D102)+SUMIFS('1.DC_Ra soat'!$L:$L,'1.DC_Ra soat'!$F:$F,AV$4,'1.DC_Ra soat'!$I:$I,'1.BS (VND)'!$D102)</f>
        <v>0</v>
      </c>
      <c r="AW102" s="745"/>
      <c r="AX102" s="746">
        <f>-SUMIFS('1.DC_Ra soat'!$L:$L,'1.DC_Ra soat'!$F:$F,AX$4,'1.DC_Ra soat'!$H:$H,'1.BS (VND)'!$D102)+SUMIFS('1.DC_Ra soat'!$L:$L,'1.DC_Ra soat'!$F:$F,AX$4,'1.DC_Ra soat'!$I:$I,'1.BS (VND)'!$D102)</f>
        <v>0</v>
      </c>
      <c r="AY102" s="746">
        <f>-SUMIFS('1.DC_Ra soat'!$L:$L,'1.DC_Ra soat'!$F:$F,AY$4,'1.DC_Ra soat'!$H:$H,'1.BS (VND)'!$D102)+SUMIFS('1.DC_Ra soat'!$L:$L,'1.DC_Ra soat'!$F:$F,AY$4,'1.DC_Ra soat'!$I:$I,'1.BS (VND)'!$D102)</f>
        <v>0</v>
      </c>
      <c r="AZ102" s="746">
        <f>-SUMIFS('1.DC_Ra soat'!$L:$L,'1.DC_Ra soat'!$F:$F,AZ$4,'1.DC_Ra soat'!$H:$H,'1.BS (VND)'!$D102)+SUMIFS('1.DC_Ra soat'!$L:$L,'1.DC_Ra soat'!$F:$F,AZ$4,'1.DC_Ra soat'!$I:$I,'1.BS (VND)'!$D102)</f>
        <v>0</v>
      </c>
      <c r="BA102" s="746">
        <f>-SUMIFS('1.DC_Ra soat'!$L:$L,'1.DC_Ra soat'!$F:$F,BA$4,'1.DC_Ra soat'!$H:$H,'1.BS (VND)'!$D102)+SUMIFS('1.DC_Ra soat'!$L:$L,'1.DC_Ra soat'!$F:$F,BA$4,'1.DC_Ra soat'!$I:$I,'1.BS (VND)'!$D102)</f>
        <v>0</v>
      </c>
      <c r="BB102" s="745"/>
      <c r="BC102" s="746">
        <f>-SUMIFS('1.DC_Ra soat'!$L:$L,'1.DC_Ra soat'!$F:$F,BC$4,'1.DC_Ra soat'!$H:$H,'1.BS (VND)'!$D102)+SUMIFS('1.DC_Ra soat'!$L:$L,'1.DC_Ra soat'!$F:$F,BC$4,'1.DC_Ra soat'!$I:$I,'1.BS (VND)'!$D102)</f>
        <v>0</v>
      </c>
      <c r="BD102" s="746">
        <f>-SUMIFS('1.DC_Ra soat'!$L:$L,'1.DC_Ra soat'!$F:$F,BD$4,'1.DC_Ra soat'!$H:$H,'1.BS (VND)'!$D102)+SUMIFS('1.DC_Ra soat'!$L:$L,'1.DC_Ra soat'!$F:$F,BD$4,'1.DC_Ra soat'!$I:$I,'1.BS (VND)'!$D102)</f>
        <v>0</v>
      </c>
      <c r="BE102" s="746">
        <f>-SUMIFS('1.DC_Ra soat'!$L:$L,'1.DC_Ra soat'!$F:$F,BE$4,'1.DC_Ra soat'!$H:$H,'1.BS (VND)'!$D102)+SUMIFS('1.DC_Ra soat'!$L:$L,'1.DC_Ra soat'!$F:$F,BE$4,'1.DC_Ra soat'!$I:$I,'1.BS (VND)'!$D102)</f>
        <v>0</v>
      </c>
      <c r="BF102" s="746">
        <f>-SUMIFS('1.DC_Ra soat'!$L:$L,'1.DC_Ra soat'!$F:$F,BF$4,'1.DC_Ra soat'!$H:$H,'1.BS (VND)'!$D102)+SUMIFS('1.DC_Ra soat'!$L:$L,'1.DC_Ra soat'!$F:$F,BF$4,'1.DC_Ra soat'!$I:$I,'1.BS (VND)'!$D102)</f>
        <v>0</v>
      </c>
      <c r="BG102" s="745"/>
      <c r="BH102" s="746">
        <f>-SUMIFS('1.DC_Ra soat'!$L:$L,'1.DC_Ra soat'!$F:$F,BH$4,'1.DC_Ra soat'!$H:$H,'1.BS (VND)'!$D102)+SUMIFS('1.DC_Ra soat'!$L:$L,'1.DC_Ra soat'!$F:$F,BH$4,'1.DC_Ra soat'!$I:$I,'1.BS (VND)'!$D102)</f>
        <v>0</v>
      </c>
      <c r="BI102" s="746">
        <f>-SUMIFS('1.DC_Ra soat'!$L:$L,'1.DC_Ra soat'!$F:$F,BI$4,'1.DC_Ra soat'!$H:$H,'1.BS (VND)'!$D102)+SUMIFS('1.DC_Ra soat'!$L:$L,'1.DC_Ra soat'!$F:$F,BI$4,'1.DC_Ra soat'!$I:$I,'1.BS (VND)'!$D102)</f>
        <v>0</v>
      </c>
      <c r="BJ102" s="746">
        <f>-SUMIFS('1.DC_Ra soat'!$L:$L,'1.DC_Ra soat'!$F:$F,BJ$4,'1.DC_Ra soat'!$H:$H,'1.BS (VND)'!$D102)+SUMIFS('1.DC_Ra soat'!$L:$L,'1.DC_Ra soat'!$F:$F,BJ$4,'1.DC_Ra soat'!$I:$I,'1.BS (VND)'!$D102)</f>
        <v>0</v>
      </c>
      <c r="BK102" s="746">
        <f>-SUMIFS('1.DC_Ra soat'!$L:$L,'1.DC_Ra soat'!$F:$F,BK$4,'1.DC_Ra soat'!$H:$H,'1.BS (VND)'!$D102)+SUMIFS('1.DC_Ra soat'!$L:$L,'1.DC_Ra soat'!$F:$F,BK$4,'1.DC_Ra soat'!$I:$I,'1.BS (VND)'!$D102)</f>
        <v>0</v>
      </c>
      <c r="BM102" s="746">
        <f t="shared" si="128"/>
        <v>0</v>
      </c>
      <c r="BN102" s="746">
        <f t="shared" si="129"/>
        <v>0</v>
      </c>
      <c r="BO102" s="746">
        <f t="shared" si="130"/>
        <v>0</v>
      </c>
      <c r="BP102" s="747">
        <f t="shared" si="131"/>
        <v>0</v>
      </c>
      <c r="BQ102" s="745"/>
      <c r="BR102" s="746">
        <f t="shared" si="132"/>
        <v>0</v>
      </c>
      <c r="BS102" s="746">
        <f t="shared" si="133"/>
        <v>0</v>
      </c>
      <c r="BT102" s="746">
        <f t="shared" si="134"/>
        <v>0</v>
      </c>
      <c r="BU102" s="746">
        <f t="shared" si="135"/>
        <v>0</v>
      </c>
      <c r="BV102" s="745"/>
      <c r="BW102" s="746">
        <f t="shared" si="136"/>
        <v>0</v>
      </c>
      <c r="BX102" s="746">
        <f t="shared" si="137"/>
        <v>0</v>
      </c>
      <c r="BY102" s="746">
        <f t="shared" si="138"/>
        <v>0</v>
      </c>
      <c r="BZ102" s="747">
        <f t="shared" si="139"/>
        <v>0</v>
      </c>
      <c r="CA102" s="745"/>
      <c r="CB102" s="747">
        <f t="shared" si="140"/>
        <v>0</v>
      </c>
      <c r="CC102" s="747">
        <f t="shared" si="141"/>
        <v>0</v>
      </c>
      <c r="CD102" s="747">
        <f t="shared" si="142"/>
        <v>0</v>
      </c>
      <c r="CE102" s="747">
        <f t="shared" si="143"/>
        <v>0</v>
      </c>
      <c r="CF102" s="745"/>
      <c r="CG102" s="747">
        <f t="shared" si="144"/>
        <v>0</v>
      </c>
      <c r="CH102" s="747">
        <f t="shared" si="145"/>
        <v>0</v>
      </c>
      <c r="CI102" s="747">
        <f t="shared" si="146"/>
        <v>0</v>
      </c>
      <c r="CJ102" s="747">
        <f t="shared" si="147"/>
        <v>0</v>
      </c>
      <c r="CK102" s="745"/>
      <c r="CL102" s="746">
        <f t="shared" si="148"/>
        <v>0</v>
      </c>
      <c r="CM102" s="746">
        <f t="shared" si="149"/>
        <v>0</v>
      </c>
      <c r="CN102" s="746">
        <f t="shared" si="150"/>
        <v>0</v>
      </c>
      <c r="CO102" s="747">
        <f t="shared" si="151"/>
        <v>0</v>
      </c>
      <c r="CQ102" s="746">
        <f>SUMIF('1.PL (VND) '!$BL$6:$CD$6,'1.PL (VND) '!CP$6,$BM102:$CE102)</f>
        <v>0</v>
      </c>
      <c r="CR102" s="746">
        <f>SUMIF('1.PL (VND) '!$BL$6:$CD$6,'1.PL (VND) '!CQ$6,$BM102:$CE102)</f>
        <v>0</v>
      </c>
      <c r="CS102" s="746">
        <f>SUMIF('1.PL (VND) '!$BL$6:$CD$6,'1.PL (VND) '!CR$6,$BM102:$CE102)</f>
        <v>0</v>
      </c>
      <c r="CT102" s="746">
        <f>SUMIF('1.PL (VND) '!$BL$6:$CD$6,'1.PL (VND) '!CS$6,$BM102:$CE102)</f>
        <v>0</v>
      </c>
      <c r="CV102" s="748">
        <f>-SUMIFS('1.DC_Ra soat'!$L:$L,'1.DC_Ra soat'!$F:$F,'1.PL (VND) '!DK$4,'1.DC_Ra soat'!$H:$H,'1.BS (VND)'!$D102)+SUMIFS('1.DC_Ra soat'!$L:$L,'1.DC_Ra soat'!$F:$F,'1.PL (VND) '!DK$4,'1.DC_Ra soat'!$I:$I,'1.BS (VND)'!$D102)</f>
        <v>0</v>
      </c>
      <c r="CW102" s="748">
        <f>-SUMIFS('1.DC_Ra soat'!$L:$L,'1.DC_Ra soat'!$F:$F,'1.PL (VND) '!DL$4,'1.DC_Ra soat'!$H:$H,'1.BS (VND)'!$D102)+SUMIFS('1.DC_Ra soat'!$L:$L,'1.DC_Ra soat'!$F:$F,'1.PL (VND) '!DL$4,'1.DC_Ra soat'!$I:$I,'1.BS (VND)'!$D102)</f>
        <v>0</v>
      </c>
      <c r="CX102" s="748">
        <f>-SUMIFS('1.DC_Ra soat'!$L:$L,'1.DC_Ra soat'!$F:$F,'1.PL (VND) '!DM$4,'1.DC_Ra soat'!$H:$H,'1.BS (VND)'!$D102)+SUMIFS('1.DC_Ra soat'!$L:$L,'1.DC_Ra soat'!$F:$F,'1.PL (VND) '!DM$4,'1.DC_Ra soat'!$I:$I,'1.BS (VND)'!$D102)</f>
        <v>0</v>
      </c>
      <c r="CY102" s="748">
        <f>-SUMIFS('1.DC_Ra soat'!$L:$L,'1.DC_Ra soat'!$F:$F,'1.PL (VND) '!DN$4,'1.DC_Ra soat'!$H:$H,'1.BS (VND)'!$D102)+SUMIFS('1.DC_Ra soat'!$L:$L,'1.DC_Ra soat'!$F:$F,'1.PL (VND) '!DN$4,'1.DC_Ra soat'!$I:$I,'1.BS (VND)'!$D102)</f>
        <v>0</v>
      </c>
      <c r="DA102" s="746">
        <f t="shared" si="157"/>
        <v>0</v>
      </c>
      <c r="DB102" s="746">
        <f t="shared" si="158"/>
        <v>0</v>
      </c>
      <c r="DC102" s="746">
        <f t="shared" si="159"/>
        <v>0</v>
      </c>
      <c r="DD102" s="746">
        <f t="shared" si="160"/>
        <v>0</v>
      </c>
    </row>
    <row r="103" spans="1:112" s="248" customFormat="1" x14ac:dyDescent="0.25">
      <c r="A103" s="248">
        <f t="shared" si="166"/>
        <v>1</v>
      </c>
      <c r="C103" s="825" t="s">
        <v>587</v>
      </c>
      <c r="D103" s="826" t="s">
        <v>464</v>
      </c>
      <c r="E103" s="827">
        <f>SUM(E104,E121)</f>
        <v>29869827982</v>
      </c>
      <c r="F103" s="827">
        <f>SUM(F104,F121)</f>
        <v>29620862436</v>
      </c>
      <c r="G103" s="827">
        <f>SUM(G104,G121)</f>
        <v>49807530760</v>
      </c>
      <c r="H103" s="828">
        <f>H104+H122</f>
        <v>49807530760</v>
      </c>
      <c r="I103" s="230"/>
      <c r="J103" s="824">
        <f>SUM(J104,J121)</f>
        <v>4059489151</v>
      </c>
      <c r="K103" s="824">
        <f>SUM(K104,K121)</f>
        <v>14207961784</v>
      </c>
      <c r="L103" s="824">
        <f>SUM(L104,L121)</f>
        <v>8914084252</v>
      </c>
      <c r="M103" s="824">
        <f>SUM(M104,M121)</f>
        <v>8914084252</v>
      </c>
      <c r="N103" s="230"/>
      <c r="O103" s="824">
        <f>SUM(O104,O121)</f>
        <v>3393236540</v>
      </c>
      <c r="P103" s="824">
        <f>SUM(P104,P121)</f>
        <v>3332960398</v>
      </c>
      <c r="Q103" s="824">
        <f>SUM(Q104,Q121)</f>
        <v>14362107788</v>
      </c>
      <c r="R103" s="824">
        <f>SUM(R104,R121)</f>
        <v>10912639245</v>
      </c>
      <c r="S103" s="230"/>
      <c r="T103" s="824">
        <f>SUM(T104,T121)</f>
        <v>17694016391</v>
      </c>
      <c r="U103" s="824">
        <f>SUM(U104,U121)</f>
        <v>17714977532</v>
      </c>
      <c r="V103" s="824">
        <f>SUM(V104,V121)</f>
        <v>15776415150</v>
      </c>
      <c r="W103" s="824">
        <f>SUM(W104,W121)</f>
        <v>13799267853</v>
      </c>
      <c r="X103" s="230"/>
      <c r="Y103" s="241">
        <f>SUM(Y104,Y121)</f>
        <v>0</v>
      </c>
      <c r="Z103" s="241">
        <f>SUM(Z104,Z121)</f>
        <v>0</v>
      </c>
      <c r="AA103" s="241">
        <f>SUM(AA104,AA121)</f>
        <v>0</v>
      </c>
      <c r="AB103" s="241">
        <f>SUM(AB104,AB121)</f>
        <v>0</v>
      </c>
      <c r="AC103" s="230"/>
      <c r="AD103" s="241">
        <f>SUM(AD104,AD121)</f>
        <v>0</v>
      </c>
      <c r="AE103" s="241">
        <f>SUM(AE104,AE121)</f>
        <v>0</v>
      </c>
      <c r="AF103" s="241">
        <f>SUM(AF104,AF121)</f>
        <v>0</v>
      </c>
      <c r="AG103" s="241">
        <f>SUM(AG104,AG121)</f>
        <v>0</v>
      </c>
      <c r="AI103" s="249">
        <f>SUM(AI104,AI121)</f>
        <v>0</v>
      </c>
      <c r="AJ103" s="249">
        <f>SUM(AJ104,AJ121)</f>
        <v>0</v>
      </c>
      <c r="AK103" s="249">
        <f>SUM(AK104,AK121)</f>
        <v>-10749717626</v>
      </c>
      <c r="AL103" s="249">
        <f t="shared" ref="AL103" si="172">SUM(AL104,AL121)</f>
        <v>-15373321514</v>
      </c>
      <c r="AM103" s="230"/>
      <c r="AN103" s="249">
        <f>SUM(AN104,AN121)</f>
        <v>0</v>
      </c>
      <c r="AO103" s="249">
        <f>SUM(AO104,AO121)</f>
        <v>0</v>
      </c>
      <c r="AP103" s="249">
        <f>SUM(AP104,AP121)</f>
        <v>-741540549</v>
      </c>
      <c r="AQ103" s="249">
        <f t="shared" ref="AQ103" si="173">SUM(AQ104,AQ121)</f>
        <v>-741540549</v>
      </c>
      <c r="AR103" s="230"/>
      <c r="AS103" s="249">
        <f>SUM(AS104,AS121)</f>
        <v>0</v>
      </c>
      <c r="AT103" s="249">
        <f>SUM(AT104,AT121)</f>
        <v>0</v>
      </c>
      <c r="AU103" s="249">
        <f>SUM(AU104,AU121)</f>
        <v>-846888229</v>
      </c>
      <c r="AV103" s="249">
        <f t="shared" ref="AV103" si="174">SUM(AV104,AV121)</f>
        <v>-5796888229</v>
      </c>
      <c r="AW103" s="230"/>
      <c r="AX103" s="249">
        <f>SUM(AX104,AX121)</f>
        <v>0</v>
      </c>
      <c r="AY103" s="249">
        <f>SUM(AY104,AY121)</f>
        <v>0</v>
      </c>
      <c r="AZ103" s="249">
        <f>SUM(AZ104,AZ121)</f>
        <v>-1262355349</v>
      </c>
      <c r="BA103" s="249">
        <f>SUM(BA104,BA121)</f>
        <v>-6262355349</v>
      </c>
      <c r="BB103" s="230"/>
      <c r="BC103" s="249">
        <f>SUM(BC104,BC121)</f>
        <v>0</v>
      </c>
      <c r="BD103" s="249">
        <f>SUM(BD104,BD121)</f>
        <v>0</v>
      </c>
      <c r="BE103" s="249">
        <f>SUM(BE104,BE121)</f>
        <v>0</v>
      </c>
      <c r="BF103" s="249">
        <f>SUM(BF104,BF121)</f>
        <v>0</v>
      </c>
      <c r="BG103" s="230"/>
      <c r="BH103" s="249">
        <f>SUM(BH104,BH121)</f>
        <v>0</v>
      </c>
      <c r="BI103" s="249">
        <f>SUM(BI104,BI121)</f>
        <v>0</v>
      </c>
      <c r="BJ103" s="249">
        <f>SUM(BJ104,BJ121)</f>
        <v>0</v>
      </c>
      <c r="BK103" s="249">
        <f t="shared" ref="BK103" si="175">SUM(BK104,BK121)</f>
        <v>0</v>
      </c>
      <c r="BM103" s="241">
        <f t="shared" si="128"/>
        <v>29869827982</v>
      </c>
      <c r="BN103" s="241">
        <f t="shared" si="129"/>
        <v>29620862436</v>
      </c>
      <c r="BO103" s="241">
        <f t="shared" si="130"/>
        <v>39057813134</v>
      </c>
      <c r="BP103" s="241">
        <f t="shared" si="131"/>
        <v>34434209246</v>
      </c>
      <c r="BQ103" s="230"/>
      <c r="BR103" s="241">
        <f t="shared" si="132"/>
        <v>4059489151</v>
      </c>
      <c r="BS103" s="241">
        <f t="shared" si="133"/>
        <v>14207961784</v>
      </c>
      <c r="BT103" s="241">
        <f t="shared" si="134"/>
        <v>8172543703</v>
      </c>
      <c r="BU103" s="241">
        <f t="shared" si="135"/>
        <v>8172543703</v>
      </c>
      <c r="BV103" s="230"/>
      <c r="BW103" s="241">
        <f t="shared" si="136"/>
        <v>3393236540</v>
      </c>
      <c r="BX103" s="241">
        <f t="shared" si="137"/>
        <v>3332960398</v>
      </c>
      <c r="BY103" s="241">
        <f t="shared" si="138"/>
        <v>13515219559</v>
      </c>
      <c r="BZ103" s="241">
        <f t="shared" si="139"/>
        <v>5115751016</v>
      </c>
      <c r="CA103" s="230"/>
      <c r="CB103" s="241">
        <f t="shared" si="140"/>
        <v>17694016391</v>
      </c>
      <c r="CC103" s="241">
        <f t="shared" si="141"/>
        <v>17714977532</v>
      </c>
      <c r="CD103" s="241">
        <f t="shared" si="142"/>
        <v>14514059801</v>
      </c>
      <c r="CE103" s="241">
        <f t="shared" si="143"/>
        <v>7536912504</v>
      </c>
      <c r="CF103" s="230"/>
      <c r="CG103" s="241">
        <f t="shared" si="144"/>
        <v>0</v>
      </c>
      <c r="CH103" s="241">
        <f t="shared" si="145"/>
        <v>0</v>
      </c>
      <c r="CI103" s="241">
        <f t="shared" si="146"/>
        <v>0</v>
      </c>
      <c r="CJ103" s="241">
        <f t="shared" si="147"/>
        <v>0</v>
      </c>
      <c r="CK103" s="230"/>
      <c r="CL103" s="241">
        <f t="shared" si="148"/>
        <v>0</v>
      </c>
      <c r="CM103" s="241">
        <f t="shared" si="149"/>
        <v>0</v>
      </c>
      <c r="CN103" s="241">
        <f t="shared" si="150"/>
        <v>0</v>
      </c>
      <c r="CO103" s="241">
        <f t="shared" si="151"/>
        <v>0</v>
      </c>
      <c r="CQ103" s="241">
        <f>SUMIF('1.PL (VND) '!$BL$6:$CD$6,'1.PL (VND) '!CP$6,$BM103:$CE103)</f>
        <v>55016570064</v>
      </c>
      <c r="CR103" s="241">
        <f>SUMIF('1.PL (VND) '!$BL$6:$CD$6,'1.PL (VND) '!CQ$6,$BM103:$CE103)</f>
        <v>64876762150</v>
      </c>
      <c r="CS103" s="241">
        <f>SUMIF('1.PL (VND) '!$BL$6:$CD$6,'1.PL (VND) '!CR$6,$BM103:$CE103)</f>
        <v>75259636197</v>
      </c>
      <c r="CT103" s="241">
        <f>SUMIF('1.PL (VND) '!$BL$6:$CD$6,'1.PL (VND) '!CS$6,$BM103:$CE103)</f>
        <v>55259416469</v>
      </c>
      <c r="CV103" s="241">
        <f>SUM(CV104,CV121)</f>
        <v>0</v>
      </c>
      <c r="CW103" s="241">
        <f t="shared" ref="CW103:CY103" si="176">SUM(CW104,CW121)</f>
        <v>0</v>
      </c>
      <c r="CX103" s="241">
        <f t="shared" si="176"/>
        <v>0</v>
      </c>
      <c r="CY103" s="241">
        <f t="shared" si="176"/>
        <v>0</v>
      </c>
      <c r="DA103" s="241">
        <f t="shared" si="157"/>
        <v>55016570064</v>
      </c>
      <c r="DB103" s="241">
        <f t="shared" si="158"/>
        <v>64876762150</v>
      </c>
      <c r="DC103" s="241">
        <f t="shared" si="159"/>
        <v>75259636197</v>
      </c>
      <c r="DD103" s="241">
        <f t="shared" si="160"/>
        <v>55259416469</v>
      </c>
      <c r="DH103" s="245"/>
    </row>
    <row r="104" spans="1:112" s="248" customFormat="1" x14ac:dyDescent="0.25">
      <c r="A104" s="248">
        <f t="shared" si="166"/>
        <v>1</v>
      </c>
      <c r="C104" s="259" t="s">
        <v>465</v>
      </c>
      <c r="D104" s="260" t="s">
        <v>466</v>
      </c>
      <c r="E104" s="719">
        <f>SUM(E105,E108,E109,E110,E111,E112,E113,E114,E115,E116,E117,E120)</f>
        <v>29869827982</v>
      </c>
      <c r="F104" s="719">
        <f>SUM(F105,F108,F109,F110,F111,F112,F113,F114,F115,F116,F117,F120)</f>
        <v>29620862436</v>
      </c>
      <c r="G104" s="719">
        <f>SUM(G105,G108,G109,G110,G111,G112,G113,G114,G115,G116,G117,G120)</f>
        <v>49807530760</v>
      </c>
      <c r="H104" s="720">
        <f>H105+H108+H109+H110+H111+H112+H113+H114+H115+H116+H117+H120</f>
        <v>49807530760</v>
      </c>
      <c r="I104" s="230"/>
      <c r="J104" s="241">
        <f>SUM(J105,J108,J109,J110,J111,J112,J113,J114,J115,J116,J117,J120)</f>
        <v>4059489151</v>
      </c>
      <c r="K104" s="241">
        <f>SUM(K105,K108,K109,K110,K111,K112,K113,K114,K115,K116,K117,K120)</f>
        <v>14207961784</v>
      </c>
      <c r="L104" s="241">
        <f>SUM(L105,L108,L109,L110,L111,L112,L113,L114,L115,L116,L117,L120)</f>
        <v>8914084252</v>
      </c>
      <c r="M104" s="241">
        <f>SUM(M105,M108,M109,M110,M111,M112,M113,M114,M115,M116,M117,M120)</f>
        <v>8914084252</v>
      </c>
      <c r="N104" s="230"/>
      <c r="O104" s="241">
        <f>SUM(O105,O108,O109,O110,O111,O112,O113,O114,O115,O116,O117,O120)</f>
        <v>3393236540</v>
      </c>
      <c r="P104" s="241">
        <f>SUM(P105,P108,P109,P110,P111,P112,P113,P114,P115,P116,P117,P120)</f>
        <v>3332960398</v>
      </c>
      <c r="Q104" s="241">
        <f>SUM(Q105,Q108,Q109,Q110,Q111,Q112,Q113,Q114,Q115,Q116,Q117,Q120)</f>
        <v>14362107788</v>
      </c>
      <c r="R104" s="241">
        <f>SUM(R105,R108,R109,R110,R111,R112,R113,R114,R115,R116,R117,R120)</f>
        <v>10912639245</v>
      </c>
      <c r="S104" s="230"/>
      <c r="T104" s="241">
        <f>SUM(T105,T108,T109,T110,T111,T112,T113,T114,T115,T116,T117,T120)</f>
        <v>17694016391</v>
      </c>
      <c r="U104" s="241">
        <f>SUM(U105,U108,U109,U110,U111,U112,U113,U114,U115,U116,U117,U120)</f>
        <v>17714977532</v>
      </c>
      <c r="V104" s="241">
        <f>SUM(V105,V108,V109,V110,V111,V112,V113,V114,V115,V116,V117,V120)</f>
        <v>15776415150</v>
      </c>
      <c r="W104" s="241">
        <f>SUM(W105,W108,W109,W110,W111,W112,W113,W114,W115,W116,W117,W120)</f>
        <v>13799267853</v>
      </c>
      <c r="X104" s="230"/>
      <c r="Y104" s="241">
        <f>SUM(Y105,Y108,Y109,Y110,Y111,Y112,Y113,Y114,Y115,Y116,Y117,Y120)</f>
        <v>0</v>
      </c>
      <c r="Z104" s="241">
        <f>SUM(Z105,Z108,Z109,Z110,Z111,Z112,Z113,Z114,Z115,Z116,Z117,Z120)</f>
        <v>0</v>
      </c>
      <c r="AA104" s="241">
        <f>SUM(AA105,AA108,AA109,AA110,AA111,AA112,AA113,AA114,AA115,AA116,AA117,AA120)</f>
        <v>0</v>
      </c>
      <c r="AB104" s="241">
        <f>SUM(AB105,AB108,AB109,AB110,AB111,AB112,AB113,AB114,AB115,AB116,AB117,AB120)</f>
        <v>0</v>
      </c>
      <c r="AC104" s="230"/>
      <c r="AD104" s="241">
        <f>SUM(AD105,AD108,AD109,AD110,AD111,AD112,AD113,AD114,AD115,AD116,AD117,AD120)</f>
        <v>0</v>
      </c>
      <c r="AE104" s="241">
        <f>SUM(AE105,AE108,AE109,AE110,AE111,AE112,AE113,AE114,AE115,AE116,AE117,AE120)</f>
        <v>0</v>
      </c>
      <c r="AF104" s="241">
        <f>SUM(AF105,AF108,AF109,AF110,AF111,AF112,AF113,AF114,AF115,AF116,AF117,AF120)</f>
        <v>0</v>
      </c>
      <c r="AG104" s="241">
        <f>SUM(AG105,AG108,AG109,AG110,AG111,AG112,AG113,AG114,AG115,AG116,AG117,AG120)</f>
        <v>0</v>
      </c>
      <c r="AI104" s="249">
        <f>SUM(AI105,AI108,AI109,AI110,AI111,AI112,AI113,AI114,AI115,AI116,AI117,AI120)</f>
        <v>0</v>
      </c>
      <c r="AJ104" s="249">
        <f>SUM(AJ105,AJ108,AJ109,AJ110,AJ111,AJ112,AJ113,AJ114,AJ115,AJ116,AJ117,AJ120)</f>
        <v>0</v>
      </c>
      <c r="AK104" s="249">
        <f>SUM(AK105,AK108,AK109,AK110,AK111,AK112,AK113,AK114,AK115,AK116,AK117,AK120)</f>
        <v>-10749717626</v>
      </c>
      <c r="AL104" s="249">
        <f>SUM(AL105,AL108,AL109,AL110,AL111,AL112,AL113,AL114,AL115,AL116,AL117,AL120)</f>
        <v>-15373321514</v>
      </c>
      <c r="AM104" s="230"/>
      <c r="AN104" s="249">
        <f>SUM(AN105,AN108,AN109,AN110,AN111,AN112,AN113,AN114,AN115,AN116,AN117,AN120)</f>
        <v>0</v>
      </c>
      <c r="AO104" s="249">
        <f>SUM(AO105,AO108,AO109,AO110,AO111,AO112,AO113,AO114,AO115,AO116,AO117,AO120)</f>
        <v>0</v>
      </c>
      <c r="AP104" s="249">
        <f>SUM(AP105,AP108,AP109,AP110,AP111,AP112,AP113,AP114,AP115,AP116,AP117,AP120)</f>
        <v>-741540549</v>
      </c>
      <c r="AQ104" s="249">
        <f t="shared" ref="AQ104" si="177">SUM(AQ105,AQ108,AQ109,AQ110,AQ111,AQ112,AQ113,AQ114,AQ115,AQ116,AQ117,AQ120)</f>
        <v>-741540549</v>
      </c>
      <c r="AR104" s="230"/>
      <c r="AS104" s="249">
        <f>SUM(AS105,AS108,AS109,AS110,AS111,AS112,AS113,AS114,AS115,AS116,AS117,AS120)</f>
        <v>0</v>
      </c>
      <c r="AT104" s="249">
        <f>SUM(AT105,AT108,AT109,AT110,AT111,AT112,AT113,AT114,AT115,AT116,AT117,AT120)</f>
        <v>0</v>
      </c>
      <c r="AU104" s="249">
        <f>SUM(AU105,AU108,AU109,AU110,AU111,AU112,AU113,AU114,AU115,AU116,AU117,AU120)</f>
        <v>-846888229</v>
      </c>
      <c r="AV104" s="249">
        <f>SUM(AV105,AV108,AV109,AV110,AV111,AV112,AV113,AV114,AV115,AV116,AV117,AV120)</f>
        <v>-5796888229</v>
      </c>
      <c r="AW104" s="230"/>
      <c r="AX104" s="249">
        <f>SUM(AX105,AX108,AX109,AX110,AX111,AX112,AX113,AX114,AX115,AX116,AX117,AX120)</f>
        <v>0</v>
      </c>
      <c r="AY104" s="249">
        <f>SUM(AY105,AY108,AY109,AY110,AY111,AY112,AY113,AY114,AY115,AY116,AY117,AY120)</f>
        <v>0</v>
      </c>
      <c r="AZ104" s="249">
        <f>SUM(AZ105,AZ108,AZ109,AZ110,AZ111,AZ112,AZ113,AZ114,AZ115,AZ116,AZ117,AZ120)</f>
        <v>-1262355349</v>
      </c>
      <c r="BA104" s="249">
        <f>SUM(BA105,BA108,BA109,BA110,BA111,BA112,BA113,BA114,BA115,BA116,BA117,BA120)</f>
        <v>-6262355349</v>
      </c>
      <c r="BB104" s="230"/>
      <c r="BC104" s="249">
        <f>SUM(BC105,BC108,BC109,BC110,BC111,BC112,BC113,BC114,BC115,BC116,BC117,BC120)</f>
        <v>0</v>
      </c>
      <c r="BD104" s="249">
        <f>SUM(BD105,BD108,BD109,BD110,BD111,BD112,BD113,BD114,BD115,BD116,BD117,BD120)</f>
        <v>0</v>
      </c>
      <c r="BE104" s="249">
        <f>SUM(BE105,BE108,BE109,BE110,BE111,BE112,BE113,BE114,BE115,BE116,BE117,BE120)</f>
        <v>0</v>
      </c>
      <c r="BF104" s="249">
        <f>SUM(BF105,BF108,BF109,BF110,BF111,BF112,BF113,BF114,BF115,BF116,BF117,BF120)</f>
        <v>0</v>
      </c>
      <c r="BG104" s="230"/>
      <c r="BH104" s="249">
        <f>SUM(BH105,BH108,BH109,BH110,BH111,BH112,BH113,BH114,BH115,BH116,BH117,BH120)</f>
        <v>0</v>
      </c>
      <c r="BI104" s="249">
        <f>SUM(BI105,BI108,BI109,BI110,BI111,BI112,BI113,BI114,BI115,BI116,BI117,BI120)</f>
        <v>0</v>
      </c>
      <c r="BJ104" s="249">
        <f>SUM(BJ105,BJ108,BJ109,BJ110,BJ111,BJ112,BJ113,BJ114,BJ115,BJ116,BJ117,BJ120)</f>
        <v>0</v>
      </c>
      <c r="BK104" s="249">
        <f t="shared" ref="BK104" si="178">SUM(BK105,BK108,BK109,BK110,BK111,BK112,BK113,BK114,BK115,BK116,BK117,BK120)</f>
        <v>0</v>
      </c>
      <c r="BM104" s="241">
        <f t="shared" ref="BM104:BM124" si="179">E104+AI104</f>
        <v>29869827982</v>
      </c>
      <c r="BN104" s="241">
        <f t="shared" ref="BN104:BN124" si="180">F104+AJ104</f>
        <v>29620862436</v>
      </c>
      <c r="BO104" s="241">
        <f t="shared" ref="BO104:BO124" si="181">G104+AK104</f>
        <v>39057813134</v>
      </c>
      <c r="BP104" s="241">
        <f t="shared" ref="BP104:BP124" si="182">H104+AL104</f>
        <v>34434209246</v>
      </c>
      <c r="BQ104" s="230"/>
      <c r="BR104" s="241">
        <f t="shared" ref="BR104:BR124" si="183">J104+AN104</f>
        <v>4059489151</v>
      </c>
      <c r="BS104" s="241">
        <f t="shared" ref="BS104:BS124" si="184">K104+AO104</f>
        <v>14207961784</v>
      </c>
      <c r="BT104" s="241">
        <f t="shared" ref="BT104:BT124" si="185">L104+AP104</f>
        <v>8172543703</v>
      </c>
      <c r="BU104" s="241">
        <f t="shared" ref="BU104:BU124" si="186">M104+AQ104</f>
        <v>8172543703</v>
      </c>
      <c r="BV104" s="230"/>
      <c r="BW104" s="241">
        <f t="shared" ref="BW104:BW124" si="187">O104+AS104</f>
        <v>3393236540</v>
      </c>
      <c r="BX104" s="241">
        <f t="shared" ref="BX104:BX124" si="188">P104+AT104</f>
        <v>3332960398</v>
      </c>
      <c r="BY104" s="241">
        <f t="shared" ref="BY104:BY124" si="189">Q104+AU104</f>
        <v>13515219559</v>
      </c>
      <c r="BZ104" s="241">
        <f t="shared" ref="BZ104:BZ124" si="190">R104+AV104</f>
        <v>5115751016</v>
      </c>
      <c r="CA104" s="230"/>
      <c r="CB104" s="241">
        <f t="shared" ref="CB104:CB124" si="191">T104+AX104</f>
        <v>17694016391</v>
      </c>
      <c r="CC104" s="241">
        <f t="shared" ref="CC104:CC124" si="192">U104+AY104</f>
        <v>17714977532</v>
      </c>
      <c r="CD104" s="241">
        <f t="shared" ref="CD104:CD124" si="193">V104+AZ104</f>
        <v>14514059801</v>
      </c>
      <c r="CE104" s="241">
        <f t="shared" ref="CE104:CE124" si="194">W104+BA104</f>
        <v>7536912504</v>
      </c>
      <c r="CF104" s="230"/>
      <c r="CG104" s="241">
        <f t="shared" ref="CG104:CG124" si="195">Y104+BC104</f>
        <v>0</v>
      </c>
      <c r="CH104" s="241">
        <f t="shared" ref="CH104:CH124" si="196">Z104+BD104</f>
        <v>0</v>
      </c>
      <c r="CI104" s="241">
        <f t="shared" ref="CI104:CI124" si="197">AA104+BE104</f>
        <v>0</v>
      </c>
      <c r="CJ104" s="241">
        <f t="shared" ref="CJ104:CJ124" si="198">AB104+BF104</f>
        <v>0</v>
      </c>
      <c r="CK104" s="230"/>
      <c r="CL104" s="241">
        <f t="shared" ref="CL104:CL124" si="199">AD104+BH104</f>
        <v>0</v>
      </c>
      <c r="CM104" s="241">
        <f t="shared" ref="CM104:CM124" si="200">AE104+BI104</f>
        <v>0</v>
      </c>
      <c r="CN104" s="241">
        <f t="shared" ref="CN104:CN124" si="201">AF104+BJ104</f>
        <v>0</v>
      </c>
      <c r="CO104" s="241">
        <f t="shared" ref="CO104:CO124" si="202">AG104+BK104</f>
        <v>0</v>
      </c>
      <c r="CQ104" s="241">
        <f>SUMIF('1.PL (VND) '!$BL$6:$CD$6,'1.PL (VND) '!CP$6,$BM104:$CE104)</f>
        <v>55016570064</v>
      </c>
      <c r="CR104" s="241">
        <f>SUMIF('1.PL (VND) '!$BL$6:$CD$6,'1.PL (VND) '!CQ$6,$BM104:$CE104)</f>
        <v>64876762150</v>
      </c>
      <c r="CS104" s="241">
        <f>SUMIF('1.PL (VND) '!$BL$6:$CD$6,'1.PL (VND) '!CR$6,$BM104:$CE104)</f>
        <v>75259636197</v>
      </c>
      <c r="CT104" s="241">
        <f>SUMIF('1.PL (VND) '!$BL$6:$CD$6,'1.PL (VND) '!CS$6,$BM104:$CE104)</f>
        <v>55259416469</v>
      </c>
      <c r="CV104" s="241">
        <f>SUM(CV105,CV108,CV109,CV110,CV111,CV112,CV113,CV114,CV115,CV116,CV117,CV120)</f>
        <v>0</v>
      </c>
      <c r="CW104" s="241">
        <f t="shared" ref="CW104:CY104" si="203">SUM(CW105,CW108,CW109,CW110,CW111,CW112,CW113,CW114,CW115,CW116,CW117,CW120)</f>
        <v>0</v>
      </c>
      <c r="CX104" s="241">
        <f t="shared" si="203"/>
        <v>0</v>
      </c>
      <c r="CY104" s="241">
        <f t="shared" si="203"/>
        <v>0</v>
      </c>
      <c r="DA104" s="241">
        <f t="shared" si="157"/>
        <v>55016570064</v>
      </c>
      <c r="DB104" s="241">
        <f t="shared" si="158"/>
        <v>64876762150</v>
      </c>
      <c r="DC104" s="241">
        <f t="shared" si="159"/>
        <v>75259636197</v>
      </c>
      <c r="DD104" s="241">
        <f t="shared" si="160"/>
        <v>55259416469</v>
      </c>
      <c r="DH104" s="245"/>
    </row>
    <row r="105" spans="1:112" x14ac:dyDescent="0.25">
      <c r="A105" s="248">
        <f t="shared" si="166"/>
        <v>1</v>
      </c>
      <c r="C105" s="261" t="s">
        <v>467</v>
      </c>
      <c r="D105" s="262" t="s">
        <v>468</v>
      </c>
      <c r="E105" s="727">
        <f>E106+E107</f>
        <v>30000000000</v>
      </c>
      <c r="F105" s="727">
        <f t="shared" ref="F105:H105" si="204">F106+F107</f>
        <v>30000000000</v>
      </c>
      <c r="G105" s="727">
        <f t="shared" si="204"/>
        <v>50000000000</v>
      </c>
      <c r="H105" s="727">
        <f t="shared" si="204"/>
        <v>50000000000</v>
      </c>
      <c r="I105" s="240"/>
      <c r="J105" s="244">
        <f>SUM(J106:J107)</f>
        <v>2000000000</v>
      </c>
      <c r="K105" s="244">
        <f t="shared" ref="K105:O105" si="205">SUM(K106:K107)</f>
        <v>14000000000</v>
      </c>
      <c r="L105" s="244">
        <f t="shared" si="205"/>
        <v>14000000000</v>
      </c>
      <c r="M105" s="241">
        <f t="shared" si="205"/>
        <v>14000000000</v>
      </c>
      <c r="N105" s="240"/>
      <c r="O105" s="244">
        <f t="shared" si="205"/>
        <v>4000000000</v>
      </c>
      <c r="P105" s="244">
        <f t="shared" ref="P105" si="206">SUM(P106:P107)</f>
        <v>4000000000</v>
      </c>
      <c r="Q105" s="244">
        <f t="shared" ref="Q105" si="207">SUM(Q106:Q107)</f>
        <v>15000000000</v>
      </c>
      <c r="R105" s="244">
        <f t="shared" ref="R105" si="208">SUM(R106:R107)</f>
        <v>15000000000</v>
      </c>
      <c r="S105" s="240"/>
      <c r="T105" s="244">
        <f t="shared" ref="T105" si="209">SUM(T106:T107)</f>
        <v>18000000000</v>
      </c>
      <c r="U105" s="244">
        <f t="shared" ref="U105" si="210">SUM(U106:U107)</f>
        <v>18000000000</v>
      </c>
      <c r="V105" s="244">
        <f t="shared" ref="V105" si="211">SUM(V106:V107)</f>
        <v>18000000000</v>
      </c>
      <c r="W105" s="244">
        <f t="shared" ref="W105:AB105" si="212">SUM(W106:W107)</f>
        <v>18000000000</v>
      </c>
      <c r="X105" s="240"/>
      <c r="Y105" s="244">
        <f t="shared" si="212"/>
        <v>0</v>
      </c>
      <c r="Z105" s="244">
        <f t="shared" si="212"/>
        <v>0</v>
      </c>
      <c r="AA105" s="244">
        <f t="shared" si="212"/>
        <v>0</v>
      </c>
      <c r="AB105" s="244">
        <f t="shared" si="212"/>
        <v>0</v>
      </c>
      <c r="AC105" s="240"/>
      <c r="AD105" s="746"/>
      <c r="AE105" s="746"/>
      <c r="AF105" s="746"/>
      <c r="AG105" s="746"/>
      <c r="AH105" s="213"/>
      <c r="AI105" s="244">
        <f>-SUMIFS('1.DC_Ra soat'!$L:$L,'1.DC_Ra soat'!$F:$F,AI$4,'1.DC_Ra soat'!$H:$H,'1.BS (VND)'!$D105)+SUMIFS('1.DC_Ra soat'!$L:$L,'1.DC_Ra soat'!$F:$F,AI$4,'1.DC_Ra soat'!$I:$I,'1.BS (VND)'!$D105)</f>
        <v>0</v>
      </c>
      <c r="AJ105" s="244">
        <f>-SUMIFS('1.DC_Ra soat'!$L:$L,'1.DC_Ra soat'!$F:$F,AJ$4,'1.DC_Ra soat'!$H:$H,'1.BS (VND)'!$D105)+SUMIFS('1.DC_Ra soat'!$L:$L,'1.DC_Ra soat'!$F:$F,AJ$4,'1.DC_Ra soat'!$I:$I,'1.BS (VND)'!$D105)</f>
        <v>0</v>
      </c>
      <c r="AK105" s="244">
        <f>-SUMIFS('1.DC_Ra soat'!$L:$L,'1.DC_Ra soat'!$F:$F,AK$4,'1.DC_Ra soat'!$H:$H,'1.BS (VND)'!$D105)+SUMIFS('1.DC_Ra soat'!$L:$L,'1.DC_Ra soat'!$F:$F,AK$4,'1.DC_Ra soat'!$I:$I,'1.BS (VND)'!$D105)</f>
        <v>0</v>
      </c>
      <c r="AL105" s="244">
        <f>-SUMIFS('1.DC_Ra soat'!$L:$L,'1.DC_Ra soat'!$F:$F,AL$4,'1.DC_Ra soat'!$H:$H,'1.BS (VND)'!$D105)+SUMIFS('1.DC_Ra soat'!$L:$L,'1.DC_Ra soat'!$F:$F,AL$4,'1.DC_Ra soat'!$I:$I,'1.BS (VND)'!$D105)</f>
        <v>0</v>
      </c>
      <c r="AM105" s="240"/>
      <c r="AN105" s="244">
        <f>-SUMIFS('1.DC_Ra soat'!$L:$L,'1.DC_Ra soat'!$F:$F,AN$4,'1.DC_Ra soat'!$H:$H,'1.BS (VND)'!$D105)+SUMIFS('1.DC_Ra soat'!$L:$L,'1.DC_Ra soat'!$F:$F,AN$4,'1.DC_Ra soat'!$I:$I,'1.BS (VND)'!$D105)</f>
        <v>0</v>
      </c>
      <c r="AO105" s="244">
        <f>-SUMIFS('1.DC_Ra soat'!$L:$L,'1.DC_Ra soat'!$F:$F,AO$4,'1.DC_Ra soat'!$H:$H,'1.BS (VND)'!$D105)+SUMIFS('1.DC_Ra soat'!$L:$L,'1.DC_Ra soat'!$F:$F,AO$4,'1.DC_Ra soat'!$I:$I,'1.BS (VND)'!$D105)</f>
        <v>0</v>
      </c>
      <c r="AP105" s="244">
        <f>-SUMIFS('1.DC_Ra soat'!$L:$L,'1.DC_Ra soat'!$F:$F,AP$4,'1.DC_Ra soat'!$H:$H,'1.BS (VND)'!$D105)+SUMIFS('1.DC_Ra soat'!$L:$L,'1.DC_Ra soat'!$F:$F,AP$4,'1.DC_Ra soat'!$I:$I,'1.BS (VND)'!$D105)</f>
        <v>0</v>
      </c>
      <c r="AQ105" s="244">
        <f>-SUMIFS('1.DC_Ra soat'!$L:$L,'1.DC_Ra soat'!$F:$F,AQ$4,'1.DC_Ra soat'!$H:$H,'1.BS (VND)'!$D105)+SUMIFS('1.DC_Ra soat'!$L:$L,'1.DC_Ra soat'!$F:$F,AQ$4,'1.DC_Ra soat'!$I:$I,'1.BS (VND)'!$D105)</f>
        <v>0</v>
      </c>
      <c r="AR105" s="240"/>
      <c r="AS105" s="244">
        <f>-SUMIFS('1.DC_Ra soat'!$L:$L,'1.DC_Ra soat'!$F:$F,'1.PL (VND) '!AW$4,'1.DC_Ra soat'!$H:$H,'1.BS (VND)'!$D105)+SUMIFS('1.DC_Ra soat'!$L:$L,'1.DC_Ra soat'!$F:$F,'1.PL (VND) '!AW$4,'1.DC_Ra soat'!$I:$I,'1.BS (VND)'!$D105)</f>
        <v>0</v>
      </c>
      <c r="AT105" s="244">
        <f>-SUMIFS('1.DC_Ra soat'!$L:$L,'1.DC_Ra soat'!$F:$F,'1.PL (VND) '!AX$4,'1.DC_Ra soat'!$H:$H,'1.BS (VND)'!$D105)+SUMIFS('1.DC_Ra soat'!$L:$L,'1.DC_Ra soat'!$F:$F,'1.PL (VND) '!AX$4,'1.DC_Ra soat'!$I:$I,'1.BS (VND)'!$D105)</f>
        <v>0</v>
      </c>
      <c r="AU105" s="244">
        <f>-SUMIFS('1.DC_Ra soat'!$L:$L,'1.DC_Ra soat'!$F:$F,'1.PL (VND) '!AY$4,'1.DC_Ra soat'!$H:$H,'1.BS (VND)'!$D105)+SUMIFS('1.DC_Ra soat'!$L:$L,'1.DC_Ra soat'!$F:$F,'1.PL (VND) '!AY$4,'1.DC_Ra soat'!$I:$I,'1.BS (VND)'!$D105)</f>
        <v>0</v>
      </c>
      <c r="AV105" s="244">
        <f>-SUMIFS('1.DC_Ra soat'!$L:$L,'1.DC_Ra soat'!$F:$F,'1.PL (VND) '!AZ$4,'1.DC_Ra soat'!$H:$H,'1.BS (VND)'!$D105)+SUMIFS('1.DC_Ra soat'!$L:$L,'1.DC_Ra soat'!$F:$F,'1.PL (VND) '!AZ$4,'1.DC_Ra soat'!$I:$I,'1.BS (VND)'!$D105)</f>
        <v>0</v>
      </c>
      <c r="AW105" s="240"/>
      <c r="AX105" s="244">
        <f>-SUMIFS('1.DC_Ra soat'!$L:$L,'1.DC_Ra soat'!$F:$F,AX$4,'1.DC_Ra soat'!$H:$H,'1.BS (VND)'!$D105)+SUMIFS('1.DC_Ra soat'!$L:$L,'1.DC_Ra soat'!$F:$F,AX$4,'1.DC_Ra soat'!$I:$I,'1.BS (VND)'!$D105)</f>
        <v>0</v>
      </c>
      <c r="AY105" s="244">
        <f>-SUMIFS('1.DC_Ra soat'!$L:$L,'1.DC_Ra soat'!$F:$F,AY$4,'1.DC_Ra soat'!$H:$H,'1.BS (VND)'!$D105)+SUMIFS('1.DC_Ra soat'!$L:$L,'1.DC_Ra soat'!$F:$F,AY$4,'1.DC_Ra soat'!$I:$I,'1.BS (VND)'!$D105)</f>
        <v>0</v>
      </c>
      <c r="AZ105" s="244">
        <f>-SUMIFS('1.DC_Ra soat'!$L:$L,'1.DC_Ra soat'!$F:$F,AZ$4,'1.DC_Ra soat'!$H:$H,'1.BS (VND)'!$D105)+SUMIFS('1.DC_Ra soat'!$L:$L,'1.DC_Ra soat'!$F:$F,AZ$4,'1.DC_Ra soat'!$I:$I,'1.BS (VND)'!$D105)</f>
        <v>0</v>
      </c>
      <c r="BA105" s="244">
        <f>-SUMIFS('1.DC_Ra soat'!$L:$L,'1.DC_Ra soat'!$F:$F,BA$4,'1.DC_Ra soat'!$H:$H,'1.BS (VND)'!$D105)+SUMIFS('1.DC_Ra soat'!$L:$L,'1.DC_Ra soat'!$F:$F,BA$4,'1.DC_Ra soat'!$I:$I,'1.BS (VND)'!$D105)</f>
        <v>0</v>
      </c>
      <c r="BB105" s="240"/>
      <c r="BC105" s="244">
        <f>-SUMIFS('1.DC_Ra soat'!$L:$L,'1.DC_Ra soat'!$F:$F,BC$4,'1.DC_Ra soat'!$H:$H,'1.BS (VND)'!$D105)+SUMIFS('1.DC_Ra soat'!$L:$L,'1.DC_Ra soat'!$F:$F,BC$4,'1.DC_Ra soat'!$I:$I,'1.BS (VND)'!$D105)</f>
        <v>0</v>
      </c>
      <c r="BD105" s="244">
        <f>-SUMIFS('1.DC_Ra soat'!$L:$L,'1.DC_Ra soat'!$F:$F,BD$4,'1.DC_Ra soat'!$H:$H,'1.BS (VND)'!$D105)+SUMIFS('1.DC_Ra soat'!$L:$L,'1.DC_Ra soat'!$F:$F,BD$4,'1.DC_Ra soat'!$I:$I,'1.BS (VND)'!$D105)</f>
        <v>0</v>
      </c>
      <c r="BE105" s="244">
        <f>-SUMIFS('1.DC_Ra soat'!$L:$L,'1.DC_Ra soat'!$F:$F,BE$4,'1.DC_Ra soat'!$H:$H,'1.BS (VND)'!$D105)+SUMIFS('1.DC_Ra soat'!$L:$L,'1.DC_Ra soat'!$F:$F,BE$4,'1.DC_Ra soat'!$I:$I,'1.BS (VND)'!$D105)</f>
        <v>0</v>
      </c>
      <c r="BF105" s="244">
        <f>-SUMIFS('1.DC_Ra soat'!$L:$L,'1.DC_Ra soat'!$F:$F,BF$4,'1.DC_Ra soat'!$H:$H,'1.BS (VND)'!$D105)+SUMIFS('1.DC_Ra soat'!$L:$L,'1.DC_Ra soat'!$F:$F,BF$4,'1.DC_Ra soat'!$I:$I,'1.BS (VND)'!$D105)</f>
        <v>0</v>
      </c>
      <c r="BG105" s="240"/>
      <c r="BH105" s="244">
        <f>-SUMIFS('1.DC_Ra soat'!$L:$L,'1.DC_Ra soat'!$F:$F,BH$4,'1.DC_Ra soat'!$H:$H,'1.BS (VND)'!$D105)+SUMIFS('1.DC_Ra soat'!$L:$L,'1.DC_Ra soat'!$F:$F,BH$4,'1.DC_Ra soat'!$I:$I,'1.BS (VND)'!$D105)</f>
        <v>0</v>
      </c>
      <c r="BI105" s="244">
        <f>-SUMIFS('1.DC_Ra soat'!$L:$L,'1.DC_Ra soat'!$F:$F,BI$4,'1.DC_Ra soat'!$H:$H,'1.BS (VND)'!$D105)+SUMIFS('1.DC_Ra soat'!$L:$L,'1.DC_Ra soat'!$F:$F,BI$4,'1.DC_Ra soat'!$I:$I,'1.BS (VND)'!$D105)</f>
        <v>0</v>
      </c>
      <c r="BJ105" s="244">
        <f>-SUMIFS('1.DC_Ra soat'!$L:$L,'1.DC_Ra soat'!$F:$F,BJ$4,'1.DC_Ra soat'!$H:$H,'1.BS (VND)'!$D105)+SUMIFS('1.DC_Ra soat'!$L:$L,'1.DC_Ra soat'!$F:$F,BJ$4,'1.DC_Ra soat'!$I:$I,'1.BS (VND)'!$D105)</f>
        <v>0</v>
      </c>
      <c r="BK105" s="244">
        <f>-SUMIFS('1.DC_Ra soat'!$L:$L,'1.DC_Ra soat'!$F:$F,BK$4,'1.DC_Ra soat'!$H:$H,'1.BS (VND)'!$D105)+SUMIFS('1.DC_Ra soat'!$L:$L,'1.DC_Ra soat'!$F:$F,BK$4,'1.DC_Ra soat'!$I:$I,'1.BS (VND)'!$D105)</f>
        <v>0</v>
      </c>
      <c r="BM105" s="244">
        <f t="shared" si="179"/>
        <v>30000000000</v>
      </c>
      <c r="BN105" s="244">
        <f t="shared" si="180"/>
        <v>30000000000</v>
      </c>
      <c r="BO105" s="244">
        <f t="shared" si="181"/>
        <v>50000000000</v>
      </c>
      <c r="BP105" s="243">
        <f t="shared" si="182"/>
        <v>50000000000</v>
      </c>
      <c r="BQ105" s="240"/>
      <c r="BR105" s="244">
        <f t="shared" si="183"/>
        <v>2000000000</v>
      </c>
      <c r="BS105" s="244">
        <f t="shared" si="184"/>
        <v>14000000000</v>
      </c>
      <c r="BT105" s="244">
        <f t="shared" si="185"/>
        <v>14000000000</v>
      </c>
      <c r="BU105" s="244">
        <f t="shared" si="186"/>
        <v>14000000000</v>
      </c>
      <c r="BV105" s="240"/>
      <c r="BW105" s="244">
        <f t="shared" si="187"/>
        <v>4000000000</v>
      </c>
      <c r="BX105" s="244">
        <f t="shared" si="188"/>
        <v>4000000000</v>
      </c>
      <c r="BY105" s="244">
        <f t="shared" si="189"/>
        <v>15000000000</v>
      </c>
      <c r="BZ105" s="243">
        <f t="shared" si="190"/>
        <v>15000000000</v>
      </c>
      <c r="CA105" s="240"/>
      <c r="CB105" s="243">
        <f t="shared" si="191"/>
        <v>18000000000</v>
      </c>
      <c r="CC105" s="243">
        <f t="shared" si="192"/>
        <v>18000000000</v>
      </c>
      <c r="CD105" s="243">
        <f t="shared" si="193"/>
        <v>18000000000</v>
      </c>
      <c r="CE105" s="243">
        <f t="shared" si="194"/>
        <v>18000000000</v>
      </c>
      <c r="CF105" s="240"/>
      <c r="CG105" s="243">
        <f t="shared" si="195"/>
        <v>0</v>
      </c>
      <c r="CH105" s="243">
        <f t="shared" si="196"/>
        <v>0</v>
      </c>
      <c r="CI105" s="243">
        <f t="shared" si="197"/>
        <v>0</v>
      </c>
      <c r="CJ105" s="243">
        <f t="shared" si="198"/>
        <v>0</v>
      </c>
      <c r="CK105" s="240"/>
      <c r="CL105" s="244">
        <f t="shared" si="199"/>
        <v>0</v>
      </c>
      <c r="CM105" s="244">
        <f t="shared" si="200"/>
        <v>0</v>
      </c>
      <c r="CN105" s="244">
        <f t="shared" si="201"/>
        <v>0</v>
      </c>
      <c r="CO105" s="243">
        <f t="shared" si="202"/>
        <v>0</v>
      </c>
      <c r="CQ105" s="244">
        <f>SUMIF('1.PL (VND) '!$BL$6:$CD$6,'1.PL (VND) '!CP$6,$BM105:$CE105)</f>
        <v>54000000000</v>
      </c>
      <c r="CR105" s="244">
        <f>SUMIF('1.PL (VND) '!$BL$6:$CD$6,'1.PL (VND) '!CQ$6,$BM105:$CE105)</f>
        <v>66000000000</v>
      </c>
      <c r="CS105" s="244">
        <f>SUMIF('1.PL (VND) '!$BL$6:$CD$6,'1.PL (VND) '!CR$6,$BM105:$CE105)</f>
        <v>97000000000</v>
      </c>
      <c r="CT105" s="244">
        <f>SUMIF('1.PL (VND) '!$BL$6:$CD$6,'1.PL (VND) '!CS$6,$BM105:$CE105)</f>
        <v>97000000000</v>
      </c>
      <c r="CV105" s="246">
        <f>-SUMIFS('1.DC_Ra soat'!$L:$L,'1.DC_Ra soat'!$F:$F,'1.PL (VND) '!DK$4,'1.DC_Ra soat'!$H:$H,'1.BS (VND)'!$D105)+SUMIFS('1.DC_Ra soat'!$L:$L,'1.DC_Ra soat'!$F:$F,'1.PL (VND) '!DK$4,'1.DC_Ra soat'!$I:$I,'1.BS (VND)'!$D105)</f>
        <v>0</v>
      </c>
      <c r="CW105" s="246">
        <f>-SUMIFS('1.DC_Ra soat'!$L:$L,'1.DC_Ra soat'!$F:$F,'1.PL (VND) '!DL$4,'1.DC_Ra soat'!$H:$H,'1.BS (VND)'!$D105)+SUMIFS('1.DC_Ra soat'!$L:$L,'1.DC_Ra soat'!$F:$F,'1.PL (VND) '!DL$4,'1.DC_Ra soat'!$I:$I,'1.BS (VND)'!$D105)</f>
        <v>0</v>
      </c>
      <c r="CX105" s="246">
        <f>-SUMIFS('1.DC_Ra soat'!$L:$L,'1.DC_Ra soat'!$F:$F,'1.PL (VND) '!DM$4,'1.DC_Ra soat'!$H:$H,'1.BS (VND)'!$D105)+SUMIFS('1.DC_Ra soat'!$L:$L,'1.DC_Ra soat'!$F:$F,'1.PL (VND) '!DM$4,'1.DC_Ra soat'!$I:$I,'1.BS (VND)'!$D105)</f>
        <v>0</v>
      </c>
      <c r="CY105" s="246">
        <f>-SUMIFS('1.DC_Ra soat'!$L:$L,'1.DC_Ra soat'!$F:$F,'1.PL (VND) '!DN$4,'1.DC_Ra soat'!$H:$H,'1.BS (VND)'!$D105)+SUMIFS('1.DC_Ra soat'!$L:$L,'1.DC_Ra soat'!$F:$F,'1.PL (VND) '!DN$4,'1.DC_Ra soat'!$I:$I,'1.BS (VND)'!$D105)</f>
        <v>0</v>
      </c>
      <c r="DA105" s="244">
        <f t="shared" ref="DA105:DA124" si="213">CQ105+CV105</f>
        <v>54000000000</v>
      </c>
      <c r="DB105" s="244">
        <f t="shared" ref="DB105:DB124" si="214">CR105+CW105</f>
        <v>66000000000</v>
      </c>
      <c r="DC105" s="244">
        <f t="shared" ref="DC105:DC124" si="215">CS105+CX105</f>
        <v>97000000000</v>
      </c>
      <c r="DD105" s="244">
        <f t="shared" ref="DD105:DD124" si="216">CT105+CY105</f>
        <v>97000000000</v>
      </c>
      <c r="DH105" s="245"/>
    </row>
    <row r="106" spans="1:112" s="700" customFormat="1" x14ac:dyDescent="0.25">
      <c r="A106" s="248">
        <f t="shared" si="166"/>
        <v>1</v>
      </c>
      <c r="C106" s="703" t="s">
        <v>588</v>
      </c>
      <c r="D106" s="704" t="s">
        <v>535</v>
      </c>
      <c r="E106" s="721">
        <v>30000000000</v>
      </c>
      <c r="F106" s="721">
        <v>30000000000</v>
      </c>
      <c r="G106" s="721">
        <v>50000000000</v>
      </c>
      <c r="H106" s="722">
        <v>50000000000</v>
      </c>
      <c r="I106" s="699"/>
      <c r="J106" s="698">
        <v>2000000000</v>
      </c>
      <c r="K106" s="698">
        <v>14000000000</v>
      </c>
      <c r="L106" s="698">
        <v>14000000000</v>
      </c>
      <c r="M106" s="739">
        <v>14000000000</v>
      </c>
      <c r="N106" s="699"/>
      <c r="O106" s="698">
        <v>4000000000</v>
      </c>
      <c r="P106" s="698">
        <v>4000000000</v>
      </c>
      <c r="Q106" s="698">
        <v>15000000000</v>
      </c>
      <c r="R106" s="698">
        <v>15000000000</v>
      </c>
      <c r="S106" s="699"/>
      <c r="T106" s="698">
        <v>18000000000</v>
      </c>
      <c r="U106" s="698">
        <v>18000000000</v>
      </c>
      <c r="V106" s="698">
        <v>18000000000</v>
      </c>
      <c r="W106" s="698">
        <v>18000000000</v>
      </c>
      <c r="X106" s="699"/>
      <c r="Y106" s="698"/>
      <c r="Z106" s="698"/>
      <c r="AA106" s="698"/>
      <c r="AB106" s="698"/>
      <c r="AC106" s="699"/>
      <c r="AD106" s="698"/>
      <c r="AE106" s="698"/>
      <c r="AF106" s="698"/>
      <c r="AG106" s="698"/>
      <c r="AI106" s="698">
        <f>-SUMIFS('1.DC_Ra soat'!$L:$L,'1.DC_Ra soat'!$F:$F,AI$4,'1.DC_Ra soat'!$H:$H,'1.BS (VND)'!$D106)+SUMIFS('1.DC_Ra soat'!$L:$L,'1.DC_Ra soat'!$F:$F,AI$4,'1.DC_Ra soat'!$I:$I,'1.BS (VND)'!$D106)</f>
        <v>0</v>
      </c>
      <c r="AJ106" s="698">
        <f>-SUMIFS('1.DC_Ra soat'!$L:$L,'1.DC_Ra soat'!$F:$F,AJ$4,'1.DC_Ra soat'!$H:$H,'1.BS (VND)'!$D106)+SUMIFS('1.DC_Ra soat'!$L:$L,'1.DC_Ra soat'!$F:$F,AJ$4,'1.DC_Ra soat'!$I:$I,'1.BS (VND)'!$D106)</f>
        <v>0</v>
      </c>
      <c r="AK106" s="698">
        <f>-SUMIFS('1.DC_Ra soat'!$L:$L,'1.DC_Ra soat'!$F:$F,AK$4,'1.DC_Ra soat'!$H:$H,'1.BS (VND)'!$D106)+SUMIFS('1.DC_Ra soat'!$L:$L,'1.DC_Ra soat'!$F:$F,AK$4,'1.DC_Ra soat'!$I:$I,'1.BS (VND)'!$D106)</f>
        <v>0</v>
      </c>
      <c r="AL106" s="698">
        <f>-SUMIFS('1.DC_Ra soat'!$L:$L,'1.DC_Ra soat'!$F:$F,AL$4,'1.DC_Ra soat'!$H:$H,'1.BS (VND)'!$D106)+SUMIFS('1.DC_Ra soat'!$L:$L,'1.DC_Ra soat'!$F:$F,AL$4,'1.DC_Ra soat'!$I:$I,'1.BS (VND)'!$D106)</f>
        <v>0</v>
      </c>
      <c r="AM106" s="699"/>
      <c r="AN106" s="698">
        <f>-SUMIFS('1.DC_Ra soat'!$L:$L,'1.DC_Ra soat'!$F:$F,AN$4,'1.DC_Ra soat'!$H:$H,'1.BS (VND)'!$D106)+SUMIFS('1.DC_Ra soat'!$L:$L,'1.DC_Ra soat'!$F:$F,AN$4,'1.DC_Ra soat'!$I:$I,'1.BS (VND)'!$D106)</f>
        <v>0</v>
      </c>
      <c r="AO106" s="698">
        <f>-SUMIFS('1.DC_Ra soat'!$L:$L,'1.DC_Ra soat'!$F:$F,AO$4,'1.DC_Ra soat'!$H:$H,'1.BS (VND)'!$D106)+SUMIFS('1.DC_Ra soat'!$L:$L,'1.DC_Ra soat'!$F:$F,AO$4,'1.DC_Ra soat'!$I:$I,'1.BS (VND)'!$D106)</f>
        <v>0</v>
      </c>
      <c r="AP106" s="698">
        <f>-SUMIFS('1.DC_Ra soat'!$L:$L,'1.DC_Ra soat'!$F:$F,AP$4,'1.DC_Ra soat'!$H:$H,'1.BS (VND)'!$D106)+SUMIFS('1.DC_Ra soat'!$L:$L,'1.DC_Ra soat'!$F:$F,AP$4,'1.DC_Ra soat'!$I:$I,'1.BS (VND)'!$D106)</f>
        <v>0</v>
      </c>
      <c r="AQ106" s="698">
        <f>-SUMIFS('1.DC_Ra soat'!$L:$L,'1.DC_Ra soat'!$F:$F,AQ$4,'1.DC_Ra soat'!$H:$H,'1.BS (VND)'!$D106)+SUMIFS('1.DC_Ra soat'!$L:$L,'1.DC_Ra soat'!$F:$F,AQ$4,'1.DC_Ra soat'!$I:$I,'1.BS (VND)'!$D106)</f>
        <v>0</v>
      </c>
      <c r="AR106" s="699"/>
      <c r="AS106" s="698">
        <f>-SUMIFS('1.DC_Ra soat'!$L:$L,'1.DC_Ra soat'!$F:$F,AS$4,'1.DC_Ra soat'!$H:$H,'1.BS (VND)'!$D106)+SUMIFS('1.DC_Ra soat'!$L:$L,'1.DC_Ra soat'!$F:$F,AS$4,'1.DC_Ra soat'!$I:$I,'1.BS (VND)'!$D106)</f>
        <v>0</v>
      </c>
      <c r="AT106" s="698">
        <f>-SUMIFS('1.DC_Ra soat'!$L:$L,'1.DC_Ra soat'!$F:$F,AT$4,'1.DC_Ra soat'!$H:$H,'1.BS (VND)'!$D106)+SUMIFS('1.DC_Ra soat'!$L:$L,'1.DC_Ra soat'!$F:$F,AT$4,'1.DC_Ra soat'!$I:$I,'1.BS (VND)'!$D106)</f>
        <v>0</v>
      </c>
      <c r="AU106" s="698">
        <f>-SUMIFS('1.DC_Ra soat'!$L:$L,'1.DC_Ra soat'!$F:$F,AU$4,'1.DC_Ra soat'!$H:$H,'1.BS (VND)'!$D106)+SUMIFS('1.DC_Ra soat'!$L:$L,'1.DC_Ra soat'!$F:$F,AU$4,'1.DC_Ra soat'!$I:$I,'1.BS (VND)'!$D106)</f>
        <v>0</v>
      </c>
      <c r="AV106" s="698">
        <f>-SUMIFS('1.DC_Ra soat'!$L:$L,'1.DC_Ra soat'!$F:$F,AV$4,'1.DC_Ra soat'!$H:$H,'1.BS (VND)'!$D106)+SUMIFS('1.DC_Ra soat'!$L:$L,'1.DC_Ra soat'!$F:$F,AV$4,'1.DC_Ra soat'!$I:$I,'1.BS (VND)'!$D106)</f>
        <v>0</v>
      </c>
      <c r="AW106" s="699"/>
      <c r="AX106" s="698">
        <f>-SUMIFS('1.DC_Ra soat'!$L:$L,'1.DC_Ra soat'!$F:$F,AX$4,'1.DC_Ra soat'!$H:$H,'1.BS (VND)'!$D106)+SUMIFS('1.DC_Ra soat'!$L:$L,'1.DC_Ra soat'!$F:$F,AX$4,'1.DC_Ra soat'!$I:$I,'1.BS (VND)'!$D106)</f>
        <v>0</v>
      </c>
      <c r="AY106" s="698">
        <f>-SUMIFS('1.DC_Ra soat'!$L:$L,'1.DC_Ra soat'!$F:$F,AY$4,'1.DC_Ra soat'!$H:$H,'1.BS (VND)'!$D106)+SUMIFS('1.DC_Ra soat'!$L:$L,'1.DC_Ra soat'!$F:$F,AY$4,'1.DC_Ra soat'!$I:$I,'1.BS (VND)'!$D106)</f>
        <v>0</v>
      </c>
      <c r="AZ106" s="698">
        <f>-SUMIFS('1.DC_Ra soat'!$L:$L,'1.DC_Ra soat'!$F:$F,AZ$4,'1.DC_Ra soat'!$H:$H,'1.BS (VND)'!$D106)+SUMIFS('1.DC_Ra soat'!$L:$L,'1.DC_Ra soat'!$F:$F,AZ$4,'1.DC_Ra soat'!$I:$I,'1.BS (VND)'!$D106)</f>
        <v>0</v>
      </c>
      <c r="BA106" s="698">
        <f>-SUMIFS('1.DC_Ra soat'!$L:$L,'1.DC_Ra soat'!$F:$F,BA$4,'1.DC_Ra soat'!$H:$H,'1.BS (VND)'!$D106)+SUMIFS('1.DC_Ra soat'!$L:$L,'1.DC_Ra soat'!$F:$F,BA$4,'1.DC_Ra soat'!$I:$I,'1.BS (VND)'!$D106)</f>
        <v>0</v>
      </c>
      <c r="BB106" s="699"/>
      <c r="BC106" s="698">
        <f>-SUMIFS('1.DC_Ra soat'!$L:$L,'1.DC_Ra soat'!$F:$F,BC$4,'1.DC_Ra soat'!$H:$H,'1.BS (VND)'!$D106)+SUMIFS('1.DC_Ra soat'!$L:$L,'1.DC_Ra soat'!$F:$F,BC$4,'1.DC_Ra soat'!$I:$I,'1.BS (VND)'!$D106)</f>
        <v>0</v>
      </c>
      <c r="BD106" s="698">
        <f>-SUMIFS('1.DC_Ra soat'!$L:$L,'1.DC_Ra soat'!$F:$F,BD$4,'1.DC_Ra soat'!$H:$H,'1.BS (VND)'!$D106)+SUMIFS('1.DC_Ra soat'!$L:$L,'1.DC_Ra soat'!$F:$F,BD$4,'1.DC_Ra soat'!$I:$I,'1.BS (VND)'!$D106)</f>
        <v>0</v>
      </c>
      <c r="BE106" s="698">
        <f>-SUMIFS('1.DC_Ra soat'!$L:$L,'1.DC_Ra soat'!$F:$F,BE$4,'1.DC_Ra soat'!$H:$H,'1.BS (VND)'!$D106)+SUMIFS('1.DC_Ra soat'!$L:$L,'1.DC_Ra soat'!$F:$F,BE$4,'1.DC_Ra soat'!$I:$I,'1.BS (VND)'!$D106)</f>
        <v>0</v>
      </c>
      <c r="BF106" s="698">
        <f>-SUMIFS('1.DC_Ra soat'!$L:$L,'1.DC_Ra soat'!$F:$F,BF$4,'1.DC_Ra soat'!$H:$H,'1.BS (VND)'!$D106)+SUMIFS('1.DC_Ra soat'!$L:$L,'1.DC_Ra soat'!$F:$F,BF$4,'1.DC_Ra soat'!$I:$I,'1.BS (VND)'!$D106)</f>
        <v>0</v>
      </c>
      <c r="BG106" s="699"/>
      <c r="BH106" s="698">
        <f>-SUMIFS('1.DC_Ra soat'!$L:$L,'1.DC_Ra soat'!$F:$F,BH$4,'1.DC_Ra soat'!$H:$H,'1.BS (VND)'!$D106)+SUMIFS('1.DC_Ra soat'!$L:$L,'1.DC_Ra soat'!$F:$F,BH$4,'1.DC_Ra soat'!$I:$I,'1.BS (VND)'!$D106)</f>
        <v>0</v>
      </c>
      <c r="BI106" s="698">
        <f>-SUMIFS('1.DC_Ra soat'!$L:$L,'1.DC_Ra soat'!$F:$F,BI$4,'1.DC_Ra soat'!$H:$H,'1.BS (VND)'!$D106)+SUMIFS('1.DC_Ra soat'!$L:$L,'1.DC_Ra soat'!$F:$F,BI$4,'1.DC_Ra soat'!$I:$I,'1.BS (VND)'!$D106)</f>
        <v>0</v>
      </c>
      <c r="BJ106" s="698">
        <f>-SUMIFS('1.DC_Ra soat'!$L:$L,'1.DC_Ra soat'!$F:$F,BJ$4,'1.DC_Ra soat'!$H:$H,'1.BS (VND)'!$D106)+SUMIFS('1.DC_Ra soat'!$L:$L,'1.DC_Ra soat'!$F:$F,BJ$4,'1.DC_Ra soat'!$I:$I,'1.BS (VND)'!$D106)</f>
        <v>0</v>
      </c>
      <c r="BK106" s="698">
        <f>-SUMIFS('1.DC_Ra soat'!$L:$L,'1.DC_Ra soat'!$F:$F,BK$4,'1.DC_Ra soat'!$H:$H,'1.BS (VND)'!$D106)+SUMIFS('1.DC_Ra soat'!$L:$L,'1.DC_Ra soat'!$F:$F,BK$4,'1.DC_Ra soat'!$I:$I,'1.BS (VND)'!$D106)</f>
        <v>0</v>
      </c>
      <c r="BM106" s="698">
        <f t="shared" si="179"/>
        <v>30000000000</v>
      </c>
      <c r="BN106" s="698">
        <f t="shared" si="180"/>
        <v>30000000000</v>
      </c>
      <c r="BO106" s="698">
        <f t="shared" si="181"/>
        <v>50000000000</v>
      </c>
      <c r="BP106" s="697">
        <f t="shared" si="182"/>
        <v>50000000000</v>
      </c>
      <c r="BQ106" s="699"/>
      <c r="BR106" s="698">
        <f t="shared" si="183"/>
        <v>2000000000</v>
      </c>
      <c r="BS106" s="698">
        <f t="shared" si="184"/>
        <v>14000000000</v>
      </c>
      <c r="BT106" s="698">
        <f t="shared" si="185"/>
        <v>14000000000</v>
      </c>
      <c r="BU106" s="698">
        <f t="shared" si="186"/>
        <v>14000000000</v>
      </c>
      <c r="BV106" s="699"/>
      <c r="BW106" s="698">
        <f t="shared" si="187"/>
        <v>4000000000</v>
      </c>
      <c r="BX106" s="698">
        <f t="shared" si="188"/>
        <v>4000000000</v>
      </c>
      <c r="BY106" s="698">
        <f t="shared" si="189"/>
        <v>15000000000</v>
      </c>
      <c r="BZ106" s="697">
        <f t="shared" si="190"/>
        <v>15000000000</v>
      </c>
      <c r="CA106" s="699"/>
      <c r="CB106" s="697">
        <f t="shared" si="191"/>
        <v>18000000000</v>
      </c>
      <c r="CC106" s="697">
        <f t="shared" si="192"/>
        <v>18000000000</v>
      </c>
      <c r="CD106" s="697">
        <f t="shared" si="193"/>
        <v>18000000000</v>
      </c>
      <c r="CE106" s="697">
        <f t="shared" si="194"/>
        <v>18000000000</v>
      </c>
      <c r="CF106" s="699"/>
      <c r="CG106" s="697">
        <f t="shared" si="195"/>
        <v>0</v>
      </c>
      <c r="CH106" s="697">
        <f t="shared" si="196"/>
        <v>0</v>
      </c>
      <c r="CI106" s="697">
        <f t="shared" si="197"/>
        <v>0</v>
      </c>
      <c r="CJ106" s="697">
        <f t="shared" si="198"/>
        <v>0</v>
      </c>
      <c r="CK106" s="699"/>
      <c r="CL106" s="698">
        <f t="shared" si="199"/>
        <v>0</v>
      </c>
      <c r="CM106" s="698">
        <f t="shared" si="200"/>
        <v>0</v>
      </c>
      <c r="CN106" s="698">
        <f t="shared" si="201"/>
        <v>0</v>
      </c>
      <c r="CO106" s="697">
        <f t="shared" si="202"/>
        <v>0</v>
      </c>
      <c r="CQ106" s="698">
        <f>SUMIF('1.PL (VND) '!$BL$6:$CD$6,'1.PL (VND) '!CP$6,$BM106:$CE106)</f>
        <v>54000000000</v>
      </c>
      <c r="CR106" s="698">
        <f>SUMIF('1.PL (VND) '!$BL$6:$CD$6,'1.PL (VND) '!CQ$6,$BM106:$CE106)</f>
        <v>66000000000</v>
      </c>
      <c r="CS106" s="698">
        <f>SUMIF('1.PL (VND) '!$BL$6:$CD$6,'1.PL (VND) '!CR$6,$BM106:$CE106)</f>
        <v>97000000000</v>
      </c>
      <c r="CT106" s="698">
        <f>SUMIF('1.PL (VND) '!$BL$6:$CD$6,'1.PL (VND) '!CS$6,$BM106:$CE106)</f>
        <v>97000000000</v>
      </c>
      <c r="CV106" s="702">
        <f>-SUMIFS('1.DC_Ra soat'!$L:$L,'1.DC_Ra soat'!$F:$F,'1.PL (VND) '!DK$4,'1.DC_Ra soat'!$H:$H,'1.BS (VND)'!$D106)+SUMIFS('1.DC_Ra soat'!$L:$L,'1.DC_Ra soat'!$F:$F,'1.PL (VND) '!DK$4,'1.DC_Ra soat'!$I:$I,'1.BS (VND)'!$D106)</f>
        <v>0</v>
      </c>
      <c r="CW106" s="702">
        <f>-SUMIFS('1.DC_Ra soat'!$L:$L,'1.DC_Ra soat'!$F:$F,'1.PL (VND) '!DL$4,'1.DC_Ra soat'!$H:$H,'1.BS (VND)'!$D106)+SUMIFS('1.DC_Ra soat'!$L:$L,'1.DC_Ra soat'!$F:$F,'1.PL (VND) '!DL$4,'1.DC_Ra soat'!$I:$I,'1.BS (VND)'!$D106)</f>
        <v>0</v>
      </c>
      <c r="CX106" s="702">
        <f>-SUMIFS('1.DC_Ra soat'!$L:$L,'1.DC_Ra soat'!$F:$F,'1.PL (VND) '!DM$4,'1.DC_Ra soat'!$H:$H,'1.BS (VND)'!$D106)+SUMIFS('1.DC_Ra soat'!$L:$L,'1.DC_Ra soat'!$F:$F,'1.PL (VND) '!DM$4,'1.DC_Ra soat'!$I:$I,'1.BS (VND)'!$D106)</f>
        <v>0</v>
      </c>
      <c r="CY106" s="702">
        <f>-SUMIFS('1.DC_Ra soat'!$L:$L,'1.DC_Ra soat'!$F:$F,'1.PL (VND) '!DN$4,'1.DC_Ra soat'!$H:$H,'1.BS (VND)'!$D106)+SUMIFS('1.DC_Ra soat'!$L:$L,'1.DC_Ra soat'!$F:$F,'1.PL (VND) '!DN$4,'1.DC_Ra soat'!$I:$I,'1.BS (VND)'!$D106)</f>
        <v>0</v>
      </c>
      <c r="DA106" s="698">
        <f t="shared" si="213"/>
        <v>54000000000</v>
      </c>
      <c r="DB106" s="698">
        <f t="shared" si="214"/>
        <v>66000000000</v>
      </c>
      <c r="DC106" s="698">
        <f t="shared" si="215"/>
        <v>97000000000</v>
      </c>
      <c r="DD106" s="698">
        <f t="shared" si="216"/>
        <v>97000000000</v>
      </c>
      <c r="DH106" s="701"/>
    </row>
    <row r="107" spans="1:112" s="700" customFormat="1" x14ac:dyDescent="0.25">
      <c r="A107" s="248" t="str">
        <f t="shared" si="166"/>
        <v>hide</v>
      </c>
      <c r="C107" s="703" t="s">
        <v>589</v>
      </c>
      <c r="D107" s="704" t="s">
        <v>536</v>
      </c>
      <c r="E107" s="721"/>
      <c r="F107" s="721"/>
      <c r="G107" s="721"/>
      <c r="H107" s="722"/>
      <c r="I107" s="699"/>
      <c r="J107" s="698"/>
      <c r="K107" s="698"/>
      <c r="L107" s="698"/>
      <c r="M107" s="241">
        <v>0</v>
      </c>
      <c r="N107" s="699"/>
      <c r="O107" s="698"/>
      <c r="P107" s="698"/>
      <c r="Q107" s="698"/>
      <c r="R107" s="698"/>
      <c r="S107" s="699"/>
      <c r="T107" s="698"/>
      <c r="U107" s="698"/>
      <c r="V107" s="698"/>
      <c r="W107" s="698"/>
      <c r="X107" s="699"/>
      <c r="Y107" s="698"/>
      <c r="Z107" s="698"/>
      <c r="AA107" s="698"/>
      <c r="AB107" s="698"/>
      <c r="AC107" s="699"/>
      <c r="AD107" s="698"/>
      <c r="AE107" s="698"/>
      <c r="AF107" s="698"/>
      <c r="AG107" s="698"/>
      <c r="AI107" s="698">
        <f>-SUMIFS('1.DC_Ra soat'!$L:$L,'1.DC_Ra soat'!$F:$F,AI$4,'1.DC_Ra soat'!$H:$H,'1.BS (VND)'!$D107)+SUMIFS('1.DC_Ra soat'!$L:$L,'1.DC_Ra soat'!$F:$F,AI$4,'1.DC_Ra soat'!$I:$I,'1.BS (VND)'!$D107)</f>
        <v>0</v>
      </c>
      <c r="AJ107" s="698">
        <f>-SUMIFS('1.DC_Ra soat'!$L:$L,'1.DC_Ra soat'!$F:$F,AJ$4,'1.DC_Ra soat'!$H:$H,'1.BS (VND)'!$D107)+SUMIFS('1.DC_Ra soat'!$L:$L,'1.DC_Ra soat'!$F:$F,AJ$4,'1.DC_Ra soat'!$I:$I,'1.BS (VND)'!$D107)</f>
        <v>0</v>
      </c>
      <c r="AK107" s="698">
        <f>-SUMIFS('1.DC_Ra soat'!$L:$L,'1.DC_Ra soat'!$F:$F,AK$4,'1.DC_Ra soat'!$H:$H,'1.BS (VND)'!$D107)+SUMIFS('1.DC_Ra soat'!$L:$L,'1.DC_Ra soat'!$F:$F,AK$4,'1.DC_Ra soat'!$I:$I,'1.BS (VND)'!$D107)</f>
        <v>0</v>
      </c>
      <c r="AL107" s="698">
        <f>-SUMIFS('1.DC_Ra soat'!$L:$L,'1.DC_Ra soat'!$F:$F,AL$4,'1.DC_Ra soat'!$H:$H,'1.BS (VND)'!$D107)+SUMIFS('1.DC_Ra soat'!$L:$L,'1.DC_Ra soat'!$F:$F,AL$4,'1.DC_Ra soat'!$I:$I,'1.BS (VND)'!$D107)</f>
        <v>0</v>
      </c>
      <c r="AM107" s="699"/>
      <c r="AN107" s="698">
        <f>-SUMIFS('1.DC_Ra soat'!$L:$L,'1.DC_Ra soat'!$F:$F,AN$4,'1.DC_Ra soat'!$H:$H,'1.BS (VND)'!$D107)+SUMIFS('1.DC_Ra soat'!$L:$L,'1.DC_Ra soat'!$F:$F,AN$4,'1.DC_Ra soat'!$I:$I,'1.BS (VND)'!$D107)</f>
        <v>0</v>
      </c>
      <c r="AO107" s="698">
        <f>-SUMIFS('1.DC_Ra soat'!$L:$L,'1.DC_Ra soat'!$F:$F,AO$4,'1.DC_Ra soat'!$H:$H,'1.BS (VND)'!$D107)+SUMIFS('1.DC_Ra soat'!$L:$L,'1.DC_Ra soat'!$F:$F,AO$4,'1.DC_Ra soat'!$I:$I,'1.BS (VND)'!$D107)</f>
        <v>0</v>
      </c>
      <c r="AP107" s="698">
        <f>-SUMIFS('1.DC_Ra soat'!$L:$L,'1.DC_Ra soat'!$F:$F,AP$4,'1.DC_Ra soat'!$H:$H,'1.BS (VND)'!$D107)+SUMIFS('1.DC_Ra soat'!$L:$L,'1.DC_Ra soat'!$F:$F,AP$4,'1.DC_Ra soat'!$I:$I,'1.BS (VND)'!$D107)</f>
        <v>0</v>
      </c>
      <c r="AQ107" s="698">
        <f>-SUMIFS('1.DC_Ra soat'!$L:$L,'1.DC_Ra soat'!$F:$F,AQ$4,'1.DC_Ra soat'!$H:$H,'1.BS (VND)'!$D107)+SUMIFS('1.DC_Ra soat'!$L:$L,'1.DC_Ra soat'!$F:$F,AQ$4,'1.DC_Ra soat'!$I:$I,'1.BS (VND)'!$D107)</f>
        <v>0</v>
      </c>
      <c r="AR107" s="699"/>
      <c r="AS107" s="698">
        <f>-SUMIFS('1.DC_Ra soat'!$L:$L,'1.DC_Ra soat'!$F:$F,AS$4,'1.DC_Ra soat'!$H:$H,'1.BS (VND)'!$D107)+SUMIFS('1.DC_Ra soat'!$L:$L,'1.DC_Ra soat'!$F:$F,AS$4,'1.DC_Ra soat'!$I:$I,'1.BS (VND)'!$D107)</f>
        <v>0</v>
      </c>
      <c r="AT107" s="698">
        <f>-SUMIFS('1.DC_Ra soat'!$L:$L,'1.DC_Ra soat'!$F:$F,AT$4,'1.DC_Ra soat'!$H:$H,'1.BS (VND)'!$D107)+SUMIFS('1.DC_Ra soat'!$L:$L,'1.DC_Ra soat'!$F:$F,AT$4,'1.DC_Ra soat'!$I:$I,'1.BS (VND)'!$D107)</f>
        <v>0</v>
      </c>
      <c r="AU107" s="698">
        <f>-SUMIFS('1.DC_Ra soat'!$L:$L,'1.DC_Ra soat'!$F:$F,AU$4,'1.DC_Ra soat'!$H:$H,'1.BS (VND)'!$D107)+SUMIFS('1.DC_Ra soat'!$L:$L,'1.DC_Ra soat'!$F:$F,AU$4,'1.DC_Ra soat'!$I:$I,'1.BS (VND)'!$D107)</f>
        <v>0</v>
      </c>
      <c r="AV107" s="698">
        <f>-SUMIFS('1.DC_Ra soat'!$L:$L,'1.DC_Ra soat'!$F:$F,AV$4,'1.DC_Ra soat'!$H:$H,'1.BS (VND)'!$D107)+SUMIFS('1.DC_Ra soat'!$L:$L,'1.DC_Ra soat'!$F:$F,AV$4,'1.DC_Ra soat'!$I:$I,'1.BS (VND)'!$D107)</f>
        <v>0</v>
      </c>
      <c r="AW107" s="699"/>
      <c r="AX107" s="698">
        <f>-SUMIFS('1.DC_Ra soat'!$L:$L,'1.DC_Ra soat'!$F:$F,AX$4,'1.DC_Ra soat'!$H:$H,'1.BS (VND)'!$D107)+SUMIFS('1.DC_Ra soat'!$L:$L,'1.DC_Ra soat'!$F:$F,AX$4,'1.DC_Ra soat'!$I:$I,'1.BS (VND)'!$D107)</f>
        <v>0</v>
      </c>
      <c r="AY107" s="698">
        <f>-SUMIFS('1.DC_Ra soat'!$L:$L,'1.DC_Ra soat'!$F:$F,AY$4,'1.DC_Ra soat'!$H:$H,'1.BS (VND)'!$D107)+SUMIFS('1.DC_Ra soat'!$L:$L,'1.DC_Ra soat'!$F:$F,AY$4,'1.DC_Ra soat'!$I:$I,'1.BS (VND)'!$D107)</f>
        <v>0</v>
      </c>
      <c r="AZ107" s="698">
        <f>-SUMIFS('1.DC_Ra soat'!$L:$L,'1.DC_Ra soat'!$F:$F,AZ$4,'1.DC_Ra soat'!$H:$H,'1.BS (VND)'!$D107)+SUMIFS('1.DC_Ra soat'!$L:$L,'1.DC_Ra soat'!$F:$F,AZ$4,'1.DC_Ra soat'!$I:$I,'1.BS (VND)'!$D107)</f>
        <v>0</v>
      </c>
      <c r="BA107" s="698">
        <f>-SUMIFS('1.DC_Ra soat'!$L:$L,'1.DC_Ra soat'!$F:$F,BA$4,'1.DC_Ra soat'!$H:$H,'1.BS (VND)'!$D107)+SUMIFS('1.DC_Ra soat'!$L:$L,'1.DC_Ra soat'!$F:$F,BA$4,'1.DC_Ra soat'!$I:$I,'1.BS (VND)'!$D107)</f>
        <v>0</v>
      </c>
      <c r="BB107" s="699"/>
      <c r="BC107" s="698">
        <f>-SUMIFS('1.DC_Ra soat'!$L:$L,'1.DC_Ra soat'!$F:$F,BC$4,'1.DC_Ra soat'!$H:$H,'1.BS (VND)'!$D107)+SUMIFS('1.DC_Ra soat'!$L:$L,'1.DC_Ra soat'!$F:$F,BC$4,'1.DC_Ra soat'!$I:$I,'1.BS (VND)'!$D107)</f>
        <v>0</v>
      </c>
      <c r="BD107" s="698">
        <f>-SUMIFS('1.DC_Ra soat'!$L:$L,'1.DC_Ra soat'!$F:$F,BD$4,'1.DC_Ra soat'!$H:$H,'1.BS (VND)'!$D107)+SUMIFS('1.DC_Ra soat'!$L:$L,'1.DC_Ra soat'!$F:$F,BD$4,'1.DC_Ra soat'!$I:$I,'1.BS (VND)'!$D107)</f>
        <v>0</v>
      </c>
      <c r="BE107" s="698">
        <f>-SUMIFS('1.DC_Ra soat'!$L:$L,'1.DC_Ra soat'!$F:$F,BE$4,'1.DC_Ra soat'!$H:$H,'1.BS (VND)'!$D107)+SUMIFS('1.DC_Ra soat'!$L:$L,'1.DC_Ra soat'!$F:$F,BE$4,'1.DC_Ra soat'!$I:$I,'1.BS (VND)'!$D107)</f>
        <v>0</v>
      </c>
      <c r="BF107" s="698">
        <f>-SUMIFS('1.DC_Ra soat'!$L:$L,'1.DC_Ra soat'!$F:$F,BF$4,'1.DC_Ra soat'!$H:$H,'1.BS (VND)'!$D107)+SUMIFS('1.DC_Ra soat'!$L:$L,'1.DC_Ra soat'!$F:$F,BF$4,'1.DC_Ra soat'!$I:$I,'1.BS (VND)'!$D107)</f>
        <v>0</v>
      </c>
      <c r="BG107" s="699"/>
      <c r="BH107" s="698">
        <f>-SUMIFS('1.DC_Ra soat'!$L:$L,'1.DC_Ra soat'!$F:$F,BH$4,'1.DC_Ra soat'!$H:$H,'1.BS (VND)'!$D107)+SUMIFS('1.DC_Ra soat'!$L:$L,'1.DC_Ra soat'!$F:$F,BH$4,'1.DC_Ra soat'!$I:$I,'1.BS (VND)'!$D107)</f>
        <v>0</v>
      </c>
      <c r="BI107" s="698">
        <f>-SUMIFS('1.DC_Ra soat'!$L:$L,'1.DC_Ra soat'!$F:$F,BI$4,'1.DC_Ra soat'!$H:$H,'1.BS (VND)'!$D107)+SUMIFS('1.DC_Ra soat'!$L:$L,'1.DC_Ra soat'!$F:$F,BI$4,'1.DC_Ra soat'!$I:$I,'1.BS (VND)'!$D107)</f>
        <v>0</v>
      </c>
      <c r="BJ107" s="698">
        <f>-SUMIFS('1.DC_Ra soat'!$L:$L,'1.DC_Ra soat'!$F:$F,BJ$4,'1.DC_Ra soat'!$H:$H,'1.BS (VND)'!$D107)+SUMIFS('1.DC_Ra soat'!$L:$L,'1.DC_Ra soat'!$F:$F,BJ$4,'1.DC_Ra soat'!$I:$I,'1.BS (VND)'!$D107)</f>
        <v>0</v>
      </c>
      <c r="BK107" s="698">
        <f>-SUMIFS('1.DC_Ra soat'!$L:$L,'1.DC_Ra soat'!$F:$F,BK$4,'1.DC_Ra soat'!$H:$H,'1.BS (VND)'!$D107)+SUMIFS('1.DC_Ra soat'!$L:$L,'1.DC_Ra soat'!$F:$F,BK$4,'1.DC_Ra soat'!$I:$I,'1.BS (VND)'!$D107)</f>
        <v>0</v>
      </c>
      <c r="BM107" s="698">
        <f t="shared" si="179"/>
        <v>0</v>
      </c>
      <c r="BN107" s="698">
        <f t="shared" si="180"/>
        <v>0</v>
      </c>
      <c r="BO107" s="698">
        <f t="shared" si="181"/>
        <v>0</v>
      </c>
      <c r="BP107" s="697">
        <f t="shared" si="182"/>
        <v>0</v>
      </c>
      <c r="BQ107" s="699"/>
      <c r="BR107" s="698">
        <f t="shared" si="183"/>
        <v>0</v>
      </c>
      <c r="BS107" s="698">
        <f t="shared" si="184"/>
        <v>0</v>
      </c>
      <c r="BT107" s="698">
        <f t="shared" si="185"/>
        <v>0</v>
      </c>
      <c r="BU107" s="698">
        <f t="shared" si="186"/>
        <v>0</v>
      </c>
      <c r="BV107" s="699"/>
      <c r="BW107" s="698">
        <f t="shared" si="187"/>
        <v>0</v>
      </c>
      <c r="BX107" s="698">
        <f t="shared" si="188"/>
        <v>0</v>
      </c>
      <c r="BY107" s="698">
        <f t="shared" si="189"/>
        <v>0</v>
      </c>
      <c r="BZ107" s="697">
        <f t="shared" si="190"/>
        <v>0</v>
      </c>
      <c r="CA107" s="699"/>
      <c r="CB107" s="697">
        <f t="shared" si="191"/>
        <v>0</v>
      </c>
      <c r="CC107" s="697">
        <f t="shared" si="192"/>
        <v>0</v>
      </c>
      <c r="CD107" s="697">
        <f t="shared" si="193"/>
        <v>0</v>
      </c>
      <c r="CE107" s="697">
        <f t="shared" si="194"/>
        <v>0</v>
      </c>
      <c r="CF107" s="699"/>
      <c r="CG107" s="697">
        <f t="shared" si="195"/>
        <v>0</v>
      </c>
      <c r="CH107" s="697">
        <f t="shared" si="196"/>
        <v>0</v>
      </c>
      <c r="CI107" s="697">
        <f t="shared" si="197"/>
        <v>0</v>
      </c>
      <c r="CJ107" s="697">
        <f t="shared" si="198"/>
        <v>0</v>
      </c>
      <c r="CK107" s="699"/>
      <c r="CL107" s="698">
        <f t="shared" si="199"/>
        <v>0</v>
      </c>
      <c r="CM107" s="698">
        <f t="shared" si="200"/>
        <v>0</v>
      </c>
      <c r="CN107" s="698">
        <f t="shared" si="201"/>
        <v>0</v>
      </c>
      <c r="CO107" s="697">
        <f t="shared" si="202"/>
        <v>0</v>
      </c>
      <c r="CQ107" s="698">
        <f>SUMIF('1.PL (VND) '!$BL$6:$CD$6,'1.PL (VND) '!CP$6,$BM107:$CE107)</f>
        <v>0</v>
      </c>
      <c r="CR107" s="698">
        <f>SUMIF('1.PL (VND) '!$BL$6:$CD$6,'1.PL (VND) '!CQ$6,$BM107:$CE107)</f>
        <v>0</v>
      </c>
      <c r="CS107" s="698">
        <f>SUMIF('1.PL (VND) '!$BL$6:$CD$6,'1.PL (VND) '!CR$6,$BM107:$CE107)</f>
        <v>0</v>
      </c>
      <c r="CT107" s="698">
        <f>SUMIF('1.PL (VND) '!$BL$6:$CD$6,'1.PL (VND) '!CS$6,$BM107:$CE107)</f>
        <v>0</v>
      </c>
      <c r="CV107" s="702">
        <f>-SUMIFS('1.DC_Ra soat'!$L:$L,'1.DC_Ra soat'!$F:$F,'1.PL (VND) '!DK$4,'1.DC_Ra soat'!$H:$H,'1.BS (VND)'!$D107)+SUMIFS('1.DC_Ra soat'!$L:$L,'1.DC_Ra soat'!$F:$F,'1.PL (VND) '!DK$4,'1.DC_Ra soat'!$I:$I,'1.BS (VND)'!$D107)</f>
        <v>0</v>
      </c>
      <c r="CW107" s="702">
        <f>-SUMIFS('1.DC_Ra soat'!$L:$L,'1.DC_Ra soat'!$F:$F,'1.PL (VND) '!DL$4,'1.DC_Ra soat'!$H:$H,'1.BS (VND)'!$D107)+SUMIFS('1.DC_Ra soat'!$L:$L,'1.DC_Ra soat'!$F:$F,'1.PL (VND) '!DL$4,'1.DC_Ra soat'!$I:$I,'1.BS (VND)'!$D107)</f>
        <v>0</v>
      </c>
      <c r="CX107" s="702">
        <f>-SUMIFS('1.DC_Ra soat'!$L:$L,'1.DC_Ra soat'!$F:$F,'1.PL (VND) '!DM$4,'1.DC_Ra soat'!$H:$H,'1.BS (VND)'!$D107)+SUMIFS('1.DC_Ra soat'!$L:$L,'1.DC_Ra soat'!$F:$F,'1.PL (VND) '!DM$4,'1.DC_Ra soat'!$I:$I,'1.BS (VND)'!$D107)</f>
        <v>0</v>
      </c>
      <c r="CY107" s="702">
        <f>-SUMIFS('1.DC_Ra soat'!$L:$L,'1.DC_Ra soat'!$F:$F,'1.PL (VND) '!DN$4,'1.DC_Ra soat'!$H:$H,'1.BS (VND)'!$D107)+SUMIFS('1.DC_Ra soat'!$L:$L,'1.DC_Ra soat'!$F:$F,'1.PL (VND) '!DN$4,'1.DC_Ra soat'!$I:$I,'1.BS (VND)'!$D107)</f>
        <v>0</v>
      </c>
      <c r="DA107" s="698">
        <f t="shared" si="213"/>
        <v>0</v>
      </c>
      <c r="DB107" s="698">
        <f t="shared" si="214"/>
        <v>0</v>
      </c>
      <c r="DC107" s="698">
        <f t="shared" si="215"/>
        <v>0</v>
      </c>
      <c r="DD107" s="698">
        <f t="shared" si="216"/>
        <v>0</v>
      </c>
    </row>
    <row r="108" spans="1:112" s="700" customFormat="1" x14ac:dyDescent="0.25">
      <c r="A108" s="248" t="str">
        <f t="shared" si="166"/>
        <v>hide</v>
      </c>
      <c r="C108" s="703" t="s">
        <v>469</v>
      </c>
      <c r="D108" s="704" t="s">
        <v>470</v>
      </c>
      <c r="E108" s="721"/>
      <c r="F108" s="721"/>
      <c r="G108" s="721"/>
      <c r="H108" s="722"/>
      <c r="I108" s="699"/>
      <c r="J108" s="698"/>
      <c r="K108" s="698"/>
      <c r="L108" s="698"/>
      <c r="M108" s="241">
        <v>0</v>
      </c>
      <c r="N108" s="699"/>
      <c r="O108" s="698"/>
      <c r="P108" s="698"/>
      <c r="Q108" s="698"/>
      <c r="R108" s="698"/>
      <c r="S108" s="699"/>
      <c r="T108" s="698"/>
      <c r="U108" s="698"/>
      <c r="V108" s="698"/>
      <c r="W108" s="698"/>
      <c r="X108" s="699"/>
      <c r="Y108" s="698"/>
      <c r="Z108" s="698"/>
      <c r="AA108" s="698"/>
      <c r="AB108" s="698"/>
      <c r="AC108" s="699"/>
      <c r="AD108" s="698"/>
      <c r="AE108" s="698"/>
      <c r="AF108" s="698"/>
      <c r="AG108" s="698"/>
      <c r="AI108" s="698">
        <f>-SUMIFS('1.DC_Ra soat'!$L:$L,'1.DC_Ra soat'!$F:$F,AI$4,'1.DC_Ra soat'!$H:$H,'1.BS (VND)'!$D108)+SUMIFS('1.DC_Ra soat'!$L:$L,'1.DC_Ra soat'!$F:$F,AI$4,'1.DC_Ra soat'!$I:$I,'1.BS (VND)'!$D108)</f>
        <v>0</v>
      </c>
      <c r="AJ108" s="698">
        <f>-SUMIFS('1.DC_Ra soat'!$L:$L,'1.DC_Ra soat'!$F:$F,AJ$4,'1.DC_Ra soat'!$H:$H,'1.BS (VND)'!$D108)+SUMIFS('1.DC_Ra soat'!$L:$L,'1.DC_Ra soat'!$F:$F,AJ$4,'1.DC_Ra soat'!$I:$I,'1.BS (VND)'!$D108)</f>
        <v>0</v>
      </c>
      <c r="AK108" s="698">
        <f>-SUMIFS('1.DC_Ra soat'!$L:$L,'1.DC_Ra soat'!$F:$F,AK$4,'1.DC_Ra soat'!$H:$H,'1.BS (VND)'!$D108)+SUMIFS('1.DC_Ra soat'!$L:$L,'1.DC_Ra soat'!$F:$F,AK$4,'1.DC_Ra soat'!$I:$I,'1.BS (VND)'!$D108)</f>
        <v>0</v>
      </c>
      <c r="AL108" s="698">
        <f>-SUMIFS('1.DC_Ra soat'!$L:$L,'1.DC_Ra soat'!$F:$F,AL$4,'1.DC_Ra soat'!$H:$H,'1.BS (VND)'!$D108)+SUMIFS('1.DC_Ra soat'!$L:$L,'1.DC_Ra soat'!$F:$F,AL$4,'1.DC_Ra soat'!$I:$I,'1.BS (VND)'!$D108)</f>
        <v>0</v>
      </c>
      <c r="AM108" s="699"/>
      <c r="AN108" s="698">
        <f>-SUMIFS('1.DC_Ra soat'!$L:$L,'1.DC_Ra soat'!$F:$F,AN$4,'1.DC_Ra soat'!$H:$H,'1.BS (VND)'!$D108)+SUMIFS('1.DC_Ra soat'!$L:$L,'1.DC_Ra soat'!$F:$F,AN$4,'1.DC_Ra soat'!$I:$I,'1.BS (VND)'!$D108)</f>
        <v>0</v>
      </c>
      <c r="AO108" s="698">
        <f>-SUMIFS('1.DC_Ra soat'!$L:$L,'1.DC_Ra soat'!$F:$F,AO$4,'1.DC_Ra soat'!$H:$H,'1.BS (VND)'!$D108)+SUMIFS('1.DC_Ra soat'!$L:$L,'1.DC_Ra soat'!$F:$F,AO$4,'1.DC_Ra soat'!$I:$I,'1.BS (VND)'!$D108)</f>
        <v>0</v>
      </c>
      <c r="AP108" s="698">
        <f>-SUMIFS('1.DC_Ra soat'!$L:$L,'1.DC_Ra soat'!$F:$F,AP$4,'1.DC_Ra soat'!$H:$H,'1.BS (VND)'!$D108)+SUMIFS('1.DC_Ra soat'!$L:$L,'1.DC_Ra soat'!$F:$F,AP$4,'1.DC_Ra soat'!$I:$I,'1.BS (VND)'!$D108)</f>
        <v>0</v>
      </c>
      <c r="AQ108" s="698">
        <f>-SUMIFS('1.DC_Ra soat'!$L:$L,'1.DC_Ra soat'!$F:$F,AQ$4,'1.DC_Ra soat'!$H:$H,'1.BS (VND)'!$D108)+SUMIFS('1.DC_Ra soat'!$L:$L,'1.DC_Ra soat'!$F:$F,AQ$4,'1.DC_Ra soat'!$I:$I,'1.BS (VND)'!$D108)</f>
        <v>0</v>
      </c>
      <c r="AR108" s="699"/>
      <c r="AS108" s="698">
        <f>-SUMIFS('1.DC_Ra soat'!$L:$L,'1.DC_Ra soat'!$F:$F,AS$4,'1.DC_Ra soat'!$H:$H,'1.BS (VND)'!$D108)+SUMIFS('1.DC_Ra soat'!$L:$L,'1.DC_Ra soat'!$F:$F,AS$4,'1.DC_Ra soat'!$I:$I,'1.BS (VND)'!$D108)</f>
        <v>0</v>
      </c>
      <c r="AT108" s="698">
        <f>-SUMIFS('1.DC_Ra soat'!$L:$L,'1.DC_Ra soat'!$F:$F,AT$4,'1.DC_Ra soat'!$H:$H,'1.BS (VND)'!$D108)+SUMIFS('1.DC_Ra soat'!$L:$L,'1.DC_Ra soat'!$F:$F,AT$4,'1.DC_Ra soat'!$I:$I,'1.BS (VND)'!$D108)</f>
        <v>0</v>
      </c>
      <c r="AU108" s="698">
        <f>-SUMIFS('1.DC_Ra soat'!$L:$L,'1.DC_Ra soat'!$F:$F,AU$4,'1.DC_Ra soat'!$H:$H,'1.BS (VND)'!$D108)+SUMIFS('1.DC_Ra soat'!$L:$L,'1.DC_Ra soat'!$F:$F,AU$4,'1.DC_Ra soat'!$I:$I,'1.BS (VND)'!$D108)</f>
        <v>0</v>
      </c>
      <c r="AV108" s="698">
        <f>-SUMIFS('1.DC_Ra soat'!$L:$L,'1.DC_Ra soat'!$F:$F,AV$4,'1.DC_Ra soat'!$H:$H,'1.BS (VND)'!$D108)+SUMIFS('1.DC_Ra soat'!$L:$L,'1.DC_Ra soat'!$F:$F,AV$4,'1.DC_Ra soat'!$I:$I,'1.BS (VND)'!$D108)</f>
        <v>0</v>
      </c>
      <c r="AW108" s="699"/>
      <c r="AX108" s="698">
        <f>-SUMIFS('1.DC_Ra soat'!$L:$L,'1.DC_Ra soat'!$F:$F,AX$4,'1.DC_Ra soat'!$H:$H,'1.BS (VND)'!$D108)+SUMIFS('1.DC_Ra soat'!$L:$L,'1.DC_Ra soat'!$F:$F,AX$4,'1.DC_Ra soat'!$I:$I,'1.BS (VND)'!$D108)</f>
        <v>0</v>
      </c>
      <c r="AY108" s="698">
        <f>-SUMIFS('1.DC_Ra soat'!$L:$L,'1.DC_Ra soat'!$F:$F,AY$4,'1.DC_Ra soat'!$H:$H,'1.BS (VND)'!$D108)+SUMIFS('1.DC_Ra soat'!$L:$L,'1.DC_Ra soat'!$F:$F,AY$4,'1.DC_Ra soat'!$I:$I,'1.BS (VND)'!$D108)</f>
        <v>0</v>
      </c>
      <c r="AZ108" s="698">
        <f>-SUMIFS('1.DC_Ra soat'!$L:$L,'1.DC_Ra soat'!$F:$F,AZ$4,'1.DC_Ra soat'!$H:$H,'1.BS (VND)'!$D108)+SUMIFS('1.DC_Ra soat'!$L:$L,'1.DC_Ra soat'!$F:$F,AZ$4,'1.DC_Ra soat'!$I:$I,'1.BS (VND)'!$D108)</f>
        <v>0</v>
      </c>
      <c r="BA108" s="698">
        <f>-SUMIFS('1.DC_Ra soat'!$L:$L,'1.DC_Ra soat'!$F:$F,BA$4,'1.DC_Ra soat'!$H:$H,'1.BS (VND)'!$D108)+SUMIFS('1.DC_Ra soat'!$L:$L,'1.DC_Ra soat'!$F:$F,BA$4,'1.DC_Ra soat'!$I:$I,'1.BS (VND)'!$D108)</f>
        <v>0</v>
      </c>
      <c r="BB108" s="699"/>
      <c r="BC108" s="698">
        <f>-SUMIFS('1.DC_Ra soat'!$L:$L,'1.DC_Ra soat'!$F:$F,BC$4,'1.DC_Ra soat'!$H:$H,'1.BS (VND)'!$D108)+SUMIFS('1.DC_Ra soat'!$L:$L,'1.DC_Ra soat'!$F:$F,BC$4,'1.DC_Ra soat'!$I:$I,'1.BS (VND)'!$D108)</f>
        <v>0</v>
      </c>
      <c r="BD108" s="698">
        <f>-SUMIFS('1.DC_Ra soat'!$L:$L,'1.DC_Ra soat'!$F:$F,BD$4,'1.DC_Ra soat'!$H:$H,'1.BS (VND)'!$D108)+SUMIFS('1.DC_Ra soat'!$L:$L,'1.DC_Ra soat'!$F:$F,BD$4,'1.DC_Ra soat'!$I:$I,'1.BS (VND)'!$D108)</f>
        <v>0</v>
      </c>
      <c r="BE108" s="698">
        <f>-SUMIFS('1.DC_Ra soat'!$L:$L,'1.DC_Ra soat'!$F:$F,BE$4,'1.DC_Ra soat'!$H:$H,'1.BS (VND)'!$D108)+SUMIFS('1.DC_Ra soat'!$L:$L,'1.DC_Ra soat'!$F:$F,BE$4,'1.DC_Ra soat'!$I:$I,'1.BS (VND)'!$D108)</f>
        <v>0</v>
      </c>
      <c r="BF108" s="698">
        <f>-SUMIFS('1.DC_Ra soat'!$L:$L,'1.DC_Ra soat'!$F:$F,BF$4,'1.DC_Ra soat'!$H:$H,'1.BS (VND)'!$D108)+SUMIFS('1.DC_Ra soat'!$L:$L,'1.DC_Ra soat'!$F:$F,BF$4,'1.DC_Ra soat'!$I:$I,'1.BS (VND)'!$D108)</f>
        <v>0</v>
      </c>
      <c r="BG108" s="699"/>
      <c r="BH108" s="698">
        <f>-SUMIFS('1.DC_Ra soat'!$L:$L,'1.DC_Ra soat'!$F:$F,BH$4,'1.DC_Ra soat'!$H:$H,'1.BS (VND)'!$D108)+SUMIFS('1.DC_Ra soat'!$L:$L,'1.DC_Ra soat'!$F:$F,BH$4,'1.DC_Ra soat'!$I:$I,'1.BS (VND)'!$D108)</f>
        <v>0</v>
      </c>
      <c r="BI108" s="698">
        <f>-SUMIFS('1.DC_Ra soat'!$L:$L,'1.DC_Ra soat'!$F:$F,BI$4,'1.DC_Ra soat'!$H:$H,'1.BS (VND)'!$D108)+SUMIFS('1.DC_Ra soat'!$L:$L,'1.DC_Ra soat'!$F:$F,BI$4,'1.DC_Ra soat'!$I:$I,'1.BS (VND)'!$D108)</f>
        <v>0</v>
      </c>
      <c r="BJ108" s="698">
        <f>-SUMIFS('1.DC_Ra soat'!$L:$L,'1.DC_Ra soat'!$F:$F,BJ$4,'1.DC_Ra soat'!$H:$H,'1.BS (VND)'!$D108)+SUMIFS('1.DC_Ra soat'!$L:$L,'1.DC_Ra soat'!$F:$F,BJ$4,'1.DC_Ra soat'!$I:$I,'1.BS (VND)'!$D108)</f>
        <v>0</v>
      </c>
      <c r="BK108" s="698">
        <f>-SUMIFS('1.DC_Ra soat'!$L:$L,'1.DC_Ra soat'!$F:$F,BK$4,'1.DC_Ra soat'!$H:$H,'1.BS (VND)'!$D108)+SUMIFS('1.DC_Ra soat'!$L:$L,'1.DC_Ra soat'!$F:$F,BK$4,'1.DC_Ra soat'!$I:$I,'1.BS (VND)'!$D108)</f>
        <v>0</v>
      </c>
      <c r="BM108" s="698">
        <f t="shared" si="179"/>
        <v>0</v>
      </c>
      <c r="BN108" s="698">
        <f t="shared" si="180"/>
        <v>0</v>
      </c>
      <c r="BO108" s="698">
        <f t="shared" si="181"/>
        <v>0</v>
      </c>
      <c r="BP108" s="697">
        <f t="shared" si="182"/>
        <v>0</v>
      </c>
      <c r="BQ108" s="699"/>
      <c r="BR108" s="698">
        <f t="shared" si="183"/>
        <v>0</v>
      </c>
      <c r="BS108" s="698">
        <f t="shared" si="184"/>
        <v>0</v>
      </c>
      <c r="BT108" s="698">
        <f t="shared" si="185"/>
        <v>0</v>
      </c>
      <c r="BU108" s="698">
        <f t="shared" si="186"/>
        <v>0</v>
      </c>
      <c r="BV108" s="699"/>
      <c r="BW108" s="698">
        <f t="shared" si="187"/>
        <v>0</v>
      </c>
      <c r="BX108" s="698">
        <f t="shared" si="188"/>
        <v>0</v>
      </c>
      <c r="BY108" s="698">
        <f t="shared" si="189"/>
        <v>0</v>
      </c>
      <c r="BZ108" s="697">
        <f t="shared" si="190"/>
        <v>0</v>
      </c>
      <c r="CA108" s="699"/>
      <c r="CB108" s="697">
        <f t="shared" si="191"/>
        <v>0</v>
      </c>
      <c r="CC108" s="697">
        <f t="shared" si="192"/>
        <v>0</v>
      </c>
      <c r="CD108" s="697">
        <f t="shared" si="193"/>
        <v>0</v>
      </c>
      <c r="CE108" s="697">
        <f t="shared" si="194"/>
        <v>0</v>
      </c>
      <c r="CF108" s="699"/>
      <c r="CG108" s="697">
        <f t="shared" si="195"/>
        <v>0</v>
      </c>
      <c r="CH108" s="697">
        <f t="shared" si="196"/>
        <v>0</v>
      </c>
      <c r="CI108" s="697">
        <f t="shared" si="197"/>
        <v>0</v>
      </c>
      <c r="CJ108" s="697">
        <f t="shared" si="198"/>
        <v>0</v>
      </c>
      <c r="CK108" s="699"/>
      <c r="CL108" s="698">
        <f t="shared" si="199"/>
        <v>0</v>
      </c>
      <c r="CM108" s="698">
        <f t="shared" si="200"/>
        <v>0</v>
      </c>
      <c r="CN108" s="698">
        <f t="shared" si="201"/>
        <v>0</v>
      </c>
      <c r="CO108" s="697">
        <f t="shared" si="202"/>
        <v>0</v>
      </c>
      <c r="CQ108" s="698">
        <f>SUMIF('1.PL (VND) '!$BL$6:$CD$6,'1.PL (VND) '!CP$6,$BM108:$CE108)</f>
        <v>0</v>
      </c>
      <c r="CR108" s="698">
        <f>SUMIF('1.PL (VND) '!$BL$6:$CD$6,'1.PL (VND) '!CQ$6,$BM108:$CE108)</f>
        <v>0</v>
      </c>
      <c r="CS108" s="698">
        <f>SUMIF('1.PL (VND) '!$BL$6:$CD$6,'1.PL (VND) '!CR$6,$BM108:$CE108)</f>
        <v>0</v>
      </c>
      <c r="CT108" s="698">
        <f>SUMIF('1.PL (VND) '!$BL$6:$CD$6,'1.PL (VND) '!CS$6,$BM108:$CE108)</f>
        <v>0</v>
      </c>
      <c r="CV108" s="702">
        <f>-SUMIFS('1.DC_Ra soat'!$L:$L,'1.DC_Ra soat'!$F:$F,'1.PL (VND) '!DK$4,'1.DC_Ra soat'!$H:$H,'1.BS (VND)'!$D108)+SUMIFS('1.DC_Ra soat'!$L:$L,'1.DC_Ra soat'!$F:$F,'1.PL (VND) '!DK$4,'1.DC_Ra soat'!$I:$I,'1.BS (VND)'!$D108)</f>
        <v>0</v>
      </c>
      <c r="CW108" s="702">
        <f>-SUMIFS('1.DC_Ra soat'!$L:$L,'1.DC_Ra soat'!$F:$F,'1.PL (VND) '!DL$4,'1.DC_Ra soat'!$H:$H,'1.BS (VND)'!$D108)+SUMIFS('1.DC_Ra soat'!$L:$L,'1.DC_Ra soat'!$F:$F,'1.PL (VND) '!DL$4,'1.DC_Ra soat'!$I:$I,'1.BS (VND)'!$D108)</f>
        <v>0</v>
      </c>
      <c r="CX108" s="702">
        <f>-SUMIFS('1.DC_Ra soat'!$L:$L,'1.DC_Ra soat'!$F:$F,'1.PL (VND) '!DM$4,'1.DC_Ra soat'!$H:$H,'1.BS (VND)'!$D108)+SUMIFS('1.DC_Ra soat'!$L:$L,'1.DC_Ra soat'!$F:$F,'1.PL (VND) '!DM$4,'1.DC_Ra soat'!$I:$I,'1.BS (VND)'!$D108)</f>
        <v>0</v>
      </c>
      <c r="CY108" s="702">
        <f>-SUMIFS('1.DC_Ra soat'!$L:$L,'1.DC_Ra soat'!$F:$F,'1.PL (VND) '!DN$4,'1.DC_Ra soat'!$H:$H,'1.BS (VND)'!$D108)+SUMIFS('1.DC_Ra soat'!$L:$L,'1.DC_Ra soat'!$F:$F,'1.PL (VND) '!DN$4,'1.DC_Ra soat'!$I:$I,'1.BS (VND)'!$D108)</f>
        <v>0</v>
      </c>
      <c r="DA108" s="698">
        <f t="shared" si="213"/>
        <v>0</v>
      </c>
      <c r="DB108" s="698">
        <f t="shared" si="214"/>
        <v>0</v>
      </c>
      <c r="DC108" s="698">
        <f t="shared" si="215"/>
        <v>0</v>
      </c>
      <c r="DD108" s="698">
        <f t="shared" si="216"/>
        <v>0</v>
      </c>
    </row>
    <row r="109" spans="1:112" s="700" customFormat="1" x14ac:dyDescent="0.25">
      <c r="A109" s="248" t="str">
        <f t="shared" si="166"/>
        <v>hide</v>
      </c>
      <c r="C109" s="703" t="s">
        <v>471</v>
      </c>
      <c r="D109" s="704" t="s">
        <v>472</v>
      </c>
      <c r="E109" s="721"/>
      <c r="F109" s="721"/>
      <c r="G109" s="721"/>
      <c r="H109" s="722"/>
      <c r="I109" s="699"/>
      <c r="J109" s="698"/>
      <c r="K109" s="698"/>
      <c r="L109" s="698"/>
      <c r="M109" s="241">
        <v>0</v>
      </c>
      <c r="N109" s="699"/>
      <c r="O109" s="698"/>
      <c r="P109" s="698"/>
      <c r="Q109" s="698"/>
      <c r="R109" s="698"/>
      <c r="S109" s="699"/>
      <c r="T109" s="698"/>
      <c r="U109" s="698"/>
      <c r="V109" s="698"/>
      <c r="W109" s="698"/>
      <c r="X109" s="699"/>
      <c r="Y109" s="698"/>
      <c r="Z109" s="698"/>
      <c r="AA109" s="698"/>
      <c r="AB109" s="698"/>
      <c r="AC109" s="699"/>
      <c r="AD109" s="698"/>
      <c r="AE109" s="698"/>
      <c r="AF109" s="698"/>
      <c r="AG109" s="698"/>
      <c r="AI109" s="698">
        <f>-SUMIFS('1.DC_Ra soat'!$L:$L,'1.DC_Ra soat'!$F:$F,AI$4,'1.DC_Ra soat'!$H:$H,'1.BS (VND)'!$D109)+SUMIFS('1.DC_Ra soat'!$L:$L,'1.DC_Ra soat'!$F:$F,AI$4,'1.DC_Ra soat'!$I:$I,'1.BS (VND)'!$D109)</f>
        <v>0</v>
      </c>
      <c r="AJ109" s="698">
        <f>-SUMIFS('1.DC_Ra soat'!$L:$L,'1.DC_Ra soat'!$F:$F,AJ$4,'1.DC_Ra soat'!$H:$H,'1.BS (VND)'!$D109)+SUMIFS('1.DC_Ra soat'!$L:$L,'1.DC_Ra soat'!$F:$F,AJ$4,'1.DC_Ra soat'!$I:$I,'1.BS (VND)'!$D109)</f>
        <v>0</v>
      </c>
      <c r="AK109" s="698">
        <f>-SUMIFS('1.DC_Ra soat'!$L:$L,'1.DC_Ra soat'!$F:$F,AK$4,'1.DC_Ra soat'!$H:$H,'1.BS (VND)'!$D109)+SUMIFS('1.DC_Ra soat'!$L:$L,'1.DC_Ra soat'!$F:$F,AK$4,'1.DC_Ra soat'!$I:$I,'1.BS (VND)'!$D109)</f>
        <v>0</v>
      </c>
      <c r="AL109" s="698">
        <f>-SUMIFS('1.DC_Ra soat'!$L:$L,'1.DC_Ra soat'!$F:$F,AL$4,'1.DC_Ra soat'!$H:$H,'1.BS (VND)'!$D109)+SUMIFS('1.DC_Ra soat'!$L:$L,'1.DC_Ra soat'!$F:$F,AL$4,'1.DC_Ra soat'!$I:$I,'1.BS (VND)'!$D109)</f>
        <v>0</v>
      </c>
      <c r="AM109" s="699"/>
      <c r="AN109" s="698">
        <f>-SUMIFS('1.DC_Ra soat'!$L:$L,'1.DC_Ra soat'!$F:$F,AN$4,'1.DC_Ra soat'!$H:$H,'1.BS (VND)'!$D109)+SUMIFS('1.DC_Ra soat'!$L:$L,'1.DC_Ra soat'!$F:$F,AN$4,'1.DC_Ra soat'!$I:$I,'1.BS (VND)'!$D109)</f>
        <v>0</v>
      </c>
      <c r="AO109" s="698">
        <f>-SUMIFS('1.DC_Ra soat'!$L:$L,'1.DC_Ra soat'!$F:$F,AO$4,'1.DC_Ra soat'!$H:$H,'1.BS (VND)'!$D109)+SUMIFS('1.DC_Ra soat'!$L:$L,'1.DC_Ra soat'!$F:$F,AO$4,'1.DC_Ra soat'!$I:$I,'1.BS (VND)'!$D109)</f>
        <v>0</v>
      </c>
      <c r="AP109" s="698">
        <f>-SUMIFS('1.DC_Ra soat'!$L:$L,'1.DC_Ra soat'!$F:$F,AP$4,'1.DC_Ra soat'!$H:$H,'1.BS (VND)'!$D109)+SUMIFS('1.DC_Ra soat'!$L:$L,'1.DC_Ra soat'!$F:$F,AP$4,'1.DC_Ra soat'!$I:$I,'1.BS (VND)'!$D109)</f>
        <v>0</v>
      </c>
      <c r="AQ109" s="698">
        <f>-SUMIFS('1.DC_Ra soat'!$L:$L,'1.DC_Ra soat'!$F:$F,AQ$4,'1.DC_Ra soat'!$H:$H,'1.BS (VND)'!$D109)+SUMIFS('1.DC_Ra soat'!$L:$L,'1.DC_Ra soat'!$F:$F,AQ$4,'1.DC_Ra soat'!$I:$I,'1.BS (VND)'!$D109)</f>
        <v>0</v>
      </c>
      <c r="AR109" s="699"/>
      <c r="AS109" s="698">
        <f>-SUMIFS('1.DC_Ra soat'!$L:$L,'1.DC_Ra soat'!$F:$F,AS$4,'1.DC_Ra soat'!$H:$H,'1.BS (VND)'!$D109)+SUMIFS('1.DC_Ra soat'!$L:$L,'1.DC_Ra soat'!$F:$F,AS$4,'1.DC_Ra soat'!$I:$I,'1.BS (VND)'!$D109)</f>
        <v>0</v>
      </c>
      <c r="AT109" s="698">
        <f>-SUMIFS('1.DC_Ra soat'!$L:$L,'1.DC_Ra soat'!$F:$F,AT$4,'1.DC_Ra soat'!$H:$H,'1.BS (VND)'!$D109)+SUMIFS('1.DC_Ra soat'!$L:$L,'1.DC_Ra soat'!$F:$F,AT$4,'1.DC_Ra soat'!$I:$I,'1.BS (VND)'!$D109)</f>
        <v>0</v>
      </c>
      <c r="AU109" s="698">
        <f>-SUMIFS('1.DC_Ra soat'!$L:$L,'1.DC_Ra soat'!$F:$F,AU$4,'1.DC_Ra soat'!$H:$H,'1.BS (VND)'!$D109)+SUMIFS('1.DC_Ra soat'!$L:$L,'1.DC_Ra soat'!$F:$F,AU$4,'1.DC_Ra soat'!$I:$I,'1.BS (VND)'!$D109)</f>
        <v>0</v>
      </c>
      <c r="AV109" s="698">
        <f>-SUMIFS('1.DC_Ra soat'!$L:$L,'1.DC_Ra soat'!$F:$F,AV$4,'1.DC_Ra soat'!$H:$H,'1.BS (VND)'!$D109)+SUMIFS('1.DC_Ra soat'!$L:$L,'1.DC_Ra soat'!$F:$F,AV$4,'1.DC_Ra soat'!$I:$I,'1.BS (VND)'!$D109)</f>
        <v>0</v>
      </c>
      <c r="AW109" s="699"/>
      <c r="AX109" s="698">
        <f>-SUMIFS('1.DC_Ra soat'!$L:$L,'1.DC_Ra soat'!$F:$F,AX$4,'1.DC_Ra soat'!$H:$H,'1.BS (VND)'!$D109)+SUMIFS('1.DC_Ra soat'!$L:$L,'1.DC_Ra soat'!$F:$F,AX$4,'1.DC_Ra soat'!$I:$I,'1.BS (VND)'!$D109)</f>
        <v>0</v>
      </c>
      <c r="AY109" s="698">
        <f>-SUMIFS('1.DC_Ra soat'!$L:$L,'1.DC_Ra soat'!$F:$F,AY$4,'1.DC_Ra soat'!$H:$H,'1.BS (VND)'!$D109)+SUMIFS('1.DC_Ra soat'!$L:$L,'1.DC_Ra soat'!$F:$F,AY$4,'1.DC_Ra soat'!$I:$I,'1.BS (VND)'!$D109)</f>
        <v>0</v>
      </c>
      <c r="AZ109" s="698">
        <f>-SUMIFS('1.DC_Ra soat'!$L:$L,'1.DC_Ra soat'!$F:$F,AZ$4,'1.DC_Ra soat'!$H:$H,'1.BS (VND)'!$D109)+SUMIFS('1.DC_Ra soat'!$L:$L,'1.DC_Ra soat'!$F:$F,AZ$4,'1.DC_Ra soat'!$I:$I,'1.BS (VND)'!$D109)</f>
        <v>0</v>
      </c>
      <c r="BA109" s="698">
        <f>-SUMIFS('1.DC_Ra soat'!$L:$L,'1.DC_Ra soat'!$F:$F,BA$4,'1.DC_Ra soat'!$H:$H,'1.BS (VND)'!$D109)+SUMIFS('1.DC_Ra soat'!$L:$L,'1.DC_Ra soat'!$F:$F,BA$4,'1.DC_Ra soat'!$I:$I,'1.BS (VND)'!$D109)</f>
        <v>0</v>
      </c>
      <c r="BB109" s="699"/>
      <c r="BC109" s="698">
        <f>-SUMIFS('1.DC_Ra soat'!$L:$L,'1.DC_Ra soat'!$F:$F,BC$4,'1.DC_Ra soat'!$H:$H,'1.BS (VND)'!$D109)+SUMIFS('1.DC_Ra soat'!$L:$L,'1.DC_Ra soat'!$F:$F,BC$4,'1.DC_Ra soat'!$I:$I,'1.BS (VND)'!$D109)</f>
        <v>0</v>
      </c>
      <c r="BD109" s="698">
        <f>-SUMIFS('1.DC_Ra soat'!$L:$L,'1.DC_Ra soat'!$F:$F,BD$4,'1.DC_Ra soat'!$H:$H,'1.BS (VND)'!$D109)+SUMIFS('1.DC_Ra soat'!$L:$L,'1.DC_Ra soat'!$F:$F,BD$4,'1.DC_Ra soat'!$I:$I,'1.BS (VND)'!$D109)</f>
        <v>0</v>
      </c>
      <c r="BE109" s="698">
        <f>-SUMIFS('1.DC_Ra soat'!$L:$L,'1.DC_Ra soat'!$F:$F,BE$4,'1.DC_Ra soat'!$H:$H,'1.BS (VND)'!$D109)+SUMIFS('1.DC_Ra soat'!$L:$L,'1.DC_Ra soat'!$F:$F,BE$4,'1.DC_Ra soat'!$I:$I,'1.BS (VND)'!$D109)</f>
        <v>0</v>
      </c>
      <c r="BF109" s="698">
        <f>-SUMIFS('1.DC_Ra soat'!$L:$L,'1.DC_Ra soat'!$F:$F,BF$4,'1.DC_Ra soat'!$H:$H,'1.BS (VND)'!$D109)+SUMIFS('1.DC_Ra soat'!$L:$L,'1.DC_Ra soat'!$F:$F,BF$4,'1.DC_Ra soat'!$I:$I,'1.BS (VND)'!$D109)</f>
        <v>0</v>
      </c>
      <c r="BG109" s="699"/>
      <c r="BH109" s="698">
        <f>-SUMIFS('1.DC_Ra soat'!$L:$L,'1.DC_Ra soat'!$F:$F,BH$4,'1.DC_Ra soat'!$H:$H,'1.BS (VND)'!$D109)+SUMIFS('1.DC_Ra soat'!$L:$L,'1.DC_Ra soat'!$F:$F,BH$4,'1.DC_Ra soat'!$I:$I,'1.BS (VND)'!$D109)</f>
        <v>0</v>
      </c>
      <c r="BI109" s="698">
        <f>-SUMIFS('1.DC_Ra soat'!$L:$L,'1.DC_Ra soat'!$F:$F,BI$4,'1.DC_Ra soat'!$H:$H,'1.BS (VND)'!$D109)+SUMIFS('1.DC_Ra soat'!$L:$L,'1.DC_Ra soat'!$F:$F,BI$4,'1.DC_Ra soat'!$I:$I,'1.BS (VND)'!$D109)</f>
        <v>0</v>
      </c>
      <c r="BJ109" s="698">
        <f>-SUMIFS('1.DC_Ra soat'!$L:$L,'1.DC_Ra soat'!$F:$F,BJ$4,'1.DC_Ra soat'!$H:$H,'1.BS (VND)'!$D109)+SUMIFS('1.DC_Ra soat'!$L:$L,'1.DC_Ra soat'!$F:$F,BJ$4,'1.DC_Ra soat'!$I:$I,'1.BS (VND)'!$D109)</f>
        <v>0</v>
      </c>
      <c r="BK109" s="698">
        <f>-SUMIFS('1.DC_Ra soat'!$L:$L,'1.DC_Ra soat'!$F:$F,BK$4,'1.DC_Ra soat'!$H:$H,'1.BS (VND)'!$D109)+SUMIFS('1.DC_Ra soat'!$L:$L,'1.DC_Ra soat'!$F:$F,BK$4,'1.DC_Ra soat'!$I:$I,'1.BS (VND)'!$D109)</f>
        <v>0</v>
      </c>
      <c r="BM109" s="698">
        <f t="shared" si="179"/>
        <v>0</v>
      </c>
      <c r="BN109" s="698">
        <f t="shared" si="180"/>
        <v>0</v>
      </c>
      <c r="BO109" s="698">
        <f t="shared" si="181"/>
        <v>0</v>
      </c>
      <c r="BP109" s="697">
        <f t="shared" si="182"/>
        <v>0</v>
      </c>
      <c r="BQ109" s="699"/>
      <c r="BR109" s="698">
        <f t="shared" si="183"/>
        <v>0</v>
      </c>
      <c r="BS109" s="698">
        <f t="shared" si="184"/>
        <v>0</v>
      </c>
      <c r="BT109" s="698">
        <f t="shared" si="185"/>
        <v>0</v>
      </c>
      <c r="BU109" s="698">
        <f t="shared" si="186"/>
        <v>0</v>
      </c>
      <c r="BV109" s="699"/>
      <c r="BW109" s="698">
        <f t="shared" si="187"/>
        <v>0</v>
      </c>
      <c r="BX109" s="698">
        <f t="shared" si="188"/>
        <v>0</v>
      </c>
      <c r="BY109" s="698">
        <f t="shared" si="189"/>
        <v>0</v>
      </c>
      <c r="BZ109" s="697">
        <f t="shared" si="190"/>
        <v>0</v>
      </c>
      <c r="CA109" s="699"/>
      <c r="CB109" s="697">
        <f t="shared" si="191"/>
        <v>0</v>
      </c>
      <c r="CC109" s="697">
        <f t="shared" si="192"/>
        <v>0</v>
      </c>
      <c r="CD109" s="697">
        <f t="shared" si="193"/>
        <v>0</v>
      </c>
      <c r="CE109" s="697">
        <f t="shared" si="194"/>
        <v>0</v>
      </c>
      <c r="CF109" s="699"/>
      <c r="CG109" s="697">
        <f t="shared" si="195"/>
        <v>0</v>
      </c>
      <c r="CH109" s="697">
        <f t="shared" si="196"/>
        <v>0</v>
      </c>
      <c r="CI109" s="697">
        <f t="shared" si="197"/>
        <v>0</v>
      </c>
      <c r="CJ109" s="697">
        <f t="shared" si="198"/>
        <v>0</v>
      </c>
      <c r="CK109" s="699"/>
      <c r="CL109" s="698">
        <f t="shared" si="199"/>
        <v>0</v>
      </c>
      <c r="CM109" s="698">
        <f t="shared" si="200"/>
        <v>0</v>
      </c>
      <c r="CN109" s="698">
        <f t="shared" si="201"/>
        <v>0</v>
      </c>
      <c r="CO109" s="697">
        <f t="shared" si="202"/>
        <v>0</v>
      </c>
      <c r="CQ109" s="698">
        <f>SUMIF('1.PL (VND) '!$BL$6:$CD$6,'1.PL (VND) '!CP$6,$BM109:$CE109)</f>
        <v>0</v>
      </c>
      <c r="CR109" s="698">
        <f>SUMIF('1.PL (VND) '!$BL$6:$CD$6,'1.PL (VND) '!CQ$6,$BM109:$CE109)</f>
        <v>0</v>
      </c>
      <c r="CS109" s="698">
        <f>SUMIF('1.PL (VND) '!$BL$6:$CD$6,'1.PL (VND) '!CR$6,$BM109:$CE109)</f>
        <v>0</v>
      </c>
      <c r="CT109" s="698">
        <f>SUMIF('1.PL (VND) '!$BL$6:$CD$6,'1.PL (VND) '!CS$6,$BM109:$CE109)</f>
        <v>0</v>
      </c>
      <c r="CV109" s="702">
        <f>-SUMIFS('1.DC_Ra soat'!$L:$L,'1.DC_Ra soat'!$F:$F,'1.PL (VND) '!DK$4,'1.DC_Ra soat'!$H:$H,'1.BS (VND)'!$D109)+SUMIFS('1.DC_Ra soat'!$L:$L,'1.DC_Ra soat'!$F:$F,'1.PL (VND) '!DK$4,'1.DC_Ra soat'!$I:$I,'1.BS (VND)'!$D109)</f>
        <v>0</v>
      </c>
      <c r="CW109" s="702">
        <f>-SUMIFS('1.DC_Ra soat'!$L:$L,'1.DC_Ra soat'!$F:$F,'1.PL (VND) '!DL$4,'1.DC_Ra soat'!$H:$H,'1.BS (VND)'!$D109)+SUMIFS('1.DC_Ra soat'!$L:$L,'1.DC_Ra soat'!$F:$F,'1.PL (VND) '!DL$4,'1.DC_Ra soat'!$I:$I,'1.BS (VND)'!$D109)</f>
        <v>0</v>
      </c>
      <c r="CX109" s="702">
        <f>-SUMIFS('1.DC_Ra soat'!$L:$L,'1.DC_Ra soat'!$F:$F,'1.PL (VND) '!DM$4,'1.DC_Ra soat'!$H:$H,'1.BS (VND)'!$D109)+SUMIFS('1.DC_Ra soat'!$L:$L,'1.DC_Ra soat'!$F:$F,'1.PL (VND) '!DM$4,'1.DC_Ra soat'!$I:$I,'1.BS (VND)'!$D109)</f>
        <v>0</v>
      </c>
      <c r="CY109" s="702">
        <f>-SUMIFS('1.DC_Ra soat'!$L:$L,'1.DC_Ra soat'!$F:$F,'1.PL (VND) '!DN$4,'1.DC_Ra soat'!$H:$H,'1.BS (VND)'!$D109)+SUMIFS('1.DC_Ra soat'!$L:$L,'1.DC_Ra soat'!$F:$F,'1.PL (VND) '!DN$4,'1.DC_Ra soat'!$I:$I,'1.BS (VND)'!$D109)</f>
        <v>0</v>
      </c>
      <c r="DA109" s="698">
        <f t="shared" si="213"/>
        <v>0</v>
      </c>
      <c r="DB109" s="698">
        <f t="shared" si="214"/>
        <v>0</v>
      </c>
      <c r="DC109" s="698">
        <f t="shared" si="215"/>
        <v>0</v>
      </c>
      <c r="DD109" s="698">
        <f t="shared" si="216"/>
        <v>0</v>
      </c>
    </row>
    <row r="110" spans="1:112" s="700" customFormat="1" x14ac:dyDescent="0.25">
      <c r="A110" s="248">
        <f t="shared" si="166"/>
        <v>1</v>
      </c>
      <c r="C110" s="703" t="s">
        <v>473</v>
      </c>
      <c r="D110" s="704" t="s">
        <v>474</v>
      </c>
      <c r="E110" s="721"/>
      <c r="F110" s="721"/>
      <c r="G110" s="721"/>
      <c r="H110" s="722"/>
      <c r="I110" s="699"/>
      <c r="J110" s="698">
        <v>2060500000</v>
      </c>
      <c r="K110" s="698"/>
      <c r="L110" s="698"/>
      <c r="M110" s="241">
        <v>0</v>
      </c>
      <c r="N110" s="699"/>
      <c r="O110" s="698"/>
      <c r="P110" s="698"/>
      <c r="Q110" s="698"/>
      <c r="R110" s="698"/>
      <c r="S110" s="699"/>
      <c r="T110" s="698"/>
      <c r="U110" s="698"/>
      <c r="V110" s="698"/>
      <c r="W110" s="698"/>
      <c r="X110" s="699"/>
      <c r="Y110" s="698"/>
      <c r="Z110" s="698"/>
      <c r="AA110" s="698"/>
      <c r="AB110" s="698"/>
      <c r="AC110" s="699"/>
      <c r="AD110" s="698"/>
      <c r="AE110" s="698"/>
      <c r="AF110" s="698"/>
      <c r="AG110" s="698"/>
      <c r="AI110" s="698">
        <f>-SUMIFS('1.DC_Ra soat'!$L:$L,'1.DC_Ra soat'!$F:$F,AI$4,'1.DC_Ra soat'!$H:$H,'1.BS (VND)'!$D110)+SUMIFS('1.DC_Ra soat'!$L:$L,'1.DC_Ra soat'!$F:$F,AI$4,'1.DC_Ra soat'!$I:$I,'1.BS (VND)'!$D110)</f>
        <v>0</v>
      </c>
      <c r="AJ110" s="698">
        <f>-SUMIFS('1.DC_Ra soat'!$L:$L,'1.DC_Ra soat'!$F:$F,AJ$4,'1.DC_Ra soat'!$H:$H,'1.BS (VND)'!$D110)+SUMIFS('1.DC_Ra soat'!$L:$L,'1.DC_Ra soat'!$F:$F,AJ$4,'1.DC_Ra soat'!$I:$I,'1.BS (VND)'!$D110)</f>
        <v>0</v>
      </c>
      <c r="AK110" s="698">
        <f>-SUMIFS('1.DC_Ra soat'!$L:$L,'1.DC_Ra soat'!$F:$F,AK$4,'1.DC_Ra soat'!$H:$H,'1.BS (VND)'!$D110)+SUMIFS('1.DC_Ra soat'!$L:$L,'1.DC_Ra soat'!$F:$F,AK$4,'1.DC_Ra soat'!$I:$I,'1.BS (VND)'!$D110)</f>
        <v>0</v>
      </c>
      <c r="AL110" s="698">
        <f>-SUMIFS('1.DC_Ra soat'!$L:$L,'1.DC_Ra soat'!$F:$F,AL$4,'1.DC_Ra soat'!$H:$H,'1.BS (VND)'!$D110)+SUMIFS('1.DC_Ra soat'!$L:$L,'1.DC_Ra soat'!$F:$F,AL$4,'1.DC_Ra soat'!$I:$I,'1.BS (VND)'!$D110)</f>
        <v>0</v>
      </c>
      <c r="AM110" s="699"/>
      <c r="AN110" s="698">
        <f>-SUMIFS('1.DC_Ra soat'!$L:$L,'1.DC_Ra soat'!$F:$F,AN$4,'1.DC_Ra soat'!$H:$H,'1.BS (VND)'!$D110)+SUMIFS('1.DC_Ra soat'!$L:$L,'1.DC_Ra soat'!$F:$F,AN$4,'1.DC_Ra soat'!$I:$I,'1.BS (VND)'!$D110)</f>
        <v>0</v>
      </c>
      <c r="AO110" s="698">
        <f>-SUMIFS('1.DC_Ra soat'!$L:$L,'1.DC_Ra soat'!$F:$F,AO$4,'1.DC_Ra soat'!$H:$H,'1.BS (VND)'!$D110)+SUMIFS('1.DC_Ra soat'!$L:$L,'1.DC_Ra soat'!$F:$F,AO$4,'1.DC_Ra soat'!$I:$I,'1.BS (VND)'!$D110)</f>
        <v>0</v>
      </c>
      <c r="AP110" s="698">
        <f>-SUMIFS('1.DC_Ra soat'!$L:$L,'1.DC_Ra soat'!$F:$F,AP$4,'1.DC_Ra soat'!$H:$H,'1.BS (VND)'!$D110)+SUMIFS('1.DC_Ra soat'!$L:$L,'1.DC_Ra soat'!$F:$F,AP$4,'1.DC_Ra soat'!$I:$I,'1.BS (VND)'!$D110)</f>
        <v>0</v>
      </c>
      <c r="AQ110" s="698">
        <f>-SUMIFS('1.DC_Ra soat'!$L:$L,'1.DC_Ra soat'!$F:$F,AQ$4,'1.DC_Ra soat'!$H:$H,'1.BS (VND)'!$D110)+SUMIFS('1.DC_Ra soat'!$L:$L,'1.DC_Ra soat'!$F:$F,AQ$4,'1.DC_Ra soat'!$I:$I,'1.BS (VND)'!$D110)</f>
        <v>0</v>
      </c>
      <c r="AR110" s="699"/>
      <c r="AS110" s="698">
        <f>-SUMIFS('1.DC_Ra soat'!$L:$L,'1.DC_Ra soat'!$F:$F,AS$4,'1.DC_Ra soat'!$H:$H,'1.BS (VND)'!$D110)+SUMIFS('1.DC_Ra soat'!$L:$L,'1.DC_Ra soat'!$F:$F,AS$4,'1.DC_Ra soat'!$I:$I,'1.BS (VND)'!$D110)</f>
        <v>0</v>
      </c>
      <c r="AT110" s="698">
        <f>-SUMIFS('1.DC_Ra soat'!$L:$L,'1.DC_Ra soat'!$F:$F,AT$4,'1.DC_Ra soat'!$H:$H,'1.BS (VND)'!$D110)+SUMIFS('1.DC_Ra soat'!$L:$L,'1.DC_Ra soat'!$F:$F,AT$4,'1.DC_Ra soat'!$I:$I,'1.BS (VND)'!$D110)</f>
        <v>0</v>
      </c>
      <c r="AU110" s="698">
        <f>-SUMIFS('1.DC_Ra soat'!$L:$L,'1.DC_Ra soat'!$F:$F,AU$4,'1.DC_Ra soat'!$H:$H,'1.BS (VND)'!$D110)+SUMIFS('1.DC_Ra soat'!$L:$L,'1.DC_Ra soat'!$F:$F,AU$4,'1.DC_Ra soat'!$I:$I,'1.BS (VND)'!$D110)</f>
        <v>0</v>
      </c>
      <c r="AV110" s="698">
        <f>-SUMIFS('1.DC_Ra soat'!$L:$L,'1.DC_Ra soat'!$F:$F,AV$4,'1.DC_Ra soat'!$H:$H,'1.BS (VND)'!$D110)+SUMIFS('1.DC_Ra soat'!$L:$L,'1.DC_Ra soat'!$F:$F,AV$4,'1.DC_Ra soat'!$I:$I,'1.BS (VND)'!$D110)</f>
        <v>0</v>
      </c>
      <c r="AW110" s="699"/>
      <c r="AX110" s="698">
        <f>-SUMIFS('1.DC_Ra soat'!$L:$L,'1.DC_Ra soat'!$F:$F,AX$4,'1.DC_Ra soat'!$H:$H,'1.BS (VND)'!$D110)+SUMIFS('1.DC_Ra soat'!$L:$L,'1.DC_Ra soat'!$F:$F,AX$4,'1.DC_Ra soat'!$I:$I,'1.BS (VND)'!$D110)</f>
        <v>0</v>
      </c>
      <c r="AY110" s="698">
        <f>-SUMIFS('1.DC_Ra soat'!$L:$L,'1.DC_Ra soat'!$F:$F,AY$4,'1.DC_Ra soat'!$H:$H,'1.BS (VND)'!$D110)+SUMIFS('1.DC_Ra soat'!$L:$L,'1.DC_Ra soat'!$F:$F,AY$4,'1.DC_Ra soat'!$I:$I,'1.BS (VND)'!$D110)</f>
        <v>0</v>
      </c>
      <c r="AZ110" s="698">
        <f>-SUMIFS('1.DC_Ra soat'!$L:$L,'1.DC_Ra soat'!$F:$F,AZ$4,'1.DC_Ra soat'!$H:$H,'1.BS (VND)'!$D110)+SUMIFS('1.DC_Ra soat'!$L:$L,'1.DC_Ra soat'!$F:$F,AZ$4,'1.DC_Ra soat'!$I:$I,'1.BS (VND)'!$D110)</f>
        <v>0</v>
      </c>
      <c r="BA110" s="698">
        <f>-SUMIFS('1.DC_Ra soat'!$L:$L,'1.DC_Ra soat'!$F:$F,BA$4,'1.DC_Ra soat'!$H:$H,'1.BS (VND)'!$D110)+SUMIFS('1.DC_Ra soat'!$L:$L,'1.DC_Ra soat'!$F:$F,BA$4,'1.DC_Ra soat'!$I:$I,'1.BS (VND)'!$D110)</f>
        <v>0</v>
      </c>
      <c r="BB110" s="699"/>
      <c r="BC110" s="698">
        <f>-SUMIFS('1.DC_Ra soat'!$L:$L,'1.DC_Ra soat'!$F:$F,BC$4,'1.DC_Ra soat'!$H:$H,'1.BS (VND)'!$D110)+SUMIFS('1.DC_Ra soat'!$L:$L,'1.DC_Ra soat'!$F:$F,BC$4,'1.DC_Ra soat'!$I:$I,'1.BS (VND)'!$D110)</f>
        <v>0</v>
      </c>
      <c r="BD110" s="698">
        <f>-SUMIFS('1.DC_Ra soat'!$L:$L,'1.DC_Ra soat'!$F:$F,BD$4,'1.DC_Ra soat'!$H:$H,'1.BS (VND)'!$D110)+SUMIFS('1.DC_Ra soat'!$L:$L,'1.DC_Ra soat'!$F:$F,BD$4,'1.DC_Ra soat'!$I:$I,'1.BS (VND)'!$D110)</f>
        <v>0</v>
      </c>
      <c r="BE110" s="698">
        <f>-SUMIFS('1.DC_Ra soat'!$L:$L,'1.DC_Ra soat'!$F:$F,BE$4,'1.DC_Ra soat'!$H:$H,'1.BS (VND)'!$D110)+SUMIFS('1.DC_Ra soat'!$L:$L,'1.DC_Ra soat'!$F:$F,BE$4,'1.DC_Ra soat'!$I:$I,'1.BS (VND)'!$D110)</f>
        <v>0</v>
      </c>
      <c r="BF110" s="698">
        <f>-SUMIFS('1.DC_Ra soat'!$L:$L,'1.DC_Ra soat'!$F:$F,BF$4,'1.DC_Ra soat'!$H:$H,'1.BS (VND)'!$D110)+SUMIFS('1.DC_Ra soat'!$L:$L,'1.DC_Ra soat'!$F:$F,BF$4,'1.DC_Ra soat'!$I:$I,'1.BS (VND)'!$D110)</f>
        <v>0</v>
      </c>
      <c r="BG110" s="699"/>
      <c r="BH110" s="698">
        <f>-SUMIFS('1.DC_Ra soat'!$L:$L,'1.DC_Ra soat'!$F:$F,BH$4,'1.DC_Ra soat'!$H:$H,'1.BS (VND)'!$D110)+SUMIFS('1.DC_Ra soat'!$L:$L,'1.DC_Ra soat'!$F:$F,BH$4,'1.DC_Ra soat'!$I:$I,'1.BS (VND)'!$D110)</f>
        <v>0</v>
      </c>
      <c r="BI110" s="698">
        <f>-SUMIFS('1.DC_Ra soat'!$L:$L,'1.DC_Ra soat'!$F:$F,BI$4,'1.DC_Ra soat'!$H:$H,'1.BS (VND)'!$D110)+SUMIFS('1.DC_Ra soat'!$L:$L,'1.DC_Ra soat'!$F:$F,BI$4,'1.DC_Ra soat'!$I:$I,'1.BS (VND)'!$D110)</f>
        <v>0</v>
      </c>
      <c r="BJ110" s="698">
        <f>-SUMIFS('1.DC_Ra soat'!$L:$L,'1.DC_Ra soat'!$F:$F,BJ$4,'1.DC_Ra soat'!$H:$H,'1.BS (VND)'!$D110)+SUMIFS('1.DC_Ra soat'!$L:$L,'1.DC_Ra soat'!$F:$F,BJ$4,'1.DC_Ra soat'!$I:$I,'1.BS (VND)'!$D110)</f>
        <v>0</v>
      </c>
      <c r="BK110" s="698">
        <f>-SUMIFS('1.DC_Ra soat'!$L:$L,'1.DC_Ra soat'!$F:$F,BK$4,'1.DC_Ra soat'!$H:$H,'1.BS (VND)'!$D110)+SUMIFS('1.DC_Ra soat'!$L:$L,'1.DC_Ra soat'!$F:$F,BK$4,'1.DC_Ra soat'!$I:$I,'1.BS (VND)'!$D110)</f>
        <v>0</v>
      </c>
      <c r="BM110" s="698">
        <f t="shared" si="179"/>
        <v>0</v>
      </c>
      <c r="BN110" s="698">
        <f t="shared" si="180"/>
        <v>0</v>
      </c>
      <c r="BO110" s="698">
        <f t="shared" si="181"/>
        <v>0</v>
      </c>
      <c r="BP110" s="697">
        <f t="shared" si="182"/>
        <v>0</v>
      </c>
      <c r="BQ110" s="699"/>
      <c r="BR110" s="698">
        <f t="shared" si="183"/>
        <v>2060500000</v>
      </c>
      <c r="BS110" s="698">
        <f t="shared" si="184"/>
        <v>0</v>
      </c>
      <c r="BT110" s="698">
        <f t="shared" si="185"/>
        <v>0</v>
      </c>
      <c r="BU110" s="698">
        <f t="shared" si="186"/>
        <v>0</v>
      </c>
      <c r="BV110" s="699"/>
      <c r="BW110" s="698">
        <f t="shared" si="187"/>
        <v>0</v>
      </c>
      <c r="BX110" s="698">
        <f t="shared" si="188"/>
        <v>0</v>
      </c>
      <c r="BY110" s="698">
        <f t="shared" si="189"/>
        <v>0</v>
      </c>
      <c r="BZ110" s="697">
        <f t="shared" si="190"/>
        <v>0</v>
      </c>
      <c r="CA110" s="699"/>
      <c r="CB110" s="697">
        <f t="shared" si="191"/>
        <v>0</v>
      </c>
      <c r="CC110" s="697">
        <f t="shared" si="192"/>
        <v>0</v>
      </c>
      <c r="CD110" s="697">
        <f t="shared" si="193"/>
        <v>0</v>
      </c>
      <c r="CE110" s="697">
        <f t="shared" si="194"/>
        <v>0</v>
      </c>
      <c r="CF110" s="699"/>
      <c r="CG110" s="697">
        <f t="shared" si="195"/>
        <v>0</v>
      </c>
      <c r="CH110" s="697">
        <f t="shared" si="196"/>
        <v>0</v>
      </c>
      <c r="CI110" s="697">
        <f t="shared" si="197"/>
        <v>0</v>
      </c>
      <c r="CJ110" s="697">
        <f t="shared" si="198"/>
        <v>0</v>
      </c>
      <c r="CK110" s="699"/>
      <c r="CL110" s="698">
        <f t="shared" si="199"/>
        <v>0</v>
      </c>
      <c r="CM110" s="698">
        <f t="shared" si="200"/>
        <v>0</v>
      </c>
      <c r="CN110" s="698">
        <f t="shared" si="201"/>
        <v>0</v>
      </c>
      <c r="CO110" s="697">
        <f t="shared" si="202"/>
        <v>0</v>
      </c>
      <c r="CQ110" s="698">
        <f>SUMIF('1.PL (VND) '!$BL$6:$CD$6,'1.PL (VND) '!CP$6,$BM110:$CE110)</f>
        <v>2060500000</v>
      </c>
      <c r="CR110" s="698">
        <f>SUMIF('1.PL (VND) '!$BL$6:$CD$6,'1.PL (VND) '!CQ$6,$BM110:$CE110)</f>
        <v>0</v>
      </c>
      <c r="CS110" s="698">
        <f>SUMIF('1.PL (VND) '!$BL$6:$CD$6,'1.PL (VND) '!CR$6,$BM110:$CE110)</f>
        <v>0</v>
      </c>
      <c r="CT110" s="698">
        <f>SUMIF('1.PL (VND) '!$BL$6:$CD$6,'1.PL (VND) '!CS$6,$BM110:$CE110)</f>
        <v>0</v>
      </c>
      <c r="CV110" s="702">
        <f>-SUMIFS('1.DC_Ra soat'!$L:$L,'1.DC_Ra soat'!$F:$F,'1.PL (VND) '!DK$4,'1.DC_Ra soat'!$H:$H,'1.BS (VND)'!$D110)+SUMIFS('1.DC_Ra soat'!$L:$L,'1.DC_Ra soat'!$F:$F,'1.PL (VND) '!DK$4,'1.DC_Ra soat'!$I:$I,'1.BS (VND)'!$D110)</f>
        <v>0</v>
      </c>
      <c r="CW110" s="702">
        <f>-SUMIFS('1.DC_Ra soat'!$L:$L,'1.DC_Ra soat'!$F:$F,'1.PL (VND) '!DL$4,'1.DC_Ra soat'!$H:$H,'1.BS (VND)'!$D110)+SUMIFS('1.DC_Ra soat'!$L:$L,'1.DC_Ra soat'!$F:$F,'1.PL (VND) '!DL$4,'1.DC_Ra soat'!$I:$I,'1.BS (VND)'!$D110)</f>
        <v>0</v>
      </c>
      <c r="CX110" s="702">
        <f>-SUMIFS('1.DC_Ra soat'!$L:$L,'1.DC_Ra soat'!$F:$F,'1.PL (VND) '!DM$4,'1.DC_Ra soat'!$H:$H,'1.BS (VND)'!$D110)+SUMIFS('1.DC_Ra soat'!$L:$L,'1.DC_Ra soat'!$F:$F,'1.PL (VND) '!DM$4,'1.DC_Ra soat'!$I:$I,'1.BS (VND)'!$D110)</f>
        <v>0</v>
      </c>
      <c r="CY110" s="702">
        <f>-SUMIFS('1.DC_Ra soat'!$L:$L,'1.DC_Ra soat'!$F:$F,'1.PL (VND) '!DN$4,'1.DC_Ra soat'!$H:$H,'1.BS (VND)'!$D110)+SUMIFS('1.DC_Ra soat'!$L:$L,'1.DC_Ra soat'!$F:$F,'1.PL (VND) '!DN$4,'1.DC_Ra soat'!$I:$I,'1.BS (VND)'!$D110)</f>
        <v>0</v>
      </c>
      <c r="DA110" s="698">
        <f t="shared" si="213"/>
        <v>2060500000</v>
      </c>
      <c r="DB110" s="698">
        <f t="shared" si="214"/>
        <v>0</v>
      </c>
      <c r="DC110" s="698">
        <f t="shared" si="215"/>
        <v>0</v>
      </c>
      <c r="DD110" s="698">
        <f t="shared" si="216"/>
        <v>0</v>
      </c>
    </row>
    <row r="111" spans="1:112" s="700" customFormat="1" x14ac:dyDescent="0.25">
      <c r="A111" s="248" t="str">
        <f t="shared" si="166"/>
        <v>hide</v>
      </c>
      <c r="C111" s="703" t="s">
        <v>475</v>
      </c>
      <c r="D111" s="704" t="s">
        <v>476</v>
      </c>
      <c r="E111" s="721"/>
      <c r="F111" s="721"/>
      <c r="G111" s="721"/>
      <c r="H111" s="722"/>
      <c r="I111" s="699"/>
      <c r="J111" s="698"/>
      <c r="K111" s="698"/>
      <c r="L111" s="698"/>
      <c r="M111" s="241">
        <v>0</v>
      </c>
      <c r="N111" s="699"/>
      <c r="O111" s="698"/>
      <c r="P111" s="698"/>
      <c r="Q111" s="698"/>
      <c r="R111" s="698"/>
      <c r="S111" s="699"/>
      <c r="T111" s="698"/>
      <c r="U111" s="698"/>
      <c r="V111" s="698"/>
      <c r="W111" s="698"/>
      <c r="X111" s="699"/>
      <c r="Y111" s="698"/>
      <c r="Z111" s="698"/>
      <c r="AA111" s="698"/>
      <c r="AB111" s="698"/>
      <c r="AC111" s="699"/>
      <c r="AD111" s="698"/>
      <c r="AE111" s="698"/>
      <c r="AF111" s="698"/>
      <c r="AG111" s="698"/>
      <c r="AI111" s="698">
        <f>-SUMIFS('1.DC_Ra soat'!$L:$L,'1.DC_Ra soat'!$F:$F,AI$4,'1.DC_Ra soat'!$H:$H,'1.BS (VND)'!$D111)+SUMIFS('1.DC_Ra soat'!$L:$L,'1.DC_Ra soat'!$F:$F,AI$4,'1.DC_Ra soat'!$I:$I,'1.BS (VND)'!$D111)</f>
        <v>0</v>
      </c>
      <c r="AJ111" s="698">
        <f>-SUMIFS('1.DC_Ra soat'!$L:$L,'1.DC_Ra soat'!$F:$F,AJ$4,'1.DC_Ra soat'!$H:$H,'1.BS (VND)'!$D111)+SUMIFS('1.DC_Ra soat'!$L:$L,'1.DC_Ra soat'!$F:$F,AJ$4,'1.DC_Ra soat'!$I:$I,'1.BS (VND)'!$D111)</f>
        <v>0</v>
      </c>
      <c r="AK111" s="698">
        <f>-SUMIFS('1.DC_Ra soat'!$L:$L,'1.DC_Ra soat'!$F:$F,AK$4,'1.DC_Ra soat'!$H:$H,'1.BS (VND)'!$D111)+SUMIFS('1.DC_Ra soat'!$L:$L,'1.DC_Ra soat'!$F:$F,AK$4,'1.DC_Ra soat'!$I:$I,'1.BS (VND)'!$D111)</f>
        <v>0</v>
      </c>
      <c r="AL111" s="698">
        <f>-SUMIFS('1.DC_Ra soat'!$L:$L,'1.DC_Ra soat'!$F:$F,AL$4,'1.DC_Ra soat'!$H:$H,'1.BS (VND)'!$D111)+SUMIFS('1.DC_Ra soat'!$L:$L,'1.DC_Ra soat'!$F:$F,AL$4,'1.DC_Ra soat'!$I:$I,'1.BS (VND)'!$D111)</f>
        <v>0</v>
      </c>
      <c r="AM111" s="699"/>
      <c r="AN111" s="698">
        <f>-SUMIFS('1.DC_Ra soat'!$L:$L,'1.DC_Ra soat'!$F:$F,AN$4,'1.DC_Ra soat'!$H:$H,'1.BS (VND)'!$D111)+SUMIFS('1.DC_Ra soat'!$L:$L,'1.DC_Ra soat'!$F:$F,AN$4,'1.DC_Ra soat'!$I:$I,'1.BS (VND)'!$D111)</f>
        <v>0</v>
      </c>
      <c r="AO111" s="698">
        <f>-SUMIFS('1.DC_Ra soat'!$L:$L,'1.DC_Ra soat'!$F:$F,AO$4,'1.DC_Ra soat'!$H:$H,'1.BS (VND)'!$D111)+SUMIFS('1.DC_Ra soat'!$L:$L,'1.DC_Ra soat'!$F:$F,AO$4,'1.DC_Ra soat'!$I:$I,'1.BS (VND)'!$D111)</f>
        <v>0</v>
      </c>
      <c r="AP111" s="698">
        <f>-SUMIFS('1.DC_Ra soat'!$L:$L,'1.DC_Ra soat'!$F:$F,AP$4,'1.DC_Ra soat'!$H:$H,'1.BS (VND)'!$D111)+SUMIFS('1.DC_Ra soat'!$L:$L,'1.DC_Ra soat'!$F:$F,AP$4,'1.DC_Ra soat'!$I:$I,'1.BS (VND)'!$D111)</f>
        <v>0</v>
      </c>
      <c r="AQ111" s="698">
        <f>-SUMIFS('1.DC_Ra soat'!$L:$L,'1.DC_Ra soat'!$F:$F,AQ$4,'1.DC_Ra soat'!$H:$H,'1.BS (VND)'!$D111)+SUMIFS('1.DC_Ra soat'!$L:$L,'1.DC_Ra soat'!$F:$F,AQ$4,'1.DC_Ra soat'!$I:$I,'1.BS (VND)'!$D111)</f>
        <v>0</v>
      </c>
      <c r="AR111" s="699"/>
      <c r="AS111" s="698">
        <f>-SUMIFS('1.DC_Ra soat'!$L:$L,'1.DC_Ra soat'!$F:$F,AS$4,'1.DC_Ra soat'!$H:$H,'1.BS (VND)'!$D111)+SUMIFS('1.DC_Ra soat'!$L:$L,'1.DC_Ra soat'!$F:$F,AS$4,'1.DC_Ra soat'!$I:$I,'1.BS (VND)'!$D111)</f>
        <v>0</v>
      </c>
      <c r="AT111" s="698">
        <f>-SUMIFS('1.DC_Ra soat'!$L:$L,'1.DC_Ra soat'!$F:$F,AT$4,'1.DC_Ra soat'!$H:$H,'1.BS (VND)'!$D111)+SUMIFS('1.DC_Ra soat'!$L:$L,'1.DC_Ra soat'!$F:$F,AT$4,'1.DC_Ra soat'!$I:$I,'1.BS (VND)'!$D111)</f>
        <v>0</v>
      </c>
      <c r="AU111" s="698">
        <f>-SUMIFS('1.DC_Ra soat'!$L:$L,'1.DC_Ra soat'!$F:$F,AU$4,'1.DC_Ra soat'!$H:$H,'1.BS (VND)'!$D111)+SUMIFS('1.DC_Ra soat'!$L:$L,'1.DC_Ra soat'!$F:$F,AU$4,'1.DC_Ra soat'!$I:$I,'1.BS (VND)'!$D111)</f>
        <v>0</v>
      </c>
      <c r="AV111" s="698">
        <f>-SUMIFS('1.DC_Ra soat'!$L:$L,'1.DC_Ra soat'!$F:$F,AV$4,'1.DC_Ra soat'!$H:$H,'1.BS (VND)'!$D111)+SUMIFS('1.DC_Ra soat'!$L:$L,'1.DC_Ra soat'!$F:$F,AV$4,'1.DC_Ra soat'!$I:$I,'1.BS (VND)'!$D111)</f>
        <v>0</v>
      </c>
      <c r="AW111" s="699"/>
      <c r="AX111" s="698">
        <f>-SUMIFS('1.DC_Ra soat'!$L:$L,'1.DC_Ra soat'!$F:$F,AX$4,'1.DC_Ra soat'!$H:$H,'1.BS (VND)'!$D111)+SUMIFS('1.DC_Ra soat'!$L:$L,'1.DC_Ra soat'!$F:$F,AX$4,'1.DC_Ra soat'!$I:$I,'1.BS (VND)'!$D111)</f>
        <v>0</v>
      </c>
      <c r="AY111" s="698">
        <f>-SUMIFS('1.DC_Ra soat'!$L:$L,'1.DC_Ra soat'!$F:$F,AY$4,'1.DC_Ra soat'!$H:$H,'1.BS (VND)'!$D111)+SUMIFS('1.DC_Ra soat'!$L:$L,'1.DC_Ra soat'!$F:$F,AY$4,'1.DC_Ra soat'!$I:$I,'1.BS (VND)'!$D111)</f>
        <v>0</v>
      </c>
      <c r="AZ111" s="698">
        <f>-SUMIFS('1.DC_Ra soat'!$L:$L,'1.DC_Ra soat'!$F:$F,AZ$4,'1.DC_Ra soat'!$H:$H,'1.BS (VND)'!$D111)+SUMIFS('1.DC_Ra soat'!$L:$L,'1.DC_Ra soat'!$F:$F,AZ$4,'1.DC_Ra soat'!$I:$I,'1.BS (VND)'!$D111)</f>
        <v>0</v>
      </c>
      <c r="BA111" s="698">
        <f>-SUMIFS('1.DC_Ra soat'!$L:$L,'1.DC_Ra soat'!$F:$F,BA$4,'1.DC_Ra soat'!$H:$H,'1.BS (VND)'!$D111)+SUMIFS('1.DC_Ra soat'!$L:$L,'1.DC_Ra soat'!$F:$F,BA$4,'1.DC_Ra soat'!$I:$I,'1.BS (VND)'!$D111)</f>
        <v>0</v>
      </c>
      <c r="BB111" s="699"/>
      <c r="BC111" s="698">
        <f>-SUMIFS('1.DC_Ra soat'!$L:$L,'1.DC_Ra soat'!$F:$F,BC$4,'1.DC_Ra soat'!$H:$H,'1.BS (VND)'!$D111)+SUMIFS('1.DC_Ra soat'!$L:$L,'1.DC_Ra soat'!$F:$F,BC$4,'1.DC_Ra soat'!$I:$I,'1.BS (VND)'!$D111)</f>
        <v>0</v>
      </c>
      <c r="BD111" s="698">
        <f>-SUMIFS('1.DC_Ra soat'!$L:$L,'1.DC_Ra soat'!$F:$F,BD$4,'1.DC_Ra soat'!$H:$H,'1.BS (VND)'!$D111)+SUMIFS('1.DC_Ra soat'!$L:$L,'1.DC_Ra soat'!$F:$F,BD$4,'1.DC_Ra soat'!$I:$I,'1.BS (VND)'!$D111)</f>
        <v>0</v>
      </c>
      <c r="BE111" s="698">
        <f>-SUMIFS('1.DC_Ra soat'!$L:$L,'1.DC_Ra soat'!$F:$F,BE$4,'1.DC_Ra soat'!$H:$H,'1.BS (VND)'!$D111)+SUMIFS('1.DC_Ra soat'!$L:$L,'1.DC_Ra soat'!$F:$F,BE$4,'1.DC_Ra soat'!$I:$I,'1.BS (VND)'!$D111)</f>
        <v>0</v>
      </c>
      <c r="BF111" s="698">
        <f>-SUMIFS('1.DC_Ra soat'!$L:$L,'1.DC_Ra soat'!$F:$F,BF$4,'1.DC_Ra soat'!$H:$H,'1.BS (VND)'!$D111)+SUMIFS('1.DC_Ra soat'!$L:$L,'1.DC_Ra soat'!$F:$F,BF$4,'1.DC_Ra soat'!$I:$I,'1.BS (VND)'!$D111)</f>
        <v>0</v>
      </c>
      <c r="BG111" s="699"/>
      <c r="BH111" s="698">
        <f>-SUMIFS('1.DC_Ra soat'!$L:$L,'1.DC_Ra soat'!$F:$F,BH$4,'1.DC_Ra soat'!$H:$H,'1.BS (VND)'!$D111)+SUMIFS('1.DC_Ra soat'!$L:$L,'1.DC_Ra soat'!$F:$F,BH$4,'1.DC_Ra soat'!$I:$I,'1.BS (VND)'!$D111)</f>
        <v>0</v>
      </c>
      <c r="BI111" s="698">
        <f>-SUMIFS('1.DC_Ra soat'!$L:$L,'1.DC_Ra soat'!$F:$F,BI$4,'1.DC_Ra soat'!$H:$H,'1.BS (VND)'!$D111)+SUMIFS('1.DC_Ra soat'!$L:$L,'1.DC_Ra soat'!$F:$F,BI$4,'1.DC_Ra soat'!$I:$I,'1.BS (VND)'!$D111)</f>
        <v>0</v>
      </c>
      <c r="BJ111" s="698">
        <f>-SUMIFS('1.DC_Ra soat'!$L:$L,'1.DC_Ra soat'!$F:$F,BJ$4,'1.DC_Ra soat'!$H:$H,'1.BS (VND)'!$D111)+SUMIFS('1.DC_Ra soat'!$L:$L,'1.DC_Ra soat'!$F:$F,BJ$4,'1.DC_Ra soat'!$I:$I,'1.BS (VND)'!$D111)</f>
        <v>0</v>
      </c>
      <c r="BK111" s="698">
        <f>-SUMIFS('1.DC_Ra soat'!$L:$L,'1.DC_Ra soat'!$F:$F,BK$4,'1.DC_Ra soat'!$H:$H,'1.BS (VND)'!$D111)+SUMIFS('1.DC_Ra soat'!$L:$L,'1.DC_Ra soat'!$F:$F,BK$4,'1.DC_Ra soat'!$I:$I,'1.BS (VND)'!$D111)</f>
        <v>0</v>
      </c>
      <c r="BM111" s="698">
        <f t="shared" si="179"/>
        <v>0</v>
      </c>
      <c r="BN111" s="698">
        <f t="shared" si="180"/>
        <v>0</v>
      </c>
      <c r="BO111" s="698">
        <f t="shared" si="181"/>
        <v>0</v>
      </c>
      <c r="BP111" s="697">
        <f t="shared" si="182"/>
        <v>0</v>
      </c>
      <c r="BQ111" s="699"/>
      <c r="BR111" s="698">
        <f t="shared" si="183"/>
        <v>0</v>
      </c>
      <c r="BS111" s="698">
        <f t="shared" si="184"/>
        <v>0</v>
      </c>
      <c r="BT111" s="698">
        <f t="shared" si="185"/>
        <v>0</v>
      </c>
      <c r="BU111" s="698">
        <f t="shared" si="186"/>
        <v>0</v>
      </c>
      <c r="BV111" s="699"/>
      <c r="BW111" s="698">
        <f t="shared" si="187"/>
        <v>0</v>
      </c>
      <c r="BX111" s="698">
        <f t="shared" si="188"/>
        <v>0</v>
      </c>
      <c r="BY111" s="698">
        <f t="shared" si="189"/>
        <v>0</v>
      </c>
      <c r="BZ111" s="697">
        <f t="shared" si="190"/>
        <v>0</v>
      </c>
      <c r="CA111" s="699"/>
      <c r="CB111" s="697">
        <f t="shared" si="191"/>
        <v>0</v>
      </c>
      <c r="CC111" s="697">
        <f t="shared" si="192"/>
        <v>0</v>
      </c>
      <c r="CD111" s="697">
        <f t="shared" si="193"/>
        <v>0</v>
      </c>
      <c r="CE111" s="697">
        <f t="shared" si="194"/>
        <v>0</v>
      </c>
      <c r="CF111" s="699"/>
      <c r="CG111" s="697">
        <f t="shared" si="195"/>
        <v>0</v>
      </c>
      <c r="CH111" s="697">
        <f t="shared" si="196"/>
        <v>0</v>
      </c>
      <c r="CI111" s="697">
        <f t="shared" si="197"/>
        <v>0</v>
      </c>
      <c r="CJ111" s="697">
        <f t="shared" si="198"/>
        <v>0</v>
      </c>
      <c r="CK111" s="699"/>
      <c r="CL111" s="698">
        <f t="shared" si="199"/>
        <v>0</v>
      </c>
      <c r="CM111" s="698">
        <f t="shared" si="200"/>
        <v>0</v>
      </c>
      <c r="CN111" s="698">
        <f t="shared" si="201"/>
        <v>0</v>
      </c>
      <c r="CO111" s="697">
        <f t="shared" si="202"/>
        <v>0</v>
      </c>
      <c r="CQ111" s="698">
        <f>SUMIF('1.PL (VND) '!$BL$6:$CD$6,'1.PL (VND) '!CP$6,$BM111:$CE111)</f>
        <v>0</v>
      </c>
      <c r="CR111" s="698">
        <f>SUMIF('1.PL (VND) '!$BL$6:$CD$6,'1.PL (VND) '!CQ$6,$BM111:$CE111)</f>
        <v>0</v>
      </c>
      <c r="CS111" s="698">
        <f>SUMIF('1.PL (VND) '!$BL$6:$CD$6,'1.PL (VND) '!CR$6,$BM111:$CE111)</f>
        <v>0</v>
      </c>
      <c r="CT111" s="698">
        <f>SUMIF('1.PL (VND) '!$BL$6:$CD$6,'1.PL (VND) '!CS$6,$BM111:$CE111)</f>
        <v>0</v>
      </c>
      <c r="CV111" s="702">
        <f>-SUMIFS('1.DC_Ra soat'!$L:$L,'1.DC_Ra soat'!$F:$F,'1.PL (VND) '!DK$4,'1.DC_Ra soat'!$H:$H,'1.BS (VND)'!$D111)+SUMIFS('1.DC_Ra soat'!$L:$L,'1.DC_Ra soat'!$F:$F,'1.PL (VND) '!DK$4,'1.DC_Ra soat'!$I:$I,'1.BS (VND)'!$D111)</f>
        <v>0</v>
      </c>
      <c r="CW111" s="702">
        <f>-SUMIFS('1.DC_Ra soat'!$L:$L,'1.DC_Ra soat'!$F:$F,'1.PL (VND) '!DL$4,'1.DC_Ra soat'!$H:$H,'1.BS (VND)'!$D111)+SUMIFS('1.DC_Ra soat'!$L:$L,'1.DC_Ra soat'!$F:$F,'1.PL (VND) '!DL$4,'1.DC_Ra soat'!$I:$I,'1.BS (VND)'!$D111)</f>
        <v>0</v>
      </c>
      <c r="CX111" s="702">
        <f>-SUMIFS('1.DC_Ra soat'!$L:$L,'1.DC_Ra soat'!$F:$F,'1.PL (VND) '!DM$4,'1.DC_Ra soat'!$H:$H,'1.BS (VND)'!$D111)+SUMIFS('1.DC_Ra soat'!$L:$L,'1.DC_Ra soat'!$F:$F,'1.PL (VND) '!DM$4,'1.DC_Ra soat'!$I:$I,'1.BS (VND)'!$D111)</f>
        <v>0</v>
      </c>
      <c r="CY111" s="702">
        <f>-SUMIFS('1.DC_Ra soat'!$L:$L,'1.DC_Ra soat'!$F:$F,'1.PL (VND) '!DN$4,'1.DC_Ra soat'!$H:$H,'1.BS (VND)'!$D111)+SUMIFS('1.DC_Ra soat'!$L:$L,'1.DC_Ra soat'!$F:$F,'1.PL (VND) '!DN$4,'1.DC_Ra soat'!$I:$I,'1.BS (VND)'!$D111)</f>
        <v>0</v>
      </c>
      <c r="DA111" s="698">
        <f t="shared" si="213"/>
        <v>0</v>
      </c>
      <c r="DB111" s="698">
        <f t="shared" si="214"/>
        <v>0</v>
      </c>
      <c r="DC111" s="698">
        <f t="shared" si="215"/>
        <v>0</v>
      </c>
      <c r="DD111" s="698">
        <f t="shared" si="216"/>
        <v>0</v>
      </c>
    </row>
    <row r="112" spans="1:112" s="700" customFormat="1" x14ac:dyDescent="0.25">
      <c r="A112" s="248" t="str">
        <f t="shared" si="166"/>
        <v>hide</v>
      </c>
      <c r="C112" s="703" t="s">
        <v>477</v>
      </c>
      <c r="D112" s="704" t="s">
        <v>478</v>
      </c>
      <c r="E112" s="721"/>
      <c r="F112" s="721"/>
      <c r="G112" s="721"/>
      <c r="H112" s="722"/>
      <c r="I112" s="699"/>
      <c r="J112" s="698"/>
      <c r="K112" s="698"/>
      <c r="L112" s="698"/>
      <c r="M112" s="241">
        <v>0</v>
      </c>
      <c r="N112" s="699"/>
      <c r="O112" s="698"/>
      <c r="P112" s="698"/>
      <c r="Q112" s="698"/>
      <c r="R112" s="698"/>
      <c r="S112" s="699"/>
      <c r="T112" s="698"/>
      <c r="U112" s="698"/>
      <c r="V112" s="698"/>
      <c r="W112" s="698"/>
      <c r="X112" s="699"/>
      <c r="Y112" s="698"/>
      <c r="Z112" s="698"/>
      <c r="AA112" s="698"/>
      <c r="AB112" s="698"/>
      <c r="AC112" s="699"/>
      <c r="AD112" s="698"/>
      <c r="AE112" s="698"/>
      <c r="AF112" s="698"/>
      <c r="AG112" s="698"/>
      <c r="AI112" s="698">
        <f>-SUMIFS('1.DC_Ra soat'!$L:$L,'1.DC_Ra soat'!$F:$F,AI$4,'1.DC_Ra soat'!$H:$H,'1.BS (VND)'!$D112)+SUMIFS('1.DC_Ra soat'!$L:$L,'1.DC_Ra soat'!$F:$F,AI$4,'1.DC_Ra soat'!$I:$I,'1.BS (VND)'!$D112)</f>
        <v>0</v>
      </c>
      <c r="AJ112" s="698">
        <f>-SUMIFS('1.DC_Ra soat'!$L:$L,'1.DC_Ra soat'!$F:$F,AJ$4,'1.DC_Ra soat'!$H:$H,'1.BS (VND)'!$D112)+SUMIFS('1.DC_Ra soat'!$L:$L,'1.DC_Ra soat'!$F:$F,AJ$4,'1.DC_Ra soat'!$I:$I,'1.BS (VND)'!$D112)</f>
        <v>0</v>
      </c>
      <c r="AK112" s="698">
        <f>-SUMIFS('1.DC_Ra soat'!$L:$L,'1.DC_Ra soat'!$F:$F,AK$4,'1.DC_Ra soat'!$H:$H,'1.BS (VND)'!$D112)+SUMIFS('1.DC_Ra soat'!$L:$L,'1.DC_Ra soat'!$F:$F,AK$4,'1.DC_Ra soat'!$I:$I,'1.BS (VND)'!$D112)</f>
        <v>0</v>
      </c>
      <c r="AL112" s="698">
        <f>-SUMIFS('1.DC_Ra soat'!$L:$L,'1.DC_Ra soat'!$F:$F,AL$4,'1.DC_Ra soat'!$H:$H,'1.BS (VND)'!$D112)+SUMIFS('1.DC_Ra soat'!$L:$L,'1.DC_Ra soat'!$F:$F,AL$4,'1.DC_Ra soat'!$I:$I,'1.BS (VND)'!$D112)</f>
        <v>0</v>
      </c>
      <c r="AM112" s="699"/>
      <c r="AN112" s="698">
        <f>-SUMIFS('1.DC_Ra soat'!$L:$L,'1.DC_Ra soat'!$F:$F,AN$4,'1.DC_Ra soat'!$H:$H,'1.BS (VND)'!$D112)+SUMIFS('1.DC_Ra soat'!$L:$L,'1.DC_Ra soat'!$F:$F,AN$4,'1.DC_Ra soat'!$I:$I,'1.BS (VND)'!$D112)</f>
        <v>0</v>
      </c>
      <c r="AO112" s="698">
        <f>-SUMIFS('1.DC_Ra soat'!$L:$L,'1.DC_Ra soat'!$F:$F,AO$4,'1.DC_Ra soat'!$H:$H,'1.BS (VND)'!$D112)+SUMIFS('1.DC_Ra soat'!$L:$L,'1.DC_Ra soat'!$F:$F,AO$4,'1.DC_Ra soat'!$I:$I,'1.BS (VND)'!$D112)</f>
        <v>0</v>
      </c>
      <c r="AP112" s="698">
        <f>-SUMIFS('1.DC_Ra soat'!$L:$L,'1.DC_Ra soat'!$F:$F,AP$4,'1.DC_Ra soat'!$H:$H,'1.BS (VND)'!$D112)+SUMIFS('1.DC_Ra soat'!$L:$L,'1.DC_Ra soat'!$F:$F,AP$4,'1.DC_Ra soat'!$I:$I,'1.BS (VND)'!$D112)</f>
        <v>0</v>
      </c>
      <c r="AQ112" s="698">
        <f>-SUMIFS('1.DC_Ra soat'!$L:$L,'1.DC_Ra soat'!$F:$F,AQ$4,'1.DC_Ra soat'!$H:$H,'1.BS (VND)'!$D112)+SUMIFS('1.DC_Ra soat'!$L:$L,'1.DC_Ra soat'!$F:$F,AQ$4,'1.DC_Ra soat'!$I:$I,'1.BS (VND)'!$D112)</f>
        <v>0</v>
      </c>
      <c r="AR112" s="699"/>
      <c r="AS112" s="698">
        <f>-SUMIFS('1.DC_Ra soat'!$L:$L,'1.DC_Ra soat'!$F:$F,AS$4,'1.DC_Ra soat'!$H:$H,'1.BS (VND)'!$D112)+SUMIFS('1.DC_Ra soat'!$L:$L,'1.DC_Ra soat'!$F:$F,AS$4,'1.DC_Ra soat'!$I:$I,'1.BS (VND)'!$D112)</f>
        <v>0</v>
      </c>
      <c r="AT112" s="698">
        <f>-SUMIFS('1.DC_Ra soat'!$L:$L,'1.DC_Ra soat'!$F:$F,AT$4,'1.DC_Ra soat'!$H:$H,'1.BS (VND)'!$D112)+SUMIFS('1.DC_Ra soat'!$L:$L,'1.DC_Ra soat'!$F:$F,AT$4,'1.DC_Ra soat'!$I:$I,'1.BS (VND)'!$D112)</f>
        <v>0</v>
      </c>
      <c r="AU112" s="698">
        <f>-SUMIFS('1.DC_Ra soat'!$L:$L,'1.DC_Ra soat'!$F:$F,AU$4,'1.DC_Ra soat'!$H:$H,'1.BS (VND)'!$D112)+SUMIFS('1.DC_Ra soat'!$L:$L,'1.DC_Ra soat'!$F:$F,AU$4,'1.DC_Ra soat'!$I:$I,'1.BS (VND)'!$D112)</f>
        <v>0</v>
      </c>
      <c r="AV112" s="698">
        <f>-SUMIFS('1.DC_Ra soat'!$L:$L,'1.DC_Ra soat'!$F:$F,AV$4,'1.DC_Ra soat'!$H:$H,'1.BS (VND)'!$D112)+SUMIFS('1.DC_Ra soat'!$L:$L,'1.DC_Ra soat'!$F:$F,AV$4,'1.DC_Ra soat'!$I:$I,'1.BS (VND)'!$D112)</f>
        <v>0</v>
      </c>
      <c r="AW112" s="699"/>
      <c r="AX112" s="698">
        <f>-SUMIFS('1.DC_Ra soat'!$L:$L,'1.DC_Ra soat'!$F:$F,AX$4,'1.DC_Ra soat'!$H:$H,'1.BS (VND)'!$D112)+SUMIFS('1.DC_Ra soat'!$L:$L,'1.DC_Ra soat'!$F:$F,AX$4,'1.DC_Ra soat'!$I:$I,'1.BS (VND)'!$D112)</f>
        <v>0</v>
      </c>
      <c r="AY112" s="698">
        <f>-SUMIFS('1.DC_Ra soat'!$L:$L,'1.DC_Ra soat'!$F:$F,AY$4,'1.DC_Ra soat'!$H:$H,'1.BS (VND)'!$D112)+SUMIFS('1.DC_Ra soat'!$L:$L,'1.DC_Ra soat'!$F:$F,AY$4,'1.DC_Ra soat'!$I:$I,'1.BS (VND)'!$D112)</f>
        <v>0</v>
      </c>
      <c r="AZ112" s="698">
        <f>-SUMIFS('1.DC_Ra soat'!$L:$L,'1.DC_Ra soat'!$F:$F,AZ$4,'1.DC_Ra soat'!$H:$H,'1.BS (VND)'!$D112)+SUMIFS('1.DC_Ra soat'!$L:$L,'1.DC_Ra soat'!$F:$F,AZ$4,'1.DC_Ra soat'!$I:$I,'1.BS (VND)'!$D112)</f>
        <v>0</v>
      </c>
      <c r="BA112" s="698">
        <f>-SUMIFS('1.DC_Ra soat'!$L:$L,'1.DC_Ra soat'!$F:$F,BA$4,'1.DC_Ra soat'!$H:$H,'1.BS (VND)'!$D112)+SUMIFS('1.DC_Ra soat'!$L:$L,'1.DC_Ra soat'!$F:$F,BA$4,'1.DC_Ra soat'!$I:$I,'1.BS (VND)'!$D112)</f>
        <v>0</v>
      </c>
      <c r="BB112" s="699"/>
      <c r="BC112" s="698">
        <f>-SUMIFS('1.DC_Ra soat'!$L:$L,'1.DC_Ra soat'!$F:$F,BC$4,'1.DC_Ra soat'!$H:$H,'1.BS (VND)'!$D112)+SUMIFS('1.DC_Ra soat'!$L:$L,'1.DC_Ra soat'!$F:$F,BC$4,'1.DC_Ra soat'!$I:$I,'1.BS (VND)'!$D112)</f>
        <v>0</v>
      </c>
      <c r="BD112" s="698">
        <f>-SUMIFS('1.DC_Ra soat'!$L:$L,'1.DC_Ra soat'!$F:$F,BD$4,'1.DC_Ra soat'!$H:$H,'1.BS (VND)'!$D112)+SUMIFS('1.DC_Ra soat'!$L:$L,'1.DC_Ra soat'!$F:$F,BD$4,'1.DC_Ra soat'!$I:$I,'1.BS (VND)'!$D112)</f>
        <v>0</v>
      </c>
      <c r="BE112" s="698">
        <f>-SUMIFS('1.DC_Ra soat'!$L:$L,'1.DC_Ra soat'!$F:$F,BE$4,'1.DC_Ra soat'!$H:$H,'1.BS (VND)'!$D112)+SUMIFS('1.DC_Ra soat'!$L:$L,'1.DC_Ra soat'!$F:$F,BE$4,'1.DC_Ra soat'!$I:$I,'1.BS (VND)'!$D112)</f>
        <v>0</v>
      </c>
      <c r="BF112" s="698">
        <f>-SUMIFS('1.DC_Ra soat'!$L:$L,'1.DC_Ra soat'!$F:$F,BF$4,'1.DC_Ra soat'!$H:$H,'1.BS (VND)'!$D112)+SUMIFS('1.DC_Ra soat'!$L:$L,'1.DC_Ra soat'!$F:$F,BF$4,'1.DC_Ra soat'!$I:$I,'1.BS (VND)'!$D112)</f>
        <v>0</v>
      </c>
      <c r="BG112" s="699"/>
      <c r="BH112" s="698">
        <f>-SUMIFS('1.DC_Ra soat'!$L:$L,'1.DC_Ra soat'!$F:$F,BH$4,'1.DC_Ra soat'!$H:$H,'1.BS (VND)'!$D112)+SUMIFS('1.DC_Ra soat'!$L:$L,'1.DC_Ra soat'!$F:$F,BH$4,'1.DC_Ra soat'!$I:$I,'1.BS (VND)'!$D112)</f>
        <v>0</v>
      </c>
      <c r="BI112" s="698">
        <f>-SUMIFS('1.DC_Ra soat'!$L:$L,'1.DC_Ra soat'!$F:$F,BI$4,'1.DC_Ra soat'!$H:$H,'1.BS (VND)'!$D112)+SUMIFS('1.DC_Ra soat'!$L:$L,'1.DC_Ra soat'!$F:$F,BI$4,'1.DC_Ra soat'!$I:$I,'1.BS (VND)'!$D112)</f>
        <v>0</v>
      </c>
      <c r="BJ112" s="698">
        <f>-SUMIFS('1.DC_Ra soat'!$L:$L,'1.DC_Ra soat'!$F:$F,BJ$4,'1.DC_Ra soat'!$H:$H,'1.BS (VND)'!$D112)+SUMIFS('1.DC_Ra soat'!$L:$L,'1.DC_Ra soat'!$F:$F,BJ$4,'1.DC_Ra soat'!$I:$I,'1.BS (VND)'!$D112)</f>
        <v>0</v>
      </c>
      <c r="BK112" s="698">
        <f>-SUMIFS('1.DC_Ra soat'!$L:$L,'1.DC_Ra soat'!$F:$F,BK$4,'1.DC_Ra soat'!$H:$H,'1.BS (VND)'!$D112)+SUMIFS('1.DC_Ra soat'!$L:$L,'1.DC_Ra soat'!$F:$F,BK$4,'1.DC_Ra soat'!$I:$I,'1.BS (VND)'!$D112)</f>
        <v>0</v>
      </c>
      <c r="BM112" s="698">
        <f t="shared" si="179"/>
        <v>0</v>
      </c>
      <c r="BN112" s="698">
        <f t="shared" si="180"/>
        <v>0</v>
      </c>
      <c r="BO112" s="698">
        <f t="shared" si="181"/>
        <v>0</v>
      </c>
      <c r="BP112" s="697">
        <f t="shared" si="182"/>
        <v>0</v>
      </c>
      <c r="BQ112" s="699"/>
      <c r="BR112" s="698">
        <f t="shared" si="183"/>
        <v>0</v>
      </c>
      <c r="BS112" s="698">
        <f t="shared" si="184"/>
        <v>0</v>
      </c>
      <c r="BT112" s="698">
        <f t="shared" si="185"/>
        <v>0</v>
      </c>
      <c r="BU112" s="698">
        <f t="shared" si="186"/>
        <v>0</v>
      </c>
      <c r="BV112" s="699"/>
      <c r="BW112" s="698">
        <f t="shared" si="187"/>
        <v>0</v>
      </c>
      <c r="BX112" s="698">
        <f t="shared" si="188"/>
        <v>0</v>
      </c>
      <c r="BY112" s="698">
        <f t="shared" si="189"/>
        <v>0</v>
      </c>
      <c r="BZ112" s="697">
        <f t="shared" si="190"/>
        <v>0</v>
      </c>
      <c r="CA112" s="699"/>
      <c r="CB112" s="697">
        <f t="shared" si="191"/>
        <v>0</v>
      </c>
      <c r="CC112" s="697">
        <f t="shared" si="192"/>
        <v>0</v>
      </c>
      <c r="CD112" s="697">
        <f t="shared" si="193"/>
        <v>0</v>
      </c>
      <c r="CE112" s="697">
        <f t="shared" si="194"/>
        <v>0</v>
      </c>
      <c r="CF112" s="699"/>
      <c r="CG112" s="697">
        <f t="shared" si="195"/>
        <v>0</v>
      </c>
      <c r="CH112" s="697">
        <f t="shared" si="196"/>
        <v>0</v>
      </c>
      <c r="CI112" s="697">
        <f t="shared" si="197"/>
        <v>0</v>
      </c>
      <c r="CJ112" s="697">
        <f t="shared" si="198"/>
        <v>0</v>
      </c>
      <c r="CK112" s="699"/>
      <c r="CL112" s="698">
        <f t="shared" si="199"/>
        <v>0</v>
      </c>
      <c r="CM112" s="698">
        <f t="shared" si="200"/>
        <v>0</v>
      </c>
      <c r="CN112" s="698">
        <f t="shared" si="201"/>
        <v>0</v>
      </c>
      <c r="CO112" s="697">
        <f t="shared" si="202"/>
        <v>0</v>
      </c>
      <c r="CQ112" s="698">
        <f>SUMIF('1.PL (VND) '!$BL$6:$CD$6,'1.PL (VND) '!CP$6,$BM112:$CE112)</f>
        <v>0</v>
      </c>
      <c r="CR112" s="698">
        <f>SUMIF('1.PL (VND) '!$BL$6:$CD$6,'1.PL (VND) '!CQ$6,$BM112:$CE112)</f>
        <v>0</v>
      </c>
      <c r="CS112" s="698">
        <f>SUMIF('1.PL (VND) '!$BL$6:$CD$6,'1.PL (VND) '!CR$6,$BM112:$CE112)</f>
        <v>0</v>
      </c>
      <c r="CT112" s="698">
        <f>SUMIF('1.PL (VND) '!$BL$6:$CD$6,'1.PL (VND) '!CS$6,$BM112:$CE112)</f>
        <v>0</v>
      </c>
      <c r="CV112" s="702">
        <f>-SUMIFS('1.DC_Ra soat'!$L:$L,'1.DC_Ra soat'!$F:$F,'1.PL (VND) '!DK$4,'1.DC_Ra soat'!$H:$H,'1.BS (VND)'!$D112)+SUMIFS('1.DC_Ra soat'!$L:$L,'1.DC_Ra soat'!$F:$F,'1.PL (VND) '!DK$4,'1.DC_Ra soat'!$I:$I,'1.BS (VND)'!$D112)</f>
        <v>0</v>
      </c>
      <c r="CW112" s="702">
        <f>-SUMIFS('1.DC_Ra soat'!$L:$L,'1.DC_Ra soat'!$F:$F,'1.PL (VND) '!DL$4,'1.DC_Ra soat'!$H:$H,'1.BS (VND)'!$D112)+SUMIFS('1.DC_Ra soat'!$L:$L,'1.DC_Ra soat'!$F:$F,'1.PL (VND) '!DL$4,'1.DC_Ra soat'!$I:$I,'1.BS (VND)'!$D112)</f>
        <v>0</v>
      </c>
      <c r="CX112" s="702">
        <f>-SUMIFS('1.DC_Ra soat'!$L:$L,'1.DC_Ra soat'!$F:$F,'1.PL (VND) '!DM$4,'1.DC_Ra soat'!$H:$H,'1.BS (VND)'!$D112)+SUMIFS('1.DC_Ra soat'!$L:$L,'1.DC_Ra soat'!$F:$F,'1.PL (VND) '!DM$4,'1.DC_Ra soat'!$I:$I,'1.BS (VND)'!$D112)</f>
        <v>0</v>
      </c>
      <c r="CY112" s="702">
        <f>-SUMIFS('1.DC_Ra soat'!$L:$L,'1.DC_Ra soat'!$F:$F,'1.PL (VND) '!DN$4,'1.DC_Ra soat'!$H:$H,'1.BS (VND)'!$D112)+SUMIFS('1.DC_Ra soat'!$L:$L,'1.DC_Ra soat'!$F:$F,'1.PL (VND) '!DN$4,'1.DC_Ra soat'!$I:$I,'1.BS (VND)'!$D112)</f>
        <v>0</v>
      </c>
      <c r="DA112" s="698">
        <f t="shared" si="213"/>
        <v>0</v>
      </c>
      <c r="DB112" s="698">
        <f t="shared" si="214"/>
        <v>0</v>
      </c>
      <c r="DC112" s="698">
        <f t="shared" si="215"/>
        <v>0</v>
      </c>
      <c r="DD112" s="698">
        <f t="shared" si="216"/>
        <v>0</v>
      </c>
    </row>
    <row r="113" spans="1:112" s="700" customFormat="1" x14ac:dyDescent="0.25">
      <c r="A113" s="248" t="str">
        <f t="shared" si="166"/>
        <v>hide</v>
      </c>
      <c r="C113" s="703" t="s">
        <v>479</v>
      </c>
      <c r="D113" s="704" t="s">
        <v>480</v>
      </c>
      <c r="E113" s="721"/>
      <c r="F113" s="721"/>
      <c r="G113" s="721"/>
      <c r="H113" s="722"/>
      <c r="I113" s="699"/>
      <c r="J113" s="698"/>
      <c r="K113" s="698"/>
      <c r="L113" s="698"/>
      <c r="M113" s="241">
        <v>0</v>
      </c>
      <c r="N113" s="699"/>
      <c r="O113" s="698"/>
      <c r="P113" s="698"/>
      <c r="Q113" s="698"/>
      <c r="R113" s="698"/>
      <c r="S113" s="699"/>
      <c r="T113" s="698"/>
      <c r="U113" s="698"/>
      <c r="V113" s="698"/>
      <c r="W113" s="698"/>
      <c r="X113" s="699"/>
      <c r="Y113" s="698"/>
      <c r="Z113" s="698"/>
      <c r="AA113" s="698"/>
      <c r="AB113" s="698"/>
      <c r="AC113" s="699"/>
      <c r="AD113" s="698"/>
      <c r="AE113" s="698"/>
      <c r="AF113" s="698"/>
      <c r="AG113" s="698"/>
      <c r="AI113" s="698">
        <f>-SUMIFS('1.DC_Ra soat'!$L:$L,'1.DC_Ra soat'!$F:$F,AI$4,'1.DC_Ra soat'!$H:$H,'1.BS (VND)'!$D113)+SUMIFS('1.DC_Ra soat'!$L:$L,'1.DC_Ra soat'!$F:$F,AI$4,'1.DC_Ra soat'!$I:$I,'1.BS (VND)'!$D113)</f>
        <v>0</v>
      </c>
      <c r="AJ113" s="698">
        <f>-SUMIFS('1.DC_Ra soat'!$L:$L,'1.DC_Ra soat'!$F:$F,AJ$4,'1.DC_Ra soat'!$H:$H,'1.BS (VND)'!$D113)+SUMIFS('1.DC_Ra soat'!$L:$L,'1.DC_Ra soat'!$F:$F,AJ$4,'1.DC_Ra soat'!$I:$I,'1.BS (VND)'!$D113)</f>
        <v>0</v>
      </c>
      <c r="AK113" s="698">
        <f>-SUMIFS('1.DC_Ra soat'!$L:$L,'1.DC_Ra soat'!$F:$F,AK$4,'1.DC_Ra soat'!$H:$H,'1.BS (VND)'!$D113)+SUMIFS('1.DC_Ra soat'!$L:$L,'1.DC_Ra soat'!$F:$F,AK$4,'1.DC_Ra soat'!$I:$I,'1.BS (VND)'!$D113)</f>
        <v>0</v>
      </c>
      <c r="AL113" s="698">
        <f>-SUMIFS('1.DC_Ra soat'!$L:$L,'1.DC_Ra soat'!$F:$F,AL$4,'1.DC_Ra soat'!$H:$H,'1.BS (VND)'!$D113)+SUMIFS('1.DC_Ra soat'!$L:$L,'1.DC_Ra soat'!$F:$F,AL$4,'1.DC_Ra soat'!$I:$I,'1.BS (VND)'!$D113)</f>
        <v>0</v>
      </c>
      <c r="AM113" s="699"/>
      <c r="AN113" s="698">
        <f>-SUMIFS('1.DC_Ra soat'!$L:$L,'1.DC_Ra soat'!$F:$F,AN$4,'1.DC_Ra soat'!$H:$H,'1.BS (VND)'!$D113)+SUMIFS('1.DC_Ra soat'!$L:$L,'1.DC_Ra soat'!$F:$F,AN$4,'1.DC_Ra soat'!$I:$I,'1.BS (VND)'!$D113)</f>
        <v>0</v>
      </c>
      <c r="AO113" s="698">
        <f>-SUMIFS('1.DC_Ra soat'!$L:$L,'1.DC_Ra soat'!$F:$F,AO$4,'1.DC_Ra soat'!$H:$H,'1.BS (VND)'!$D113)+SUMIFS('1.DC_Ra soat'!$L:$L,'1.DC_Ra soat'!$F:$F,AO$4,'1.DC_Ra soat'!$I:$I,'1.BS (VND)'!$D113)</f>
        <v>0</v>
      </c>
      <c r="AP113" s="698">
        <f>-SUMIFS('1.DC_Ra soat'!$L:$L,'1.DC_Ra soat'!$F:$F,AP$4,'1.DC_Ra soat'!$H:$H,'1.BS (VND)'!$D113)+SUMIFS('1.DC_Ra soat'!$L:$L,'1.DC_Ra soat'!$F:$F,AP$4,'1.DC_Ra soat'!$I:$I,'1.BS (VND)'!$D113)</f>
        <v>0</v>
      </c>
      <c r="AQ113" s="698">
        <f>-SUMIFS('1.DC_Ra soat'!$L:$L,'1.DC_Ra soat'!$F:$F,AQ$4,'1.DC_Ra soat'!$H:$H,'1.BS (VND)'!$D113)+SUMIFS('1.DC_Ra soat'!$L:$L,'1.DC_Ra soat'!$F:$F,AQ$4,'1.DC_Ra soat'!$I:$I,'1.BS (VND)'!$D113)</f>
        <v>0</v>
      </c>
      <c r="AR113" s="699"/>
      <c r="AS113" s="698">
        <f>-SUMIFS('1.DC_Ra soat'!$L:$L,'1.DC_Ra soat'!$F:$F,AS$4,'1.DC_Ra soat'!$H:$H,'1.BS (VND)'!$D113)+SUMIFS('1.DC_Ra soat'!$L:$L,'1.DC_Ra soat'!$F:$F,AS$4,'1.DC_Ra soat'!$I:$I,'1.BS (VND)'!$D113)</f>
        <v>0</v>
      </c>
      <c r="AT113" s="698">
        <f>-SUMIFS('1.DC_Ra soat'!$L:$L,'1.DC_Ra soat'!$F:$F,AT$4,'1.DC_Ra soat'!$H:$H,'1.BS (VND)'!$D113)+SUMIFS('1.DC_Ra soat'!$L:$L,'1.DC_Ra soat'!$F:$F,AT$4,'1.DC_Ra soat'!$I:$I,'1.BS (VND)'!$D113)</f>
        <v>0</v>
      </c>
      <c r="AU113" s="698">
        <f>-SUMIFS('1.DC_Ra soat'!$L:$L,'1.DC_Ra soat'!$F:$F,AU$4,'1.DC_Ra soat'!$H:$H,'1.BS (VND)'!$D113)+SUMIFS('1.DC_Ra soat'!$L:$L,'1.DC_Ra soat'!$F:$F,AU$4,'1.DC_Ra soat'!$I:$I,'1.BS (VND)'!$D113)</f>
        <v>0</v>
      </c>
      <c r="AV113" s="698">
        <f>-SUMIFS('1.DC_Ra soat'!$L:$L,'1.DC_Ra soat'!$F:$F,AV$4,'1.DC_Ra soat'!$H:$H,'1.BS (VND)'!$D113)+SUMIFS('1.DC_Ra soat'!$L:$L,'1.DC_Ra soat'!$F:$F,AV$4,'1.DC_Ra soat'!$I:$I,'1.BS (VND)'!$D113)</f>
        <v>0</v>
      </c>
      <c r="AW113" s="699"/>
      <c r="AX113" s="698">
        <f>-SUMIFS('1.DC_Ra soat'!$L:$L,'1.DC_Ra soat'!$F:$F,AX$4,'1.DC_Ra soat'!$H:$H,'1.BS (VND)'!$D113)+SUMIFS('1.DC_Ra soat'!$L:$L,'1.DC_Ra soat'!$F:$F,AX$4,'1.DC_Ra soat'!$I:$I,'1.BS (VND)'!$D113)</f>
        <v>0</v>
      </c>
      <c r="AY113" s="698">
        <f>-SUMIFS('1.DC_Ra soat'!$L:$L,'1.DC_Ra soat'!$F:$F,AY$4,'1.DC_Ra soat'!$H:$H,'1.BS (VND)'!$D113)+SUMIFS('1.DC_Ra soat'!$L:$L,'1.DC_Ra soat'!$F:$F,AY$4,'1.DC_Ra soat'!$I:$I,'1.BS (VND)'!$D113)</f>
        <v>0</v>
      </c>
      <c r="AZ113" s="698">
        <f>-SUMIFS('1.DC_Ra soat'!$L:$L,'1.DC_Ra soat'!$F:$F,AZ$4,'1.DC_Ra soat'!$H:$H,'1.BS (VND)'!$D113)+SUMIFS('1.DC_Ra soat'!$L:$L,'1.DC_Ra soat'!$F:$F,AZ$4,'1.DC_Ra soat'!$I:$I,'1.BS (VND)'!$D113)</f>
        <v>0</v>
      </c>
      <c r="BA113" s="698">
        <f>-SUMIFS('1.DC_Ra soat'!$L:$L,'1.DC_Ra soat'!$F:$F,BA$4,'1.DC_Ra soat'!$H:$H,'1.BS (VND)'!$D113)+SUMIFS('1.DC_Ra soat'!$L:$L,'1.DC_Ra soat'!$F:$F,BA$4,'1.DC_Ra soat'!$I:$I,'1.BS (VND)'!$D113)</f>
        <v>0</v>
      </c>
      <c r="BB113" s="699"/>
      <c r="BC113" s="698">
        <f>-SUMIFS('1.DC_Ra soat'!$L:$L,'1.DC_Ra soat'!$F:$F,BC$4,'1.DC_Ra soat'!$H:$H,'1.BS (VND)'!$D113)+SUMIFS('1.DC_Ra soat'!$L:$L,'1.DC_Ra soat'!$F:$F,BC$4,'1.DC_Ra soat'!$I:$I,'1.BS (VND)'!$D113)</f>
        <v>0</v>
      </c>
      <c r="BD113" s="698">
        <f>-SUMIFS('1.DC_Ra soat'!$L:$L,'1.DC_Ra soat'!$F:$F,BD$4,'1.DC_Ra soat'!$H:$H,'1.BS (VND)'!$D113)+SUMIFS('1.DC_Ra soat'!$L:$L,'1.DC_Ra soat'!$F:$F,BD$4,'1.DC_Ra soat'!$I:$I,'1.BS (VND)'!$D113)</f>
        <v>0</v>
      </c>
      <c r="BE113" s="698">
        <f>-SUMIFS('1.DC_Ra soat'!$L:$L,'1.DC_Ra soat'!$F:$F,BE$4,'1.DC_Ra soat'!$H:$H,'1.BS (VND)'!$D113)+SUMIFS('1.DC_Ra soat'!$L:$L,'1.DC_Ra soat'!$F:$F,BE$4,'1.DC_Ra soat'!$I:$I,'1.BS (VND)'!$D113)</f>
        <v>0</v>
      </c>
      <c r="BF113" s="698">
        <f>-SUMIFS('1.DC_Ra soat'!$L:$L,'1.DC_Ra soat'!$F:$F,BF$4,'1.DC_Ra soat'!$H:$H,'1.BS (VND)'!$D113)+SUMIFS('1.DC_Ra soat'!$L:$L,'1.DC_Ra soat'!$F:$F,BF$4,'1.DC_Ra soat'!$I:$I,'1.BS (VND)'!$D113)</f>
        <v>0</v>
      </c>
      <c r="BG113" s="699"/>
      <c r="BH113" s="698">
        <f>-SUMIFS('1.DC_Ra soat'!$L:$L,'1.DC_Ra soat'!$F:$F,BH$4,'1.DC_Ra soat'!$H:$H,'1.BS (VND)'!$D113)+SUMIFS('1.DC_Ra soat'!$L:$L,'1.DC_Ra soat'!$F:$F,BH$4,'1.DC_Ra soat'!$I:$I,'1.BS (VND)'!$D113)</f>
        <v>0</v>
      </c>
      <c r="BI113" s="698">
        <f>-SUMIFS('1.DC_Ra soat'!$L:$L,'1.DC_Ra soat'!$F:$F,BI$4,'1.DC_Ra soat'!$H:$H,'1.BS (VND)'!$D113)+SUMIFS('1.DC_Ra soat'!$L:$L,'1.DC_Ra soat'!$F:$F,BI$4,'1.DC_Ra soat'!$I:$I,'1.BS (VND)'!$D113)</f>
        <v>0</v>
      </c>
      <c r="BJ113" s="698">
        <f>-SUMIFS('1.DC_Ra soat'!$L:$L,'1.DC_Ra soat'!$F:$F,BJ$4,'1.DC_Ra soat'!$H:$H,'1.BS (VND)'!$D113)+SUMIFS('1.DC_Ra soat'!$L:$L,'1.DC_Ra soat'!$F:$F,BJ$4,'1.DC_Ra soat'!$I:$I,'1.BS (VND)'!$D113)</f>
        <v>0</v>
      </c>
      <c r="BK113" s="698">
        <f>-SUMIFS('1.DC_Ra soat'!$L:$L,'1.DC_Ra soat'!$F:$F,BK$4,'1.DC_Ra soat'!$H:$H,'1.BS (VND)'!$D113)+SUMIFS('1.DC_Ra soat'!$L:$L,'1.DC_Ra soat'!$F:$F,BK$4,'1.DC_Ra soat'!$I:$I,'1.BS (VND)'!$D113)</f>
        <v>0</v>
      </c>
      <c r="BM113" s="698">
        <f t="shared" si="179"/>
        <v>0</v>
      </c>
      <c r="BN113" s="698">
        <f t="shared" si="180"/>
        <v>0</v>
      </c>
      <c r="BO113" s="698">
        <f t="shared" si="181"/>
        <v>0</v>
      </c>
      <c r="BP113" s="697">
        <f t="shared" si="182"/>
        <v>0</v>
      </c>
      <c r="BQ113" s="699"/>
      <c r="BR113" s="698">
        <f t="shared" si="183"/>
        <v>0</v>
      </c>
      <c r="BS113" s="698">
        <f t="shared" si="184"/>
        <v>0</v>
      </c>
      <c r="BT113" s="698">
        <f t="shared" si="185"/>
        <v>0</v>
      </c>
      <c r="BU113" s="698">
        <f t="shared" si="186"/>
        <v>0</v>
      </c>
      <c r="BV113" s="699"/>
      <c r="BW113" s="698">
        <f t="shared" si="187"/>
        <v>0</v>
      </c>
      <c r="BX113" s="698">
        <f t="shared" si="188"/>
        <v>0</v>
      </c>
      <c r="BY113" s="698">
        <f t="shared" si="189"/>
        <v>0</v>
      </c>
      <c r="BZ113" s="697">
        <f t="shared" si="190"/>
        <v>0</v>
      </c>
      <c r="CA113" s="699"/>
      <c r="CB113" s="697">
        <f t="shared" si="191"/>
        <v>0</v>
      </c>
      <c r="CC113" s="697">
        <f t="shared" si="192"/>
        <v>0</v>
      </c>
      <c r="CD113" s="697">
        <f t="shared" si="193"/>
        <v>0</v>
      </c>
      <c r="CE113" s="697">
        <f t="shared" si="194"/>
        <v>0</v>
      </c>
      <c r="CF113" s="699"/>
      <c r="CG113" s="697">
        <f t="shared" si="195"/>
        <v>0</v>
      </c>
      <c r="CH113" s="697">
        <f t="shared" si="196"/>
        <v>0</v>
      </c>
      <c r="CI113" s="697">
        <f t="shared" si="197"/>
        <v>0</v>
      </c>
      <c r="CJ113" s="697">
        <f t="shared" si="198"/>
        <v>0</v>
      </c>
      <c r="CK113" s="699"/>
      <c r="CL113" s="698">
        <f t="shared" si="199"/>
        <v>0</v>
      </c>
      <c r="CM113" s="698">
        <f t="shared" si="200"/>
        <v>0</v>
      </c>
      <c r="CN113" s="698">
        <f t="shared" si="201"/>
        <v>0</v>
      </c>
      <c r="CO113" s="697">
        <f t="shared" si="202"/>
        <v>0</v>
      </c>
      <c r="CQ113" s="698">
        <f>SUMIF('1.PL (VND) '!$BL$6:$CD$6,'1.PL (VND) '!CP$6,$BM113:$CE113)</f>
        <v>0</v>
      </c>
      <c r="CR113" s="698">
        <f>SUMIF('1.PL (VND) '!$BL$6:$CD$6,'1.PL (VND) '!CQ$6,$BM113:$CE113)</f>
        <v>0</v>
      </c>
      <c r="CS113" s="698">
        <f>SUMIF('1.PL (VND) '!$BL$6:$CD$6,'1.PL (VND) '!CR$6,$BM113:$CE113)</f>
        <v>0</v>
      </c>
      <c r="CT113" s="698">
        <f>SUMIF('1.PL (VND) '!$BL$6:$CD$6,'1.PL (VND) '!CS$6,$BM113:$CE113)</f>
        <v>0</v>
      </c>
      <c r="CV113" s="702">
        <f>-SUMIFS('1.DC_Ra soat'!$L:$L,'1.DC_Ra soat'!$F:$F,'1.PL (VND) '!DK$4,'1.DC_Ra soat'!$H:$H,'1.BS (VND)'!$D113)+SUMIFS('1.DC_Ra soat'!$L:$L,'1.DC_Ra soat'!$F:$F,'1.PL (VND) '!DK$4,'1.DC_Ra soat'!$I:$I,'1.BS (VND)'!$D113)</f>
        <v>0</v>
      </c>
      <c r="CW113" s="702">
        <f>-SUMIFS('1.DC_Ra soat'!$L:$L,'1.DC_Ra soat'!$F:$F,'1.PL (VND) '!DL$4,'1.DC_Ra soat'!$H:$H,'1.BS (VND)'!$D113)+SUMIFS('1.DC_Ra soat'!$L:$L,'1.DC_Ra soat'!$F:$F,'1.PL (VND) '!DL$4,'1.DC_Ra soat'!$I:$I,'1.BS (VND)'!$D113)</f>
        <v>0</v>
      </c>
      <c r="CX113" s="702">
        <f>-SUMIFS('1.DC_Ra soat'!$L:$L,'1.DC_Ra soat'!$F:$F,'1.PL (VND) '!DM$4,'1.DC_Ra soat'!$H:$H,'1.BS (VND)'!$D113)+SUMIFS('1.DC_Ra soat'!$L:$L,'1.DC_Ra soat'!$F:$F,'1.PL (VND) '!DM$4,'1.DC_Ra soat'!$I:$I,'1.BS (VND)'!$D113)</f>
        <v>0</v>
      </c>
      <c r="CY113" s="702">
        <f>-SUMIFS('1.DC_Ra soat'!$L:$L,'1.DC_Ra soat'!$F:$F,'1.PL (VND) '!DN$4,'1.DC_Ra soat'!$H:$H,'1.BS (VND)'!$D113)+SUMIFS('1.DC_Ra soat'!$L:$L,'1.DC_Ra soat'!$F:$F,'1.PL (VND) '!DN$4,'1.DC_Ra soat'!$I:$I,'1.BS (VND)'!$D113)</f>
        <v>0</v>
      </c>
      <c r="DA113" s="698">
        <f t="shared" si="213"/>
        <v>0</v>
      </c>
      <c r="DB113" s="698">
        <f t="shared" si="214"/>
        <v>0</v>
      </c>
      <c r="DC113" s="698">
        <f t="shared" si="215"/>
        <v>0</v>
      </c>
      <c r="DD113" s="698">
        <f t="shared" si="216"/>
        <v>0</v>
      </c>
    </row>
    <row r="114" spans="1:112" s="700" customFormat="1" x14ac:dyDescent="0.25">
      <c r="A114" s="248" t="str">
        <f t="shared" si="166"/>
        <v>hide</v>
      </c>
      <c r="C114" s="703" t="s">
        <v>481</v>
      </c>
      <c r="D114" s="704" t="s">
        <v>482</v>
      </c>
      <c r="E114" s="721"/>
      <c r="F114" s="721"/>
      <c r="G114" s="721"/>
      <c r="H114" s="722"/>
      <c r="I114" s="699"/>
      <c r="J114" s="698"/>
      <c r="K114" s="698"/>
      <c r="L114" s="698"/>
      <c r="M114" s="241">
        <v>0</v>
      </c>
      <c r="N114" s="699"/>
      <c r="O114" s="698"/>
      <c r="P114" s="698"/>
      <c r="Q114" s="698"/>
      <c r="R114" s="698"/>
      <c r="S114" s="699"/>
      <c r="T114" s="698"/>
      <c r="U114" s="698"/>
      <c r="V114" s="698"/>
      <c r="W114" s="698"/>
      <c r="X114" s="699"/>
      <c r="Y114" s="698"/>
      <c r="Z114" s="698"/>
      <c r="AA114" s="698"/>
      <c r="AB114" s="698"/>
      <c r="AC114" s="699"/>
      <c r="AD114" s="698"/>
      <c r="AE114" s="698"/>
      <c r="AF114" s="698"/>
      <c r="AG114" s="698"/>
      <c r="AI114" s="698">
        <f>-SUMIFS('1.DC_Ra soat'!$L:$L,'1.DC_Ra soat'!$F:$F,AI$4,'1.DC_Ra soat'!$H:$H,'1.BS (VND)'!$D114)+SUMIFS('1.DC_Ra soat'!$L:$L,'1.DC_Ra soat'!$F:$F,AI$4,'1.DC_Ra soat'!$I:$I,'1.BS (VND)'!$D114)</f>
        <v>0</v>
      </c>
      <c r="AJ114" s="698">
        <f>-SUMIFS('1.DC_Ra soat'!$L:$L,'1.DC_Ra soat'!$F:$F,AJ$4,'1.DC_Ra soat'!$H:$H,'1.BS (VND)'!$D114)+SUMIFS('1.DC_Ra soat'!$L:$L,'1.DC_Ra soat'!$F:$F,AJ$4,'1.DC_Ra soat'!$I:$I,'1.BS (VND)'!$D114)</f>
        <v>0</v>
      </c>
      <c r="AK114" s="698">
        <f>-SUMIFS('1.DC_Ra soat'!$L:$L,'1.DC_Ra soat'!$F:$F,AK$4,'1.DC_Ra soat'!$H:$H,'1.BS (VND)'!$D114)+SUMIFS('1.DC_Ra soat'!$L:$L,'1.DC_Ra soat'!$F:$F,AK$4,'1.DC_Ra soat'!$I:$I,'1.BS (VND)'!$D114)</f>
        <v>0</v>
      </c>
      <c r="AL114" s="698">
        <f>-SUMIFS('1.DC_Ra soat'!$L:$L,'1.DC_Ra soat'!$F:$F,AL$4,'1.DC_Ra soat'!$H:$H,'1.BS (VND)'!$D114)+SUMIFS('1.DC_Ra soat'!$L:$L,'1.DC_Ra soat'!$F:$F,AL$4,'1.DC_Ra soat'!$I:$I,'1.BS (VND)'!$D114)</f>
        <v>0</v>
      </c>
      <c r="AM114" s="699"/>
      <c r="AN114" s="698">
        <f>-SUMIFS('1.DC_Ra soat'!$L:$L,'1.DC_Ra soat'!$F:$F,AN$4,'1.DC_Ra soat'!$H:$H,'1.BS (VND)'!$D114)+SUMIFS('1.DC_Ra soat'!$L:$L,'1.DC_Ra soat'!$F:$F,AN$4,'1.DC_Ra soat'!$I:$I,'1.BS (VND)'!$D114)</f>
        <v>0</v>
      </c>
      <c r="AO114" s="698">
        <f>-SUMIFS('1.DC_Ra soat'!$L:$L,'1.DC_Ra soat'!$F:$F,AO$4,'1.DC_Ra soat'!$H:$H,'1.BS (VND)'!$D114)+SUMIFS('1.DC_Ra soat'!$L:$L,'1.DC_Ra soat'!$F:$F,AO$4,'1.DC_Ra soat'!$I:$I,'1.BS (VND)'!$D114)</f>
        <v>0</v>
      </c>
      <c r="AP114" s="698">
        <f>-SUMIFS('1.DC_Ra soat'!$L:$L,'1.DC_Ra soat'!$F:$F,AP$4,'1.DC_Ra soat'!$H:$H,'1.BS (VND)'!$D114)+SUMIFS('1.DC_Ra soat'!$L:$L,'1.DC_Ra soat'!$F:$F,AP$4,'1.DC_Ra soat'!$I:$I,'1.BS (VND)'!$D114)</f>
        <v>0</v>
      </c>
      <c r="AQ114" s="698">
        <f>-SUMIFS('1.DC_Ra soat'!$L:$L,'1.DC_Ra soat'!$F:$F,AQ$4,'1.DC_Ra soat'!$H:$H,'1.BS (VND)'!$D114)+SUMIFS('1.DC_Ra soat'!$L:$L,'1.DC_Ra soat'!$F:$F,AQ$4,'1.DC_Ra soat'!$I:$I,'1.BS (VND)'!$D114)</f>
        <v>0</v>
      </c>
      <c r="AR114" s="699"/>
      <c r="AS114" s="698">
        <f>-SUMIFS('1.DC_Ra soat'!$L:$L,'1.DC_Ra soat'!$F:$F,AS$4,'1.DC_Ra soat'!$H:$H,'1.BS (VND)'!$D114)+SUMIFS('1.DC_Ra soat'!$L:$L,'1.DC_Ra soat'!$F:$F,AS$4,'1.DC_Ra soat'!$I:$I,'1.BS (VND)'!$D114)</f>
        <v>0</v>
      </c>
      <c r="AT114" s="698">
        <f>-SUMIFS('1.DC_Ra soat'!$L:$L,'1.DC_Ra soat'!$F:$F,AT$4,'1.DC_Ra soat'!$H:$H,'1.BS (VND)'!$D114)+SUMIFS('1.DC_Ra soat'!$L:$L,'1.DC_Ra soat'!$F:$F,AT$4,'1.DC_Ra soat'!$I:$I,'1.BS (VND)'!$D114)</f>
        <v>0</v>
      </c>
      <c r="AU114" s="698">
        <f>-SUMIFS('1.DC_Ra soat'!$L:$L,'1.DC_Ra soat'!$F:$F,AU$4,'1.DC_Ra soat'!$H:$H,'1.BS (VND)'!$D114)+SUMIFS('1.DC_Ra soat'!$L:$L,'1.DC_Ra soat'!$F:$F,AU$4,'1.DC_Ra soat'!$I:$I,'1.BS (VND)'!$D114)</f>
        <v>0</v>
      </c>
      <c r="AV114" s="698">
        <f>-SUMIFS('1.DC_Ra soat'!$L:$L,'1.DC_Ra soat'!$F:$F,AV$4,'1.DC_Ra soat'!$H:$H,'1.BS (VND)'!$D114)+SUMIFS('1.DC_Ra soat'!$L:$L,'1.DC_Ra soat'!$F:$F,AV$4,'1.DC_Ra soat'!$I:$I,'1.BS (VND)'!$D114)</f>
        <v>0</v>
      </c>
      <c r="AW114" s="699"/>
      <c r="AX114" s="698">
        <f>-SUMIFS('1.DC_Ra soat'!$L:$L,'1.DC_Ra soat'!$F:$F,AX$4,'1.DC_Ra soat'!$H:$H,'1.BS (VND)'!$D114)+SUMIFS('1.DC_Ra soat'!$L:$L,'1.DC_Ra soat'!$F:$F,AX$4,'1.DC_Ra soat'!$I:$I,'1.BS (VND)'!$D114)</f>
        <v>0</v>
      </c>
      <c r="AY114" s="698">
        <f>-SUMIFS('1.DC_Ra soat'!$L:$L,'1.DC_Ra soat'!$F:$F,AY$4,'1.DC_Ra soat'!$H:$H,'1.BS (VND)'!$D114)+SUMIFS('1.DC_Ra soat'!$L:$L,'1.DC_Ra soat'!$F:$F,AY$4,'1.DC_Ra soat'!$I:$I,'1.BS (VND)'!$D114)</f>
        <v>0</v>
      </c>
      <c r="AZ114" s="698">
        <f>-SUMIFS('1.DC_Ra soat'!$L:$L,'1.DC_Ra soat'!$F:$F,AZ$4,'1.DC_Ra soat'!$H:$H,'1.BS (VND)'!$D114)+SUMIFS('1.DC_Ra soat'!$L:$L,'1.DC_Ra soat'!$F:$F,AZ$4,'1.DC_Ra soat'!$I:$I,'1.BS (VND)'!$D114)</f>
        <v>0</v>
      </c>
      <c r="BA114" s="698">
        <f>-SUMIFS('1.DC_Ra soat'!$L:$L,'1.DC_Ra soat'!$F:$F,BA$4,'1.DC_Ra soat'!$H:$H,'1.BS (VND)'!$D114)+SUMIFS('1.DC_Ra soat'!$L:$L,'1.DC_Ra soat'!$F:$F,BA$4,'1.DC_Ra soat'!$I:$I,'1.BS (VND)'!$D114)</f>
        <v>0</v>
      </c>
      <c r="BB114" s="699"/>
      <c r="BC114" s="698">
        <f>-SUMIFS('1.DC_Ra soat'!$L:$L,'1.DC_Ra soat'!$F:$F,BC$4,'1.DC_Ra soat'!$H:$H,'1.BS (VND)'!$D114)+SUMIFS('1.DC_Ra soat'!$L:$L,'1.DC_Ra soat'!$F:$F,BC$4,'1.DC_Ra soat'!$I:$I,'1.BS (VND)'!$D114)</f>
        <v>0</v>
      </c>
      <c r="BD114" s="698">
        <f>-SUMIFS('1.DC_Ra soat'!$L:$L,'1.DC_Ra soat'!$F:$F,BD$4,'1.DC_Ra soat'!$H:$H,'1.BS (VND)'!$D114)+SUMIFS('1.DC_Ra soat'!$L:$L,'1.DC_Ra soat'!$F:$F,BD$4,'1.DC_Ra soat'!$I:$I,'1.BS (VND)'!$D114)</f>
        <v>0</v>
      </c>
      <c r="BE114" s="698">
        <f>-SUMIFS('1.DC_Ra soat'!$L:$L,'1.DC_Ra soat'!$F:$F,BE$4,'1.DC_Ra soat'!$H:$H,'1.BS (VND)'!$D114)+SUMIFS('1.DC_Ra soat'!$L:$L,'1.DC_Ra soat'!$F:$F,BE$4,'1.DC_Ra soat'!$I:$I,'1.BS (VND)'!$D114)</f>
        <v>0</v>
      </c>
      <c r="BF114" s="698">
        <f>-SUMIFS('1.DC_Ra soat'!$L:$L,'1.DC_Ra soat'!$F:$F,BF$4,'1.DC_Ra soat'!$H:$H,'1.BS (VND)'!$D114)+SUMIFS('1.DC_Ra soat'!$L:$L,'1.DC_Ra soat'!$F:$F,BF$4,'1.DC_Ra soat'!$I:$I,'1.BS (VND)'!$D114)</f>
        <v>0</v>
      </c>
      <c r="BG114" s="699"/>
      <c r="BH114" s="698">
        <f>-SUMIFS('1.DC_Ra soat'!$L:$L,'1.DC_Ra soat'!$F:$F,BH$4,'1.DC_Ra soat'!$H:$H,'1.BS (VND)'!$D114)+SUMIFS('1.DC_Ra soat'!$L:$L,'1.DC_Ra soat'!$F:$F,BH$4,'1.DC_Ra soat'!$I:$I,'1.BS (VND)'!$D114)</f>
        <v>0</v>
      </c>
      <c r="BI114" s="698">
        <f>-SUMIFS('1.DC_Ra soat'!$L:$L,'1.DC_Ra soat'!$F:$F,BI$4,'1.DC_Ra soat'!$H:$H,'1.BS (VND)'!$D114)+SUMIFS('1.DC_Ra soat'!$L:$L,'1.DC_Ra soat'!$F:$F,BI$4,'1.DC_Ra soat'!$I:$I,'1.BS (VND)'!$D114)</f>
        <v>0</v>
      </c>
      <c r="BJ114" s="698">
        <f>-SUMIFS('1.DC_Ra soat'!$L:$L,'1.DC_Ra soat'!$F:$F,BJ$4,'1.DC_Ra soat'!$H:$H,'1.BS (VND)'!$D114)+SUMIFS('1.DC_Ra soat'!$L:$L,'1.DC_Ra soat'!$F:$F,BJ$4,'1.DC_Ra soat'!$I:$I,'1.BS (VND)'!$D114)</f>
        <v>0</v>
      </c>
      <c r="BK114" s="698">
        <f>-SUMIFS('1.DC_Ra soat'!$L:$L,'1.DC_Ra soat'!$F:$F,BK$4,'1.DC_Ra soat'!$H:$H,'1.BS (VND)'!$D114)+SUMIFS('1.DC_Ra soat'!$L:$L,'1.DC_Ra soat'!$F:$F,BK$4,'1.DC_Ra soat'!$I:$I,'1.BS (VND)'!$D114)</f>
        <v>0</v>
      </c>
      <c r="BM114" s="698">
        <f t="shared" si="179"/>
        <v>0</v>
      </c>
      <c r="BN114" s="698">
        <f t="shared" si="180"/>
        <v>0</v>
      </c>
      <c r="BO114" s="698">
        <f t="shared" si="181"/>
        <v>0</v>
      </c>
      <c r="BP114" s="697">
        <f t="shared" si="182"/>
        <v>0</v>
      </c>
      <c r="BQ114" s="699"/>
      <c r="BR114" s="698">
        <f t="shared" si="183"/>
        <v>0</v>
      </c>
      <c r="BS114" s="698">
        <f t="shared" si="184"/>
        <v>0</v>
      </c>
      <c r="BT114" s="698">
        <f t="shared" si="185"/>
        <v>0</v>
      </c>
      <c r="BU114" s="698">
        <f t="shared" si="186"/>
        <v>0</v>
      </c>
      <c r="BV114" s="699"/>
      <c r="BW114" s="698">
        <f t="shared" si="187"/>
        <v>0</v>
      </c>
      <c r="BX114" s="698">
        <f t="shared" si="188"/>
        <v>0</v>
      </c>
      <c r="BY114" s="698">
        <f t="shared" si="189"/>
        <v>0</v>
      </c>
      <c r="BZ114" s="697">
        <f t="shared" si="190"/>
        <v>0</v>
      </c>
      <c r="CA114" s="699"/>
      <c r="CB114" s="697">
        <f t="shared" si="191"/>
        <v>0</v>
      </c>
      <c r="CC114" s="697">
        <f t="shared" si="192"/>
        <v>0</v>
      </c>
      <c r="CD114" s="697">
        <f t="shared" si="193"/>
        <v>0</v>
      </c>
      <c r="CE114" s="697">
        <f t="shared" si="194"/>
        <v>0</v>
      </c>
      <c r="CF114" s="699"/>
      <c r="CG114" s="697">
        <f t="shared" si="195"/>
        <v>0</v>
      </c>
      <c r="CH114" s="697">
        <f t="shared" si="196"/>
        <v>0</v>
      </c>
      <c r="CI114" s="697">
        <f t="shared" si="197"/>
        <v>0</v>
      </c>
      <c r="CJ114" s="697">
        <f t="shared" si="198"/>
        <v>0</v>
      </c>
      <c r="CK114" s="699"/>
      <c r="CL114" s="698">
        <f t="shared" si="199"/>
        <v>0</v>
      </c>
      <c r="CM114" s="698">
        <f t="shared" si="200"/>
        <v>0</v>
      </c>
      <c r="CN114" s="698">
        <f t="shared" si="201"/>
        <v>0</v>
      </c>
      <c r="CO114" s="697">
        <f t="shared" si="202"/>
        <v>0</v>
      </c>
      <c r="CQ114" s="698">
        <f>SUMIF('1.PL (VND) '!$BL$6:$CD$6,'1.PL (VND) '!CP$6,$BM114:$CE114)</f>
        <v>0</v>
      </c>
      <c r="CR114" s="698">
        <f>SUMIF('1.PL (VND) '!$BL$6:$CD$6,'1.PL (VND) '!CQ$6,$BM114:$CE114)</f>
        <v>0</v>
      </c>
      <c r="CS114" s="698">
        <f>SUMIF('1.PL (VND) '!$BL$6:$CD$6,'1.PL (VND) '!CR$6,$BM114:$CE114)</f>
        <v>0</v>
      </c>
      <c r="CT114" s="698">
        <f>SUMIF('1.PL (VND) '!$BL$6:$CD$6,'1.PL (VND) '!CS$6,$BM114:$CE114)</f>
        <v>0</v>
      </c>
      <c r="CV114" s="702">
        <f>-SUMIFS('1.DC_Ra soat'!$L:$L,'1.DC_Ra soat'!$F:$F,'1.PL (VND) '!DK$4,'1.DC_Ra soat'!$H:$H,'1.BS (VND)'!$D114)+SUMIFS('1.DC_Ra soat'!$L:$L,'1.DC_Ra soat'!$F:$F,'1.PL (VND) '!DK$4,'1.DC_Ra soat'!$I:$I,'1.BS (VND)'!$D114)</f>
        <v>0</v>
      </c>
      <c r="CW114" s="702">
        <f>-SUMIFS('1.DC_Ra soat'!$L:$L,'1.DC_Ra soat'!$F:$F,'1.PL (VND) '!DL$4,'1.DC_Ra soat'!$H:$H,'1.BS (VND)'!$D114)+SUMIFS('1.DC_Ra soat'!$L:$L,'1.DC_Ra soat'!$F:$F,'1.PL (VND) '!DL$4,'1.DC_Ra soat'!$I:$I,'1.BS (VND)'!$D114)</f>
        <v>0</v>
      </c>
      <c r="CX114" s="702">
        <f>-SUMIFS('1.DC_Ra soat'!$L:$L,'1.DC_Ra soat'!$F:$F,'1.PL (VND) '!DM$4,'1.DC_Ra soat'!$H:$H,'1.BS (VND)'!$D114)+SUMIFS('1.DC_Ra soat'!$L:$L,'1.DC_Ra soat'!$F:$F,'1.PL (VND) '!DM$4,'1.DC_Ra soat'!$I:$I,'1.BS (VND)'!$D114)</f>
        <v>0</v>
      </c>
      <c r="CY114" s="702">
        <f>-SUMIFS('1.DC_Ra soat'!$L:$L,'1.DC_Ra soat'!$F:$F,'1.PL (VND) '!DN$4,'1.DC_Ra soat'!$H:$H,'1.BS (VND)'!$D114)+SUMIFS('1.DC_Ra soat'!$L:$L,'1.DC_Ra soat'!$F:$F,'1.PL (VND) '!DN$4,'1.DC_Ra soat'!$I:$I,'1.BS (VND)'!$D114)</f>
        <v>0</v>
      </c>
      <c r="DA114" s="698">
        <f t="shared" si="213"/>
        <v>0</v>
      </c>
      <c r="DB114" s="698">
        <f t="shared" si="214"/>
        <v>0</v>
      </c>
      <c r="DC114" s="698">
        <f t="shared" si="215"/>
        <v>0</v>
      </c>
      <c r="DD114" s="698">
        <f t="shared" si="216"/>
        <v>0</v>
      </c>
    </row>
    <row r="115" spans="1:112" s="700" customFormat="1" x14ac:dyDescent="0.25">
      <c r="A115" s="248" t="str">
        <f t="shared" si="166"/>
        <v>hide</v>
      </c>
      <c r="C115" s="703" t="s">
        <v>483</v>
      </c>
      <c r="D115" s="704" t="s">
        <v>484</v>
      </c>
      <c r="E115" s="721"/>
      <c r="F115" s="721"/>
      <c r="G115" s="721"/>
      <c r="H115" s="722"/>
      <c r="I115" s="699"/>
      <c r="J115" s="698"/>
      <c r="K115" s="698"/>
      <c r="L115" s="698"/>
      <c r="M115" s="241">
        <v>0</v>
      </c>
      <c r="N115" s="699"/>
      <c r="O115" s="698"/>
      <c r="P115" s="698"/>
      <c r="Q115" s="698"/>
      <c r="R115" s="698"/>
      <c r="S115" s="699"/>
      <c r="T115" s="698"/>
      <c r="U115" s="698"/>
      <c r="V115" s="698"/>
      <c r="W115" s="698"/>
      <c r="X115" s="699"/>
      <c r="Y115" s="698"/>
      <c r="Z115" s="698"/>
      <c r="AA115" s="698"/>
      <c r="AB115" s="698"/>
      <c r="AC115" s="699"/>
      <c r="AD115" s="698"/>
      <c r="AE115" s="698"/>
      <c r="AF115" s="698"/>
      <c r="AG115" s="698"/>
      <c r="AI115" s="698">
        <f>-SUMIFS('1.DC_Ra soat'!$L:$L,'1.DC_Ra soat'!$F:$F,AI$4,'1.DC_Ra soat'!$H:$H,'1.BS (VND)'!$D115)+SUMIFS('1.DC_Ra soat'!$L:$L,'1.DC_Ra soat'!$F:$F,AI$4,'1.DC_Ra soat'!$I:$I,'1.BS (VND)'!$D115)</f>
        <v>0</v>
      </c>
      <c r="AJ115" s="698">
        <f>-SUMIFS('1.DC_Ra soat'!$L:$L,'1.DC_Ra soat'!$F:$F,AJ$4,'1.DC_Ra soat'!$H:$H,'1.BS (VND)'!$D115)+SUMIFS('1.DC_Ra soat'!$L:$L,'1.DC_Ra soat'!$F:$F,AJ$4,'1.DC_Ra soat'!$I:$I,'1.BS (VND)'!$D115)</f>
        <v>0</v>
      </c>
      <c r="AK115" s="698">
        <f>-SUMIFS('1.DC_Ra soat'!$L:$L,'1.DC_Ra soat'!$F:$F,AK$4,'1.DC_Ra soat'!$H:$H,'1.BS (VND)'!$D115)+SUMIFS('1.DC_Ra soat'!$L:$L,'1.DC_Ra soat'!$F:$F,AK$4,'1.DC_Ra soat'!$I:$I,'1.BS (VND)'!$D115)</f>
        <v>0</v>
      </c>
      <c r="AL115" s="698">
        <f>-SUMIFS('1.DC_Ra soat'!$L:$L,'1.DC_Ra soat'!$F:$F,AL$4,'1.DC_Ra soat'!$H:$H,'1.BS (VND)'!$D115)+SUMIFS('1.DC_Ra soat'!$L:$L,'1.DC_Ra soat'!$F:$F,AL$4,'1.DC_Ra soat'!$I:$I,'1.BS (VND)'!$D115)</f>
        <v>0</v>
      </c>
      <c r="AM115" s="699"/>
      <c r="AN115" s="698">
        <f>-SUMIFS('1.DC_Ra soat'!$L:$L,'1.DC_Ra soat'!$F:$F,AN$4,'1.DC_Ra soat'!$H:$H,'1.BS (VND)'!$D115)+SUMIFS('1.DC_Ra soat'!$L:$L,'1.DC_Ra soat'!$F:$F,AN$4,'1.DC_Ra soat'!$I:$I,'1.BS (VND)'!$D115)</f>
        <v>0</v>
      </c>
      <c r="AO115" s="698">
        <f>-SUMIFS('1.DC_Ra soat'!$L:$L,'1.DC_Ra soat'!$F:$F,AO$4,'1.DC_Ra soat'!$H:$H,'1.BS (VND)'!$D115)+SUMIFS('1.DC_Ra soat'!$L:$L,'1.DC_Ra soat'!$F:$F,AO$4,'1.DC_Ra soat'!$I:$I,'1.BS (VND)'!$D115)</f>
        <v>0</v>
      </c>
      <c r="AP115" s="698">
        <f>-SUMIFS('1.DC_Ra soat'!$L:$L,'1.DC_Ra soat'!$F:$F,AP$4,'1.DC_Ra soat'!$H:$H,'1.BS (VND)'!$D115)+SUMIFS('1.DC_Ra soat'!$L:$L,'1.DC_Ra soat'!$F:$F,AP$4,'1.DC_Ra soat'!$I:$I,'1.BS (VND)'!$D115)</f>
        <v>0</v>
      </c>
      <c r="AQ115" s="698">
        <f>-SUMIFS('1.DC_Ra soat'!$L:$L,'1.DC_Ra soat'!$F:$F,AQ$4,'1.DC_Ra soat'!$H:$H,'1.BS (VND)'!$D115)+SUMIFS('1.DC_Ra soat'!$L:$L,'1.DC_Ra soat'!$F:$F,AQ$4,'1.DC_Ra soat'!$I:$I,'1.BS (VND)'!$D115)</f>
        <v>0</v>
      </c>
      <c r="AR115" s="699"/>
      <c r="AS115" s="698">
        <f>-SUMIFS('1.DC_Ra soat'!$L:$L,'1.DC_Ra soat'!$F:$F,AS$4,'1.DC_Ra soat'!$H:$H,'1.BS (VND)'!$D115)+SUMIFS('1.DC_Ra soat'!$L:$L,'1.DC_Ra soat'!$F:$F,AS$4,'1.DC_Ra soat'!$I:$I,'1.BS (VND)'!$D115)</f>
        <v>0</v>
      </c>
      <c r="AT115" s="698">
        <f>-SUMIFS('1.DC_Ra soat'!$L:$L,'1.DC_Ra soat'!$F:$F,AT$4,'1.DC_Ra soat'!$H:$H,'1.BS (VND)'!$D115)+SUMIFS('1.DC_Ra soat'!$L:$L,'1.DC_Ra soat'!$F:$F,AT$4,'1.DC_Ra soat'!$I:$I,'1.BS (VND)'!$D115)</f>
        <v>0</v>
      </c>
      <c r="AU115" s="698">
        <f>-SUMIFS('1.DC_Ra soat'!$L:$L,'1.DC_Ra soat'!$F:$F,AU$4,'1.DC_Ra soat'!$H:$H,'1.BS (VND)'!$D115)+SUMIFS('1.DC_Ra soat'!$L:$L,'1.DC_Ra soat'!$F:$F,AU$4,'1.DC_Ra soat'!$I:$I,'1.BS (VND)'!$D115)</f>
        <v>0</v>
      </c>
      <c r="AV115" s="698">
        <f>-SUMIFS('1.DC_Ra soat'!$L:$L,'1.DC_Ra soat'!$F:$F,AV$4,'1.DC_Ra soat'!$H:$H,'1.BS (VND)'!$D115)+SUMIFS('1.DC_Ra soat'!$L:$L,'1.DC_Ra soat'!$F:$F,AV$4,'1.DC_Ra soat'!$I:$I,'1.BS (VND)'!$D115)</f>
        <v>0</v>
      </c>
      <c r="AW115" s="699"/>
      <c r="AX115" s="698">
        <f>-SUMIFS('1.DC_Ra soat'!$L:$L,'1.DC_Ra soat'!$F:$F,AX$4,'1.DC_Ra soat'!$H:$H,'1.BS (VND)'!$D115)+SUMIFS('1.DC_Ra soat'!$L:$L,'1.DC_Ra soat'!$F:$F,AX$4,'1.DC_Ra soat'!$I:$I,'1.BS (VND)'!$D115)</f>
        <v>0</v>
      </c>
      <c r="AY115" s="698">
        <f>-SUMIFS('1.DC_Ra soat'!$L:$L,'1.DC_Ra soat'!$F:$F,AY$4,'1.DC_Ra soat'!$H:$H,'1.BS (VND)'!$D115)+SUMIFS('1.DC_Ra soat'!$L:$L,'1.DC_Ra soat'!$F:$F,AY$4,'1.DC_Ra soat'!$I:$I,'1.BS (VND)'!$D115)</f>
        <v>0</v>
      </c>
      <c r="AZ115" s="698">
        <f>-SUMIFS('1.DC_Ra soat'!$L:$L,'1.DC_Ra soat'!$F:$F,AZ$4,'1.DC_Ra soat'!$H:$H,'1.BS (VND)'!$D115)+SUMIFS('1.DC_Ra soat'!$L:$L,'1.DC_Ra soat'!$F:$F,AZ$4,'1.DC_Ra soat'!$I:$I,'1.BS (VND)'!$D115)</f>
        <v>0</v>
      </c>
      <c r="BA115" s="698">
        <f>-SUMIFS('1.DC_Ra soat'!$L:$L,'1.DC_Ra soat'!$F:$F,BA$4,'1.DC_Ra soat'!$H:$H,'1.BS (VND)'!$D115)+SUMIFS('1.DC_Ra soat'!$L:$L,'1.DC_Ra soat'!$F:$F,BA$4,'1.DC_Ra soat'!$I:$I,'1.BS (VND)'!$D115)</f>
        <v>0</v>
      </c>
      <c r="BB115" s="699"/>
      <c r="BC115" s="698">
        <f>-SUMIFS('1.DC_Ra soat'!$L:$L,'1.DC_Ra soat'!$F:$F,BC$4,'1.DC_Ra soat'!$H:$H,'1.BS (VND)'!$D115)+SUMIFS('1.DC_Ra soat'!$L:$L,'1.DC_Ra soat'!$F:$F,BC$4,'1.DC_Ra soat'!$I:$I,'1.BS (VND)'!$D115)</f>
        <v>0</v>
      </c>
      <c r="BD115" s="698">
        <f>-SUMIFS('1.DC_Ra soat'!$L:$L,'1.DC_Ra soat'!$F:$F,BD$4,'1.DC_Ra soat'!$H:$H,'1.BS (VND)'!$D115)+SUMIFS('1.DC_Ra soat'!$L:$L,'1.DC_Ra soat'!$F:$F,BD$4,'1.DC_Ra soat'!$I:$I,'1.BS (VND)'!$D115)</f>
        <v>0</v>
      </c>
      <c r="BE115" s="698">
        <f>-SUMIFS('1.DC_Ra soat'!$L:$L,'1.DC_Ra soat'!$F:$F,BE$4,'1.DC_Ra soat'!$H:$H,'1.BS (VND)'!$D115)+SUMIFS('1.DC_Ra soat'!$L:$L,'1.DC_Ra soat'!$F:$F,BE$4,'1.DC_Ra soat'!$I:$I,'1.BS (VND)'!$D115)</f>
        <v>0</v>
      </c>
      <c r="BF115" s="698">
        <f>-SUMIFS('1.DC_Ra soat'!$L:$L,'1.DC_Ra soat'!$F:$F,BF$4,'1.DC_Ra soat'!$H:$H,'1.BS (VND)'!$D115)+SUMIFS('1.DC_Ra soat'!$L:$L,'1.DC_Ra soat'!$F:$F,BF$4,'1.DC_Ra soat'!$I:$I,'1.BS (VND)'!$D115)</f>
        <v>0</v>
      </c>
      <c r="BG115" s="699"/>
      <c r="BH115" s="698">
        <f>-SUMIFS('1.DC_Ra soat'!$L:$L,'1.DC_Ra soat'!$F:$F,BH$4,'1.DC_Ra soat'!$H:$H,'1.BS (VND)'!$D115)+SUMIFS('1.DC_Ra soat'!$L:$L,'1.DC_Ra soat'!$F:$F,BH$4,'1.DC_Ra soat'!$I:$I,'1.BS (VND)'!$D115)</f>
        <v>0</v>
      </c>
      <c r="BI115" s="698">
        <f>-SUMIFS('1.DC_Ra soat'!$L:$L,'1.DC_Ra soat'!$F:$F,BI$4,'1.DC_Ra soat'!$H:$H,'1.BS (VND)'!$D115)+SUMIFS('1.DC_Ra soat'!$L:$L,'1.DC_Ra soat'!$F:$F,BI$4,'1.DC_Ra soat'!$I:$I,'1.BS (VND)'!$D115)</f>
        <v>0</v>
      </c>
      <c r="BJ115" s="698">
        <f>-SUMIFS('1.DC_Ra soat'!$L:$L,'1.DC_Ra soat'!$F:$F,BJ$4,'1.DC_Ra soat'!$H:$H,'1.BS (VND)'!$D115)+SUMIFS('1.DC_Ra soat'!$L:$L,'1.DC_Ra soat'!$F:$F,BJ$4,'1.DC_Ra soat'!$I:$I,'1.BS (VND)'!$D115)</f>
        <v>0</v>
      </c>
      <c r="BK115" s="698">
        <f>-SUMIFS('1.DC_Ra soat'!$L:$L,'1.DC_Ra soat'!$F:$F,BK$4,'1.DC_Ra soat'!$H:$H,'1.BS (VND)'!$D115)+SUMIFS('1.DC_Ra soat'!$L:$L,'1.DC_Ra soat'!$F:$F,BK$4,'1.DC_Ra soat'!$I:$I,'1.BS (VND)'!$D115)</f>
        <v>0</v>
      </c>
      <c r="BM115" s="698">
        <f t="shared" si="179"/>
        <v>0</v>
      </c>
      <c r="BN115" s="698">
        <f t="shared" si="180"/>
        <v>0</v>
      </c>
      <c r="BO115" s="698">
        <f t="shared" si="181"/>
        <v>0</v>
      </c>
      <c r="BP115" s="697">
        <f t="shared" si="182"/>
        <v>0</v>
      </c>
      <c r="BQ115" s="699"/>
      <c r="BR115" s="698">
        <f t="shared" si="183"/>
        <v>0</v>
      </c>
      <c r="BS115" s="698">
        <f t="shared" si="184"/>
        <v>0</v>
      </c>
      <c r="BT115" s="698">
        <f t="shared" si="185"/>
        <v>0</v>
      </c>
      <c r="BU115" s="698">
        <f t="shared" si="186"/>
        <v>0</v>
      </c>
      <c r="BV115" s="699"/>
      <c r="BW115" s="698">
        <f t="shared" si="187"/>
        <v>0</v>
      </c>
      <c r="BX115" s="698">
        <f t="shared" si="188"/>
        <v>0</v>
      </c>
      <c r="BY115" s="698">
        <f t="shared" si="189"/>
        <v>0</v>
      </c>
      <c r="BZ115" s="697">
        <f t="shared" si="190"/>
        <v>0</v>
      </c>
      <c r="CA115" s="699"/>
      <c r="CB115" s="697">
        <f t="shared" si="191"/>
        <v>0</v>
      </c>
      <c r="CC115" s="697">
        <f t="shared" si="192"/>
        <v>0</v>
      </c>
      <c r="CD115" s="697">
        <f t="shared" si="193"/>
        <v>0</v>
      </c>
      <c r="CE115" s="697">
        <f t="shared" si="194"/>
        <v>0</v>
      </c>
      <c r="CF115" s="699"/>
      <c r="CG115" s="697">
        <f t="shared" si="195"/>
        <v>0</v>
      </c>
      <c r="CH115" s="697">
        <f t="shared" si="196"/>
        <v>0</v>
      </c>
      <c r="CI115" s="697">
        <f t="shared" si="197"/>
        <v>0</v>
      </c>
      <c r="CJ115" s="697">
        <f t="shared" si="198"/>
        <v>0</v>
      </c>
      <c r="CK115" s="699"/>
      <c r="CL115" s="698">
        <f t="shared" si="199"/>
        <v>0</v>
      </c>
      <c r="CM115" s="698">
        <f t="shared" si="200"/>
        <v>0</v>
      </c>
      <c r="CN115" s="698">
        <f t="shared" si="201"/>
        <v>0</v>
      </c>
      <c r="CO115" s="697">
        <f t="shared" si="202"/>
        <v>0</v>
      </c>
      <c r="CQ115" s="698">
        <f>SUMIF('1.PL (VND) '!$BL$6:$CD$6,'1.PL (VND) '!CP$6,$BM115:$CE115)</f>
        <v>0</v>
      </c>
      <c r="CR115" s="698">
        <f>SUMIF('1.PL (VND) '!$BL$6:$CD$6,'1.PL (VND) '!CQ$6,$BM115:$CE115)</f>
        <v>0</v>
      </c>
      <c r="CS115" s="698">
        <f>SUMIF('1.PL (VND) '!$BL$6:$CD$6,'1.PL (VND) '!CR$6,$BM115:$CE115)</f>
        <v>0</v>
      </c>
      <c r="CT115" s="698">
        <f>SUMIF('1.PL (VND) '!$BL$6:$CD$6,'1.PL (VND) '!CS$6,$BM115:$CE115)</f>
        <v>0</v>
      </c>
      <c r="CV115" s="702">
        <f>-SUMIFS('1.DC_Ra soat'!$L:$L,'1.DC_Ra soat'!$F:$F,'1.PL (VND) '!DK$4,'1.DC_Ra soat'!$H:$H,'1.BS (VND)'!$D115)+SUMIFS('1.DC_Ra soat'!$L:$L,'1.DC_Ra soat'!$F:$F,'1.PL (VND) '!DK$4,'1.DC_Ra soat'!$I:$I,'1.BS (VND)'!$D115)</f>
        <v>0</v>
      </c>
      <c r="CW115" s="702">
        <f>-SUMIFS('1.DC_Ra soat'!$L:$L,'1.DC_Ra soat'!$F:$F,'1.PL (VND) '!DL$4,'1.DC_Ra soat'!$H:$H,'1.BS (VND)'!$D115)+SUMIFS('1.DC_Ra soat'!$L:$L,'1.DC_Ra soat'!$F:$F,'1.PL (VND) '!DL$4,'1.DC_Ra soat'!$I:$I,'1.BS (VND)'!$D115)</f>
        <v>0</v>
      </c>
      <c r="CX115" s="702">
        <f>-SUMIFS('1.DC_Ra soat'!$L:$L,'1.DC_Ra soat'!$F:$F,'1.PL (VND) '!DM$4,'1.DC_Ra soat'!$H:$H,'1.BS (VND)'!$D115)+SUMIFS('1.DC_Ra soat'!$L:$L,'1.DC_Ra soat'!$F:$F,'1.PL (VND) '!DM$4,'1.DC_Ra soat'!$I:$I,'1.BS (VND)'!$D115)</f>
        <v>0</v>
      </c>
      <c r="CY115" s="702">
        <f>-SUMIFS('1.DC_Ra soat'!$L:$L,'1.DC_Ra soat'!$F:$F,'1.PL (VND) '!DN$4,'1.DC_Ra soat'!$H:$H,'1.BS (VND)'!$D115)+SUMIFS('1.DC_Ra soat'!$L:$L,'1.DC_Ra soat'!$F:$F,'1.PL (VND) '!DN$4,'1.DC_Ra soat'!$I:$I,'1.BS (VND)'!$D115)</f>
        <v>0</v>
      </c>
      <c r="DA115" s="698">
        <f t="shared" si="213"/>
        <v>0</v>
      </c>
      <c r="DB115" s="698">
        <f t="shared" si="214"/>
        <v>0</v>
      </c>
      <c r="DC115" s="698">
        <f t="shared" si="215"/>
        <v>0</v>
      </c>
      <c r="DD115" s="698">
        <f t="shared" si="216"/>
        <v>0</v>
      </c>
    </row>
    <row r="116" spans="1:112" s="700" customFormat="1" x14ac:dyDescent="0.25">
      <c r="A116" s="248" t="str">
        <f t="shared" si="166"/>
        <v>hide</v>
      </c>
      <c r="C116" s="703" t="s">
        <v>485</v>
      </c>
      <c r="D116" s="704" t="s">
        <v>486</v>
      </c>
      <c r="E116" s="721"/>
      <c r="F116" s="721"/>
      <c r="G116" s="721"/>
      <c r="H116" s="722"/>
      <c r="I116" s="699"/>
      <c r="J116" s="698"/>
      <c r="K116" s="698"/>
      <c r="L116" s="698"/>
      <c r="M116" s="241">
        <v>0</v>
      </c>
      <c r="N116" s="699"/>
      <c r="O116" s="698"/>
      <c r="P116" s="698"/>
      <c r="Q116" s="698"/>
      <c r="R116" s="698"/>
      <c r="S116" s="699"/>
      <c r="T116" s="698"/>
      <c r="U116" s="698"/>
      <c r="V116" s="698"/>
      <c r="W116" s="698"/>
      <c r="X116" s="699"/>
      <c r="Y116" s="698"/>
      <c r="Z116" s="698"/>
      <c r="AA116" s="698"/>
      <c r="AB116" s="698"/>
      <c r="AC116" s="699"/>
      <c r="AD116" s="698"/>
      <c r="AE116" s="698"/>
      <c r="AF116" s="698"/>
      <c r="AG116" s="698"/>
      <c r="AI116" s="698">
        <f>-SUMIFS('1.DC_Ra soat'!$L:$L,'1.DC_Ra soat'!$F:$F,AI$4,'1.DC_Ra soat'!$H:$H,'1.BS (VND)'!$D116)+SUMIFS('1.DC_Ra soat'!$L:$L,'1.DC_Ra soat'!$F:$F,AI$4,'1.DC_Ra soat'!$I:$I,'1.BS (VND)'!$D116)</f>
        <v>0</v>
      </c>
      <c r="AJ116" s="698">
        <f>-SUMIFS('1.DC_Ra soat'!$L:$L,'1.DC_Ra soat'!$F:$F,AJ$4,'1.DC_Ra soat'!$H:$H,'1.BS (VND)'!$D116)+SUMIFS('1.DC_Ra soat'!$L:$L,'1.DC_Ra soat'!$F:$F,AJ$4,'1.DC_Ra soat'!$I:$I,'1.BS (VND)'!$D116)</f>
        <v>0</v>
      </c>
      <c r="AK116" s="698">
        <f>-SUMIFS('1.DC_Ra soat'!$L:$L,'1.DC_Ra soat'!$F:$F,AK$4,'1.DC_Ra soat'!$H:$H,'1.BS (VND)'!$D116)+SUMIFS('1.DC_Ra soat'!$L:$L,'1.DC_Ra soat'!$F:$F,AK$4,'1.DC_Ra soat'!$I:$I,'1.BS (VND)'!$D116)</f>
        <v>0</v>
      </c>
      <c r="AL116" s="698">
        <f>-SUMIFS('1.DC_Ra soat'!$L:$L,'1.DC_Ra soat'!$F:$F,AL$4,'1.DC_Ra soat'!$H:$H,'1.BS (VND)'!$D116)+SUMIFS('1.DC_Ra soat'!$L:$L,'1.DC_Ra soat'!$F:$F,AL$4,'1.DC_Ra soat'!$I:$I,'1.BS (VND)'!$D116)</f>
        <v>0</v>
      </c>
      <c r="AM116" s="699"/>
      <c r="AN116" s="698">
        <f>-SUMIFS('1.DC_Ra soat'!$L:$L,'1.DC_Ra soat'!$F:$F,AN$4,'1.DC_Ra soat'!$H:$H,'1.BS (VND)'!$D116)+SUMIFS('1.DC_Ra soat'!$L:$L,'1.DC_Ra soat'!$F:$F,AN$4,'1.DC_Ra soat'!$I:$I,'1.BS (VND)'!$D116)</f>
        <v>0</v>
      </c>
      <c r="AO116" s="698">
        <f>-SUMIFS('1.DC_Ra soat'!$L:$L,'1.DC_Ra soat'!$F:$F,AO$4,'1.DC_Ra soat'!$H:$H,'1.BS (VND)'!$D116)+SUMIFS('1.DC_Ra soat'!$L:$L,'1.DC_Ra soat'!$F:$F,AO$4,'1.DC_Ra soat'!$I:$I,'1.BS (VND)'!$D116)</f>
        <v>0</v>
      </c>
      <c r="AP116" s="698">
        <f>-SUMIFS('1.DC_Ra soat'!$L:$L,'1.DC_Ra soat'!$F:$F,AP$4,'1.DC_Ra soat'!$H:$H,'1.BS (VND)'!$D116)+SUMIFS('1.DC_Ra soat'!$L:$L,'1.DC_Ra soat'!$F:$F,AP$4,'1.DC_Ra soat'!$I:$I,'1.BS (VND)'!$D116)</f>
        <v>0</v>
      </c>
      <c r="AQ116" s="698">
        <f>-SUMIFS('1.DC_Ra soat'!$L:$L,'1.DC_Ra soat'!$F:$F,AQ$4,'1.DC_Ra soat'!$H:$H,'1.BS (VND)'!$D116)+SUMIFS('1.DC_Ra soat'!$L:$L,'1.DC_Ra soat'!$F:$F,AQ$4,'1.DC_Ra soat'!$I:$I,'1.BS (VND)'!$D116)</f>
        <v>0</v>
      </c>
      <c r="AR116" s="699"/>
      <c r="AS116" s="698">
        <f>-SUMIFS('1.DC_Ra soat'!$L:$L,'1.DC_Ra soat'!$F:$F,AS$4,'1.DC_Ra soat'!$H:$H,'1.BS (VND)'!$D116)+SUMIFS('1.DC_Ra soat'!$L:$L,'1.DC_Ra soat'!$F:$F,AS$4,'1.DC_Ra soat'!$I:$I,'1.BS (VND)'!$D116)</f>
        <v>0</v>
      </c>
      <c r="AT116" s="698">
        <f>-SUMIFS('1.DC_Ra soat'!$L:$L,'1.DC_Ra soat'!$F:$F,AT$4,'1.DC_Ra soat'!$H:$H,'1.BS (VND)'!$D116)+SUMIFS('1.DC_Ra soat'!$L:$L,'1.DC_Ra soat'!$F:$F,AT$4,'1.DC_Ra soat'!$I:$I,'1.BS (VND)'!$D116)</f>
        <v>0</v>
      </c>
      <c r="AU116" s="698">
        <f>-SUMIFS('1.DC_Ra soat'!$L:$L,'1.DC_Ra soat'!$F:$F,AU$4,'1.DC_Ra soat'!$H:$H,'1.BS (VND)'!$D116)+SUMIFS('1.DC_Ra soat'!$L:$L,'1.DC_Ra soat'!$F:$F,AU$4,'1.DC_Ra soat'!$I:$I,'1.BS (VND)'!$D116)</f>
        <v>0</v>
      </c>
      <c r="AV116" s="698">
        <f>-SUMIFS('1.DC_Ra soat'!$L:$L,'1.DC_Ra soat'!$F:$F,AV$4,'1.DC_Ra soat'!$H:$H,'1.BS (VND)'!$D116)+SUMIFS('1.DC_Ra soat'!$L:$L,'1.DC_Ra soat'!$F:$F,AV$4,'1.DC_Ra soat'!$I:$I,'1.BS (VND)'!$D116)</f>
        <v>0</v>
      </c>
      <c r="AW116" s="699"/>
      <c r="AX116" s="698">
        <f>-SUMIFS('1.DC_Ra soat'!$L:$L,'1.DC_Ra soat'!$F:$F,AX$4,'1.DC_Ra soat'!$H:$H,'1.BS (VND)'!$D116)+SUMIFS('1.DC_Ra soat'!$L:$L,'1.DC_Ra soat'!$F:$F,AX$4,'1.DC_Ra soat'!$I:$I,'1.BS (VND)'!$D116)</f>
        <v>0</v>
      </c>
      <c r="AY116" s="698">
        <f>-SUMIFS('1.DC_Ra soat'!$L:$L,'1.DC_Ra soat'!$F:$F,AY$4,'1.DC_Ra soat'!$H:$H,'1.BS (VND)'!$D116)+SUMIFS('1.DC_Ra soat'!$L:$L,'1.DC_Ra soat'!$F:$F,AY$4,'1.DC_Ra soat'!$I:$I,'1.BS (VND)'!$D116)</f>
        <v>0</v>
      </c>
      <c r="AZ116" s="698">
        <f>-SUMIFS('1.DC_Ra soat'!$L:$L,'1.DC_Ra soat'!$F:$F,AZ$4,'1.DC_Ra soat'!$H:$H,'1.BS (VND)'!$D116)+SUMIFS('1.DC_Ra soat'!$L:$L,'1.DC_Ra soat'!$F:$F,AZ$4,'1.DC_Ra soat'!$I:$I,'1.BS (VND)'!$D116)</f>
        <v>0</v>
      </c>
      <c r="BA116" s="698">
        <f>-SUMIFS('1.DC_Ra soat'!$L:$L,'1.DC_Ra soat'!$F:$F,BA$4,'1.DC_Ra soat'!$H:$H,'1.BS (VND)'!$D116)+SUMIFS('1.DC_Ra soat'!$L:$L,'1.DC_Ra soat'!$F:$F,BA$4,'1.DC_Ra soat'!$I:$I,'1.BS (VND)'!$D116)</f>
        <v>0</v>
      </c>
      <c r="BB116" s="699"/>
      <c r="BC116" s="698">
        <f>-SUMIFS('1.DC_Ra soat'!$L:$L,'1.DC_Ra soat'!$F:$F,BC$4,'1.DC_Ra soat'!$H:$H,'1.BS (VND)'!$D116)+SUMIFS('1.DC_Ra soat'!$L:$L,'1.DC_Ra soat'!$F:$F,BC$4,'1.DC_Ra soat'!$I:$I,'1.BS (VND)'!$D116)</f>
        <v>0</v>
      </c>
      <c r="BD116" s="698">
        <f>-SUMIFS('1.DC_Ra soat'!$L:$L,'1.DC_Ra soat'!$F:$F,BD$4,'1.DC_Ra soat'!$H:$H,'1.BS (VND)'!$D116)+SUMIFS('1.DC_Ra soat'!$L:$L,'1.DC_Ra soat'!$F:$F,BD$4,'1.DC_Ra soat'!$I:$I,'1.BS (VND)'!$D116)</f>
        <v>0</v>
      </c>
      <c r="BE116" s="698">
        <f>-SUMIFS('1.DC_Ra soat'!$L:$L,'1.DC_Ra soat'!$F:$F,BE$4,'1.DC_Ra soat'!$H:$H,'1.BS (VND)'!$D116)+SUMIFS('1.DC_Ra soat'!$L:$L,'1.DC_Ra soat'!$F:$F,BE$4,'1.DC_Ra soat'!$I:$I,'1.BS (VND)'!$D116)</f>
        <v>0</v>
      </c>
      <c r="BF116" s="698">
        <f>-SUMIFS('1.DC_Ra soat'!$L:$L,'1.DC_Ra soat'!$F:$F,BF$4,'1.DC_Ra soat'!$H:$H,'1.BS (VND)'!$D116)+SUMIFS('1.DC_Ra soat'!$L:$L,'1.DC_Ra soat'!$F:$F,BF$4,'1.DC_Ra soat'!$I:$I,'1.BS (VND)'!$D116)</f>
        <v>0</v>
      </c>
      <c r="BG116" s="699"/>
      <c r="BH116" s="698">
        <f>-SUMIFS('1.DC_Ra soat'!$L:$L,'1.DC_Ra soat'!$F:$F,BH$4,'1.DC_Ra soat'!$H:$H,'1.BS (VND)'!$D116)+SUMIFS('1.DC_Ra soat'!$L:$L,'1.DC_Ra soat'!$F:$F,BH$4,'1.DC_Ra soat'!$I:$I,'1.BS (VND)'!$D116)</f>
        <v>0</v>
      </c>
      <c r="BI116" s="698">
        <f>-SUMIFS('1.DC_Ra soat'!$L:$L,'1.DC_Ra soat'!$F:$F,BI$4,'1.DC_Ra soat'!$H:$H,'1.BS (VND)'!$D116)+SUMIFS('1.DC_Ra soat'!$L:$L,'1.DC_Ra soat'!$F:$F,BI$4,'1.DC_Ra soat'!$I:$I,'1.BS (VND)'!$D116)</f>
        <v>0</v>
      </c>
      <c r="BJ116" s="698">
        <f>-SUMIFS('1.DC_Ra soat'!$L:$L,'1.DC_Ra soat'!$F:$F,BJ$4,'1.DC_Ra soat'!$H:$H,'1.BS (VND)'!$D116)+SUMIFS('1.DC_Ra soat'!$L:$L,'1.DC_Ra soat'!$F:$F,BJ$4,'1.DC_Ra soat'!$I:$I,'1.BS (VND)'!$D116)</f>
        <v>0</v>
      </c>
      <c r="BK116" s="698">
        <f>-SUMIFS('1.DC_Ra soat'!$L:$L,'1.DC_Ra soat'!$F:$F,BK$4,'1.DC_Ra soat'!$H:$H,'1.BS (VND)'!$D116)+SUMIFS('1.DC_Ra soat'!$L:$L,'1.DC_Ra soat'!$F:$F,BK$4,'1.DC_Ra soat'!$I:$I,'1.BS (VND)'!$D116)</f>
        <v>0</v>
      </c>
      <c r="BM116" s="698">
        <f t="shared" si="179"/>
        <v>0</v>
      </c>
      <c r="BN116" s="698">
        <f t="shared" si="180"/>
        <v>0</v>
      </c>
      <c r="BO116" s="698">
        <f t="shared" si="181"/>
        <v>0</v>
      </c>
      <c r="BP116" s="697">
        <f t="shared" si="182"/>
        <v>0</v>
      </c>
      <c r="BQ116" s="699"/>
      <c r="BR116" s="698">
        <f t="shared" si="183"/>
        <v>0</v>
      </c>
      <c r="BS116" s="698">
        <f t="shared" si="184"/>
        <v>0</v>
      </c>
      <c r="BT116" s="698">
        <f t="shared" si="185"/>
        <v>0</v>
      </c>
      <c r="BU116" s="698">
        <f t="shared" si="186"/>
        <v>0</v>
      </c>
      <c r="BV116" s="699"/>
      <c r="BW116" s="698">
        <f t="shared" si="187"/>
        <v>0</v>
      </c>
      <c r="BX116" s="698">
        <f t="shared" si="188"/>
        <v>0</v>
      </c>
      <c r="BY116" s="698">
        <f t="shared" si="189"/>
        <v>0</v>
      </c>
      <c r="BZ116" s="697">
        <f t="shared" si="190"/>
        <v>0</v>
      </c>
      <c r="CA116" s="699"/>
      <c r="CB116" s="697">
        <f t="shared" si="191"/>
        <v>0</v>
      </c>
      <c r="CC116" s="697">
        <f t="shared" si="192"/>
        <v>0</v>
      </c>
      <c r="CD116" s="697">
        <f t="shared" si="193"/>
        <v>0</v>
      </c>
      <c r="CE116" s="697">
        <f t="shared" si="194"/>
        <v>0</v>
      </c>
      <c r="CF116" s="699"/>
      <c r="CG116" s="697">
        <f t="shared" si="195"/>
        <v>0</v>
      </c>
      <c r="CH116" s="697">
        <f t="shared" si="196"/>
        <v>0</v>
      </c>
      <c r="CI116" s="697">
        <f t="shared" si="197"/>
        <v>0</v>
      </c>
      <c r="CJ116" s="697">
        <f t="shared" si="198"/>
        <v>0</v>
      </c>
      <c r="CK116" s="699"/>
      <c r="CL116" s="698">
        <f t="shared" si="199"/>
        <v>0</v>
      </c>
      <c r="CM116" s="698">
        <f t="shared" si="200"/>
        <v>0</v>
      </c>
      <c r="CN116" s="698">
        <f t="shared" si="201"/>
        <v>0</v>
      </c>
      <c r="CO116" s="697">
        <f t="shared" si="202"/>
        <v>0</v>
      </c>
      <c r="CQ116" s="698">
        <f>SUMIF('1.PL (VND) '!$BL$6:$CD$6,'1.PL (VND) '!CP$6,$BM116:$CE116)</f>
        <v>0</v>
      </c>
      <c r="CR116" s="698">
        <f>SUMIF('1.PL (VND) '!$BL$6:$CD$6,'1.PL (VND) '!CQ$6,$BM116:$CE116)</f>
        <v>0</v>
      </c>
      <c r="CS116" s="698">
        <f>SUMIF('1.PL (VND) '!$BL$6:$CD$6,'1.PL (VND) '!CR$6,$BM116:$CE116)</f>
        <v>0</v>
      </c>
      <c r="CT116" s="698">
        <f>SUMIF('1.PL (VND) '!$BL$6:$CD$6,'1.PL (VND) '!CS$6,$BM116:$CE116)</f>
        <v>0</v>
      </c>
      <c r="CV116" s="702">
        <f>-SUMIFS('1.DC_Ra soat'!$L:$L,'1.DC_Ra soat'!$F:$F,'1.PL (VND) '!DK$4,'1.DC_Ra soat'!$H:$H,'1.BS (VND)'!$D116)+SUMIFS('1.DC_Ra soat'!$L:$L,'1.DC_Ra soat'!$F:$F,'1.PL (VND) '!DK$4,'1.DC_Ra soat'!$I:$I,'1.BS (VND)'!$D116)</f>
        <v>0</v>
      </c>
      <c r="CW116" s="702">
        <f>-SUMIFS('1.DC_Ra soat'!$L:$L,'1.DC_Ra soat'!$F:$F,'1.PL (VND) '!DL$4,'1.DC_Ra soat'!$H:$H,'1.BS (VND)'!$D116)+SUMIFS('1.DC_Ra soat'!$L:$L,'1.DC_Ra soat'!$F:$F,'1.PL (VND) '!DL$4,'1.DC_Ra soat'!$I:$I,'1.BS (VND)'!$D116)</f>
        <v>0</v>
      </c>
      <c r="CX116" s="702">
        <f>-SUMIFS('1.DC_Ra soat'!$L:$L,'1.DC_Ra soat'!$F:$F,'1.PL (VND) '!DM$4,'1.DC_Ra soat'!$H:$H,'1.BS (VND)'!$D116)+SUMIFS('1.DC_Ra soat'!$L:$L,'1.DC_Ra soat'!$F:$F,'1.PL (VND) '!DM$4,'1.DC_Ra soat'!$I:$I,'1.BS (VND)'!$D116)</f>
        <v>0</v>
      </c>
      <c r="CY116" s="702">
        <f>-SUMIFS('1.DC_Ra soat'!$L:$L,'1.DC_Ra soat'!$F:$F,'1.PL (VND) '!DN$4,'1.DC_Ra soat'!$H:$H,'1.BS (VND)'!$D116)+SUMIFS('1.DC_Ra soat'!$L:$L,'1.DC_Ra soat'!$F:$F,'1.PL (VND) '!DN$4,'1.DC_Ra soat'!$I:$I,'1.BS (VND)'!$D116)</f>
        <v>0</v>
      </c>
      <c r="DA116" s="698">
        <f t="shared" si="213"/>
        <v>0</v>
      </c>
      <c r="DB116" s="698">
        <f t="shared" si="214"/>
        <v>0</v>
      </c>
      <c r="DC116" s="698">
        <f t="shared" si="215"/>
        <v>0</v>
      </c>
      <c r="DD116" s="698">
        <f t="shared" si="216"/>
        <v>0</v>
      </c>
    </row>
    <row r="117" spans="1:112" s="700" customFormat="1" x14ac:dyDescent="0.25">
      <c r="A117" s="248">
        <f t="shared" si="166"/>
        <v>1</v>
      </c>
      <c r="C117" s="703" t="s">
        <v>487</v>
      </c>
      <c r="D117" s="704" t="s">
        <v>488</v>
      </c>
      <c r="E117" s="721">
        <v>-130172018</v>
      </c>
      <c r="F117" s="721">
        <v>-379137564</v>
      </c>
      <c r="G117" s="721">
        <v>-192469240</v>
      </c>
      <c r="H117" s="722">
        <v>-192469240</v>
      </c>
      <c r="I117" s="699"/>
      <c r="J117" s="698">
        <v>-1010849</v>
      </c>
      <c r="K117" s="711">
        <v>207961784</v>
      </c>
      <c r="L117" s="698">
        <v>-5085915748</v>
      </c>
      <c r="M117" s="739">
        <v>-5085915748</v>
      </c>
      <c r="N117" s="699"/>
      <c r="O117" s="698">
        <v>-606763460</v>
      </c>
      <c r="P117" s="698">
        <v>-667039602</v>
      </c>
      <c r="Q117" s="698">
        <v>-637892212</v>
      </c>
      <c r="R117" s="698">
        <v>-4087360755</v>
      </c>
      <c r="S117" s="699"/>
      <c r="T117" s="698">
        <v>-305983609</v>
      </c>
      <c r="U117" s="698">
        <v>-285022468</v>
      </c>
      <c r="V117" s="698">
        <v>-2223584850</v>
      </c>
      <c r="W117" s="698">
        <v>-4200732147</v>
      </c>
      <c r="X117" s="699"/>
      <c r="Y117" s="698"/>
      <c r="Z117" s="698"/>
      <c r="AA117" s="698"/>
      <c r="AB117" s="698"/>
      <c r="AC117" s="699"/>
      <c r="AD117" s="698"/>
      <c r="AE117" s="698"/>
      <c r="AF117" s="698"/>
      <c r="AG117" s="698"/>
      <c r="AI117" s="698">
        <f>-SUMIFS('1.DC_Ra soat'!$L:$L,'1.DC_Ra soat'!$F:$F,AI$4,'1.DC_Ra soat'!$H:$H,'1.BS (VND)'!$D117)+SUMIFS('1.DC_Ra soat'!$L:$L,'1.DC_Ra soat'!$F:$F,AI$4,'1.DC_Ra soat'!$I:$I,'1.BS (VND)'!$D117)</f>
        <v>0</v>
      </c>
      <c r="AJ117" s="698">
        <f>-SUMIFS('1.DC_Ra soat'!$L:$L,'1.DC_Ra soat'!$F:$F,AJ$4,'1.DC_Ra soat'!$H:$H,'1.BS (VND)'!$D117)+SUMIFS('1.DC_Ra soat'!$L:$L,'1.DC_Ra soat'!$F:$F,AJ$4,'1.DC_Ra soat'!$I:$I,'1.BS (VND)'!$D117)</f>
        <v>0</v>
      </c>
      <c r="AK117" s="698">
        <f>-SUMIFS('1.DC_Ra soat'!$L:$L,'1.DC_Ra soat'!$F:$F,AK$4,'1.DC_Ra soat'!$H:$H,'1.BS (VND)'!$D117)+SUMIFS('1.DC_Ra soat'!$L:$L,'1.DC_Ra soat'!$F:$F,AK$4,'1.DC_Ra soat'!$I:$I,'1.BS (VND)'!$D117)</f>
        <v>-10749717626</v>
      </c>
      <c r="AL117" s="750">
        <f>-SUMIFS('1.DC_Ra soat'!$L:$L,'1.DC_Ra soat'!$F:$F,AL$4,'1.DC_Ra soat'!$H:$H,'1.BS (VND)'!$D117)+SUMIFS('1.DC_Ra soat'!$L:$L,'1.DC_Ra soat'!$F:$F,AL$4,'1.DC_Ra soat'!$I:$I,'1.BS (VND)'!$D117)</f>
        <v>-15373321514</v>
      </c>
      <c r="AM117" s="699"/>
      <c r="AN117" s="698">
        <f>-SUMIFS('1.DC_Ra soat'!$L:$L,'1.DC_Ra soat'!$F:$F,AN$4,'1.DC_Ra soat'!$H:$H,'1.BS (VND)'!$D117)+SUMIFS('1.DC_Ra soat'!$L:$L,'1.DC_Ra soat'!$F:$F,AN$4,'1.DC_Ra soat'!$I:$I,'1.BS (VND)'!$D117)</f>
        <v>0</v>
      </c>
      <c r="AO117" s="698">
        <f>-SUMIFS('1.DC_Ra soat'!$L:$L,'1.DC_Ra soat'!$F:$F,AO$4,'1.DC_Ra soat'!$H:$H,'1.BS (VND)'!$D117)+SUMIFS('1.DC_Ra soat'!$L:$L,'1.DC_Ra soat'!$F:$F,AO$4,'1.DC_Ra soat'!$I:$I,'1.BS (VND)'!$D117)</f>
        <v>0</v>
      </c>
      <c r="AP117" s="698">
        <f>-SUMIFS('1.DC_Ra soat'!$L:$L,'1.DC_Ra soat'!$F:$F,AP$4,'1.DC_Ra soat'!$H:$H,'1.BS (VND)'!$D117)+SUMIFS('1.DC_Ra soat'!$L:$L,'1.DC_Ra soat'!$F:$F,AP$4,'1.DC_Ra soat'!$I:$I,'1.BS (VND)'!$D117)</f>
        <v>-741540549</v>
      </c>
      <c r="AQ117" s="698">
        <f>-SUMIFS('1.DC_Ra soat'!$L:$L,'1.DC_Ra soat'!$F:$F,AQ$4,'1.DC_Ra soat'!$H:$H,'1.BS (VND)'!$D117)+SUMIFS('1.DC_Ra soat'!$L:$L,'1.DC_Ra soat'!$F:$F,AQ$4,'1.DC_Ra soat'!$I:$I,'1.BS (VND)'!$D117)+'1.PL (VND) '!AP26</f>
        <v>-741540549</v>
      </c>
      <c r="AR117" s="699"/>
      <c r="AS117" s="698">
        <f>-SUMIFS('1.DC_Ra soat'!$L:$L,'1.DC_Ra soat'!$F:$F,AS$4,'1.DC_Ra soat'!$H:$H,'1.BS (VND)'!$D117)+SUMIFS('1.DC_Ra soat'!$L:$L,'1.DC_Ra soat'!$F:$F,AS$4,'1.DC_Ra soat'!$I:$I,'1.BS (VND)'!$D117)</f>
        <v>0</v>
      </c>
      <c r="AT117" s="698">
        <f>-SUMIFS('1.DC_Ra soat'!$L:$L,'1.DC_Ra soat'!$F:$F,AT$4,'1.DC_Ra soat'!$H:$H,'1.BS (VND)'!$D117)+SUMIFS('1.DC_Ra soat'!$L:$L,'1.DC_Ra soat'!$F:$F,AT$4,'1.DC_Ra soat'!$I:$I,'1.BS (VND)'!$D117)</f>
        <v>0</v>
      </c>
      <c r="AU117" s="698">
        <f>-SUMIFS('1.DC_Ra soat'!$L:$L,'1.DC_Ra soat'!$F:$F,AU$4,'1.DC_Ra soat'!$H:$H,'1.BS (VND)'!$D117)+SUMIFS('1.DC_Ra soat'!$L:$L,'1.DC_Ra soat'!$F:$F,AU$4,'1.DC_Ra soat'!$I:$I,'1.BS (VND)'!$D117)</f>
        <v>-846888229</v>
      </c>
      <c r="AV117" s="698">
        <f>-SUMIFS('1.DC_Ra soat'!$L:$L,'1.DC_Ra soat'!$F:$F,AV$4,'1.DC_Ra soat'!$H:$H,'1.BS (VND)'!$D117)+SUMIFS('1.DC_Ra soat'!$L:$L,'1.DC_Ra soat'!$F:$F,AV$4,'1.DC_Ra soat'!$I:$I,'1.BS (VND)'!$D117)</f>
        <v>-5796888229</v>
      </c>
      <c r="AW117" s="699"/>
      <c r="AX117" s="698">
        <f>-SUMIFS('1.DC_Ra soat'!$L:$L,'1.DC_Ra soat'!$F:$F,AX$4,'1.DC_Ra soat'!$H:$H,'1.BS (VND)'!$D117)+SUMIFS('1.DC_Ra soat'!$L:$L,'1.DC_Ra soat'!$F:$F,AX$4,'1.DC_Ra soat'!$I:$I,'1.BS (VND)'!$D117)</f>
        <v>0</v>
      </c>
      <c r="AY117" s="698">
        <f>-SUMIFS('1.DC_Ra soat'!$L:$L,'1.DC_Ra soat'!$F:$F,AY$4,'1.DC_Ra soat'!$H:$H,'1.BS (VND)'!$D117)+SUMIFS('1.DC_Ra soat'!$L:$L,'1.DC_Ra soat'!$F:$F,AY$4,'1.DC_Ra soat'!$I:$I,'1.BS (VND)'!$D117)</f>
        <v>0</v>
      </c>
      <c r="AZ117" s="698">
        <f>-SUMIFS('1.DC_Ra soat'!$L:$L,'1.DC_Ra soat'!$F:$F,AZ$4,'1.DC_Ra soat'!$H:$H,'1.BS (VND)'!$D117)+SUMIFS('1.DC_Ra soat'!$L:$L,'1.DC_Ra soat'!$F:$F,AZ$4,'1.DC_Ra soat'!$I:$I,'1.BS (VND)'!$D117)</f>
        <v>-1262355349</v>
      </c>
      <c r="BA117" s="698">
        <f>-SUMIFS('1.DC_Ra soat'!$L:$L,'1.DC_Ra soat'!$F:$F,BA$4,'1.DC_Ra soat'!$H:$H,'1.BS (VND)'!$D117)+SUMIFS('1.DC_Ra soat'!$L:$L,'1.DC_Ra soat'!$F:$F,BA$4,'1.DC_Ra soat'!$I:$I,'1.BS (VND)'!$D117)</f>
        <v>-6262355349</v>
      </c>
      <c r="BB117" s="699"/>
      <c r="BC117" s="698">
        <f>-SUMIFS('1.DC_Ra soat'!$L:$L,'1.DC_Ra soat'!$F:$F,BC$4,'1.DC_Ra soat'!$H:$H,'1.BS (VND)'!$D117)+SUMIFS('1.DC_Ra soat'!$L:$L,'1.DC_Ra soat'!$F:$F,BC$4,'1.DC_Ra soat'!$I:$I,'1.BS (VND)'!$D117)</f>
        <v>0</v>
      </c>
      <c r="BD117" s="698">
        <f>-SUMIFS('1.DC_Ra soat'!$L:$L,'1.DC_Ra soat'!$F:$F,BD$4,'1.DC_Ra soat'!$H:$H,'1.BS (VND)'!$D117)+SUMIFS('1.DC_Ra soat'!$L:$L,'1.DC_Ra soat'!$F:$F,BD$4,'1.DC_Ra soat'!$I:$I,'1.BS (VND)'!$D117)</f>
        <v>0</v>
      </c>
      <c r="BE117" s="698">
        <f>-SUMIFS('1.DC_Ra soat'!$L:$L,'1.DC_Ra soat'!$F:$F,BE$4,'1.DC_Ra soat'!$H:$H,'1.BS (VND)'!$D117)+SUMIFS('1.DC_Ra soat'!$L:$L,'1.DC_Ra soat'!$F:$F,BE$4,'1.DC_Ra soat'!$I:$I,'1.BS (VND)'!$D117)</f>
        <v>0</v>
      </c>
      <c r="BF117" s="698">
        <f>-SUMIFS('1.DC_Ra soat'!$L:$L,'1.DC_Ra soat'!$F:$F,BF$4,'1.DC_Ra soat'!$H:$H,'1.BS (VND)'!$D117)+SUMIFS('1.DC_Ra soat'!$L:$L,'1.DC_Ra soat'!$F:$F,BF$4,'1.DC_Ra soat'!$I:$I,'1.BS (VND)'!$D117)</f>
        <v>0</v>
      </c>
      <c r="BG117" s="699"/>
      <c r="BH117" s="698">
        <f>-SUMIFS('1.DC_Ra soat'!$L:$L,'1.DC_Ra soat'!$F:$F,BH$4,'1.DC_Ra soat'!$H:$H,'1.BS (VND)'!$D117)+SUMIFS('1.DC_Ra soat'!$L:$L,'1.DC_Ra soat'!$F:$F,BH$4,'1.DC_Ra soat'!$I:$I,'1.BS (VND)'!$D117)</f>
        <v>0</v>
      </c>
      <c r="BI117" s="698">
        <f>-SUMIFS('1.DC_Ra soat'!$L:$L,'1.DC_Ra soat'!$F:$F,BI$4,'1.DC_Ra soat'!$H:$H,'1.BS (VND)'!$D117)+SUMIFS('1.DC_Ra soat'!$L:$L,'1.DC_Ra soat'!$F:$F,BI$4,'1.DC_Ra soat'!$I:$I,'1.BS (VND)'!$D117)</f>
        <v>0</v>
      </c>
      <c r="BJ117" s="698">
        <f>-SUMIFS('1.DC_Ra soat'!$L:$L,'1.DC_Ra soat'!$F:$F,BJ$4,'1.DC_Ra soat'!$H:$H,'1.BS (VND)'!$D117)+SUMIFS('1.DC_Ra soat'!$L:$L,'1.DC_Ra soat'!$F:$F,BJ$4,'1.DC_Ra soat'!$I:$I,'1.BS (VND)'!$D117)</f>
        <v>0</v>
      </c>
      <c r="BK117" s="698">
        <f>-SUMIFS('1.DC_Ra soat'!$L:$L,'1.DC_Ra soat'!$F:$F,BK$4,'1.DC_Ra soat'!$H:$H,'1.BS (VND)'!$D117)+SUMIFS('1.DC_Ra soat'!$L:$L,'1.DC_Ra soat'!$F:$F,BK$4,'1.DC_Ra soat'!$I:$I,'1.BS (VND)'!$D117)</f>
        <v>0</v>
      </c>
      <c r="BM117" s="698">
        <f t="shared" si="179"/>
        <v>-130172018</v>
      </c>
      <c r="BN117" s="711">
        <f t="shared" si="180"/>
        <v>-379137564</v>
      </c>
      <c r="BO117" s="698">
        <f t="shared" si="181"/>
        <v>-10942186866</v>
      </c>
      <c r="BP117" s="697">
        <f t="shared" si="182"/>
        <v>-15565790754</v>
      </c>
      <c r="BQ117" s="699"/>
      <c r="BR117" s="698">
        <f t="shared" si="183"/>
        <v>-1010849</v>
      </c>
      <c r="BS117" s="711">
        <f t="shared" si="184"/>
        <v>207961784</v>
      </c>
      <c r="BT117" s="698">
        <f t="shared" si="185"/>
        <v>-5827456297</v>
      </c>
      <c r="BU117" s="698">
        <f t="shared" si="186"/>
        <v>-5827456297</v>
      </c>
      <c r="BV117" s="699"/>
      <c r="BW117" s="698">
        <f t="shared" si="187"/>
        <v>-606763460</v>
      </c>
      <c r="BX117" s="711">
        <f t="shared" si="188"/>
        <v>-667039602</v>
      </c>
      <c r="BY117" s="698">
        <f t="shared" si="189"/>
        <v>-1484780441</v>
      </c>
      <c r="BZ117" s="697">
        <f t="shared" si="190"/>
        <v>-9884248984</v>
      </c>
      <c r="CA117" s="699"/>
      <c r="CB117" s="697">
        <f t="shared" si="191"/>
        <v>-305983609</v>
      </c>
      <c r="CC117" s="697">
        <f t="shared" si="192"/>
        <v>-285022468</v>
      </c>
      <c r="CD117" s="697">
        <f t="shared" si="193"/>
        <v>-3485940199</v>
      </c>
      <c r="CE117" s="697">
        <f t="shared" si="194"/>
        <v>-10463087496</v>
      </c>
      <c r="CF117" s="699"/>
      <c r="CG117" s="697">
        <f t="shared" si="195"/>
        <v>0</v>
      </c>
      <c r="CH117" s="697">
        <f t="shared" si="196"/>
        <v>0</v>
      </c>
      <c r="CI117" s="697">
        <f t="shared" si="197"/>
        <v>0</v>
      </c>
      <c r="CJ117" s="697">
        <f t="shared" si="198"/>
        <v>0</v>
      </c>
      <c r="CK117" s="699"/>
      <c r="CL117" s="698">
        <f t="shared" si="199"/>
        <v>0</v>
      </c>
      <c r="CM117" s="711">
        <f t="shared" si="200"/>
        <v>0</v>
      </c>
      <c r="CN117" s="698">
        <f t="shared" si="201"/>
        <v>0</v>
      </c>
      <c r="CO117" s="697">
        <f t="shared" si="202"/>
        <v>0</v>
      </c>
      <c r="CQ117" s="698">
        <f>SUMIF('1.PL (VND) '!$BL$6:$CD$6,'1.PL (VND) '!CP$6,$BM117:$CE117)</f>
        <v>-1043929936</v>
      </c>
      <c r="CR117" s="698">
        <f>SUMIF('1.PL (VND) '!$BL$6:$CD$6,'1.PL (VND) '!CQ$6,$BM117:$CE117)</f>
        <v>-1123237850</v>
      </c>
      <c r="CS117" s="698">
        <f>SUMIF('1.PL (VND) '!$BL$6:$CD$6,'1.PL (VND) '!CR$6,$BM117:$CE117)</f>
        <v>-21740363803</v>
      </c>
      <c r="CT117" s="698">
        <f>SUMIF('1.PL (VND) '!$BL$6:$CD$6,'1.PL (VND) '!CS$6,$BM117:$CE117)</f>
        <v>-41740583531</v>
      </c>
      <c r="CV117" s="698">
        <f>SUM(CV118:CV119)</f>
        <v>0</v>
      </c>
      <c r="CW117" s="698">
        <f>SUM(CW118:CW119)</f>
        <v>0</v>
      </c>
      <c r="CX117" s="698">
        <f>SUM(CX118:CX119)</f>
        <v>0</v>
      </c>
      <c r="CY117" s="697"/>
      <c r="DA117" s="698">
        <f t="shared" si="213"/>
        <v>-1043929936</v>
      </c>
      <c r="DB117" s="698">
        <f t="shared" si="214"/>
        <v>-1123237850</v>
      </c>
      <c r="DC117" s="698">
        <f t="shared" si="215"/>
        <v>-21740363803</v>
      </c>
      <c r="DD117" s="698">
        <f t="shared" si="216"/>
        <v>-41740583531</v>
      </c>
      <c r="DH117" s="701"/>
    </row>
    <row r="118" spans="1:112" s="700" customFormat="1" x14ac:dyDescent="0.25">
      <c r="A118" s="248" t="str">
        <f t="shared" si="166"/>
        <v>hide</v>
      </c>
      <c r="C118" s="703" t="s">
        <v>489</v>
      </c>
      <c r="D118" s="704" t="s">
        <v>537</v>
      </c>
      <c r="E118" s="721"/>
      <c r="F118" s="721"/>
      <c r="G118" s="721"/>
      <c r="H118" s="722"/>
      <c r="I118" s="699"/>
      <c r="J118" s="702"/>
      <c r="K118" s="702"/>
      <c r="L118" s="702"/>
      <c r="M118" s="241"/>
      <c r="N118" s="699"/>
      <c r="O118" s="698"/>
      <c r="P118" s="698"/>
      <c r="Q118" s="698"/>
      <c r="R118" s="698"/>
      <c r="S118" s="699"/>
      <c r="T118" s="698"/>
      <c r="U118" s="698"/>
      <c r="V118" s="698"/>
      <c r="W118" s="698"/>
      <c r="X118" s="699"/>
      <c r="Y118" s="698"/>
      <c r="Z118" s="698"/>
      <c r="AA118" s="698"/>
      <c r="AB118" s="698"/>
      <c r="AC118" s="699"/>
      <c r="AD118" s="698"/>
      <c r="AE118" s="698"/>
      <c r="AF118" s="698"/>
      <c r="AG118" s="698"/>
      <c r="AI118" s="698">
        <f>-SUMIFS('1.DC_Ra soat'!$L:$L,'1.DC_Ra soat'!$F:$F,AI$4,'1.DC_Ra soat'!$H:$H,'1.BS (VND)'!$D118)+SUMIFS('1.DC_Ra soat'!$L:$L,'1.DC_Ra soat'!$F:$F,AI$4,'1.DC_Ra soat'!$I:$I,'1.BS (VND)'!$D118)</f>
        <v>0</v>
      </c>
      <c r="AJ118" s="698">
        <f>-SUMIFS('1.DC_Ra soat'!$L:$L,'1.DC_Ra soat'!$F:$F,AJ$4,'1.DC_Ra soat'!$H:$H,'1.BS (VND)'!$D118)+SUMIFS('1.DC_Ra soat'!$L:$L,'1.DC_Ra soat'!$F:$F,AJ$4,'1.DC_Ra soat'!$I:$I,'1.BS (VND)'!$D118)</f>
        <v>0</v>
      </c>
      <c r="AK118" s="698">
        <f>-SUMIFS('1.DC_Ra soat'!$L:$L,'1.DC_Ra soat'!$F:$F,AK$4,'1.DC_Ra soat'!$H:$H,'1.BS (VND)'!$D118)+SUMIFS('1.DC_Ra soat'!$L:$L,'1.DC_Ra soat'!$F:$F,AK$4,'1.DC_Ra soat'!$I:$I,'1.BS (VND)'!$D118)</f>
        <v>0</v>
      </c>
      <c r="AL118" s="698">
        <f>-SUMIFS('1.DC_Ra soat'!$L:$L,'1.DC_Ra soat'!$F:$F,AL$4,'1.DC_Ra soat'!$H:$H,'1.BS (VND)'!$D118)+SUMIFS('1.DC_Ra soat'!$L:$L,'1.DC_Ra soat'!$F:$F,AL$4,'1.DC_Ra soat'!$I:$I,'1.BS (VND)'!$D118)</f>
        <v>0</v>
      </c>
      <c r="AM118" s="699"/>
      <c r="AN118" s="698">
        <f>-SUMIFS('1.DC_Ra soat'!$L:$L,'1.DC_Ra soat'!$F:$F,AN$4,'1.DC_Ra soat'!$H:$H,'1.BS (VND)'!$D118)+SUMIFS('1.DC_Ra soat'!$L:$L,'1.DC_Ra soat'!$F:$F,AN$4,'1.DC_Ra soat'!$I:$I,'1.BS (VND)'!$D118)</f>
        <v>0</v>
      </c>
      <c r="AO118" s="698">
        <f>-SUMIFS('1.DC_Ra soat'!$L:$L,'1.DC_Ra soat'!$F:$F,AO$4,'1.DC_Ra soat'!$H:$H,'1.BS (VND)'!$D118)+SUMIFS('1.DC_Ra soat'!$L:$L,'1.DC_Ra soat'!$F:$F,AO$4,'1.DC_Ra soat'!$I:$I,'1.BS (VND)'!$D118)</f>
        <v>0</v>
      </c>
      <c r="AP118" s="698">
        <f>-SUMIFS('1.DC_Ra soat'!$L:$L,'1.DC_Ra soat'!$F:$F,AP$4,'1.DC_Ra soat'!$H:$H,'1.BS (VND)'!$D118)+SUMIFS('1.DC_Ra soat'!$L:$L,'1.DC_Ra soat'!$F:$F,AP$4,'1.DC_Ra soat'!$I:$I,'1.BS (VND)'!$D118)</f>
        <v>0</v>
      </c>
      <c r="AQ118" s="698">
        <f>-SUMIFS('1.DC_Ra soat'!$L:$L,'1.DC_Ra soat'!$F:$F,AQ$4,'1.DC_Ra soat'!$H:$H,'1.BS (VND)'!$D118)+SUMIFS('1.DC_Ra soat'!$L:$L,'1.DC_Ra soat'!$F:$F,AQ$4,'1.DC_Ra soat'!$I:$I,'1.BS (VND)'!$D118)</f>
        <v>0</v>
      </c>
      <c r="AR118" s="699"/>
      <c r="AS118" s="698">
        <f>-SUMIFS('1.DC_Ra soat'!$L:$L,'1.DC_Ra soat'!$F:$F,AS$4,'1.DC_Ra soat'!$H:$H,'1.BS (VND)'!$D118)+SUMIFS('1.DC_Ra soat'!$L:$L,'1.DC_Ra soat'!$F:$F,AS$4,'1.DC_Ra soat'!$I:$I,'1.BS (VND)'!$D118)</f>
        <v>0</v>
      </c>
      <c r="AT118" s="698">
        <f>-SUMIFS('1.DC_Ra soat'!$L:$L,'1.DC_Ra soat'!$F:$F,AT$4,'1.DC_Ra soat'!$H:$H,'1.BS (VND)'!$D118)+SUMIFS('1.DC_Ra soat'!$L:$L,'1.DC_Ra soat'!$F:$F,AT$4,'1.DC_Ra soat'!$I:$I,'1.BS (VND)'!$D118)</f>
        <v>0</v>
      </c>
      <c r="AU118" s="698">
        <f>-SUMIFS('1.DC_Ra soat'!$L:$L,'1.DC_Ra soat'!$F:$F,AU$4,'1.DC_Ra soat'!$H:$H,'1.BS (VND)'!$D118)+SUMIFS('1.DC_Ra soat'!$L:$L,'1.DC_Ra soat'!$F:$F,AU$4,'1.DC_Ra soat'!$I:$I,'1.BS (VND)'!$D118)</f>
        <v>0</v>
      </c>
      <c r="AV118" s="698">
        <f>-SUMIFS('1.DC_Ra soat'!$L:$L,'1.DC_Ra soat'!$F:$F,AV$4,'1.DC_Ra soat'!$H:$H,'1.BS (VND)'!$D118)+SUMIFS('1.DC_Ra soat'!$L:$L,'1.DC_Ra soat'!$F:$F,AV$4,'1.DC_Ra soat'!$I:$I,'1.BS (VND)'!$D118)</f>
        <v>0</v>
      </c>
      <c r="AW118" s="699"/>
      <c r="AX118" s="698">
        <f>-SUMIFS('1.DC_Ra soat'!$L:$L,'1.DC_Ra soat'!$F:$F,AX$4,'1.DC_Ra soat'!$H:$H,'1.BS (VND)'!$D118)+SUMIFS('1.DC_Ra soat'!$L:$L,'1.DC_Ra soat'!$F:$F,AX$4,'1.DC_Ra soat'!$I:$I,'1.BS (VND)'!$D118)</f>
        <v>0</v>
      </c>
      <c r="AY118" s="698">
        <f>-SUMIFS('1.DC_Ra soat'!$L:$L,'1.DC_Ra soat'!$F:$F,AY$4,'1.DC_Ra soat'!$H:$H,'1.BS (VND)'!$D118)+SUMIFS('1.DC_Ra soat'!$L:$L,'1.DC_Ra soat'!$F:$F,AY$4,'1.DC_Ra soat'!$I:$I,'1.BS (VND)'!$D118)</f>
        <v>0</v>
      </c>
      <c r="AZ118" s="698">
        <f>-SUMIFS('1.DC_Ra soat'!$L:$L,'1.DC_Ra soat'!$F:$F,AZ$4,'1.DC_Ra soat'!$H:$H,'1.BS (VND)'!$D118)+SUMIFS('1.DC_Ra soat'!$L:$L,'1.DC_Ra soat'!$F:$F,AZ$4,'1.DC_Ra soat'!$I:$I,'1.BS (VND)'!$D118)</f>
        <v>0</v>
      </c>
      <c r="BA118" s="698">
        <f>-SUMIFS('1.DC_Ra soat'!$L:$L,'1.DC_Ra soat'!$F:$F,BA$4,'1.DC_Ra soat'!$H:$H,'1.BS (VND)'!$D118)+SUMIFS('1.DC_Ra soat'!$L:$L,'1.DC_Ra soat'!$F:$F,BA$4,'1.DC_Ra soat'!$I:$I,'1.BS (VND)'!$D118)</f>
        <v>0</v>
      </c>
      <c r="BB118" s="699"/>
      <c r="BC118" s="698">
        <f>-SUMIFS('1.DC_Ra soat'!$L:$L,'1.DC_Ra soat'!$F:$F,BC$4,'1.DC_Ra soat'!$H:$H,'1.BS (VND)'!$D118)+SUMIFS('1.DC_Ra soat'!$L:$L,'1.DC_Ra soat'!$F:$F,BC$4,'1.DC_Ra soat'!$I:$I,'1.BS (VND)'!$D118)</f>
        <v>0</v>
      </c>
      <c r="BD118" s="698">
        <f>-SUMIFS('1.DC_Ra soat'!$L:$L,'1.DC_Ra soat'!$F:$F,BD$4,'1.DC_Ra soat'!$H:$H,'1.BS (VND)'!$D118)+SUMIFS('1.DC_Ra soat'!$L:$L,'1.DC_Ra soat'!$F:$F,BD$4,'1.DC_Ra soat'!$I:$I,'1.BS (VND)'!$D118)</f>
        <v>0</v>
      </c>
      <c r="BE118" s="698">
        <f>-SUMIFS('1.DC_Ra soat'!$L:$L,'1.DC_Ra soat'!$F:$F,BE$4,'1.DC_Ra soat'!$H:$H,'1.BS (VND)'!$D118)+SUMIFS('1.DC_Ra soat'!$L:$L,'1.DC_Ra soat'!$F:$F,BE$4,'1.DC_Ra soat'!$I:$I,'1.BS (VND)'!$D118)</f>
        <v>0</v>
      </c>
      <c r="BF118" s="698">
        <f>-SUMIFS('1.DC_Ra soat'!$L:$L,'1.DC_Ra soat'!$F:$F,BF$4,'1.DC_Ra soat'!$H:$H,'1.BS (VND)'!$D118)+SUMIFS('1.DC_Ra soat'!$L:$L,'1.DC_Ra soat'!$F:$F,BF$4,'1.DC_Ra soat'!$I:$I,'1.BS (VND)'!$D118)</f>
        <v>0</v>
      </c>
      <c r="BG118" s="699"/>
      <c r="BH118" s="698">
        <f>-SUMIFS('1.DC_Ra soat'!$L:$L,'1.DC_Ra soat'!$F:$F,BH$4,'1.DC_Ra soat'!$H:$H,'1.BS (VND)'!$D118)+SUMIFS('1.DC_Ra soat'!$L:$L,'1.DC_Ra soat'!$F:$F,BH$4,'1.DC_Ra soat'!$I:$I,'1.BS (VND)'!$D118)</f>
        <v>0</v>
      </c>
      <c r="BI118" s="698">
        <f>-SUMIFS('1.DC_Ra soat'!$L:$L,'1.DC_Ra soat'!$F:$F,BI$4,'1.DC_Ra soat'!$H:$H,'1.BS (VND)'!$D118)+SUMIFS('1.DC_Ra soat'!$L:$L,'1.DC_Ra soat'!$F:$F,BI$4,'1.DC_Ra soat'!$I:$I,'1.BS (VND)'!$D118)</f>
        <v>0</v>
      </c>
      <c r="BJ118" s="698">
        <f>-SUMIFS('1.DC_Ra soat'!$L:$L,'1.DC_Ra soat'!$F:$F,BJ$4,'1.DC_Ra soat'!$H:$H,'1.BS (VND)'!$D118)+SUMIFS('1.DC_Ra soat'!$L:$L,'1.DC_Ra soat'!$F:$F,BJ$4,'1.DC_Ra soat'!$I:$I,'1.BS (VND)'!$D118)</f>
        <v>0</v>
      </c>
      <c r="BK118" s="698">
        <f>-SUMIFS('1.DC_Ra soat'!$L:$L,'1.DC_Ra soat'!$F:$F,BK$4,'1.DC_Ra soat'!$H:$H,'1.BS (VND)'!$D118)+SUMIFS('1.DC_Ra soat'!$L:$L,'1.DC_Ra soat'!$F:$F,BK$4,'1.DC_Ra soat'!$I:$I,'1.BS (VND)'!$D118)</f>
        <v>0</v>
      </c>
      <c r="BM118" s="702">
        <f t="shared" si="179"/>
        <v>0</v>
      </c>
      <c r="BN118" s="702">
        <f t="shared" si="180"/>
        <v>0</v>
      </c>
      <c r="BO118" s="702">
        <f t="shared" si="181"/>
        <v>0</v>
      </c>
      <c r="BP118" s="697">
        <f t="shared" si="182"/>
        <v>0</v>
      </c>
      <c r="BQ118" s="699"/>
      <c r="BR118" s="702">
        <f t="shared" si="183"/>
        <v>0</v>
      </c>
      <c r="BS118" s="702">
        <f t="shared" si="184"/>
        <v>0</v>
      </c>
      <c r="BT118" s="702">
        <f t="shared" si="185"/>
        <v>0</v>
      </c>
      <c r="BU118" s="702">
        <f t="shared" si="186"/>
        <v>0</v>
      </c>
      <c r="BV118" s="699"/>
      <c r="BW118" s="702">
        <f t="shared" si="187"/>
        <v>0</v>
      </c>
      <c r="BX118" s="702">
        <f t="shared" si="188"/>
        <v>0</v>
      </c>
      <c r="BY118" s="702">
        <f t="shared" si="189"/>
        <v>0</v>
      </c>
      <c r="BZ118" s="697">
        <f t="shared" si="190"/>
        <v>0</v>
      </c>
      <c r="CA118" s="699"/>
      <c r="CB118" s="697">
        <f t="shared" si="191"/>
        <v>0</v>
      </c>
      <c r="CC118" s="697">
        <f t="shared" si="192"/>
        <v>0</v>
      </c>
      <c r="CD118" s="697">
        <f t="shared" si="193"/>
        <v>0</v>
      </c>
      <c r="CE118" s="697">
        <f t="shared" si="194"/>
        <v>0</v>
      </c>
      <c r="CF118" s="699"/>
      <c r="CG118" s="697">
        <f t="shared" si="195"/>
        <v>0</v>
      </c>
      <c r="CH118" s="697">
        <f t="shared" si="196"/>
        <v>0</v>
      </c>
      <c r="CI118" s="697">
        <f t="shared" si="197"/>
        <v>0</v>
      </c>
      <c r="CJ118" s="697">
        <f t="shared" si="198"/>
        <v>0</v>
      </c>
      <c r="CK118" s="699"/>
      <c r="CL118" s="702">
        <f t="shared" si="199"/>
        <v>0</v>
      </c>
      <c r="CM118" s="702">
        <f t="shared" si="200"/>
        <v>0</v>
      </c>
      <c r="CN118" s="702">
        <f t="shared" si="201"/>
        <v>0</v>
      </c>
      <c r="CO118" s="697">
        <f t="shared" si="202"/>
        <v>0</v>
      </c>
      <c r="CQ118" s="698">
        <f>SUMIF('1.PL (VND) '!$BL$6:$CD$6,'1.PL (VND) '!CP$6,$BM118:$CE118)</f>
        <v>0</v>
      </c>
      <c r="CR118" s="698">
        <f>SUMIF('1.PL (VND) '!$BL$6:$CD$6,'1.PL (VND) '!CQ$6,$BM118:$CE118)</f>
        <v>0</v>
      </c>
      <c r="CS118" s="698">
        <f>SUMIF('1.PL (VND) '!$BL$6:$CD$6,'1.PL (VND) '!CR$6,$BM118:$CE118)</f>
        <v>0</v>
      </c>
      <c r="CT118" s="698">
        <f>SUMIF('1.PL (VND) '!$BL$6:$CD$6,'1.PL (VND) '!CS$6,$BM118:$CE118)</f>
        <v>0</v>
      </c>
      <c r="CV118" s="702">
        <f>-SUMIFS('1.DC_Ra soat'!$L:$L,'1.DC_Ra soat'!$F:$F,'1.PL (VND) '!DK$4,'1.DC_Ra soat'!$H:$H,'1.BS (VND)'!$D118)+SUMIFS('1.DC_Ra soat'!$L:$L,'1.DC_Ra soat'!$F:$F,'1.PL (VND) '!DK$4,'1.DC_Ra soat'!$I:$I,'1.BS (VND)'!$D118)</f>
        <v>0</v>
      </c>
      <c r="CW118" s="702">
        <f>-SUMIFS('1.DC_Ra soat'!$L:$L,'1.DC_Ra soat'!$F:$F,'1.PL (VND) '!DL$4,'1.DC_Ra soat'!$H:$H,'1.BS (VND)'!$D118)+SUMIFS('1.DC_Ra soat'!$L:$L,'1.DC_Ra soat'!$F:$F,'1.PL (VND) '!DL$4,'1.DC_Ra soat'!$I:$I,'1.BS (VND)'!$D118)</f>
        <v>0</v>
      </c>
      <c r="CX118" s="702">
        <f>-SUMIFS('1.DC_Ra soat'!$L:$L,'1.DC_Ra soat'!$F:$F,'1.PL (VND) '!DM$4,'1.DC_Ra soat'!$H:$H,'1.BS (VND)'!$D118)+SUMIFS('1.DC_Ra soat'!$L:$L,'1.DC_Ra soat'!$F:$F,'1.PL (VND) '!DM$4,'1.DC_Ra soat'!$I:$I,'1.BS (VND)'!$D118)</f>
        <v>0</v>
      </c>
      <c r="CY118" s="702">
        <f>-SUMIFS('1.DC_Ra soat'!$L:$L,'1.DC_Ra soat'!$F:$F,'1.PL (VND) '!DN$4,'1.DC_Ra soat'!$H:$H,'1.BS (VND)'!$D118)+SUMIFS('1.DC_Ra soat'!$L:$L,'1.DC_Ra soat'!$F:$F,'1.PL (VND) '!DN$4,'1.DC_Ra soat'!$I:$I,'1.BS (VND)'!$D118)</f>
        <v>0</v>
      </c>
      <c r="DA118" s="698">
        <f t="shared" si="213"/>
        <v>0</v>
      </c>
      <c r="DB118" s="698">
        <f t="shared" si="214"/>
        <v>0</v>
      </c>
      <c r="DC118" s="698">
        <f t="shared" si="215"/>
        <v>0</v>
      </c>
      <c r="DD118" s="698">
        <f t="shared" si="216"/>
        <v>0</v>
      </c>
      <c r="DH118" s="701"/>
    </row>
    <row r="119" spans="1:112" s="700" customFormat="1" x14ac:dyDescent="0.25">
      <c r="A119" s="248" t="str">
        <f t="shared" si="166"/>
        <v>hide</v>
      </c>
      <c r="C119" s="703" t="s">
        <v>490</v>
      </c>
      <c r="D119" s="704" t="s">
        <v>538</v>
      </c>
      <c r="E119" s="721"/>
      <c r="F119" s="721"/>
      <c r="G119" s="721"/>
      <c r="H119" s="722"/>
      <c r="I119" s="699"/>
      <c r="J119" s="702"/>
      <c r="K119" s="702"/>
      <c r="L119" s="702"/>
      <c r="M119" s="241"/>
      <c r="N119" s="699"/>
      <c r="O119" s="698"/>
      <c r="P119" s="698"/>
      <c r="Q119" s="698"/>
      <c r="R119" s="698"/>
      <c r="S119" s="699"/>
      <c r="T119" s="698"/>
      <c r="U119" s="698"/>
      <c r="V119" s="698"/>
      <c r="W119" s="698"/>
      <c r="X119" s="699"/>
      <c r="Y119" s="698"/>
      <c r="Z119" s="698"/>
      <c r="AA119" s="698"/>
      <c r="AB119" s="698"/>
      <c r="AC119" s="699"/>
      <c r="AD119" s="698"/>
      <c r="AE119" s="698"/>
      <c r="AF119" s="698"/>
      <c r="AG119" s="698"/>
      <c r="AI119" s="698">
        <f>-SUMIFS('1.DC_Ra soat'!$L:$L,'1.DC_Ra soat'!$F:$F,AI$4,'1.DC_Ra soat'!$H:$H,'1.BS (VND)'!$D119)+SUMIFS('1.DC_Ra soat'!$L:$L,'1.DC_Ra soat'!$F:$F,AI$4,'1.DC_Ra soat'!$I:$I,'1.BS (VND)'!$D119)</f>
        <v>0</v>
      </c>
      <c r="AJ119" s="698">
        <f>-SUMIFS('1.DC_Ra soat'!$L:$L,'1.DC_Ra soat'!$F:$F,AJ$4,'1.DC_Ra soat'!$H:$H,'1.BS (VND)'!$D119)+SUMIFS('1.DC_Ra soat'!$L:$L,'1.DC_Ra soat'!$F:$F,AJ$4,'1.DC_Ra soat'!$I:$I,'1.BS (VND)'!$D119)</f>
        <v>0</v>
      </c>
      <c r="AK119" s="698">
        <f>-SUMIFS('1.DC_Ra soat'!$L:$L,'1.DC_Ra soat'!$F:$F,AK$4,'1.DC_Ra soat'!$H:$H,'1.BS (VND)'!$D119)+SUMIFS('1.DC_Ra soat'!$L:$L,'1.DC_Ra soat'!$F:$F,AK$4,'1.DC_Ra soat'!$I:$I,'1.BS (VND)'!$D119)</f>
        <v>0</v>
      </c>
      <c r="AL119" s="698">
        <f>-SUMIFS('1.DC_Ra soat'!$L:$L,'1.DC_Ra soat'!$F:$F,AL$4,'1.DC_Ra soat'!$H:$H,'1.BS (VND)'!$D119)+SUMIFS('1.DC_Ra soat'!$L:$L,'1.DC_Ra soat'!$F:$F,AL$4,'1.DC_Ra soat'!$I:$I,'1.BS (VND)'!$D119)</f>
        <v>0</v>
      </c>
      <c r="AM119" s="699"/>
      <c r="AN119" s="698">
        <f>-SUMIFS('1.DC_Ra soat'!$L:$L,'1.DC_Ra soat'!$F:$F,AN$4,'1.DC_Ra soat'!$H:$H,'1.BS (VND)'!$D119)+SUMIFS('1.DC_Ra soat'!$L:$L,'1.DC_Ra soat'!$F:$F,AN$4,'1.DC_Ra soat'!$I:$I,'1.BS (VND)'!$D119)</f>
        <v>0</v>
      </c>
      <c r="AO119" s="698">
        <f>-SUMIFS('1.DC_Ra soat'!$L:$L,'1.DC_Ra soat'!$F:$F,AO$4,'1.DC_Ra soat'!$H:$H,'1.BS (VND)'!$D119)+SUMIFS('1.DC_Ra soat'!$L:$L,'1.DC_Ra soat'!$F:$F,AO$4,'1.DC_Ra soat'!$I:$I,'1.BS (VND)'!$D119)</f>
        <v>0</v>
      </c>
      <c r="AP119" s="698">
        <f>-SUMIFS('1.DC_Ra soat'!$L:$L,'1.DC_Ra soat'!$F:$F,AP$4,'1.DC_Ra soat'!$H:$H,'1.BS (VND)'!$D119)+SUMIFS('1.DC_Ra soat'!$L:$L,'1.DC_Ra soat'!$F:$F,AP$4,'1.DC_Ra soat'!$I:$I,'1.BS (VND)'!$D119)</f>
        <v>0</v>
      </c>
      <c r="AQ119" s="698">
        <f>-SUMIFS('1.DC_Ra soat'!$L:$L,'1.DC_Ra soat'!$F:$F,AQ$4,'1.DC_Ra soat'!$H:$H,'1.BS (VND)'!$D119)+SUMIFS('1.DC_Ra soat'!$L:$L,'1.DC_Ra soat'!$F:$F,AQ$4,'1.DC_Ra soat'!$I:$I,'1.BS (VND)'!$D119)</f>
        <v>0</v>
      </c>
      <c r="AR119" s="699"/>
      <c r="AS119" s="698">
        <f>-SUMIFS('1.DC_Ra soat'!$L:$L,'1.DC_Ra soat'!$F:$F,AS$4,'1.DC_Ra soat'!$H:$H,'1.BS (VND)'!$D119)+SUMIFS('1.DC_Ra soat'!$L:$L,'1.DC_Ra soat'!$F:$F,AS$4,'1.DC_Ra soat'!$I:$I,'1.BS (VND)'!$D119)</f>
        <v>0</v>
      </c>
      <c r="AT119" s="698">
        <f>-SUMIFS('1.DC_Ra soat'!$L:$L,'1.DC_Ra soat'!$F:$F,AT$4,'1.DC_Ra soat'!$H:$H,'1.BS (VND)'!$D119)+SUMIFS('1.DC_Ra soat'!$L:$L,'1.DC_Ra soat'!$F:$F,AT$4,'1.DC_Ra soat'!$I:$I,'1.BS (VND)'!$D119)</f>
        <v>0</v>
      </c>
      <c r="AU119" s="698">
        <f>-SUMIFS('1.DC_Ra soat'!$L:$L,'1.DC_Ra soat'!$F:$F,AU$4,'1.DC_Ra soat'!$H:$H,'1.BS (VND)'!$D119)+SUMIFS('1.DC_Ra soat'!$L:$L,'1.DC_Ra soat'!$F:$F,AU$4,'1.DC_Ra soat'!$I:$I,'1.BS (VND)'!$D119)</f>
        <v>0</v>
      </c>
      <c r="AV119" s="698">
        <f>-SUMIFS('1.DC_Ra soat'!$L:$L,'1.DC_Ra soat'!$F:$F,AV$4,'1.DC_Ra soat'!$H:$H,'1.BS (VND)'!$D119)+SUMIFS('1.DC_Ra soat'!$L:$L,'1.DC_Ra soat'!$F:$F,AV$4,'1.DC_Ra soat'!$I:$I,'1.BS (VND)'!$D119)</f>
        <v>0</v>
      </c>
      <c r="AW119" s="699"/>
      <c r="AX119" s="698">
        <f>-SUMIFS('1.DC_Ra soat'!$L:$L,'1.DC_Ra soat'!$F:$F,AX$4,'1.DC_Ra soat'!$H:$H,'1.BS (VND)'!$D119)+SUMIFS('1.DC_Ra soat'!$L:$L,'1.DC_Ra soat'!$F:$F,AX$4,'1.DC_Ra soat'!$I:$I,'1.BS (VND)'!$D119)</f>
        <v>0</v>
      </c>
      <c r="AY119" s="698">
        <f>-SUMIFS('1.DC_Ra soat'!$L:$L,'1.DC_Ra soat'!$F:$F,AY$4,'1.DC_Ra soat'!$H:$H,'1.BS (VND)'!$D119)+SUMIFS('1.DC_Ra soat'!$L:$L,'1.DC_Ra soat'!$F:$F,AY$4,'1.DC_Ra soat'!$I:$I,'1.BS (VND)'!$D119)</f>
        <v>0</v>
      </c>
      <c r="AZ119" s="698">
        <f>-SUMIFS('1.DC_Ra soat'!$L:$L,'1.DC_Ra soat'!$F:$F,AZ$4,'1.DC_Ra soat'!$H:$H,'1.BS (VND)'!$D119)+SUMIFS('1.DC_Ra soat'!$L:$L,'1.DC_Ra soat'!$F:$F,AZ$4,'1.DC_Ra soat'!$I:$I,'1.BS (VND)'!$D119)</f>
        <v>0</v>
      </c>
      <c r="BA119" s="698">
        <f>-SUMIFS('1.DC_Ra soat'!$L:$L,'1.DC_Ra soat'!$F:$F,BA$4,'1.DC_Ra soat'!$H:$H,'1.BS (VND)'!$D119)+SUMIFS('1.DC_Ra soat'!$L:$L,'1.DC_Ra soat'!$F:$F,BA$4,'1.DC_Ra soat'!$I:$I,'1.BS (VND)'!$D119)</f>
        <v>0</v>
      </c>
      <c r="BB119" s="699"/>
      <c r="BC119" s="698">
        <f>-SUMIFS('1.DC_Ra soat'!$L:$L,'1.DC_Ra soat'!$F:$F,BC$4,'1.DC_Ra soat'!$H:$H,'1.BS (VND)'!$D119)+SUMIFS('1.DC_Ra soat'!$L:$L,'1.DC_Ra soat'!$F:$F,BC$4,'1.DC_Ra soat'!$I:$I,'1.BS (VND)'!$D119)</f>
        <v>0</v>
      </c>
      <c r="BD119" s="698">
        <f>-SUMIFS('1.DC_Ra soat'!$L:$L,'1.DC_Ra soat'!$F:$F,BD$4,'1.DC_Ra soat'!$H:$H,'1.BS (VND)'!$D119)+SUMIFS('1.DC_Ra soat'!$L:$L,'1.DC_Ra soat'!$F:$F,BD$4,'1.DC_Ra soat'!$I:$I,'1.BS (VND)'!$D119)</f>
        <v>0</v>
      </c>
      <c r="BE119" s="698">
        <f>-SUMIFS('1.DC_Ra soat'!$L:$L,'1.DC_Ra soat'!$F:$F,BE$4,'1.DC_Ra soat'!$H:$H,'1.BS (VND)'!$D119)+SUMIFS('1.DC_Ra soat'!$L:$L,'1.DC_Ra soat'!$F:$F,BE$4,'1.DC_Ra soat'!$I:$I,'1.BS (VND)'!$D119)</f>
        <v>0</v>
      </c>
      <c r="BF119" s="698">
        <f>-SUMIFS('1.DC_Ra soat'!$L:$L,'1.DC_Ra soat'!$F:$F,BF$4,'1.DC_Ra soat'!$H:$H,'1.BS (VND)'!$D119)+SUMIFS('1.DC_Ra soat'!$L:$L,'1.DC_Ra soat'!$F:$F,BF$4,'1.DC_Ra soat'!$I:$I,'1.BS (VND)'!$D119)</f>
        <v>0</v>
      </c>
      <c r="BG119" s="699"/>
      <c r="BH119" s="698">
        <f>-SUMIFS('1.DC_Ra soat'!$L:$L,'1.DC_Ra soat'!$F:$F,BH$4,'1.DC_Ra soat'!$H:$H,'1.BS (VND)'!$D119)+SUMIFS('1.DC_Ra soat'!$L:$L,'1.DC_Ra soat'!$F:$F,BH$4,'1.DC_Ra soat'!$I:$I,'1.BS (VND)'!$D119)</f>
        <v>0</v>
      </c>
      <c r="BI119" s="698">
        <f>-SUMIFS('1.DC_Ra soat'!$L:$L,'1.DC_Ra soat'!$F:$F,BI$4,'1.DC_Ra soat'!$H:$H,'1.BS (VND)'!$D119)+SUMIFS('1.DC_Ra soat'!$L:$L,'1.DC_Ra soat'!$F:$F,BI$4,'1.DC_Ra soat'!$I:$I,'1.BS (VND)'!$D119)</f>
        <v>0</v>
      </c>
      <c r="BJ119" s="698">
        <f>-SUMIFS('1.DC_Ra soat'!$L:$L,'1.DC_Ra soat'!$F:$F,BJ$4,'1.DC_Ra soat'!$H:$H,'1.BS (VND)'!$D119)+SUMIFS('1.DC_Ra soat'!$L:$L,'1.DC_Ra soat'!$F:$F,BJ$4,'1.DC_Ra soat'!$I:$I,'1.BS (VND)'!$D119)</f>
        <v>0</v>
      </c>
      <c r="BK119" s="698">
        <f>-SUMIFS('1.DC_Ra soat'!$L:$L,'1.DC_Ra soat'!$F:$F,BK$4,'1.DC_Ra soat'!$H:$H,'1.BS (VND)'!$D119)+SUMIFS('1.DC_Ra soat'!$L:$L,'1.DC_Ra soat'!$F:$F,BK$4,'1.DC_Ra soat'!$I:$I,'1.BS (VND)'!$D119)</f>
        <v>0</v>
      </c>
      <c r="BM119" s="702">
        <f t="shared" si="179"/>
        <v>0</v>
      </c>
      <c r="BN119" s="702">
        <f t="shared" si="180"/>
        <v>0</v>
      </c>
      <c r="BO119" s="702">
        <f t="shared" si="181"/>
        <v>0</v>
      </c>
      <c r="BP119" s="697">
        <f t="shared" si="182"/>
        <v>0</v>
      </c>
      <c r="BQ119" s="699"/>
      <c r="BR119" s="702">
        <f t="shared" si="183"/>
        <v>0</v>
      </c>
      <c r="BS119" s="702">
        <f t="shared" si="184"/>
        <v>0</v>
      </c>
      <c r="BT119" s="702">
        <f t="shared" si="185"/>
        <v>0</v>
      </c>
      <c r="BU119" s="702">
        <f t="shared" si="186"/>
        <v>0</v>
      </c>
      <c r="BV119" s="699"/>
      <c r="BW119" s="702">
        <f t="shared" si="187"/>
        <v>0</v>
      </c>
      <c r="BX119" s="702">
        <f t="shared" si="188"/>
        <v>0</v>
      </c>
      <c r="BY119" s="702">
        <f t="shared" si="189"/>
        <v>0</v>
      </c>
      <c r="BZ119" s="697">
        <f t="shared" si="190"/>
        <v>0</v>
      </c>
      <c r="CA119" s="699"/>
      <c r="CB119" s="697">
        <f t="shared" si="191"/>
        <v>0</v>
      </c>
      <c r="CC119" s="697">
        <f t="shared" si="192"/>
        <v>0</v>
      </c>
      <c r="CD119" s="697">
        <f t="shared" si="193"/>
        <v>0</v>
      </c>
      <c r="CE119" s="697">
        <f t="shared" si="194"/>
        <v>0</v>
      </c>
      <c r="CF119" s="699"/>
      <c r="CG119" s="697">
        <f t="shared" si="195"/>
        <v>0</v>
      </c>
      <c r="CH119" s="697">
        <f t="shared" si="196"/>
        <v>0</v>
      </c>
      <c r="CI119" s="697">
        <f t="shared" si="197"/>
        <v>0</v>
      </c>
      <c r="CJ119" s="697">
        <f t="shared" si="198"/>
        <v>0</v>
      </c>
      <c r="CK119" s="699"/>
      <c r="CL119" s="702">
        <f t="shared" si="199"/>
        <v>0</v>
      </c>
      <c r="CM119" s="702">
        <f t="shared" si="200"/>
        <v>0</v>
      </c>
      <c r="CN119" s="702">
        <f t="shared" si="201"/>
        <v>0</v>
      </c>
      <c r="CO119" s="697">
        <f t="shared" si="202"/>
        <v>0</v>
      </c>
      <c r="CQ119" s="698">
        <f>SUMIF('1.PL (VND) '!$BL$6:$CD$6,'1.PL (VND) '!CP$6,$BM119:$CE119)</f>
        <v>0</v>
      </c>
      <c r="CR119" s="698">
        <f>SUMIF('1.PL (VND) '!$BL$6:$CD$6,'1.PL (VND) '!CQ$6,$BM119:$CE119)</f>
        <v>0</v>
      </c>
      <c r="CS119" s="698">
        <f>SUMIF('1.PL (VND) '!$BL$6:$CD$6,'1.PL (VND) '!CR$6,$BM119:$CE119)</f>
        <v>0</v>
      </c>
      <c r="CT119" s="698">
        <f>SUMIF('1.PL (VND) '!$BL$6:$CD$6,'1.PL (VND) '!CS$6,$BM119:$CE119)</f>
        <v>0</v>
      </c>
      <c r="CV119" s="702">
        <f>-SUMIFS('1.DC_Ra soat'!$L:$L,'1.DC_Ra soat'!$F:$F,'1.PL (VND) '!DK$4,'1.DC_Ra soat'!$H:$H,'1.BS (VND)'!$D119)+SUMIFS('1.DC_Ra soat'!$L:$L,'1.DC_Ra soat'!$F:$F,'1.PL (VND) '!DK$4,'1.DC_Ra soat'!$I:$I,'1.BS (VND)'!$D119)</f>
        <v>0</v>
      </c>
      <c r="CW119" s="702">
        <f>-SUMIFS('1.DC_Ra soat'!$L:$L,'1.DC_Ra soat'!$F:$F,'1.PL (VND) '!DL$4,'1.DC_Ra soat'!$H:$H,'1.BS (VND)'!$D119)+SUMIFS('1.DC_Ra soat'!$L:$L,'1.DC_Ra soat'!$F:$F,'1.PL (VND) '!DL$4,'1.DC_Ra soat'!$I:$I,'1.BS (VND)'!$D119)</f>
        <v>0</v>
      </c>
      <c r="CX119" s="702">
        <f>-SUMIFS('1.DC_Ra soat'!$L:$L,'1.DC_Ra soat'!$F:$F,'1.PL (VND) '!DM$4,'1.DC_Ra soat'!$H:$H,'1.BS (VND)'!$D119)+SUMIFS('1.DC_Ra soat'!$L:$L,'1.DC_Ra soat'!$F:$F,'1.PL (VND) '!DM$4,'1.DC_Ra soat'!$I:$I,'1.BS (VND)'!$D119)</f>
        <v>0</v>
      </c>
      <c r="CY119" s="702">
        <f>-SUMIFS('1.DC_Ra soat'!$L:$L,'1.DC_Ra soat'!$F:$F,'1.PL (VND) '!DN$4,'1.DC_Ra soat'!$H:$H,'1.BS (VND)'!$D119)+SUMIFS('1.DC_Ra soat'!$L:$L,'1.DC_Ra soat'!$F:$F,'1.PL (VND) '!DN$4,'1.DC_Ra soat'!$I:$I,'1.BS (VND)'!$D119)</f>
        <v>0</v>
      </c>
      <c r="DA119" s="698">
        <f t="shared" si="213"/>
        <v>0</v>
      </c>
      <c r="DB119" s="698">
        <f t="shared" si="214"/>
        <v>0</v>
      </c>
      <c r="DC119" s="698">
        <f t="shared" si="215"/>
        <v>0</v>
      </c>
      <c r="DD119" s="698">
        <f t="shared" si="216"/>
        <v>0</v>
      </c>
      <c r="DH119" s="701"/>
    </row>
    <row r="120" spans="1:112" s="700" customFormat="1" x14ac:dyDescent="0.25">
      <c r="A120" s="248" t="str">
        <f t="shared" si="166"/>
        <v>hide</v>
      </c>
      <c r="C120" s="703" t="s">
        <v>590</v>
      </c>
      <c r="D120" s="704" t="s">
        <v>491</v>
      </c>
      <c r="E120" s="721"/>
      <c r="F120" s="721"/>
      <c r="G120" s="721"/>
      <c r="H120" s="722"/>
      <c r="I120" s="699"/>
      <c r="J120" s="698"/>
      <c r="K120" s="698"/>
      <c r="L120" s="698"/>
      <c r="M120" s="241">
        <v>0</v>
      </c>
      <c r="N120" s="699"/>
      <c r="O120" s="698"/>
      <c r="P120" s="698"/>
      <c r="Q120" s="698"/>
      <c r="R120" s="698"/>
      <c r="S120" s="699"/>
      <c r="T120" s="698"/>
      <c r="U120" s="698"/>
      <c r="V120" s="698"/>
      <c r="W120" s="698"/>
      <c r="X120" s="699"/>
      <c r="Y120" s="698"/>
      <c r="Z120" s="698"/>
      <c r="AA120" s="698"/>
      <c r="AB120" s="698"/>
      <c r="AC120" s="699"/>
      <c r="AD120" s="698"/>
      <c r="AE120" s="698"/>
      <c r="AF120" s="698"/>
      <c r="AG120" s="698"/>
      <c r="AI120" s="698">
        <f>-SUMIFS('1.DC_Ra soat'!$L:$L,'1.DC_Ra soat'!$F:$F,AI$4,'1.DC_Ra soat'!$H:$H,'1.BS (VND)'!$D120)+SUMIFS('1.DC_Ra soat'!$L:$L,'1.DC_Ra soat'!$F:$F,AI$4,'1.DC_Ra soat'!$I:$I,'1.BS (VND)'!$D120)</f>
        <v>0</v>
      </c>
      <c r="AJ120" s="698">
        <f>-SUMIFS('1.DC_Ra soat'!$L:$L,'1.DC_Ra soat'!$F:$F,AJ$4,'1.DC_Ra soat'!$H:$H,'1.BS (VND)'!$D120)+SUMIFS('1.DC_Ra soat'!$L:$L,'1.DC_Ra soat'!$F:$F,AJ$4,'1.DC_Ra soat'!$I:$I,'1.BS (VND)'!$D120)</f>
        <v>0</v>
      </c>
      <c r="AK120" s="698">
        <f>-SUMIFS('1.DC_Ra soat'!$L:$L,'1.DC_Ra soat'!$F:$F,AK$4,'1.DC_Ra soat'!$H:$H,'1.BS (VND)'!$D120)+SUMIFS('1.DC_Ra soat'!$L:$L,'1.DC_Ra soat'!$F:$F,AK$4,'1.DC_Ra soat'!$I:$I,'1.BS (VND)'!$D120)</f>
        <v>0</v>
      </c>
      <c r="AL120" s="698">
        <f>-SUMIFS('1.DC_Ra soat'!$L:$L,'1.DC_Ra soat'!$F:$F,AL$4,'1.DC_Ra soat'!$H:$H,'1.BS (VND)'!$D120)+SUMIFS('1.DC_Ra soat'!$L:$L,'1.DC_Ra soat'!$F:$F,AL$4,'1.DC_Ra soat'!$I:$I,'1.BS (VND)'!$D120)</f>
        <v>0</v>
      </c>
      <c r="AM120" s="699"/>
      <c r="AN120" s="698">
        <f>-SUMIFS('1.DC_Ra soat'!$L:$L,'1.DC_Ra soat'!$F:$F,AN$4,'1.DC_Ra soat'!$H:$H,'1.BS (VND)'!$D120)+SUMIFS('1.DC_Ra soat'!$L:$L,'1.DC_Ra soat'!$F:$F,AN$4,'1.DC_Ra soat'!$I:$I,'1.BS (VND)'!$D120)</f>
        <v>0</v>
      </c>
      <c r="AO120" s="698">
        <f>-SUMIFS('1.DC_Ra soat'!$L:$L,'1.DC_Ra soat'!$F:$F,AO$4,'1.DC_Ra soat'!$H:$H,'1.BS (VND)'!$D120)+SUMIFS('1.DC_Ra soat'!$L:$L,'1.DC_Ra soat'!$F:$F,AO$4,'1.DC_Ra soat'!$I:$I,'1.BS (VND)'!$D120)</f>
        <v>0</v>
      </c>
      <c r="AP120" s="698">
        <f>-SUMIFS('1.DC_Ra soat'!$L:$L,'1.DC_Ra soat'!$F:$F,AP$4,'1.DC_Ra soat'!$H:$H,'1.BS (VND)'!$D120)+SUMIFS('1.DC_Ra soat'!$L:$L,'1.DC_Ra soat'!$F:$F,AP$4,'1.DC_Ra soat'!$I:$I,'1.BS (VND)'!$D120)</f>
        <v>0</v>
      </c>
      <c r="AQ120" s="698">
        <f>-SUMIFS('1.DC_Ra soat'!$L:$L,'1.DC_Ra soat'!$F:$F,AQ$4,'1.DC_Ra soat'!$H:$H,'1.BS (VND)'!$D120)+SUMIFS('1.DC_Ra soat'!$L:$L,'1.DC_Ra soat'!$F:$F,AQ$4,'1.DC_Ra soat'!$I:$I,'1.BS (VND)'!$D120)</f>
        <v>0</v>
      </c>
      <c r="AR120" s="699"/>
      <c r="AS120" s="698">
        <f>-SUMIFS('1.DC_Ra soat'!$L:$L,'1.DC_Ra soat'!$F:$F,AS$4,'1.DC_Ra soat'!$H:$H,'1.BS (VND)'!$D120)+SUMIFS('1.DC_Ra soat'!$L:$L,'1.DC_Ra soat'!$F:$F,AS$4,'1.DC_Ra soat'!$I:$I,'1.BS (VND)'!$D120)</f>
        <v>0</v>
      </c>
      <c r="AT120" s="698">
        <f>-SUMIFS('1.DC_Ra soat'!$L:$L,'1.DC_Ra soat'!$F:$F,AT$4,'1.DC_Ra soat'!$H:$H,'1.BS (VND)'!$D120)+SUMIFS('1.DC_Ra soat'!$L:$L,'1.DC_Ra soat'!$F:$F,AT$4,'1.DC_Ra soat'!$I:$I,'1.BS (VND)'!$D120)</f>
        <v>0</v>
      </c>
      <c r="AU120" s="698">
        <f>-SUMIFS('1.DC_Ra soat'!$L:$L,'1.DC_Ra soat'!$F:$F,AU$4,'1.DC_Ra soat'!$H:$H,'1.BS (VND)'!$D120)+SUMIFS('1.DC_Ra soat'!$L:$L,'1.DC_Ra soat'!$F:$F,AU$4,'1.DC_Ra soat'!$I:$I,'1.BS (VND)'!$D120)</f>
        <v>0</v>
      </c>
      <c r="AV120" s="698">
        <f>-SUMIFS('1.DC_Ra soat'!$L:$L,'1.DC_Ra soat'!$F:$F,AV$4,'1.DC_Ra soat'!$H:$H,'1.BS (VND)'!$D120)+SUMIFS('1.DC_Ra soat'!$L:$L,'1.DC_Ra soat'!$F:$F,AV$4,'1.DC_Ra soat'!$I:$I,'1.BS (VND)'!$D120)</f>
        <v>0</v>
      </c>
      <c r="AW120" s="699"/>
      <c r="AX120" s="698">
        <f>-SUMIFS('1.DC_Ra soat'!$L:$L,'1.DC_Ra soat'!$F:$F,AX$4,'1.DC_Ra soat'!$H:$H,'1.BS (VND)'!$D120)+SUMIFS('1.DC_Ra soat'!$L:$L,'1.DC_Ra soat'!$F:$F,AX$4,'1.DC_Ra soat'!$I:$I,'1.BS (VND)'!$D120)</f>
        <v>0</v>
      </c>
      <c r="AY120" s="698">
        <f>-SUMIFS('1.DC_Ra soat'!$L:$L,'1.DC_Ra soat'!$F:$F,AY$4,'1.DC_Ra soat'!$H:$H,'1.BS (VND)'!$D120)+SUMIFS('1.DC_Ra soat'!$L:$L,'1.DC_Ra soat'!$F:$F,AY$4,'1.DC_Ra soat'!$I:$I,'1.BS (VND)'!$D120)</f>
        <v>0</v>
      </c>
      <c r="AZ120" s="698">
        <f>-SUMIFS('1.DC_Ra soat'!$L:$L,'1.DC_Ra soat'!$F:$F,AZ$4,'1.DC_Ra soat'!$H:$H,'1.BS (VND)'!$D120)+SUMIFS('1.DC_Ra soat'!$L:$L,'1.DC_Ra soat'!$F:$F,AZ$4,'1.DC_Ra soat'!$I:$I,'1.BS (VND)'!$D120)</f>
        <v>0</v>
      </c>
      <c r="BA120" s="698">
        <f>-SUMIFS('1.DC_Ra soat'!$L:$L,'1.DC_Ra soat'!$F:$F,BA$4,'1.DC_Ra soat'!$H:$H,'1.BS (VND)'!$D120)+SUMIFS('1.DC_Ra soat'!$L:$L,'1.DC_Ra soat'!$F:$F,BA$4,'1.DC_Ra soat'!$I:$I,'1.BS (VND)'!$D120)</f>
        <v>0</v>
      </c>
      <c r="BB120" s="699"/>
      <c r="BC120" s="698">
        <f>-SUMIFS('1.DC_Ra soat'!$L:$L,'1.DC_Ra soat'!$F:$F,BC$4,'1.DC_Ra soat'!$H:$H,'1.BS (VND)'!$D120)+SUMIFS('1.DC_Ra soat'!$L:$L,'1.DC_Ra soat'!$F:$F,BC$4,'1.DC_Ra soat'!$I:$I,'1.BS (VND)'!$D120)</f>
        <v>0</v>
      </c>
      <c r="BD120" s="698">
        <f>-SUMIFS('1.DC_Ra soat'!$L:$L,'1.DC_Ra soat'!$F:$F,BD$4,'1.DC_Ra soat'!$H:$H,'1.BS (VND)'!$D120)+SUMIFS('1.DC_Ra soat'!$L:$L,'1.DC_Ra soat'!$F:$F,BD$4,'1.DC_Ra soat'!$I:$I,'1.BS (VND)'!$D120)</f>
        <v>0</v>
      </c>
      <c r="BE120" s="698">
        <f>-SUMIFS('1.DC_Ra soat'!$L:$L,'1.DC_Ra soat'!$F:$F,BE$4,'1.DC_Ra soat'!$H:$H,'1.BS (VND)'!$D120)+SUMIFS('1.DC_Ra soat'!$L:$L,'1.DC_Ra soat'!$F:$F,BE$4,'1.DC_Ra soat'!$I:$I,'1.BS (VND)'!$D120)</f>
        <v>0</v>
      </c>
      <c r="BF120" s="698">
        <f>-SUMIFS('1.DC_Ra soat'!$L:$L,'1.DC_Ra soat'!$F:$F,BF$4,'1.DC_Ra soat'!$H:$H,'1.BS (VND)'!$D120)+SUMIFS('1.DC_Ra soat'!$L:$L,'1.DC_Ra soat'!$F:$F,BF$4,'1.DC_Ra soat'!$I:$I,'1.BS (VND)'!$D120)</f>
        <v>0</v>
      </c>
      <c r="BG120" s="699"/>
      <c r="BH120" s="698">
        <f>-SUMIFS('1.DC_Ra soat'!$L:$L,'1.DC_Ra soat'!$F:$F,BH$4,'1.DC_Ra soat'!$H:$H,'1.BS (VND)'!$D120)+SUMIFS('1.DC_Ra soat'!$L:$L,'1.DC_Ra soat'!$F:$F,BH$4,'1.DC_Ra soat'!$I:$I,'1.BS (VND)'!$D120)</f>
        <v>0</v>
      </c>
      <c r="BI120" s="698">
        <f>-SUMIFS('1.DC_Ra soat'!$L:$L,'1.DC_Ra soat'!$F:$F,BI$4,'1.DC_Ra soat'!$H:$H,'1.BS (VND)'!$D120)+SUMIFS('1.DC_Ra soat'!$L:$L,'1.DC_Ra soat'!$F:$F,BI$4,'1.DC_Ra soat'!$I:$I,'1.BS (VND)'!$D120)</f>
        <v>0</v>
      </c>
      <c r="BJ120" s="698">
        <f>-SUMIFS('1.DC_Ra soat'!$L:$L,'1.DC_Ra soat'!$F:$F,BJ$4,'1.DC_Ra soat'!$H:$H,'1.BS (VND)'!$D120)+SUMIFS('1.DC_Ra soat'!$L:$L,'1.DC_Ra soat'!$F:$F,BJ$4,'1.DC_Ra soat'!$I:$I,'1.BS (VND)'!$D120)</f>
        <v>0</v>
      </c>
      <c r="BK120" s="698">
        <f>-SUMIFS('1.DC_Ra soat'!$L:$L,'1.DC_Ra soat'!$F:$F,BK$4,'1.DC_Ra soat'!$H:$H,'1.BS (VND)'!$D120)+SUMIFS('1.DC_Ra soat'!$L:$L,'1.DC_Ra soat'!$F:$F,BK$4,'1.DC_Ra soat'!$I:$I,'1.BS (VND)'!$D120)</f>
        <v>0</v>
      </c>
      <c r="BM120" s="698">
        <f t="shared" si="179"/>
        <v>0</v>
      </c>
      <c r="BN120" s="698">
        <f t="shared" si="180"/>
        <v>0</v>
      </c>
      <c r="BO120" s="698">
        <f t="shared" si="181"/>
        <v>0</v>
      </c>
      <c r="BP120" s="697">
        <f t="shared" si="182"/>
        <v>0</v>
      </c>
      <c r="BQ120" s="699"/>
      <c r="BR120" s="698">
        <f t="shared" si="183"/>
        <v>0</v>
      </c>
      <c r="BS120" s="698">
        <f t="shared" si="184"/>
        <v>0</v>
      </c>
      <c r="BT120" s="698">
        <f t="shared" si="185"/>
        <v>0</v>
      </c>
      <c r="BU120" s="698">
        <f t="shared" si="186"/>
        <v>0</v>
      </c>
      <c r="BV120" s="699"/>
      <c r="BW120" s="698">
        <f t="shared" si="187"/>
        <v>0</v>
      </c>
      <c r="BX120" s="698">
        <f t="shared" si="188"/>
        <v>0</v>
      </c>
      <c r="BY120" s="698">
        <f t="shared" si="189"/>
        <v>0</v>
      </c>
      <c r="BZ120" s="697">
        <f t="shared" si="190"/>
        <v>0</v>
      </c>
      <c r="CA120" s="699"/>
      <c r="CB120" s="697">
        <f t="shared" si="191"/>
        <v>0</v>
      </c>
      <c r="CC120" s="697">
        <f t="shared" si="192"/>
        <v>0</v>
      </c>
      <c r="CD120" s="697">
        <f t="shared" si="193"/>
        <v>0</v>
      </c>
      <c r="CE120" s="697">
        <f t="shared" si="194"/>
        <v>0</v>
      </c>
      <c r="CF120" s="699"/>
      <c r="CG120" s="697">
        <f t="shared" si="195"/>
        <v>0</v>
      </c>
      <c r="CH120" s="697">
        <f t="shared" si="196"/>
        <v>0</v>
      </c>
      <c r="CI120" s="697">
        <f t="shared" si="197"/>
        <v>0</v>
      </c>
      <c r="CJ120" s="697">
        <f t="shared" si="198"/>
        <v>0</v>
      </c>
      <c r="CK120" s="699"/>
      <c r="CL120" s="698">
        <f t="shared" si="199"/>
        <v>0</v>
      </c>
      <c r="CM120" s="698">
        <f t="shared" si="200"/>
        <v>0</v>
      </c>
      <c r="CN120" s="698">
        <f t="shared" si="201"/>
        <v>0</v>
      </c>
      <c r="CO120" s="697">
        <f t="shared" si="202"/>
        <v>0</v>
      </c>
      <c r="CQ120" s="698">
        <f>SUMIF('1.PL (VND) '!$BL$6:$CD$6,'1.PL (VND) '!CP$6,$BM120:$CE120)</f>
        <v>0</v>
      </c>
      <c r="CR120" s="698">
        <f>SUMIF('1.PL (VND) '!$BL$6:$CD$6,'1.PL (VND) '!CQ$6,$BM120:$CE120)</f>
        <v>0</v>
      </c>
      <c r="CS120" s="698">
        <f>SUMIF('1.PL (VND) '!$BL$6:$CD$6,'1.PL (VND) '!CR$6,$BM120:$CE120)</f>
        <v>0</v>
      </c>
      <c r="CT120" s="698">
        <f>SUMIF('1.PL (VND) '!$BL$6:$CD$6,'1.PL (VND) '!CS$6,$BM120:$CE120)</f>
        <v>0</v>
      </c>
      <c r="CV120" s="702">
        <f>SUMIF('1.PL (VND) '!$BL$6:$CN$6,'1.PL (VND) '!CU$6,$BM120:$CO120)</f>
        <v>0</v>
      </c>
      <c r="CW120" s="702">
        <f>SUMIF('1.PL (VND) '!$BL$6:$CN$6,'1.PL (VND) '!CV$6,$BM120:$CO120)</f>
        <v>0</v>
      </c>
      <c r="CX120" s="702">
        <f>SUMIF('1.PL (VND) '!$BL$6:$CN$6,'1.PL (VND) '!CW$6,$BM120:$CO120)</f>
        <v>0</v>
      </c>
      <c r="CY120" s="702">
        <f>SUMIF('1.PL (VND) '!$BL$6:$CN$6,'1.PL (VND) '!CX$6,$BM120:$CO120)</f>
        <v>0</v>
      </c>
      <c r="DA120" s="698">
        <f t="shared" si="213"/>
        <v>0</v>
      </c>
      <c r="DB120" s="698">
        <f t="shared" si="214"/>
        <v>0</v>
      </c>
      <c r="DC120" s="698">
        <f t="shared" si="215"/>
        <v>0</v>
      </c>
      <c r="DD120" s="698">
        <f t="shared" si="216"/>
        <v>0</v>
      </c>
    </row>
    <row r="121" spans="1:112" x14ac:dyDescent="0.25">
      <c r="A121" s="248" t="str">
        <f t="shared" si="166"/>
        <v>hide</v>
      </c>
      <c r="C121" s="259" t="s">
        <v>492</v>
      </c>
      <c r="D121" s="260" t="s">
        <v>493</v>
      </c>
      <c r="E121" s="727"/>
      <c r="F121" s="727"/>
      <c r="G121" s="727"/>
      <c r="H121" s="728"/>
      <c r="I121" s="240"/>
      <c r="J121" s="244"/>
      <c r="K121" s="244"/>
      <c r="L121" s="244"/>
      <c r="M121" s="241">
        <v>0</v>
      </c>
      <c r="N121" s="240"/>
      <c r="O121" s="244"/>
      <c r="P121" s="244"/>
      <c r="Q121" s="244"/>
      <c r="R121" s="244"/>
      <c r="S121" s="240"/>
      <c r="T121" s="244"/>
      <c r="U121" s="244"/>
      <c r="V121" s="244"/>
      <c r="W121" s="244"/>
      <c r="X121" s="240"/>
      <c r="Y121" s="244"/>
      <c r="Z121" s="244"/>
      <c r="AA121" s="244"/>
      <c r="AB121" s="244"/>
      <c r="AC121" s="240"/>
      <c r="AD121" s="244"/>
      <c r="AE121" s="244"/>
      <c r="AF121" s="244"/>
      <c r="AG121" s="244"/>
      <c r="AH121" s="213"/>
      <c r="AI121" s="244">
        <f>-SUMIFS('1.DC_Ra soat'!$L:$L,'1.DC_Ra soat'!$F:$F,AI$4,'1.DC_Ra soat'!$H:$H,'1.BS (VND)'!$D121)+SUMIFS('1.DC_Ra soat'!$L:$L,'1.DC_Ra soat'!$F:$F,AI$4,'1.DC_Ra soat'!$I:$I,'1.BS (VND)'!$D121)</f>
        <v>0</v>
      </c>
      <c r="AJ121" s="244">
        <f>-SUMIFS('1.DC_Ra soat'!$L:$L,'1.DC_Ra soat'!$F:$F,AJ$4,'1.DC_Ra soat'!$H:$H,'1.BS (VND)'!$D121)+SUMIFS('1.DC_Ra soat'!$L:$L,'1.DC_Ra soat'!$F:$F,AJ$4,'1.DC_Ra soat'!$I:$I,'1.BS (VND)'!$D121)</f>
        <v>0</v>
      </c>
      <c r="AK121" s="244">
        <f>-SUMIFS('1.DC_Ra soat'!$L:$L,'1.DC_Ra soat'!$F:$F,AK$4,'1.DC_Ra soat'!$H:$H,'1.BS (VND)'!$D121)+SUMIFS('1.DC_Ra soat'!$L:$L,'1.DC_Ra soat'!$F:$F,AK$4,'1.DC_Ra soat'!$I:$I,'1.BS (VND)'!$D121)</f>
        <v>0</v>
      </c>
      <c r="AL121" s="244">
        <f>-SUMIFS('1.DC_Ra soat'!$L:$L,'1.DC_Ra soat'!$F:$F,AL$4,'1.DC_Ra soat'!$H:$H,'1.BS (VND)'!$D121)+SUMIFS('1.DC_Ra soat'!$L:$L,'1.DC_Ra soat'!$F:$F,AL$4,'1.DC_Ra soat'!$I:$I,'1.BS (VND)'!$D121)</f>
        <v>0</v>
      </c>
      <c r="AM121" s="240"/>
      <c r="AN121" s="244">
        <f>-SUMIFS('1.DC_Ra soat'!$L:$L,'1.DC_Ra soat'!$F:$F,AN$4,'1.DC_Ra soat'!$H:$H,'1.BS (VND)'!$D121)+SUMIFS('1.DC_Ra soat'!$L:$L,'1.DC_Ra soat'!$F:$F,AN$4,'1.DC_Ra soat'!$I:$I,'1.BS (VND)'!$D121)</f>
        <v>0</v>
      </c>
      <c r="AO121" s="244">
        <f>-SUMIFS('1.DC_Ra soat'!$L:$L,'1.DC_Ra soat'!$F:$F,AO$4,'1.DC_Ra soat'!$H:$H,'1.BS (VND)'!$D121)+SUMIFS('1.DC_Ra soat'!$L:$L,'1.DC_Ra soat'!$F:$F,AO$4,'1.DC_Ra soat'!$I:$I,'1.BS (VND)'!$D121)</f>
        <v>0</v>
      </c>
      <c r="AP121" s="244">
        <f>-SUMIFS('1.DC_Ra soat'!$L:$L,'1.DC_Ra soat'!$F:$F,AP$4,'1.DC_Ra soat'!$H:$H,'1.BS (VND)'!$D121)+SUMIFS('1.DC_Ra soat'!$L:$L,'1.DC_Ra soat'!$F:$F,AP$4,'1.DC_Ra soat'!$I:$I,'1.BS (VND)'!$D121)</f>
        <v>0</v>
      </c>
      <c r="AQ121" s="244">
        <f>-SUMIFS('1.DC_Ra soat'!$L:$L,'1.DC_Ra soat'!$F:$F,AQ$4,'1.DC_Ra soat'!$H:$H,'1.BS (VND)'!$D121)+SUMIFS('1.DC_Ra soat'!$L:$L,'1.DC_Ra soat'!$F:$F,AQ$4,'1.DC_Ra soat'!$I:$I,'1.BS (VND)'!$D121)</f>
        <v>0</v>
      </c>
      <c r="AR121" s="240"/>
      <c r="AS121" s="244">
        <f>-SUMIFS('1.DC_Ra soat'!$L:$L,'1.DC_Ra soat'!$F:$F,AS$4,'1.DC_Ra soat'!$H:$H,'1.BS (VND)'!$D121)+SUMIFS('1.DC_Ra soat'!$L:$L,'1.DC_Ra soat'!$F:$F,AS$4,'1.DC_Ra soat'!$I:$I,'1.BS (VND)'!$D121)</f>
        <v>0</v>
      </c>
      <c r="AT121" s="244">
        <f>-SUMIFS('1.DC_Ra soat'!$L:$L,'1.DC_Ra soat'!$F:$F,AT$4,'1.DC_Ra soat'!$H:$H,'1.BS (VND)'!$D121)+SUMIFS('1.DC_Ra soat'!$L:$L,'1.DC_Ra soat'!$F:$F,AT$4,'1.DC_Ra soat'!$I:$I,'1.BS (VND)'!$D121)</f>
        <v>0</v>
      </c>
      <c r="AU121" s="244">
        <f>-SUMIFS('1.DC_Ra soat'!$L:$L,'1.DC_Ra soat'!$F:$F,AU$4,'1.DC_Ra soat'!$H:$H,'1.BS (VND)'!$D121)+SUMIFS('1.DC_Ra soat'!$L:$L,'1.DC_Ra soat'!$F:$F,AU$4,'1.DC_Ra soat'!$I:$I,'1.BS (VND)'!$D121)</f>
        <v>0</v>
      </c>
      <c r="AV121" s="244">
        <f>-SUMIFS('1.DC_Ra soat'!$L:$L,'1.DC_Ra soat'!$F:$F,AV$4,'1.DC_Ra soat'!$H:$H,'1.BS (VND)'!$D121)+SUMIFS('1.DC_Ra soat'!$L:$L,'1.DC_Ra soat'!$F:$F,AV$4,'1.DC_Ra soat'!$I:$I,'1.BS (VND)'!$D121)</f>
        <v>0</v>
      </c>
      <c r="AW121" s="240"/>
      <c r="AX121" s="244">
        <f>-SUMIFS('1.DC_Ra soat'!$L:$L,'1.DC_Ra soat'!$F:$F,AX$4,'1.DC_Ra soat'!$H:$H,'1.BS (VND)'!$D121)+SUMIFS('1.DC_Ra soat'!$L:$L,'1.DC_Ra soat'!$F:$F,AX$4,'1.DC_Ra soat'!$I:$I,'1.BS (VND)'!$D121)</f>
        <v>0</v>
      </c>
      <c r="AY121" s="244">
        <f>-SUMIFS('1.DC_Ra soat'!$L:$L,'1.DC_Ra soat'!$F:$F,AY$4,'1.DC_Ra soat'!$H:$H,'1.BS (VND)'!$D121)+SUMIFS('1.DC_Ra soat'!$L:$L,'1.DC_Ra soat'!$F:$F,AY$4,'1.DC_Ra soat'!$I:$I,'1.BS (VND)'!$D121)</f>
        <v>0</v>
      </c>
      <c r="AZ121" s="244">
        <f>-SUMIFS('1.DC_Ra soat'!$L:$L,'1.DC_Ra soat'!$F:$F,AZ$4,'1.DC_Ra soat'!$H:$H,'1.BS (VND)'!$D121)+SUMIFS('1.DC_Ra soat'!$L:$L,'1.DC_Ra soat'!$F:$F,AZ$4,'1.DC_Ra soat'!$I:$I,'1.BS (VND)'!$D121)</f>
        <v>0</v>
      </c>
      <c r="BA121" s="244">
        <f>-SUMIFS('1.DC_Ra soat'!$L:$L,'1.DC_Ra soat'!$F:$F,BA$4,'1.DC_Ra soat'!$H:$H,'1.BS (VND)'!$D121)+SUMIFS('1.DC_Ra soat'!$L:$L,'1.DC_Ra soat'!$F:$F,BA$4,'1.DC_Ra soat'!$I:$I,'1.BS (VND)'!$D121)</f>
        <v>0</v>
      </c>
      <c r="BB121" s="240"/>
      <c r="BC121" s="244">
        <f>-SUMIFS('1.DC_Ra soat'!$L:$L,'1.DC_Ra soat'!$F:$F,BC$4,'1.DC_Ra soat'!$H:$H,'1.BS (VND)'!$D121)+SUMIFS('1.DC_Ra soat'!$L:$L,'1.DC_Ra soat'!$F:$F,BC$4,'1.DC_Ra soat'!$I:$I,'1.BS (VND)'!$D121)</f>
        <v>0</v>
      </c>
      <c r="BD121" s="244">
        <f>-SUMIFS('1.DC_Ra soat'!$L:$L,'1.DC_Ra soat'!$F:$F,BD$4,'1.DC_Ra soat'!$H:$H,'1.BS (VND)'!$D121)+SUMIFS('1.DC_Ra soat'!$L:$L,'1.DC_Ra soat'!$F:$F,BD$4,'1.DC_Ra soat'!$I:$I,'1.BS (VND)'!$D121)</f>
        <v>0</v>
      </c>
      <c r="BE121" s="244">
        <f>-SUMIFS('1.DC_Ra soat'!$L:$L,'1.DC_Ra soat'!$F:$F,BE$4,'1.DC_Ra soat'!$H:$H,'1.BS (VND)'!$D121)+SUMIFS('1.DC_Ra soat'!$L:$L,'1.DC_Ra soat'!$F:$F,BE$4,'1.DC_Ra soat'!$I:$I,'1.BS (VND)'!$D121)</f>
        <v>0</v>
      </c>
      <c r="BF121" s="244">
        <f>-SUMIFS('1.DC_Ra soat'!$L:$L,'1.DC_Ra soat'!$F:$F,BF$4,'1.DC_Ra soat'!$H:$H,'1.BS (VND)'!$D121)+SUMIFS('1.DC_Ra soat'!$L:$L,'1.DC_Ra soat'!$F:$F,BF$4,'1.DC_Ra soat'!$I:$I,'1.BS (VND)'!$D121)</f>
        <v>0</v>
      </c>
      <c r="BG121" s="240"/>
      <c r="BH121" s="244">
        <f>-SUMIFS('1.DC_Ra soat'!$L:$L,'1.DC_Ra soat'!$F:$F,BH$4,'1.DC_Ra soat'!$H:$H,'1.BS (VND)'!$D121)+SUMIFS('1.DC_Ra soat'!$L:$L,'1.DC_Ra soat'!$F:$F,BH$4,'1.DC_Ra soat'!$I:$I,'1.BS (VND)'!$D121)</f>
        <v>0</v>
      </c>
      <c r="BI121" s="244">
        <f>-SUMIFS('1.DC_Ra soat'!$L:$L,'1.DC_Ra soat'!$F:$F,BI$4,'1.DC_Ra soat'!$H:$H,'1.BS (VND)'!$D121)+SUMIFS('1.DC_Ra soat'!$L:$L,'1.DC_Ra soat'!$F:$F,BI$4,'1.DC_Ra soat'!$I:$I,'1.BS (VND)'!$D121)</f>
        <v>0</v>
      </c>
      <c r="BJ121" s="244">
        <f>-SUMIFS('1.DC_Ra soat'!$L:$L,'1.DC_Ra soat'!$F:$F,BJ$4,'1.DC_Ra soat'!$H:$H,'1.BS (VND)'!$D121)+SUMIFS('1.DC_Ra soat'!$L:$L,'1.DC_Ra soat'!$F:$F,BJ$4,'1.DC_Ra soat'!$I:$I,'1.BS (VND)'!$D121)</f>
        <v>0</v>
      </c>
      <c r="BK121" s="244">
        <f>-SUMIFS('1.DC_Ra soat'!$L:$L,'1.DC_Ra soat'!$F:$F,BK$4,'1.DC_Ra soat'!$H:$H,'1.BS (VND)'!$D121)+SUMIFS('1.DC_Ra soat'!$L:$L,'1.DC_Ra soat'!$F:$F,BK$4,'1.DC_Ra soat'!$I:$I,'1.BS (VND)'!$D121)</f>
        <v>0</v>
      </c>
      <c r="BM121" s="244">
        <f t="shared" si="179"/>
        <v>0</v>
      </c>
      <c r="BN121" s="244">
        <f t="shared" si="180"/>
        <v>0</v>
      </c>
      <c r="BO121" s="244">
        <f t="shared" si="181"/>
        <v>0</v>
      </c>
      <c r="BP121" s="243">
        <f t="shared" si="182"/>
        <v>0</v>
      </c>
      <c r="BQ121" s="240"/>
      <c r="BR121" s="244">
        <f t="shared" si="183"/>
        <v>0</v>
      </c>
      <c r="BS121" s="244">
        <f t="shared" si="184"/>
        <v>0</v>
      </c>
      <c r="BT121" s="244">
        <f t="shared" si="185"/>
        <v>0</v>
      </c>
      <c r="BU121" s="244">
        <f t="shared" si="186"/>
        <v>0</v>
      </c>
      <c r="BV121" s="240"/>
      <c r="BW121" s="244">
        <f t="shared" si="187"/>
        <v>0</v>
      </c>
      <c r="BX121" s="244">
        <f t="shared" si="188"/>
        <v>0</v>
      </c>
      <c r="BY121" s="244">
        <f t="shared" si="189"/>
        <v>0</v>
      </c>
      <c r="BZ121" s="243">
        <f t="shared" si="190"/>
        <v>0</v>
      </c>
      <c r="CA121" s="240"/>
      <c r="CB121" s="243">
        <f t="shared" si="191"/>
        <v>0</v>
      </c>
      <c r="CC121" s="243">
        <f t="shared" si="192"/>
        <v>0</v>
      </c>
      <c r="CD121" s="243">
        <f t="shared" si="193"/>
        <v>0</v>
      </c>
      <c r="CE121" s="243">
        <f t="shared" si="194"/>
        <v>0</v>
      </c>
      <c r="CF121" s="240"/>
      <c r="CG121" s="243">
        <f t="shared" si="195"/>
        <v>0</v>
      </c>
      <c r="CH121" s="243">
        <f t="shared" si="196"/>
        <v>0</v>
      </c>
      <c r="CI121" s="243">
        <f t="shared" si="197"/>
        <v>0</v>
      </c>
      <c r="CJ121" s="243">
        <f t="shared" si="198"/>
        <v>0</v>
      </c>
      <c r="CK121" s="240"/>
      <c r="CL121" s="244">
        <f t="shared" si="199"/>
        <v>0</v>
      </c>
      <c r="CM121" s="244">
        <f t="shared" si="200"/>
        <v>0</v>
      </c>
      <c r="CN121" s="244">
        <f t="shared" si="201"/>
        <v>0</v>
      </c>
      <c r="CO121" s="243">
        <f t="shared" si="202"/>
        <v>0</v>
      </c>
      <c r="CQ121" s="244">
        <f>SUMIF('1.PL (VND) '!$BL$6:$CD$6,'1.PL (VND) '!CP$6,$BM121:$CE121)</f>
        <v>0</v>
      </c>
      <c r="CR121" s="244">
        <f>SUMIF('1.PL (VND) '!$BL$6:$CD$6,'1.PL (VND) '!CQ$6,$BM121:$CE121)</f>
        <v>0</v>
      </c>
      <c r="CS121" s="244">
        <f>SUMIF('1.PL (VND) '!$BL$6:$CD$6,'1.PL (VND) '!CR$6,$BM121:$CE121)</f>
        <v>0</v>
      </c>
      <c r="CT121" s="244">
        <f>SUMIF('1.PL (VND) '!$BL$6:$CD$6,'1.PL (VND) '!CS$6,$BM121:$CE121)</f>
        <v>0</v>
      </c>
      <c r="CV121" s="246">
        <f>SUMIF('1.PL (VND) '!$BL$6:$CN$6,'1.PL (VND) '!CU$6,$BM121:$CO121)</f>
        <v>0</v>
      </c>
      <c r="CW121" s="246">
        <f>SUMIF('1.PL (VND) '!$BL$6:$CN$6,'1.PL (VND) '!CV$6,$BM121:$CO121)</f>
        <v>0</v>
      </c>
      <c r="CX121" s="246">
        <f>SUMIF('1.PL (VND) '!$BL$6:$CN$6,'1.PL (VND) '!CW$6,$BM121:$CO121)</f>
        <v>0</v>
      </c>
      <c r="CY121" s="246">
        <f>SUMIF('1.PL (VND) '!$BL$6:$CN$6,'1.PL (VND) '!CX$6,$BM121:$CO121)</f>
        <v>0</v>
      </c>
      <c r="DA121" s="244">
        <f t="shared" si="213"/>
        <v>0</v>
      </c>
      <c r="DB121" s="244">
        <f t="shared" si="214"/>
        <v>0</v>
      </c>
      <c r="DC121" s="244">
        <f t="shared" si="215"/>
        <v>0</v>
      </c>
      <c r="DD121" s="244">
        <f t="shared" si="216"/>
        <v>0</v>
      </c>
    </row>
    <row r="122" spans="1:112" s="700" customFormat="1" x14ac:dyDescent="0.25">
      <c r="A122" s="248" t="str">
        <f t="shared" si="166"/>
        <v>hide</v>
      </c>
      <c r="C122" s="703" t="s">
        <v>494</v>
      </c>
      <c r="D122" s="704" t="s">
        <v>495</v>
      </c>
      <c r="E122" s="721"/>
      <c r="F122" s="721"/>
      <c r="G122" s="721"/>
      <c r="H122" s="722"/>
      <c r="I122" s="699"/>
      <c r="J122" s="698"/>
      <c r="K122" s="698"/>
      <c r="L122" s="698"/>
      <c r="M122" s="241">
        <v>0</v>
      </c>
      <c r="N122" s="699"/>
      <c r="O122" s="698"/>
      <c r="P122" s="698"/>
      <c r="Q122" s="698"/>
      <c r="R122" s="698"/>
      <c r="S122" s="699"/>
      <c r="T122" s="698"/>
      <c r="U122" s="698"/>
      <c r="V122" s="698"/>
      <c r="W122" s="698"/>
      <c r="X122" s="699"/>
      <c r="Y122" s="698"/>
      <c r="Z122" s="698"/>
      <c r="AA122" s="698"/>
      <c r="AB122" s="698"/>
      <c r="AC122" s="699"/>
      <c r="AD122" s="698"/>
      <c r="AE122" s="698"/>
      <c r="AF122" s="698"/>
      <c r="AG122" s="698"/>
      <c r="AI122" s="698">
        <f>-SUMIFS('1.DC_Ra soat'!$L:$L,'1.DC_Ra soat'!$F:$F,AI$4,'1.DC_Ra soat'!$H:$H,'1.BS (VND)'!$D122)+SUMIFS('1.DC_Ra soat'!$L:$L,'1.DC_Ra soat'!$F:$F,AI$4,'1.DC_Ra soat'!$I:$I,'1.BS (VND)'!$D122)</f>
        <v>0</v>
      </c>
      <c r="AJ122" s="698">
        <f>-SUMIFS('1.DC_Ra soat'!$L:$L,'1.DC_Ra soat'!$F:$F,AJ$4,'1.DC_Ra soat'!$H:$H,'1.BS (VND)'!$D122)+SUMIFS('1.DC_Ra soat'!$L:$L,'1.DC_Ra soat'!$F:$F,AJ$4,'1.DC_Ra soat'!$I:$I,'1.BS (VND)'!$D122)</f>
        <v>0</v>
      </c>
      <c r="AK122" s="698">
        <f>-SUMIFS('1.DC_Ra soat'!$L:$L,'1.DC_Ra soat'!$F:$F,AK$4,'1.DC_Ra soat'!$H:$H,'1.BS (VND)'!$D122)+SUMIFS('1.DC_Ra soat'!$L:$L,'1.DC_Ra soat'!$F:$F,AK$4,'1.DC_Ra soat'!$I:$I,'1.BS (VND)'!$D122)</f>
        <v>0</v>
      </c>
      <c r="AL122" s="698">
        <f>-SUMIFS('1.DC_Ra soat'!$L:$L,'1.DC_Ra soat'!$F:$F,AL$4,'1.DC_Ra soat'!$H:$H,'1.BS (VND)'!$D122)+SUMIFS('1.DC_Ra soat'!$L:$L,'1.DC_Ra soat'!$F:$F,AL$4,'1.DC_Ra soat'!$I:$I,'1.BS (VND)'!$D122)</f>
        <v>0</v>
      </c>
      <c r="AM122" s="699"/>
      <c r="AN122" s="698">
        <f>-SUMIFS('1.DC_Ra soat'!$L:$L,'1.DC_Ra soat'!$F:$F,AN$4,'1.DC_Ra soat'!$H:$H,'1.BS (VND)'!$D122)+SUMIFS('1.DC_Ra soat'!$L:$L,'1.DC_Ra soat'!$F:$F,AN$4,'1.DC_Ra soat'!$I:$I,'1.BS (VND)'!$D122)</f>
        <v>0</v>
      </c>
      <c r="AO122" s="698">
        <f>-SUMIFS('1.DC_Ra soat'!$L:$L,'1.DC_Ra soat'!$F:$F,AO$4,'1.DC_Ra soat'!$H:$H,'1.BS (VND)'!$D122)+SUMIFS('1.DC_Ra soat'!$L:$L,'1.DC_Ra soat'!$F:$F,AO$4,'1.DC_Ra soat'!$I:$I,'1.BS (VND)'!$D122)</f>
        <v>0</v>
      </c>
      <c r="AP122" s="698">
        <f>-SUMIFS('1.DC_Ra soat'!$L:$L,'1.DC_Ra soat'!$F:$F,AP$4,'1.DC_Ra soat'!$H:$H,'1.BS (VND)'!$D122)+SUMIFS('1.DC_Ra soat'!$L:$L,'1.DC_Ra soat'!$F:$F,AP$4,'1.DC_Ra soat'!$I:$I,'1.BS (VND)'!$D122)</f>
        <v>0</v>
      </c>
      <c r="AQ122" s="698">
        <f>-SUMIFS('1.DC_Ra soat'!$L:$L,'1.DC_Ra soat'!$F:$F,AQ$4,'1.DC_Ra soat'!$H:$H,'1.BS (VND)'!$D122)+SUMIFS('1.DC_Ra soat'!$L:$L,'1.DC_Ra soat'!$F:$F,AQ$4,'1.DC_Ra soat'!$I:$I,'1.BS (VND)'!$D122)</f>
        <v>0</v>
      </c>
      <c r="AR122" s="699"/>
      <c r="AS122" s="698">
        <f>-SUMIFS('1.DC_Ra soat'!$L:$L,'1.DC_Ra soat'!$F:$F,AS$4,'1.DC_Ra soat'!$H:$H,'1.BS (VND)'!$D122)+SUMIFS('1.DC_Ra soat'!$L:$L,'1.DC_Ra soat'!$F:$F,AS$4,'1.DC_Ra soat'!$I:$I,'1.BS (VND)'!$D122)</f>
        <v>0</v>
      </c>
      <c r="AT122" s="698">
        <f>-SUMIFS('1.DC_Ra soat'!$L:$L,'1.DC_Ra soat'!$F:$F,AT$4,'1.DC_Ra soat'!$H:$H,'1.BS (VND)'!$D122)+SUMIFS('1.DC_Ra soat'!$L:$L,'1.DC_Ra soat'!$F:$F,AT$4,'1.DC_Ra soat'!$I:$I,'1.BS (VND)'!$D122)</f>
        <v>0</v>
      </c>
      <c r="AU122" s="698">
        <f>-SUMIFS('1.DC_Ra soat'!$L:$L,'1.DC_Ra soat'!$F:$F,AU$4,'1.DC_Ra soat'!$H:$H,'1.BS (VND)'!$D122)+SUMIFS('1.DC_Ra soat'!$L:$L,'1.DC_Ra soat'!$F:$F,AU$4,'1.DC_Ra soat'!$I:$I,'1.BS (VND)'!$D122)</f>
        <v>0</v>
      </c>
      <c r="AV122" s="698">
        <f>-SUMIFS('1.DC_Ra soat'!$L:$L,'1.DC_Ra soat'!$F:$F,AV$4,'1.DC_Ra soat'!$H:$H,'1.BS (VND)'!$D122)+SUMIFS('1.DC_Ra soat'!$L:$L,'1.DC_Ra soat'!$F:$F,AV$4,'1.DC_Ra soat'!$I:$I,'1.BS (VND)'!$D122)</f>
        <v>0</v>
      </c>
      <c r="AW122" s="699"/>
      <c r="AX122" s="698">
        <f>-SUMIFS('1.DC_Ra soat'!$L:$L,'1.DC_Ra soat'!$F:$F,AX$4,'1.DC_Ra soat'!$H:$H,'1.BS (VND)'!$D122)+SUMIFS('1.DC_Ra soat'!$L:$L,'1.DC_Ra soat'!$F:$F,AX$4,'1.DC_Ra soat'!$I:$I,'1.BS (VND)'!$D122)</f>
        <v>0</v>
      </c>
      <c r="AY122" s="698">
        <f>-SUMIFS('1.DC_Ra soat'!$L:$L,'1.DC_Ra soat'!$F:$F,AY$4,'1.DC_Ra soat'!$H:$H,'1.BS (VND)'!$D122)+SUMIFS('1.DC_Ra soat'!$L:$L,'1.DC_Ra soat'!$F:$F,AY$4,'1.DC_Ra soat'!$I:$I,'1.BS (VND)'!$D122)</f>
        <v>0</v>
      </c>
      <c r="AZ122" s="698">
        <f>-SUMIFS('1.DC_Ra soat'!$L:$L,'1.DC_Ra soat'!$F:$F,AZ$4,'1.DC_Ra soat'!$H:$H,'1.BS (VND)'!$D122)+SUMIFS('1.DC_Ra soat'!$L:$L,'1.DC_Ra soat'!$F:$F,AZ$4,'1.DC_Ra soat'!$I:$I,'1.BS (VND)'!$D122)</f>
        <v>0</v>
      </c>
      <c r="BA122" s="698">
        <f>-SUMIFS('1.DC_Ra soat'!$L:$L,'1.DC_Ra soat'!$F:$F,BA$4,'1.DC_Ra soat'!$H:$H,'1.BS (VND)'!$D122)+SUMIFS('1.DC_Ra soat'!$L:$L,'1.DC_Ra soat'!$F:$F,BA$4,'1.DC_Ra soat'!$I:$I,'1.BS (VND)'!$D122)</f>
        <v>0</v>
      </c>
      <c r="BB122" s="699"/>
      <c r="BC122" s="698">
        <f>-SUMIFS('1.DC_Ra soat'!$L:$L,'1.DC_Ra soat'!$F:$F,BC$4,'1.DC_Ra soat'!$H:$H,'1.BS (VND)'!$D122)+SUMIFS('1.DC_Ra soat'!$L:$L,'1.DC_Ra soat'!$F:$F,BC$4,'1.DC_Ra soat'!$I:$I,'1.BS (VND)'!$D122)</f>
        <v>0</v>
      </c>
      <c r="BD122" s="698">
        <f>-SUMIFS('1.DC_Ra soat'!$L:$L,'1.DC_Ra soat'!$F:$F,BD$4,'1.DC_Ra soat'!$H:$H,'1.BS (VND)'!$D122)+SUMIFS('1.DC_Ra soat'!$L:$L,'1.DC_Ra soat'!$F:$F,BD$4,'1.DC_Ra soat'!$I:$I,'1.BS (VND)'!$D122)</f>
        <v>0</v>
      </c>
      <c r="BE122" s="698">
        <f>-SUMIFS('1.DC_Ra soat'!$L:$L,'1.DC_Ra soat'!$F:$F,BE$4,'1.DC_Ra soat'!$H:$H,'1.BS (VND)'!$D122)+SUMIFS('1.DC_Ra soat'!$L:$L,'1.DC_Ra soat'!$F:$F,BE$4,'1.DC_Ra soat'!$I:$I,'1.BS (VND)'!$D122)</f>
        <v>0</v>
      </c>
      <c r="BF122" s="698">
        <f>-SUMIFS('1.DC_Ra soat'!$L:$L,'1.DC_Ra soat'!$F:$F,BF$4,'1.DC_Ra soat'!$H:$H,'1.BS (VND)'!$D122)+SUMIFS('1.DC_Ra soat'!$L:$L,'1.DC_Ra soat'!$F:$F,BF$4,'1.DC_Ra soat'!$I:$I,'1.BS (VND)'!$D122)</f>
        <v>0</v>
      </c>
      <c r="BG122" s="699"/>
      <c r="BH122" s="698">
        <f>-SUMIFS('1.DC_Ra soat'!$L:$L,'1.DC_Ra soat'!$F:$F,BH$4,'1.DC_Ra soat'!$H:$H,'1.BS (VND)'!$D122)+SUMIFS('1.DC_Ra soat'!$L:$L,'1.DC_Ra soat'!$F:$F,BH$4,'1.DC_Ra soat'!$I:$I,'1.BS (VND)'!$D122)</f>
        <v>0</v>
      </c>
      <c r="BI122" s="698">
        <f>-SUMIFS('1.DC_Ra soat'!$L:$L,'1.DC_Ra soat'!$F:$F,BI$4,'1.DC_Ra soat'!$H:$H,'1.BS (VND)'!$D122)+SUMIFS('1.DC_Ra soat'!$L:$L,'1.DC_Ra soat'!$F:$F,BI$4,'1.DC_Ra soat'!$I:$I,'1.BS (VND)'!$D122)</f>
        <v>0</v>
      </c>
      <c r="BJ122" s="698">
        <f>-SUMIFS('1.DC_Ra soat'!$L:$L,'1.DC_Ra soat'!$F:$F,BJ$4,'1.DC_Ra soat'!$H:$H,'1.BS (VND)'!$D122)+SUMIFS('1.DC_Ra soat'!$L:$L,'1.DC_Ra soat'!$F:$F,BJ$4,'1.DC_Ra soat'!$I:$I,'1.BS (VND)'!$D122)</f>
        <v>0</v>
      </c>
      <c r="BK122" s="698">
        <f>-SUMIFS('1.DC_Ra soat'!$L:$L,'1.DC_Ra soat'!$F:$F,BK$4,'1.DC_Ra soat'!$H:$H,'1.BS (VND)'!$D122)+SUMIFS('1.DC_Ra soat'!$L:$L,'1.DC_Ra soat'!$F:$F,BK$4,'1.DC_Ra soat'!$I:$I,'1.BS (VND)'!$D122)</f>
        <v>0</v>
      </c>
      <c r="BM122" s="698">
        <f t="shared" si="179"/>
        <v>0</v>
      </c>
      <c r="BN122" s="698">
        <f t="shared" si="180"/>
        <v>0</v>
      </c>
      <c r="BO122" s="698">
        <f t="shared" si="181"/>
        <v>0</v>
      </c>
      <c r="BP122" s="697">
        <f t="shared" si="182"/>
        <v>0</v>
      </c>
      <c r="BQ122" s="699"/>
      <c r="BR122" s="698">
        <f t="shared" si="183"/>
        <v>0</v>
      </c>
      <c r="BS122" s="698">
        <f t="shared" si="184"/>
        <v>0</v>
      </c>
      <c r="BT122" s="698">
        <f t="shared" si="185"/>
        <v>0</v>
      </c>
      <c r="BU122" s="698">
        <f t="shared" si="186"/>
        <v>0</v>
      </c>
      <c r="BV122" s="699"/>
      <c r="BW122" s="698">
        <f t="shared" si="187"/>
        <v>0</v>
      </c>
      <c r="BX122" s="698">
        <f t="shared" si="188"/>
        <v>0</v>
      </c>
      <c r="BY122" s="698">
        <f t="shared" si="189"/>
        <v>0</v>
      </c>
      <c r="BZ122" s="697">
        <f t="shared" si="190"/>
        <v>0</v>
      </c>
      <c r="CA122" s="699"/>
      <c r="CB122" s="697">
        <f t="shared" si="191"/>
        <v>0</v>
      </c>
      <c r="CC122" s="697">
        <f t="shared" si="192"/>
        <v>0</v>
      </c>
      <c r="CD122" s="697">
        <f t="shared" si="193"/>
        <v>0</v>
      </c>
      <c r="CE122" s="697">
        <f t="shared" si="194"/>
        <v>0</v>
      </c>
      <c r="CF122" s="699"/>
      <c r="CG122" s="697">
        <f t="shared" si="195"/>
        <v>0</v>
      </c>
      <c r="CH122" s="697">
        <f t="shared" si="196"/>
        <v>0</v>
      </c>
      <c r="CI122" s="697">
        <f t="shared" si="197"/>
        <v>0</v>
      </c>
      <c r="CJ122" s="697">
        <f t="shared" si="198"/>
        <v>0</v>
      </c>
      <c r="CK122" s="699"/>
      <c r="CL122" s="698">
        <f t="shared" si="199"/>
        <v>0</v>
      </c>
      <c r="CM122" s="698">
        <f t="shared" si="200"/>
        <v>0</v>
      </c>
      <c r="CN122" s="698">
        <f t="shared" si="201"/>
        <v>0</v>
      </c>
      <c r="CO122" s="697">
        <f t="shared" si="202"/>
        <v>0</v>
      </c>
      <c r="CQ122" s="698">
        <f>SUMIF('1.PL (VND) '!$BL$6:$CD$6,'1.PL (VND) '!CP$6,$BM122:$CE122)</f>
        <v>0</v>
      </c>
      <c r="CR122" s="698">
        <f>SUMIF('1.PL (VND) '!$BL$6:$CD$6,'1.PL (VND) '!CQ$6,$BM122:$CE122)</f>
        <v>0</v>
      </c>
      <c r="CS122" s="698">
        <f>SUMIF('1.PL (VND) '!$BL$6:$CD$6,'1.PL (VND) '!CR$6,$BM122:$CE122)</f>
        <v>0</v>
      </c>
      <c r="CT122" s="698">
        <f>SUMIF('1.PL (VND) '!$BL$6:$CD$6,'1.PL (VND) '!CS$6,$BM122:$CE122)</f>
        <v>0</v>
      </c>
      <c r="CV122" s="702">
        <f>SUMIF('1.PL (VND) '!$BL$6:$CN$6,'1.PL (VND) '!CU$6,$BM122:$CO122)</f>
        <v>0</v>
      </c>
      <c r="CW122" s="702">
        <f>SUMIF('1.PL (VND) '!$BL$6:$CN$6,'1.PL (VND) '!CV$6,$BM122:$CO122)</f>
        <v>0</v>
      </c>
      <c r="CX122" s="702">
        <f>SUMIF('1.PL (VND) '!$BL$6:$CN$6,'1.PL (VND) '!CW$6,$BM122:$CO122)</f>
        <v>0</v>
      </c>
      <c r="CY122" s="702">
        <f>SUMIF('1.PL (VND) '!$BL$6:$CN$6,'1.PL (VND) '!CX$6,$BM122:$CO122)</f>
        <v>0</v>
      </c>
      <c r="DA122" s="698">
        <f t="shared" si="213"/>
        <v>0</v>
      </c>
      <c r="DB122" s="698">
        <f t="shared" si="214"/>
        <v>0</v>
      </c>
      <c r="DC122" s="698">
        <f t="shared" si="215"/>
        <v>0</v>
      </c>
      <c r="DD122" s="698">
        <f t="shared" si="216"/>
        <v>0</v>
      </c>
    </row>
    <row r="123" spans="1:112" s="700" customFormat="1" x14ac:dyDescent="0.25">
      <c r="A123" s="248" t="str">
        <f t="shared" si="166"/>
        <v>hide</v>
      </c>
      <c r="C123" s="703" t="s">
        <v>496</v>
      </c>
      <c r="D123" s="704" t="s">
        <v>497</v>
      </c>
      <c r="E123" s="721"/>
      <c r="F123" s="721"/>
      <c r="G123" s="721"/>
      <c r="H123" s="722"/>
      <c r="I123" s="699"/>
      <c r="J123" s="698"/>
      <c r="K123" s="698"/>
      <c r="L123" s="698"/>
      <c r="M123" s="698">
        <v>0</v>
      </c>
      <c r="N123" s="699"/>
      <c r="O123" s="698"/>
      <c r="P123" s="698"/>
      <c r="Q123" s="698"/>
      <c r="R123" s="698"/>
      <c r="S123" s="699"/>
      <c r="T123" s="698"/>
      <c r="U123" s="698"/>
      <c r="V123" s="698"/>
      <c r="W123" s="698"/>
      <c r="X123" s="699"/>
      <c r="Y123" s="698"/>
      <c r="Z123" s="698"/>
      <c r="AA123" s="698"/>
      <c r="AB123" s="698"/>
      <c r="AC123" s="699"/>
      <c r="AD123" s="698"/>
      <c r="AE123" s="698"/>
      <c r="AF123" s="698"/>
      <c r="AG123" s="698"/>
      <c r="AI123" s="698">
        <f>-SUMIFS('1.DC_Ra soat'!$L:$L,'1.DC_Ra soat'!$F:$F,AI$4,'1.DC_Ra soat'!$H:$H,'1.BS (VND)'!$D123)+SUMIFS('1.DC_Ra soat'!$L:$L,'1.DC_Ra soat'!$F:$F,AI$4,'1.DC_Ra soat'!$I:$I,'1.BS (VND)'!$D123)</f>
        <v>0</v>
      </c>
      <c r="AJ123" s="698">
        <f>-SUMIFS('1.DC_Ra soat'!$L:$L,'1.DC_Ra soat'!$F:$F,AJ$4,'1.DC_Ra soat'!$H:$H,'1.BS (VND)'!$D123)+SUMIFS('1.DC_Ra soat'!$L:$L,'1.DC_Ra soat'!$F:$F,AJ$4,'1.DC_Ra soat'!$I:$I,'1.BS (VND)'!$D123)</f>
        <v>0</v>
      </c>
      <c r="AK123" s="698">
        <f>-SUMIFS('1.DC_Ra soat'!$L:$L,'1.DC_Ra soat'!$F:$F,AK$4,'1.DC_Ra soat'!$H:$H,'1.BS (VND)'!$D123)+SUMIFS('1.DC_Ra soat'!$L:$L,'1.DC_Ra soat'!$F:$F,AK$4,'1.DC_Ra soat'!$I:$I,'1.BS (VND)'!$D123)</f>
        <v>0</v>
      </c>
      <c r="AL123" s="698">
        <f>-SUMIFS('1.DC_Ra soat'!$L:$L,'1.DC_Ra soat'!$F:$F,AL$4,'1.DC_Ra soat'!$H:$H,'1.BS (VND)'!$D123)+SUMIFS('1.DC_Ra soat'!$L:$L,'1.DC_Ra soat'!$F:$F,AL$4,'1.DC_Ra soat'!$I:$I,'1.BS (VND)'!$D123)</f>
        <v>0</v>
      </c>
      <c r="AM123" s="699"/>
      <c r="AN123" s="698">
        <f>-SUMIFS('1.DC_Ra soat'!$L:$L,'1.DC_Ra soat'!$F:$F,AN$4,'1.DC_Ra soat'!$H:$H,'1.BS (VND)'!$D123)+SUMIFS('1.DC_Ra soat'!$L:$L,'1.DC_Ra soat'!$F:$F,AN$4,'1.DC_Ra soat'!$I:$I,'1.BS (VND)'!$D123)</f>
        <v>0</v>
      </c>
      <c r="AO123" s="698">
        <f>-SUMIFS('1.DC_Ra soat'!$L:$L,'1.DC_Ra soat'!$F:$F,AO$4,'1.DC_Ra soat'!$H:$H,'1.BS (VND)'!$D123)+SUMIFS('1.DC_Ra soat'!$L:$L,'1.DC_Ra soat'!$F:$F,AO$4,'1.DC_Ra soat'!$I:$I,'1.BS (VND)'!$D123)</f>
        <v>0</v>
      </c>
      <c r="AP123" s="698">
        <f>-SUMIFS('1.DC_Ra soat'!$L:$L,'1.DC_Ra soat'!$F:$F,AP$4,'1.DC_Ra soat'!$H:$H,'1.BS (VND)'!$D123)+SUMIFS('1.DC_Ra soat'!$L:$L,'1.DC_Ra soat'!$F:$F,AP$4,'1.DC_Ra soat'!$I:$I,'1.BS (VND)'!$D123)</f>
        <v>0</v>
      </c>
      <c r="AQ123" s="698">
        <f>-SUMIFS('1.DC_Ra soat'!$L:$L,'1.DC_Ra soat'!$F:$F,AQ$4,'1.DC_Ra soat'!$H:$H,'1.BS (VND)'!$D123)+SUMIFS('1.DC_Ra soat'!$L:$L,'1.DC_Ra soat'!$F:$F,AQ$4,'1.DC_Ra soat'!$I:$I,'1.BS (VND)'!$D123)</f>
        <v>0</v>
      </c>
      <c r="AR123" s="699"/>
      <c r="AS123" s="698">
        <f>-SUMIFS('1.DC_Ra soat'!$L:$L,'1.DC_Ra soat'!$F:$F,AS$4,'1.DC_Ra soat'!$H:$H,'1.BS (VND)'!$D123)+SUMIFS('1.DC_Ra soat'!$L:$L,'1.DC_Ra soat'!$F:$F,AS$4,'1.DC_Ra soat'!$I:$I,'1.BS (VND)'!$D123)</f>
        <v>0</v>
      </c>
      <c r="AT123" s="698">
        <f>-SUMIFS('1.DC_Ra soat'!$L:$L,'1.DC_Ra soat'!$F:$F,AT$4,'1.DC_Ra soat'!$H:$H,'1.BS (VND)'!$D123)+SUMIFS('1.DC_Ra soat'!$L:$L,'1.DC_Ra soat'!$F:$F,AT$4,'1.DC_Ra soat'!$I:$I,'1.BS (VND)'!$D123)</f>
        <v>0</v>
      </c>
      <c r="AU123" s="698">
        <f>-SUMIFS('1.DC_Ra soat'!$L:$L,'1.DC_Ra soat'!$F:$F,AU$4,'1.DC_Ra soat'!$H:$H,'1.BS (VND)'!$D123)+SUMIFS('1.DC_Ra soat'!$L:$L,'1.DC_Ra soat'!$F:$F,AU$4,'1.DC_Ra soat'!$I:$I,'1.BS (VND)'!$D123)</f>
        <v>0</v>
      </c>
      <c r="AV123" s="698">
        <f>-SUMIFS('1.DC_Ra soat'!$L:$L,'1.DC_Ra soat'!$F:$F,AV$4,'1.DC_Ra soat'!$H:$H,'1.BS (VND)'!$D123)+SUMIFS('1.DC_Ra soat'!$L:$L,'1.DC_Ra soat'!$F:$F,AV$4,'1.DC_Ra soat'!$I:$I,'1.BS (VND)'!$D123)</f>
        <v>0</v>
      </c>
      <c r="AW123" s="699"/>
      <c r="AX123" s="698">
        <f>-SUMIFS('1.DC_Ra soat'!$L:$L,'1.DC_Ra soat'!$F:$F,AX$4,'1.DC_Ra soat'!$H:$H,'1.BS (VND)'!$D123)+SUMIFS('1.DC_Ra soat'!$L:$L,'1.DC_Ra soat'!$F:$F,AX$4,'1.DC_Ra soat'!$I:$I,'1.BS (VND)'!$D123)</f>
        <v>0</v>
      </c>
      <c r="AY123" s="698">
        <f>-SUMIFS('1.DC_Ra soat'!$L:$L,'1.DC_Ra soat'!$F:$F,AY$4,'1.DC_Ra soat'!$H:$H,'1.BS (VND)'!$D123)+SUMIFS('1.DC_Ra soat'!$L:$L,'1.DC_Ra soat'!$F:$F,AY$4,'1.DC_Ra soat'!$I:$I,'1.BS (VND)'!$D123)</f>
        <v>0</v>
      </c>
      <c r="AZ123" s="698">
        <f>-SUMIFS('1.DC_Ra soat'!$L:$L,'1.DC_Ra soat'!$F:$F,AZ$4,'1.DC_Ra soat'!$H:$H,'1.BS (VND)'!$D123)+SUMIFS('1.DC_Ra soat'!$L:$L,'1.DC_Ra soat'!$F:$F,AZ$4,'1.DC_Ra soat'!$I:$I,'1.BS (VND)'!$D123)</f>
        <v>0</v>
      </c>
      <c r="BA123" s="698">
        <f>-SUMIFS('1.DC_Ra soat'!$L:$L,'1.DC_Ra soat'!$F:$F,BA$4,'1.DC_Ra soat'!$H:$H,'1.BS (VND)'!$D123)+SUMIFS('1.DC_Ra soat'!$L:$L,'1.DC_Ra soat'!$F:$F,BA$4,'1.DC_Ra soat'!$I:$I,'1.BS (VND)'!$D123)</f>
        <v>0</v>
      </c>
      <c r="BB123" s="699"/>
      <c r="BC123" s="698">
        <f>-SUMIFS('1.DC_Ra soat'!$L:$L,'1.DC_Ra soat'!$F:$F,BC$4,'1.DC_Ra soat'!$H:$H,'1.BS (VND)'!$D123)+SUMIFS('1.DC_Ra soat'!$L:$L,'1.DC_Ra soat'!$F:$F,BC$4,'1.DC_Ra soat'!$I:$I,'1.BS (VND)'!$D123)</f>
        <v>0</v>
      </c>
      <c r="BD123" s="698">
        <f>-SUMIFS('1.DC_Ra soat'!$L:$L,'1.DC_Ra soat'!$F:$F,BD$4,'1.DC_Ra soat'!$H:$H,'1.BS (VND)'!$D123)+SUMIFS('1.DC_Ra soat'!$L:$L,'1.DC_Ra soat'!$F:$F,BD$4,'1.DC_Ra soat'!$I:$I,'1.BS (VND)'!$D123)</f>
        <v>0</v>
      </c>
      <c r="BE123" s="698">
        <f>-SUMIFS('1.DC_Ra soat'!$L:$L,'1.DC_Ra soat'!$F:$F,BE$4,'1.DC_Ra soat'!$H:$H,'1.BS (VND)'!$D123)+SUMIFS('1.DC_Ra soat'!$L:$L,'1.DC_Ra soat'!$F:$F,BE$4,'1.DC_Ra soat'!$I:$I,'1.BS (VND)'!$D123)</f>
        <v>0</v>
      </c>
      <c r="BF123" s="698">
        <f>-SUMIFS('1.DC_Ra soat'!$L:$L,'1.DC_Ra soat'!$F:$F,BF$4,'1.DC_Ra soat'!$H:$H,'1.BS (VND)'!$D123)+SUMIFS('1.DC_Ra soat'!$L:$L,'1.DC_Ra soat'!$F:$F,BF$4,'1.DC_Ra soat'!$I:$I,'1.BS (VND)'!$D123)</f>
        <v>0</v>
      </c>
      <c r="BG123" s="699"/>
      <c r="BH123" s="698">
        <f>-SUMIFS('1.DC_Ra soat'!$L:$L,'1.DC_Ra soat'!$F:$F,BH$4,'1.DC_Ra soat'!$H:$H,'1.BS (VND)'!$D123)+SUMIFS('1.DC_Ra soat'!$L:$L,'1.DC_Ra soat'!$F:$F,BH$4,'1.DC_Ra soat'!$I:$I,'1.BS (VND)'!$D123)</f>
        <v>0</v>
      </c>
      <c r="BI123" s="698">
        <f>-SUMIFS('1.DC_Ra soat'!$L:$L,'1.DC_Ra soat'!$F:$F,BI$4,'1.DC_Ra soat'!$H:$H,'1.BS (VND)'!$D123)+SUMIFS('1.DC_Ra soat'!$L:$L,'1.DC_Ra soat'!$F:$F,BI$4,'1.DC_Ra soat'!$I:$I,'1.BS (VND)'!$D123)</f>
        <v>0</v>
      </c>
      <c r="BJ123" s="698">
        <f>-SUMIFS('1.DC_Ra soat'!$L:$L,'1.DC_Ra soat'!$F:$F,BJ$4,'1.DC_Ra soat'!$H:$H,'1.BS (VND)'!$D123)+SUMIFS('1.DC_Ra soat'!$L:$L,'1.DC_Ra soat'!$F:$F,BJ$4,'1.DC_Ra soat'!$I:$I,'1.BS (VND)'!$D123)</f>
        <v>0</v>
      </c>
      <c r="BK123" s="698">
        <f>-SUMIFS('1.DC_Ra soat'!$L:$L,'1.DC_Ra soat'!$F:$F,BK$4,'1.DC_Ra soat'!$H:$H,'1.BS (VND)'!$D123)+SUMIFS('1.DC_Ra soat'!$L:$L,'1.DC_Ra soat'!$F:$F,BK$4,'1.DC_Ra soat'!$I:$I,'1.BS (VND)'!$D123)</f>
        <v>0</v>
      </c>
      <c r="BM123" s="698">
        <f t="shared" si="179"/>
        <v>0</v>
      </c>
      <c r="BN123" s="698">
        <f t="shared" si="180"/>
        <v>0</v>
      </c>
      <c r="BO123" s="698">
        <f t="shared" si="181"/>
        <v>0</v>
      </c>
      <c r="BP123" s="697">
        <f t="shared" si="182"/>
        <v>0</v>
      </c>
      <c r="BQ123" s="699"/>
      <c r="BR123" s="698">
        <f t="shared" si="183"/>
        <v>0</v>
      </c>
      <c r="BS123" s="698">
        <f t="shared" si="184"/>
        <v>0</v>
      </c>
      <c r="BT123" s="698">
        <f t="shared" si="185"/>
        <v>0</v>
      </c>
      <c r="BU123" s="698">
        <f t="shared" si="186"/>
        <v>0</v>
      </c>
      <c r="BV123" s="699"/>
      <c r="BW123" s="698">
        <f t="shared" si="187"/>
        <v>0</v>
      </c>
      <c r="BX123" s="698">
        <f t="shared" si="188"/>
        <v>0</v>
      </c>
      <c r="BY123" s="698">
        <f t="shared" si="189"/>
        <v>0</v>
      </c>
      <c r="BZ123" s="697">
        <f t="shared" si="190"/>
        <v>0</v>
      </c>
      <c r="CA123" s="699"/>
      <c r="CB123" s="697">
        <f t="shared" si="191"/>
        <v>0</v>
      </c>
      <c r="CC123" s="697">
        <f t="shared" si="192"/>
        <v>0</v>
      </c>
      <c r="CD123" s="697">
        <f t="shared" si="193"/>
        <v>0</v>
      </c>
      <c r="CE123" s="697">
        <f t="shared" si="194"/>
        <v>0</v>
      </c>
      <c r="CF123" s="699"/>
      <c r="CG123" s="697">
        <f t="shared" si="195"/>
        <v>0</v>
      </c>
      <c r="CH123" s="697">
        <f t="shared" si="196"/>
        <v>0</v>
      </c>
      <c r="CI123" s="697">
        <f t="shared" si="197"/>
        <v>0</v>
      </c>
      <c r="CJ123" s="697">
        <f t="shared" si="198"/>
        <v>0</v>
      </c>
      <c r="CK123" s="699"/>
      <c r="CL123" s="698">
        <f t="shared" si="199"/>
        <v>0</v>
      </c>
      <c r="CM123" s="698">
        <f t="shared" si="200"/>
        <v>0</v>
      </c>
      <c r="CN123" s="698">
        <f t="shared" si="201"/>
        <v>0</v>
      </c>
      <c r="CO123" s="697">
        <f t="shared" si="202"/>
        <v>0</v>
      </c>
      <c r="CQ123" s="698">
        <f>SUMIF('1.PL (VND) '!$BL$6:$CD$6,'1.PL (VND) '!CP$6,$BM123:$CE123)</f>
        <v>0</v>
      </c>
      <c r="CR123" s="698">
        <f>SUMIF('1.PL (VND) '!$BL$6:$CD$6,'1.PL (VND) '!CQ$6,$BM123:$CE123)</f>
        <v>0</v>
      </c>
      <c r="CS123" s="698">
        <f>SUMIF('1.PL (VND) '!$BL$6:$CD$6,'1.PL (VND) '!CR$6,$BM123:$CE123)</f>
        <v>0</v>
      </c>
      <c r="CT123" s="698">
        <f>SUMIF('1.PL (VND) '!$BL$6:$CD$6,'1.PL (VND) '!CS$6,$BM123:$CE123)</f>
        <v>0</v>
      </c>
      <c r="CV123" s="702">
        <f>SUMIF('1.PL (VND) '!$BL$6:$CN$6,'1.PL (VND) '!CU$6,$BM123:$CO123)</f>
        <v>0</v>
      </c>
      <c r="CW123" s="702">
        <f>SUMIF('1.PL (VND) '!$BL$6:$CN$6,'1.PL (VND) '!CV$6,$BM123:$CO123)</f>
        <v>0</v>
      </c>
      <c r="CX123" s="702">
        <f>SUMIF('1.PL (VND) '!$BL$6:$CN$6,'1.PL (VND) '!CW$6,$BM123:$CO123)</f>
        <v>0</v>
      </c>
      <c r="CY123" s="702">
        <f>SUMIF('1.PL (VND) '!$BL$6:$CN$6,'1.PL (VND) '!CX$6,$BM123:$CO123)</f>
        <v>0</v>
      </c>
      <c r="DA123" s="698">
        <f t="shared" si="213"/>
        <v>0</v>
      </c>
      <c r="DB123" s="698">
        <f t="shared" si="214"/>
        <v>0</v>
      </c>
      <c r="DC123" s="698">
        <f t="shared" si="215"/>
        <v>0</v>
      </c>
      <c r="DD123" s="698">
        <f t="shared" si="216"/>
        <v>0</v>
      </c>
    </row>
    <row r="124" spans="1:112" s="248" customFormat="1" x14ac:dyDescent="0.25">
      <c r="A124" s="248">
        <f t="shared" si="166"/>
        <v>1</v>
      </c>
      <c r="C124" s="263" t="s">
        <v>591</v>
      </c>
      <c r="D124" s="264" t="s">
        <v>498</v>
      </c>
      <c r="E124" s="729">
        <f>SUM(E73,E103)</f>
        <v>245700088600</v>
      </c>
      <c r="F124" s="729">
        <f>SUM(F73,F103)</f>
        <v>207176864135</v>
      </c>
      <c r="G124" s="729">
        <f>SUM(G73,G103)</f>
        <v>240655602853</v>
      </c>
      <c r="H124" s="730">
        <f>SUM(H73,H103)</f>
        <v>363779153357</v>
      </c>
      <c r="I124" s="230"/>
      <c r="J124" s="265">
        <f>SUM(J73,J103)</f>
        <v>4059489151</v>
      </c>
      <c r="K124" s="265">
        <f>SUM(K73,K103)</f>
        <v>53478751189</v>
      </c>
      <c r="L124" s="265">
        <f>SUM(L73,L103)</f>
        <v>87545240430</v>
      </c>
      <c r="M124" s="265">
        <f>SUM(M73,M103)</f>
        <v>114202075931</v>
      </c>
      <c r="N124" s="230"/>
      <c r="O124" s="265">
        <f>SUM(O73,O103)</f>
        <v>57981954109</v>
      </c>
      <c r="P124" s="265">
        <f>SUM(P73,P103)</f>
        <v>32961773195</v>
      </c>
      <c r="Q124" s="265">
        <f>SUM(Q73,Q103)</f>
        <v>63544536052</v>
      </c>
      <c r="R124" s="265">
        <f>SUM(R73,R103)</f>
        <v>53962440953</v>
      </c>
      <c r="S124" s="230"/>
      <c r="T124" s="265">
        <f>SUM(T73,T103)</f>
        <v>38206005440</v>
      </c>
      <c r="U124" s="265">
        <f>SUM(U73,U103)</f>
        <v>34246112717</v>
      </c>
      <c r="V124" s="265">
        <f>SUM(V73,V103)</f>
        <v>36455182240</v>
      </c>
      <c r="W124" s="265">
        <f>SUM(W73,W103)</f>
        <v>71046960819</v>
      </c>
      <c r="X124" s="230"/>
      <c r="Y124" s="265">
        <f>SUM(Y73,Y103)</f>
        <v>0</v>
      </c>
      <c r="Z124" s="265">
        <f>SUM(Z73,Z103)</f>
        <v>0</v>
      </c>
      <c r="AA124" s="265">
        <f>SUM(AA73,AA103)</f>
        <v>0</v>
      </c>
      <c r="AB124" s="265">
        <f>SUM(AB73,AB103)</f>
        <v>0</v>
      </c>
      <c r="AC124" s="230"/>
      <c r="AD124" s="265">
        <f>SUM(AD73,AD103)</f>
        <v>0</v>
      </c>
      <c r="AE124" s="265">
        <f>SUM(AE73,AE103)</f>
        <v>0</v>
      </c>
      <c r="AF124" s="265">
        <f>SUM(AF73,AF103)</f>
        <v>0</v>
      </c>
      <c r="AG124" s="265">
        <f>SUM(AG73,AG103)</f>
        <v>0</v>
      </c>
      <c r="AI124" s="265">
        <f>SUM(AI73,AI103)</f>
        <v>0</v>
      </c>
      <c r="AJ124" s="265">
        <f>SUM(AJ73,AJ103)</f>
        <v>0</v>
      </c>
      <c r="AK124" s="265">
        <f>SUM(AK73,AK103)</f>
        <v>-10749717626</v>
      </c>
      <c r="AL124" s="265">
        <f>SUM(AL73,AL103)</f>
        <v>-15373321514</v>
      </c>
      <c r="AM124" s="230"/>
      <c r="AN124" s="265">
        <f>SUM(AN73,AN103)</f>
        <v>0</v>
      </c>
      <c r="AO124" s="265">
        <f>SUM(AO73,AO103)</f>
        <v>0</v>
      </c>
      <c r="AP124" s="265">
        <f>SUM(AP73,AP103)</f>
        <v>-741540549</v>
      </c>
      <c r="AQ124" s="265">
        <f t="shared" ref="AQ124" si="217">SUM(AQ73,AQ103)</f>
        <v>-741540549</v>
      </c>
      <c r="AR124" s="230"/>
      <c r="AS124" s="265">
        <f>SUM(AS73,AS103)</f>
        <v>0</v>
      </c>
      <c r="AT124" s="265">
        <f>SUM(AT73,AT103)</f>
        <v>0</v>
      </c>
      <c r="AU124" s="265">
        <f>SUM(AU73,AU103)</f>
        <v>-846888229</v>
      </c>
      <c r="AV124" s="265">
        <f t="shared" ref="AV124" si="218">SUM(AV73,AV103)</f>
        <v>-5796888229</v>
      </c>
      <c r="AW124" s="230"/>
      <c r="AX124" s="265">
        <f>SUM(AX73,AX103)</f>
        <v>0</v>
      </c>
      <c r="AY124" s="265">
        <f>SUM(AY73,AY103)</f>
        <v>0</v>
      </c>
      <c r="AZ124" s="265">
        <f>SUM(AZ73,AZ103)</f>
        <v>-1262355349</v>
      </c>
      <c r="BA124" s="265">
        <f>SUM(BA73,BA103)</f>
        <v>-6262355349</v>
      </c>
      <c r="BB124" s="230"/>
      <c r="BC124" s="265">
        <f>SUM(BC73,BC103)</f>
        <v>0</v>
      </c>
      <c r="BD124" s="265">
        <f>SUM(BD73,BD103)</f>
        <v>0</v>
      </c>
      <c r="BE124" s="265">
        <f>SUM(BE73,BE103)</f>
        <v>0</v>
      </c>
      <c r="BF124" s="265">
        <f>SUM(BF73,BF103)</f>
        <v>0</v>
      </c>
      <c r="BG124" s="230"/>
      <c r="BH124" s="265">
        <f>SUM(BH73,BH103)</f>
        <v>0</v>
      </c>
      <c r="BI124" s="265">
        <f>SUM(BI73,BI103)</f>
        <v>0</v>
      </c>
      <c r="BJ124" s="265">
        <f>SUM(BJ73,BJ103)</f>
        <v>0</v>
      </c>
      <c r="BK124" s="265">
        <f t="shared" ref="BK124" si="219">SUM(BK73,BK103)</f>
        <v>0</v>
      </c>
      <c r="BM124" s="265">
        <f t="shared" si="179"/>
        <v>245700088600</v>
      </c>
      <c r="BN124" s="265">
        <f t="shared" si="180"/>
        <v>207176864135</v>
      </c>
      <c r="BO124" s="265">
        <f t="shared" si="181"/>
        <v>229905885227</v>
      </c>
      <c r="BP124" s="265">
        <f t="shared" si="182"/>
        <v>348405831843</v>
      </c>
      <c r="BQ124" s="230"/>
      <c r="BR124" s="265">
        <f t="shared" si="183"/>
        <v>4059489151</v>
      </c>
      <c r="BS124" s="265">
        <f t="shared" si="184"/>
        <v>53478751189</v>
      </c>
      <c r="BT124" s="265">
        <f t="shared" si="185"/>
        <v>86803699881</v>
      </c>
      <c r="BU124" s="265">
        <f t="shared" si="186"/>
        <v>113460535382</v>
      </c>
      <c r="BV124" s="230"/>
      <c r="BW124" s="265">
        <f t="shared" si="187"/>
        <v>57981954109</v>
      </c>
      <c r="BX124" s="265">
        <f t="shared" si="188"/>
        <v>32961773195</v>
      </c>
      <c r="BY124" s="265">
        <f t="shared" si="189"/>
        <v>62697647823</v>
      </c>
      <c r="BZ124" s="265">
        <f t="shared" si="190"/>
        <v>48165552724</v>
      </c>
      <c r="CA124" s="230"/>
      <c r="CB124" s="265">
        <f t="shared" si="191"/>
        <v>38206005440</v>
      </c>
      <c r="CC124" s="265">
        <f t="shared" si="192"/>
        <v>34246112717</v>
      </c>
      <c r="CD124" s="265">
        <f t="shared" si="193"/>
        <v>35192826891</v>
      </c>
      <c r="CE124" s="265">
        <f t="shared" si="194"/>
        <v>64784605470</v>
      </c>
      <c r="CF124" s="230"/>
      <c r="CG124" s="265">
        <f t="shared" si="195"/>
        <v>0</v>
      </c>
      <c r="CH124" s="265">
        <f t="shared" si="196"/>
        <v>0</v>
      </c>
      <c r="CI124" s="265">
        <f t="shared" si="197"/>
        <v>0</v>
      </c>
      <c r="CJ124" s="265">
        <f t="shared" si="198"/>
        <v>0</v>
      </c>
      <c r="CK124" s="230"/>
      <c r="CL124" s="265">
        <f t="shared" si="199"/>
        <v>0</v>
      </c>
      <c r="CM124" s="265">
        <f t="shared" si="200"/>
        <v>0</v>
      </c>
      <c r="CN124" s="265">
        <f t="shared" si="201"/>
        <v>0</v>
      </c>
      <c r="CO124" s="265">
        <f t="shared" si="202"/>
        <v>0</v>
      </c>
      <c r="CQ124" s="265">
        <f>SUMIF('1.PL (VND) '!$BL$6:$CD$6,'1.PL (VND) '!CP$6,$BM124:$CE124)</f>
        <v>345947537300</v>
      </c>
      <c r="CR124" s="265">
        <f>SUMIF('1.PL (VND) '!$BL$6:$CD$6,'1.PL (VND) '!CQ$6,$BM124:$CE124)</f>
        <v>327863501236</v>
      </c>
      <c r="CS124" s="265">
        <f>SUMIF('1.PL (VND) '!$BL$6:$CD$6,'1.PL (VND) '!CR$6,$BM124:$CE124)</f>
        <v>414600059822</v>
      </c>
      <c r="CT124" s="265">
        <f>SUMIF('1.PL (VND) '!$BL$6:$CD$6,'1.PL (VND) '!CS$6,$BM124:$CE124)</f>
        <v>574816525419</v>
      </c>
      <c r="CU124" s="267"/>
      <c r="CV124" s="265">
        <f>SUM(CV73,CV103)</f>
        <v>0</v>
      </c>
      <c r="CW124" s="265">
        <f>SUM(CW73,CW103)</f>
        <v>0</v>
      </c>
      <c r="CX124" s="265">
        <f>SUM(CX73,CX103)</f>
        <v>0</v>
      </c>
      <c r="CY124" s="265">
        <f t="shared" ref="CY124" si="220">SUM(CY73,CY103)</f>
        <v>0</v>
      </c>
      <c r="DA124" s="265">
        <f t="shared" si="213"/>
        <v>345947537300</v>
      </c>
      <c r="DB124" s="265">
        <f t="shared" si="214"/>
        <v>327863501236</v>
      </c>
      <c r="DC124" s="265">
        <f t="shared" si="215"/>
        <v>414600059822</v>
      </c>
      <c r="DD124" s="265">
        <f t="shared" si="216"/>
        <v>574816525419</v>
      </c>
      <c r="DH124" s="245"/>
    </row>
    <row r="125" spans="1:112" s="441" customFormat="1" x14ac:dyDescent="0.25">
      <c r="C125" s="833"/>
      <c r="D125" s="833"/>
      <c r="E125" s="834">
        <f>E124-E70</f>
        <v>0</v>
      </c>
      <c r="F125" s="834">
        <f t="shared" ref="F125:BE125" si="221">F124-F70</f>
        <v>0</v>
      </c>
      <c r="G125" s="834">
        <f t="shared" si="221"/>
        <v>0</v>
      </c>
      <c r="H125" s="834">
        <f t="shared" si="221"/>
        <v>-17837105926</v>
      </c>
      <c r="I125" s="454">
        <f t="shared" si="221"/>
        <v>0</v>
      </c>
      <c r="J125" s="454">
        <f t="shared" si="221"/>
        <v>0</v>
      </c>
      <c r="K125" s="454">
        <f t="shared" si="221"/>
        <v>0</v>
      </c>
      <c r="L125" s="454">
        <f t="shared" si="221"/>
        <v>-283280</v>
      </c>
      <c r="M125" s="454">
        <f t="shared" si="221"/>
        <v>-30742793004</v>
      </c>
      <c r="N125" s="454">
        <f t="shared" si="221"/>
        <v>0</v>
      </c>
      <c r="O125" s="454">
        <f t="shared" si="221"/>
        <v>0</v>
      </c>
      <c r="P125" s="454">
        <f t="shared" si="221"/>
        <v>0</v>
      </c>
      <c r="Q125" s="454">
        <f t="shared" si="221"/>
        <v>0</v>
      </c>
      <c r="R125" s="454">
        <f t="shared" si="221"/>
        <v>0</v>
      </c>
      <c r="S125" s="454">
        <f t="shared" si="221"/>
        <v>0</v>
      </c>
      <c r="T125" s="454">
        <f t="shared" si="221"/>
        <v>0</v>
      </c>
      <c r="U125" s="454">
        <f t="shared" si="221"/>
        <v>0</v>
      </c>
      <c r="V125" s="454">
        <f t="shared" si="221"/>
        <v>0</v>
      </c>
      <c r="W125" s="454">
        <f t="shared" si="221"/>
        <v>0</v>
      </c>
      <c r="X125" s="454">
        <f t="shared" si="221"/>
        <v>0</v>
      </c>
      <c r="Y125" s="454">
        <f t="shared" si="221"/>
        <v>0</v>
      </c>
      <c r="Z125" s="454">
        <f t="shared" si="221"/>
        <v>0</v>
      </c>
      <c r="AA125" s="454">
        <f t="shared" si="221"/>
        <v>0</v>
      </c>
      <c r="AB125" s="454">
        <f t="shared" si="221"/>
        <v>0</v>
      </c>
      <c r="AC125" s="454">
        <f t="shared" si="221"/>
        <v>0</v>
      </c>
      <c r="AD125" s="454">
        <f t="shared" si="221"/>
        <v>0</v>
      </c>
      <c r="AE125" s="454">
        <f t="shared" si="221"/>
        <v>0</v>
      </c>
      <c r="AF125" s="454">
        <f t="shared" si="221"/>
        <v>0</v>
      </c>
      <c r="AG125" s="454">
        <f t="shared" si="221"/>
        <v>0</v>
      </c>
      <c r="AH125" s="454"/>
      <c r="AI125" s="454">
        <f t="shared" si="221"/>
        <v>0</v>
      </c>
      <c r="AJ125" s="454">
        <f t="shared" si="221"/>
        <v>0</v>
      </c>
      <c r="AK125" s="454">
        <f t="shared" si="221"/>
        <v>0</v>
      </c>
      <c r="AL125" s="454">
        <f>AL124-AL70</f>
        <v>0</v>
      </c>
      <c r="AM125" s="454"/>
      <c r="AN125" s="454">
        <f t="shared" si="221"/>
        <v>0</v>
      </c>
      <c r="AO125" s="454">
        <f t="shared" si="221"/>
        <v>0</v>
      </c>
      <c r="AP125" s="454">
        <f t="shared" si="221"/>
        <v>0</v>
      </c>
      <c r="AQ125" s="454">
        <f t="shared" si="221"/>
        <v>0</v>
      </c>
      <c r="AR125" s="454"/>
      <c r="AS125" s="454">
        <f t="shared" si="221"/>
        <v>0</v>
      </c>
      <c r="AT125" s="454">
        <f t="shared" si="221"/>
        <v>0</v>
      </c>
      <c r="AU125" s="454">
        <f t="shared" si="221"/>
        <v>0</v>
      </c>
      <c r="AV125" s="454">
        <f t="shared" si="221"/>
        <v>0</v>
      </c>
      <c r="AW125" s="454"/>
      <c r="AX125" s="454">
        <f t="shared" si="221"/>
        <v>0</v>
      </c>
      <c r="AY125" s="454">
        <f t="shared" si="221"/>
        <v>0</v>
      </c>
      <c r="AZ125" s="454">
        <f t="shared" si="221"/>
        <v>0</v>
      </c>
      <c r="BA125" s="454">
        <f t="shared" si="221"/>
        <v>0</v>
      </c>
      <c r="BB125" s="454"/>
      <c r="BC125" s="454">
        <f t="shared" si="221"/>
        <v>0</v>
      </c>
      <c r="BD125" s="454">
        <f t="shared" si="221"/>
        <v>0</v>
      </c>
      <c r="BE125" s="454">
        <f t="shared" si="221"/>
        <v>0</v>
      </c>
      <c r="BF125" s="454">
        <f t="shared" ref="BF125" si="222">BF124-BF70</f>
        <v>0</v>
      </c>
      <c r="BG125" s="454"/>
      <c r="BH125" s="454">
        <f t="shared" ref="BH125:CQ125" si="223">BH124-BH70</f>
        <v>0</v>
      </c>
      <c r="BI125" s="454">
        <f t="shared" si="223"/>
        <v>0</v>
      </c>
      <c r="BJ125" s="454">
        <f t="shared" si="223"/>
        <v>0</v>
      </c>
      <c r="BK125" s="454">
        <f t="shared" si="223"/>
        <v>0</v>
      </c>
      <c r="BL125" s="454"/>
      <c r="BM125" s="454">
        <f t="shared" si="223"/>
        <v>0</v>
      </c>
      <c r="BN125" s="454">
        <f>BN124-BN70</f>
        <v>0</v>
      </c>
      <c r="BO125" s="454">
        <f t="shared" si="223"/>
        <v>0</v>
      </c>
      <c r="BP125" s="454">
        <f t="shared" si="223"/>
        <v>-17837105926</v>
      </c>
      <c r="BQ125" s="454"/>
      <c r="BR125" s="454">
        <f t="shared" si="223"/>
        <v>0</v>
      </c>
      <c r="BS125" s="454">
        <f t="shared" si="223"/>
        <v>0</v>
      </c>
      <c r="BT125" s="454">
        <f t="shared" si="223"/>
        <v>-283280</v>
      </c>
      <c r="BU125" s="454">
        <f t="shared" si="223"/>
        <v>-30742793004</v>
      </c>
      <c r="BV125" s="454"/>
      <c r="BW125" s="454">
        <f t="shared" si="223"/>
        <v>0</v>
      </c>
      <c r="BX125" s="454">
        <f t="shared" si="223"/>
        <v>0</v>
      </c>
      <c r="BY125" s="454">
        <f t="shared" si="223"/>
        <v>0</v>
      </c>
      <c r="BZ125" s="454">
        <f t="shared" si="223"/>
        <v>0</v>
      </c>
      <c r="CA125" s="454"/>
      <c r="CB125" s="454">
        <f t="shared" si="223"/>
        <v>0</v>
      </c>
      <c r="CC125" s="454">
        <f t="shared" si="223"/>
        <v>0</v>
      </c>
      <c r="CD125" s="454">
        <f t="shared" si="223"/>
        <v>0</v>
      </c>
      <c r="CE125" s="454">
        <f t="shared" si="223"/>
        <v>0</v>
      </c>
      <c r="CF125" s="454"/>
      <c r="CG125" s="454">
        <f t="shared" si="223"/>
        <v>0</v>
      </c>
      <c r="CH125" s="454">
        <f t="shared" si="223"/>
        <v>0</v>
      </c>
      <c r="CI125" s="454">
        <f t="shared" si="223"/>
        <v>0</v>
      </c>
      <c r="CJ125" s="454">
        <f t="shared" si="223"/>
        <v>0</v>
      </c>
      <c r="CK125" s="454"/>
      <c r="CL125" s="454">
        <f t="shared" si="223"/>
        <v>0</v>
      </c>
      <c r="CM125" s="454">
        <f t="shared" si="223"/>
        <v>0</v>
      </c>
      <c r="CN125" s="454">
        <f t="shared" si="223"/>
        <v>0</v>
      </c>
      <c r="CO125" s="454">
        <f t="shared" si="223"/>
        <v>0</v>
      </c>
      <c r="CP125" s="454"/>
      <c r="CQ125" s="454">
        <f t="shared" si="223"/>
        <v>0</v>
      </c>
      <c r="CR125" s="454">
        <f>CR124-CR70</f>
        <v>0</v>
      </c>
      <c r="CS125" s="454">
        <f t="shared" ref="CS125:DD125" si="224">CS124-CS70</f>
        <v>-283280</v>
      </c>
      <c r="CT125" s="454">
        <f t="shared" si="224"/>
        <v>-48579898930</v>
      </c>
      <c r="CU125" s="454"/>
      <c r="CV125" s="454">
        <f t="shared" si="224"/>
        <v>0</v>
      </c>
      <c r="CW125" s="454">
        <f t="shared" si="224"/>
        <v>0</v>
      </c>
      <c r="CX125" s="454">
        <f t="shared" si="224"/>
        <v>0</v>
      </c>
      <c r="CY125" s="454">
        <f t="shared" si="224"/>
        <v>0</v>
      </c>
      <c r="CZ125" s="454"/>
      <c r="DA125" s="454">
        <f t="shared" si="224"/>
        <v>0</v>
      </c>
      <c r="DB125" s="454">
        <f t="shared" si="224"/>
        <v>0</v>
      </c>
      <c r="DC125" s="454">
        <f t="shared" si="224"/>
        <v>-283280</v>
      </c>
      <c r="DD125" s="454">
        <f t="shared" si="224"/>
        <v>-48579898930</v>
      </c>
      <c r="DH125" s="440"/>
    </row>
    <row r="126" spans="1:112" x14ac:dyDescent="0.25">
      <c r="E126" s="731"/>
      <c r="F126" s="732"/>
      <c r="G126" s="732"/>
      <c r="H126" s="733"/>
      <c r="I126" s="211"/>
      <c r="K126" s="268"/>
      <c r="L126" s="268"/>
      <c r="N126" s="211"/>
      <c r="P126" s="268"/>
      <c r="Q126" s="268"/>
      <c r="R126" s="227"/>
      <c r="S126" s="211"/>
      <c r="U126" s="268"/>
      <c r="V126" s="268"/>
      <c r="W126" s="227"/>
      <c r="X126" s="211"/>
      <c r="Z126" s="268"/>
      <c r="AA126" s="268"/>
      <c r="AB126" s="227"/>
      <c r="AC126" s="211"/>
      <c r="AG126" s="161"/>
      <c r="AH126" s="213"/>
      <c r="AI126" s="227"/>
      <c r="AJ126" s="270"/>
      <c r="AK126" s="270"/>
      <c r="AL126" s="270"/>
      <c r="AM126" s="211"/>
      <c r="AO126" s="270"/>
      <c r="AP126" s="270"/>
      <c r="AQ126" s="270"/>
      <c r="AR126" s="211"/>
      <c r="AT126" s="270"/>
      <c r="AU126" s="270"/>
      <c r="AV126" s="270"/>
      <c r="AW126" s="211"/>
      <c r="AX126" s="227"/>
      <c r="AY126" s="227"/>
      <c r="AZ126" s="227"/>
      <c r="BA126" s="227"/>
      <c r="BB126" s="211"/>
      <c r="BC126" s="227"/>
      <c r="BD126" s="227"/>
      <c r="BE126" s="227"/>
      <c r="BF126" s="227"/>
      <c r="BG126" s="211"/>
      <c r="BK126" s="227"/>
      <c r="BP126" s="161"/>
      <c r="BQ126" s="211"/>
      <c r="BU126" s="227"/>
      <c r="BV126" s="211"/>
      <c r="BZ126" s="227"/>
      <c r="CA126" s="211"/>
      <c r="CE126" s="227"/>
      <c r="CF126" s="211"/>
      <c r="CJ126" s="161"/>
      <c r="CK126" s="211"/>
      <c r="CO126" s="227"/>
    </row>
    <row r="127" spans="1:112" x14ac:dyDescent="0.25">
      <c r="F127" s="733"/>
      <c r="G127" s="733"/>
      <c r="H127" s="733"/>
      <c r="K127" s="271"/>
      <c r="L127" s="271"/>
      <c r="M127" s="271"/>
      <c r="P127" s="271"/>
      <c r="Q127" s="271"/>
      <c r="R127" s="271"/>
      <c r="U127" s="271"/>
      <c r="V127" s="271"/>
      <c r="W127" s="271"/>
      <c r="BN127" s="269"/>
      <c r="BO127" s="269"/>
      <c r="BP127" s="269"/>
      <c r="BS127" s="269"/>
      <c r="BT127" s="269"/>
      <c r="BU127" s="269"/>
      <c r="BX127" s="272"/>
      <c r="BY127" s="272"/>
      <c r="BZ127" s="272"/>
      <c r="CC127" s="271"/>
      <c r="CD127" s="271"/>
      <c r="CE127" s="271"/>
      <c r="CH127" s="271"/>
      <c r="CI127" s="271"/>
      <c r="CJ127" s="271"/>
      <c r="CM127" s="271"/>
      <c r="CN127" s="271"/>
      <c r="CO127" s="271"/>
      <c r="CR127" s="271"/>
      <c r="CS127" s="271"/>
      <c r="CT127" s="271"/>
    </row>
    <row r="128" spans="1:112" s="183" customFormat="1" ht="15" x14ac:dyDescent="0.25">
      <c r="E128" s="199"/>
      <c r="F128" s="199"/>
      <c r="G128" s="199"/>
      <c r="H128" s="199"/>
      <c r="AL128" s="207"/>
      <c r="BN128" s="273"/>
      <c r="BO128" s="273"/>
      <c r="BP128" s="273"/>
      <c r="BS128" s="273"/>
      <c r="BT128" s="273"/>
      <c r="BU128" s="273"/>
      <c r="BX128" s="273"/>
      <c r="BY128" s="273"/>
      <c r="BZ128" s="273"/>
      <c r="CC128" s="273"/>
      <c r="CD128" s="273"/>
      <c r="CE128" s="273"/>
      <c r="CH128" s="273"/>
      <c r="CI128" s="273"/>
      <c r="CJ128" s="273"/>
      <c r="CM128" s="273"/>
      <c r="CN128" s="273"/>
      <c r="CO128" s="273"/>
    </row>
    <row r="129" spans="5:93" s="183" customFormat="1" ht="15" x14ac:dyDescent="0.25">
      <c r="E129" s="199"/>
      <c r="F129" s="199"/>
      <c r="G129" s="199"/>
      <c r="H129" s="199"/>
      <c r="BN129" s="206"/>
      <c r="BO129" s="206"/>
      <c r="BP129" s="206"/>
      <c r="BS129" s="206"/>
      <c r="BT129" s="206"/>
      <c r="BU129" s="206"/>
      <c r="BX129" s="206"/>
      <c r="BY129" s="206"/>
      <c r="BZ129" s="206"/>
      <c r="CC129" s="206"/>
      <c r="CD129" s="206"/>
      <c r="CE129" s="206"/>
      <c r="CH129" s="206"/>
      <c r="CI129" s="206"/>
      <c r="CJ129" s="206"/>
      <c r="CM129" s="206"/>
      <c r="CN129" s="206"/>
      <c r="CO129" s="206"/>
    </row>
    <row r="130" spans="5:93" s="183" customFormat="1" ht="15" x14ac:dyDescent="0.25">
      <c r="E130" s="199"/>
      <c r="F130" s="199"/>
      <c r="G130" s="199"/>
      <c r="H130" s="199"/>
      <c r="BO130" s="207"/>
      <c r="BP130" s="207"/>
      <c r="BS130" s="207"/>
      <c r="BT130" s="207"/>
      <c r="BU130" s="207"/>
      <c r="BX130" s="207"/>
      <c r="BY130" s="207"/>
      <c r="BZ130" s="207"/>
      <c r="CC130" s="207"/>
      <c r="CD130" s="207"/>
      <c r="CE130" s="207"/>
      <c r="CH130" s="207"/>
      <c r="CI130" s="207"/>
      <c r="CJ130" s="207"/>
    </row>
    <row r="131" spans="5:93" s="274" customFormat="1" ht="15" x14ac:dyDescent="0.25">
      <c r="E131" s="735"/>
      <c r="F131" s="736"/>
      <c r="G131" s="736"/>
      <c r="H131" s="736"/>
      <c r="L131" s="275"/>
      <c r="M131" s="275"/>
      <c r="BN131" s="275"/>
      <c r="BO131" s="275"/>
      <c r="BP131" s="275"/>
      <c r="BS131" s="275"/>
      <c r="BT131" s="275"/>
      <c r="BU131" s="275"/>
      <c r="BX131" s="275"/>
      <c r="BY131" s="275"/>
      <c r="BZ131" s="275"/>
    </row>
    <row r="132" spans="5:93" s="274" customFormat="1" ht="15" x14ac:dyDescent="0.25">
      <c r="E132" s="735"/>
      <c r="F132" s="736"/>
      <c r="G132" s="736"/>
      <c r="H132" s="736"/>
      <c r="L132" s="275"/>
      <c r="M132" s="275"/>
      <c r="BN132" s="275"/>
      <c r="BO132" s="275"/>
      <c r="BP132" s="275"/>
      <c r="BS132" s="275"/>
      <c r="BT132" s="275"/>
      <c r="BU132" s="275"/>
      <c r="BX132" s="275"/>
      <c r="BY132" s="275"/>
      <c r="BZ132" s="275"/>
    </row>
    <row r="133" spans="5:93" s="183" customFormat="1" ht="15" x14ac:dyDescent="0.25">
      <c r="E133" s="199"/>
      <c r="F133" s="199"/>
      <c r="G133" s="737"/>
      <c r="H133" s="199"/>
    </row>
    <row r="134" spans="5:93" s="183" customFormat="1" ht="15" x14ac:dyDescent="0.25">
      <c r="E134" s="199"/>
      <c r="F134" s="199"/>
      <c r="G134" s="737"/>
      <c r="H134" s="199"/>
    </row>
    <row r="135" spans="5:93" s="183" customFormat="1" ht="15" x14ac:dyDescent="0.25">
      <c r="E135" s="199"/>
      <c r="F135" s="199"/>
      <c r="G135" s="199"/>
      <c r="H135" s="199"/>
    </row>
    <row r="136" spans="5:93" s="183" customFormat="1" ht="15" x14ac:dyDescent="0.25">
      <c r="E136" s="199"/>
      <c r="F136" s="199"/>
      <c r="G136" s="199"/>
      <c r="H136" s="199"/>
    </row>
  </sheetData>
  <autoFilter ref="A8:A124" xr:uid="{00000000-0009-0000-0000-000009000000}"/>
  <mergeCells count="21">
    <mergeCell ref="DA5:DD5"/>
    <mergeCell ref="BM5:BP5"/>
    <mergeCell ref="BR5:BU5"/>
    <mergeCell ref="BW5:BZ5"/>
    <mergeCell ref="CB5:CE5"/>
    <mergeCell ref="CG5:CJ5"/>
    <mergeCell ref="CL5:CO5"/>
    <mergeCell ref="CQ5:CT5"/>
    <mergeCell ref="CV5:CY5"/>
    <mergeCell ref="AS5:AV5"/>
    <mergeCell ref="AX5:BA5"/>
    <mergeCell ref="BC5:BF5"/>
    <mergeCell ref="BH5:BK5"/>
    <mergeCell ref="E5:H5"/>
    <mergeCell ref="J5:M5"/>
    <mergeCell ref="O5:R5"/>
    <mergeCell ref="T5:W5"/>
    <mergeCell ref="Y5:AB5"/>
    <mergeCell ref="AD5:AG5"/>
    <mergeCell ref="AI5:AL5"/>
    <mergeCell ref="AN5:AQ5"/>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Q41"/>
  <sheetViews>
    <sheetView showGridLines="0" zoomScale="85" zoomScaleNormal="85" workbookViewId="0">
      <pane xSplit="2" ySplit="2" topLeftCell="C3" activePane="bottomRight" state="frozen"/>
      <selection pane="topRight" activeCell="C1" sqref="C1"/>
      <selection pane="bottomLeft" activeCell="A3" sqref="A3"/>
      <selection pane="bottomRight" activeCell="L22" activeCellId="3" sqref="L9 L14 L17 L22"/>
    </sheetView>
  </sheetViews>
  <sheetFormatPr defaultColWidth="8.7109375" defaultRowHeight="15" x14ac:dyDescent="0.25"/>
  <cols>
    <col min="1" max="1" width="8.7109375" style="1146"/>
    <col min="2" max="2" width="7.28515625" style="1146" customWidth="1"/>
    <col min="3" max="3" width="50.140625" style="1146" bestFit="1" customWidth="1"/>
    <col min="4" max="4" width="12.42578125" style="756" bestFit="1" customWidth="1"/>
    <col min="5" max="5" width="17.28515625" style="1146" customWidth="1"/>
    <col min="6" max="6" width="31.5703125" style="1146" customWidth="1"/>
    <col min="7" max="7" width="52.7109375" style="1146" bestFit="1" customWidth="1"/>
    <col min="8" max="8" width="9.28515625" style="1146" bestFit="1" customWidth="1"/>
    <col min="9" max="9" width="8.85546875" style="1146" bestFit="1" customWidth="1"/>
    <col min="10" max="10" width="6.28515625" style="1146" bestFit="1" customWidth="1"/>
    <col min="11" max="11" width="5.7109375" style="1146" bestFit="1" customWidth="1"/>
    <col min="12" max="12" width="16.140625" style="1146" bestFit="1" customWidth="1"/>
    <col min="13" max="13" width="16.28515625" style="1146" customWidth="1"/>
    <col min="14" max="257" width="8.7109375" style="1146"/>
    <col min="258" max="258" width="11.5703125" style="1146" customWidth="1"/>
    <col min="259" max="259" width="16" style="1146" customWidth="1"/>
    <col min="260" max="260" width="18.5703125" style="1146" customWidth="1"/>
    <col min="261" max="261" width="55.7109375" style="1146" customWidth="1"/>
    <col min="262" max="265" width="8.7109375" style="1146"/>
    <col min="266" max="266" width="17.42578125" style="1146" customWidth="1"/>
    <col min="267" max="267" width="18.5703125" style="1146" customWidth="1"/>
    <col min="268" max="513" width="8.7109375" style="1146"/>
    <col min="514" max="514" width="11.5703125" style="1146" customWidth="1"/>
    <col min="515" max="515" width="16" style="1146" customWidth="1"/>
    <col min="516" max="516" width="18.5703125" style="1146" customWidth="1"/>
    <col min="517" max="517" width="55.7109375" style="1146" customWidth="1"/>
    <col min="518" max="521" width="8.7109375" style="1146"/>
    <col min="522" max="522" width="17.42578125" style="1146" customWidth="1"/>
    <col min="523" max="523" width="18.5703125" style="1146" customWidth="1"/>
    <col min="524" max="769" width="8.7109375" style="1146"/>
    <col min="770" max="770" width="11.5703125" style="1146" customWidth="1"/>
    <col min="771" max="771" width="16" style="1146" customWidth="1"/>
    <col min="772" max="772" width="18.5703125" style="1146" customWidth="1"/>
    <col min="773" max="773" width="55.7109375" style="1146" customWidth="1"/>
    <col min="774" max="777" width="8.7109375" style="1146"/>
    <col min="778" max="778" width="17.42578125" style="1146" customWidth="1"/>
    <col min="779" max="779" width="18.5703125" style="1146" customWidth="1"/>
    <col min="780" max="1025" width="8.7109375" style="1146"/>
    <col min="1026" max="1026" width="11.5703125" style="1146" customWidth="1"/>
    <col min="1027" max="1027" width="16" style="1146" customWidth="1"/>
    <col min="1028" max="1028" width="18.5703125" style="1146" customWidth="1"/>
    <col min="1029" max="1029" width="55.7109375" style="1146" customWidth="1"/>
    <col min="1030" max="1033" width="8.7109375" style="1146"/>
    <col min="1034" max="1034" width="17.42578125" style="1146" customWidth="1"/>
    <col min="1035" max="1035" width="18.5703125" style="1146" customWidth="1"/>
    <col min="1036" max="1281" width="8.7109375" style="1146"/>
    <col min="1282" max="1282" width="11.5703125" style="1146" customWidth="1"/>
    <col min="1283" max="1283" width="16" style="1146" customWidth="1"/>
    <col min="1284" max="1284" width="18.5703125" style="1146" customWidth="1"/>
    <col min="1285" max="1285" width="55.7109375" style="1146" customWidth="1"/>
    <col min="1286" max="1289" width="8.7109375" style="1146"/>
    <col min="1290" max="1290" width="17.42578125" style="1146" customWidth="1"/>
    <col min="1291" max="1291" width="18.5703125" style="1146" customWidth="1"/>
    <col min="1292" max="1537" width="8.7109375" style="1146"/>
    <col min="1538" max="1538" width="11.5703125" style="1146" customWidth="1"/>
    <col min="1539" max="1539" width="16" style="1146" customWidth="1"/>
    <col min="1540" max="1540" width="18.5703125" style="1146" customWidth="1"/>
    <col min="1541" max="1541" width="55.7109375" style="1146" customWidth="1"/>
    <col min="1542" max="1545" width="8.7109375" style="1146"/>
    <col min="1546" max="1546" width="17.42578125" style="1146" customWidth="1"/>
    <col min="1547" max="1547" width="18.5703125" style="1146" customWidth="1"/>
    <col min="1548" max="1793" width="8.7109375" style="1146"/>
    <col min="1794" max="1794" width="11.5703125" style="1146" customWidth="1"/>
    <col min="1795" max="1795" width="16" style="1146" customWidth="1"/>
    <col min="1796" max="1796" width="18.5703125" style="1146" customWidth="1"/>
    <col min="1797" max="1797" width="55.7109375" style="1146" customWidth="1"/>
    <col min="1798" max="1801" width="8.7109375" style="1146"/>
    <col min="1802" max="1802" width="17.42578125" style="1146" customWidth="1"/>
    <col min="1803" max="1803" width="18.5703125" style="1146" customWidth="1"/>
    <col min="1804" max="2049" width="8.7109375" style="1146"/>
    <col min="2050" max="2050" width="11.5703125" style="1146" customWidth="1"/>
    <col min="2051" max="2051" width="16" style="1146" customWidth="1"/>
    <col min="2052" max="2052" width="18.5703125" style="1146" customWidth="1"/>
    <col min="2053" max="2053" width="55.7109375" style="1146" customWidth="1"/>
    <col min="2054" max="2057" width="8.7109375" style="1146"/>
    <col min="2058" max="2058" width="17.42578125" style="1146" customWidth="1"/>
    <col min="2059" max="2059" width="18.5703125" style="1146" customWidth="1"/>
    <col min="2060" max="2305" width="8.7109375" style="1146"/>
    <col min="2306" max="2306" width="11.5703125" style="1146" customWidth="1"/>
    <col min="2307" max="2307" width="16" style="1146" customWidth="1"/>
    <col min="2308" max="2308" width="18.5703125" style="1146" customWidth="1"/>
    <col min="2309" max="2309" width="55.7109375" style="1146" customWidth="1"/>
    <col min="2310" max="2313" width="8.7109375" style="1146"/>
    <col min="2314" max="2314" width="17.42578125" style="1146" customWidth="1"/>
    <col min="2315" max="2315" width="18.5703125" style="1146" customWidth="1"/>
    <col min="2316" max="2561" width="8.7109375" style="1146"/>
    <col min="2562" max="2562" width="11.5703125" style="1146" customWidth="1"/>
    <col min="2563" max="2563" width="16" style="1146" customWidth="1"/>
    <col min="2564" max="2564" width="18.5703125" style="1146" customWidth="1"/>
    <col min="2565" max="2565" width="55.7109375" style="1146" customWidth="1"/>
    <col min="2566" max="2569" width="8.7109375" style="1146"/>
    <col min="2570" max="2570" width="17.42578125" style="1146" customWidth="1"/>
    <col min="2571" max="2571" width="18.5703125" style="1146" customWidth="1"/>
    <col min="2572" max="2817" width="8.7109375" style="1146"/>
    <col min="2818" max="2818" width="11.5703125" style="1146" customWidth="1"/>
    <col min="2819" max="2819" width="16" style="1146" customWidth="1"/>
    <col min="2820" max="2820" width="18.5703125" style="1146" customWidth="1"/>
    <col min="2821" max="2821" width="55.7109375" style="1146" customWidth="1"/>
    <col min="2822" max="2825" width="8.7109375" style="1146"/>
    <col min="2826" max="2826" width="17.42578125" style="1146" customWidth="1"/>
    <col min="2827" max="2827" width="18.5703125" style="1146" customWidth="1"/>
    <col min="2828" max="3073" width="8.7109375" style="1146"/>
    <col min="3074" max="3074" width="11.5703125" style="1146" customWidth="1"/>
    <col min="3075" max="3075" width="16" style="1146" customWidth="1"/>
    <col min="3076" max="3076" width="18.5703125" style="1146" customWidth="1"/>
    <col min="3077" max="3077" width="55.7109375" style="1146" customWidth="1"/>
    <col min="3078" max="3081" width="8.7109375" style="1146"/>
    <col min="3082" max="3082" width="17.42578125" style="1146" customWidth="1"/>
    <col min="3083" max="3083" width="18.5703125" style="1146" customWidth="1"/>
    <col min="3084" max="3329" width="8.7109375" style="1146"/>
    <col min="3330" max="3330" width="11.5703125" style="1146" customWidth="1"/>
    <col min="3331" max="3331" width="16" style="1146" customWidth="1"/>
    <col min="3332" max="3332" width="18.5703125" style="1146" customWidth="1"/>
    <col min="3333" max="3333" width="55.7109375" style="1146" customWidth="1"/>
    <col min="3334" max="3337" width="8.7109375" style="1146"/>
    <col min="3338" max="3338" width="17.42578125" style="1146" customWidth="1"/>
    <col min="3339" max="3339" width="18.5703125" style="1146" customWidth="1"/>
    <col min="3340" max="3585" width="8.7109375" style="1146"/>
    <col min="3586" max="3586" width="11.5703125" style="1146" customWidth="1"/>
    <col min="3587" max="3587" width="16" style="1146" customWidth="1"/>
    <col min="3588" max="3588" width="18.5703125" style="1146" customWidth="1"/>
    <col min="3589" max="3589" width="55.7109375" style="1146" customWidth="1"/>
    <col min="3590" max="3593" width="8.7109375" style="1146"/>
    <col min="3594" max="3594" width="17.42578125" style="1146" customWidth="1"/>
    <col min="3595" max="3595" width="18.5703125" style="1146" customWidth="1"/>
    <col min="3596" max="3841" width="8.7109375" style="1146"/>
    <col min="3842" max="3842" width="11.5703125" style="1146" customWidth="1"/>
    <col min="3843" max="3843" width="16" style="1146" customWidth="1"/>
    <col min="3844" max="3844" width="18.5703125" style="1146" customWidth="1"/>
    <col min="3845" max="3845" width="55.7109375" style="1146" customWidth="1"/>
    <col min="3846" max="3849" width="8.7109375" style="1146"/>
    <col min="3850" max="3850" width="17.42578125" style="1146" customWidth="1"/>
    <col min="3851" max="3851" width="18.5703125" style="1146" customWidth="1"/>
    <col min="3852" max="4097" width="8.7109375" style="1146"/>
    <col min="4098" max="4098" width="11.5703125" style="1146" customWidth="1"/>
    <col min="4099" max="4099" width="16" style="1146" customWidth="1"/>
    <col min="4100" max="4100" width="18.5703125" style="1146" customWidth="1"/>
    <col min="4101" max="4101" width="55.7109375" style="1146" customWidth="1"/>
    <col min="4102" max="4105" width="8.7109375" style="1146"/>
    <col min="4106" max="4106" width="17.42578125" style="1146" customWidth="1"/>
    <col min="4107" max="4107" width="18.5703125" style="1146" customWidth="1"/>
    <col min="4108" max="4353" width="8.7109375" style="1146"/>
    <col min="4354" max="4354" width="11.5703125" style="1146" customWidth="1"/>
    <col min="4355" max="4355" width="16" style="1146" customWidth="1"/>
    <col min="4356" max="4356" width="18.5703125" style="1146" customWidth="1"/>
    <col min="4357" max="4357" width="55.7109375" style="1146" customWidth="1"/>
    <col min="4358" max="4361" width="8.7109375" style="1146"/>
    <col min="4362" max="4362" width="17.42578125" style="1146" customWidth="1"/>
    <col min="4363" max="4363" width="18.5703125" style="1146" customWidth="1"/>
    <col min="4364" max="4609" width="8.7109375" style="1146"/>
    <col min="4610" max="4610" width="11.5703125" style="1146" customWidth="1"/>
    <col min="4611" max="4611" width="16" style="1146" customWidth="1"/>
    <col min="4612" max="4612" width="18.5703125" style="1146" customWidth="1"/>
    <col min="4613" max="4613" width="55.7109375" style="1146" customWidth="1"/>
    <col min="4614" max="4617" width="8.7109375" style="1146"/>
    <col min="4618" max="4618" width="17.42578125" style="1146" customWidth="1"/>
    <col min="4619" max="4619" width="18.5703125" style="1146" customWidth="1"/>
    <col min="4620" max="4865" width="8.7109375" style="1146"/>
    <col min="4866" max="4866" width="11.5703125" style="1146" customWidth="1"/>
    <col min="4867" max="4867" width="16" style="1146" customWidth="1"/>
    <col min="4868" max="4868" width="18.5703125" style="1146" customWidth="1"/>
    <col min="4869" max="4869" width="55.7109375" style="1146" customWidth="1"/>
    <col min="4870" max="4873" width="8.7109375" style="1146"/>
    <col min="4874" max="4874" width="17.42578125" style="1146" customWidth="1"/>
    <col min="4875" max="4875" width="18.5703125" style="1146" customWidth="1"/>
    <col min="4876" max="5121" width="8.7109375" style="1146"/>
    <col min="5122" max="5122" width="11.5703125" style="1146" customWidth="1"/>
    <col min="5123" max="5123" width="16" style="1146" customWidth="1"/>
    <col min="5124" max="5124" width="18.5703125" style="1146" customWidth="1"/>
    <col min="5125" max="5125" width="55.7109375" style="1146" customWidth="1"/>
    <col min="5126" max="5129" width="8.7109375" style="1146"/>
    <col min="5130" max="5130" width="17.42578125" style="1146" customWidth="1"/>
    <col min="5131" max="5131" width="18.5703125" style="1146" customWidth="1"/>
    <col min="5132" max="5377" width="8.7109375" style="1146"/>
    <col min="5378" max="5378" width="11.5703125" style="1146" customWidth="1"/>
    <col min="5379" max="5379" width="16" style="1146" customWidth="1"/>
    <col min="5380" max="5380" width="18.5703125" style="1146" customWidth="1"/>
    <col min="5381" max="5381" width="55.7109375" style="1146" customWidth="1"/>
    <col min="5382" max="5385" width="8.7109375" style="1146"/>
    <col min="5386" max="5386" width="17.42578125" style="1146" customWidth="1"/>
    <col min="5387" max="5387" width="18.5703125" style="1146" customWidth="1"/>
    <col min="5388" max="5633" width="8.7109375" style="1146"/>
    <col min="5634" max="5634" width="11.5703125" style="1146" customWidth="1"/>
    <col min="5635" max="5635" width="16" style="1146" customWidth="1"/>
    <col min="5636" max="5636" width="18.5703125" style="1146" customWidth="1"/>
    <col min="5637" max="5637" width="55.7109375" style="1146" customWidth="1"/>
    <col min="5638" max="5641" width="8.7109375" style="1146"/>
    <col min="5642" max="5642" width="17.42578125" style="1146" customWidth="1"/>
    <col min="5643" max="5643" width="18.5703125" style="1146" customWidth="1"/>
    <col min="5644" max="5889" width="8.7109375" style="1146"/>
    <col min="5890" max="5890" width="11.5703125" style="1146" customWidth="1"/>
    <col min="5891" max="5891" width="16" style="1146" customWidth="1"/>
    <col min="5892" max="5892" width="18.5703125" style="1146" customWidth="1"/>
    <col min="5893" max="5893" width="55.7109375" style="1146" customWidth="1"/>
    <col min="5894" max="5897" width="8.7109375" style="1146"/>
    <col min="5898" max="5898" width="17.42578125" style="1146" customWidth="1"/>
    <col min="5899" max="5899" width="18.5703125" style="1146" customWidth="1"/>
    <col min="5900" max="6145" width="8.7109375" style="1146"/>
    <col min="6146" max="6146" width="11.5703125" style="1146" customWidth="1"/>
    <col min="6147" max="6147" width="16" style="1146" customWidth="1"/>
    <col min="6148" max="6148" width="18.5703125" style="1146" customWidth="1"/>
    <col min="6149" max="6149" width="55.7109375" style="1146" customWidth="1"/>
    <col min="6150" max="6153" width="8.7109375" style="1146"/>
    <col min="6154" max="6154" width="17.42578125" style="1146" customWidth="1"/>
    <col min="6155" max="6155" width="18.5703125" style="1146" customWidth="1"/>
    <col min="6156" max="6401" width="8.7109375" style="1146"/>
    <col min="6402" max="6402" width="11.5703125" style="1146" customWidth="1"/>
    <col min="6403" max="6403" width="16" style="1146" customWidth="1"/>
    <col min="6404" max="6404" width="18.5703125" style="1146" customWidth="1"/>
    <col min="6405" max="6405" width="55.7109375" style="1146" customWidth="1"/>
    <col min="6406" max="6409" width="8.7109375" style="1146"/>
    <col min="6410" max="6410" width="17.42578125" style="1146" customWidth="1"/>
    <col min="6411" max="6411" width="18.5703125" style="1146" customWidth="1"/>
    <col min="6412" max="6657" width="8.7109375" style="1146"/>
    <col min="6658" max="6658" width="11.5703125" style="1146" customWidth="1"/>
    <col min="6659" max="6659" width="16" style="1146" customWidth="1"/>
    <col min="6660" max="6660" width="18.5703125" style="1146" customWidth="1"/>
    <col min="6661" max="6661" width="55.7109375" style="1146" customWidth="1"/>
    <col min="6662" max="6665" width="8.7109375" style="1146"/>
    <col min="6666" max="6666" width="17.42578125" style="1146" customWidth="1"/>
    <col min="6667" max="6667" width="18.5703125" style="1146" customWidth="1"/>
    <col min="6668" max="6913" width="8.7109375" style="1146"/>
    <col min="6914" max="6914" width="11.5703125" style="1146" customWidth="1"/>
    <col min="6915" max="6915" width="16" style="1146" customWidth="1"/>
    <col min="6916" max="6916" width="18.5703125" style="1146" customWidth="1"/>
    <col min="6917" max="6917" width="55.7109375" style="1146" customWidth="1"/>
    <col min="6918" max="6921" width="8.7109375" style="1146"/>
    <col min="6922" max="6922" width="17.42578125" style="1146" customWidth="1"/>
    <col min="6923" max="6923" width="18.5703125" style="1146" customWidth="1"/>
    <col min="6924" max="7169" width="8.7109375" style="1146"/>
    <col min="7170" max="7170" width="11.5703125" style="1146" customWidth="1"/>
    <col min="7171" max="7171" width="16" style="1146" customWidth="1"/>
    <col min="7172" max="7172" width="18.5703125" style="1146" customWidth="1"/>
    <col min="7173" max="7173" width="55.7109375" style="1146" customWidth="1"/>
    <col min="7174" max="7177" width="8.7109375" style="1146"/>
    <col min="7178" max="7178" width="17.42578125" style="1146" customWidth="1"/>
    <col min="7179" max="7179" width="18.5703125" style="1146" customWidth="1"/>
    <col min="7180" max="7425" width="8.7109375" style="1146"/>
    <col min="7426" max="7426" width="11.5703125" style="1146" customWidth="1"/>
    <col min="7427" max="7427" width="16" style="1146" customWidth="1"/>
    <col min="7428" max="7428" width="18.5703125" style="1146" customWidth="1"/>
    <col min="7429" max="7429" width="55.7109375" style="1146" customWidth="1"/>
    <col min="7430" max="7433" width="8.7109375" style="1146"/>
    <col min="7434" max="7434" width="17.42578125" style="1146" customWidth="1"/>
    <col min="7435" max="7435" width="18.5703125" style="1146" customWidth="1"/>
    <col min="7436" max="7681" width="8.7109375" style="1146"/>
    <col min="7682" max="7682" width="11.5703125" style="1146" customWidth="1"/>
    <col min="7683" max="7683" width="16" style="1146" customWidth="1"/>
    <col min="7684" max="7684" width="18.5703125" style="1146" customWidth="1"/>
    <col min="7685" max="7685" width="55.7109375" style="1146" customWidth="1"/>
    <col min="7686" max="7689" width="8.7109375" style="1146"/>
    <col min="7690" max="7690" width="17.42578125" style="1146" customWidth="1"/>
    <col min="7691" max="7691" width="18.5703125" style="1146" customWidth="1"/>
    <col min="7692" max="7937" width="8.7109375" style="1146"/>
    <col min="7938" max="7938" width="11.5703125" style="1146" customWidth="1"/>
    <col min="7939" max="7939" width="16" style="1146" customWidth="1"/>
    <col min="7940" max="7940" width="18.5703125" style="1146" customWidth="1"/>
    <col min="7941" max="7941" width="55.7109375" style="1146" customWidth="1"/>
    <col min="7942" max="7945" width="8.7109375" style="1146"/>
    <col min="7946" max="7946" width="17.42578125" style="1146" customWidth="1"/>
    <col min="7947" max="7947" width="18.5703125" style="1146" customWidth="1"/>
    <col min="7948" max="8193" width="8.7109375" style="1146"/>
    <col min="8194" max="8194" width="11.5703125" style="1146" customWidth="1"/>
    <col min="8195" max="8195" width="16" style="1146" customWidth="1"/>
    <col min="8196" max="8196" width="18.5703125" style="1146" customWidth="1"/>
    <col min="8197" max="8197" width="55.7109375" style="1146" customWidth="1"/>
    <col min="8198" max="8201" width="8.7109375" style="1146"/>
    <col min="8202" max="8202" width="17.42578125" style="1146" customWidth="1"/>
    <col min="8203" max="8203" width="18.5703125" style="1146" customWidth="1"/>
    <col min="8204" max="8449" width="8.7109375" style="1146"/>
    <col min="8450" max="8450" width="11.5703125" style="1146" customWidth="1"/>
    <col min="8451" max="8451" width="16" style="1146" customWidth="1"/>
    <col min="8452" max="8452" width="18.5703125" style="1146" customWidth="1"/>
    <col min="8453" max="8453" width="55.7109375" style="1146" customWidth="1"/>
    <col min="8454" max="8457" width="8.7109375" style="1146"/>
    <col min="8458" max="8458" width="17.42578125" style="1146" customWidth="1"/>
    <col min="8459" max="8459" width="18.5703125" style="1146" customWidth="1"/>
    <col min="8460" max="8705" width="8.7109375" style="1146"/>
    <col min="8706" max="8706" width="11.5703125" style="1146" customWidth="1"/>
    <col min="8707" max="8707" width="16" style="1146" customWidth="1"/>
    <col min="8708" max="8708" width="18.5703125" style="1146" customWidth="1"/>
    <col min="8709" max="8709" width="55.7109375" style="1146" customWidth="1"/>
    <col min="8710" max="8713" width="8.7109375" style="1146"/>
    <col min="8714" max="8714" width="17.42578125" style="1146" customWidth="1"/>
    <col min="8715" max="8715" width="18.5703125" style="1146" customWidth="1"/>
    <col min="8716" max="8961" width="8.7109375" style="1146"/>
    <col min="8962" max="8962" width="11.5703125" style="1146" customWidth="1"/>
    <col min="8963" max="8963" width="16" style="1146" customWidth="1"/>
    <col min="8964" max="8964" width="18.5703125" style="1146" customWidth="1"/>
    <col min="8965" max="8965" width="55.7109375" style="1146" customWidth="1"/>
    <col min="8966" max="8969" width="8.7109375" style="1146"/>
    <col min="8970" max="8970" width="17.42578125" style="1146" customWidth="1"/>
    <col min="8971" max="8971" width="18.5703125" style="1146" customWidth="1"/>
    <col min="8972" max="9217" width="8.7109375" style="1146"/>
    <col min="9218" max="9218" width="11.5703125" style="1146" customWidth="1"/>
    <col min="9219" max="9219" width="16" style="1146" customWidth="1"/>
    <col min="9220" max="9220" width="18.5703125" style="1146" customWidth="1"/>
    <col min="9221" max="9221" width="55.7109375" style="1146" customWidth="1"/>
    <col min="9222" max="9225" width="8.7109375" style="1146"/>
    <col min="9226" max="9226" width="17.42578125" style="1146" customWidth="1"/>
    <col min="9227" max="9227" width="18.5703125" style="1146" customWidth="1"/>
    <col min="9228" max="9473" width="8.7109375" style="1146"/>
    <col min="9474" max="9474" width="11.5703125" style="1146" customWidth="1"/>
    <col min="9475" max="9475" width="16" style="1146" customWidth="1"/>
    <col min="9476" max="9476" width="18.5703125" style="1146" customWidth="1"/>
    <col min="9477" max="9477" width="55.7109375" style="1146" customWidth="1"/>
    <col min="9478" max="9481" width="8.7109375" style="1146"/>
    <col min="9482" max="9482" width="17.42578125" style="1146" customWidth="1"/>
    <col min="9483" max="9483" width="18.5703125" style="1146" customWidth="1"/>
    <col min="9484" max="9729" width="8.7109375" style="1146"/>
    <col min="9730" max="9730" width="11.5703125" style="1146" customWidth="1"/>
    <col min="9731" max="9731" width="16" style="1146" customWidth="1"/>
    <col min="9732" max="9732" width="18.5703125" style="1146" customWidth="1"/>
    <col min="9733" max="9733" width="55.7109375" style="1146" customWidth="1"/>
    <col min="9734" max="9737" width="8.7109375" style="1146"/>
    <col min="9738" max="9738" width="17.42578125" style="1146" customWidth="1"/>
    <col min="9739" max="9739" width="18.5703125" style="1146" customWidth="1"/>
    <col min="9740" max="9985" width="8.7109375" style="1146"/>
    <col min="9986" max="9986" width="11.5703125" style="1146" customWidth="1"/>
    <col min="9987" max="9987" width="16" style="1146" customWidth="1"/>
    <col min="9988" max="9988" width="18.5703125" style="1146" customWidth="1"/>
    <col min="9989" max="9989" width="55.7109375" style="1146" customWidth="1"/>
    <col min="9990" max="9993" width="8.7109375" style="1146"/>
    <col min="9994" max="9994" width="17.42578125" style="1146" customWidth="1"/>
    <col min="9995" max="9995" width="18.5703125" style="1146" customWidth="1"/>
    <col min="9996" max="10241" width="8.7109375" style="1146"/>
    <col min="10242" max="10242" width="11.5703125" style="1146" customWidth="1"/>
    <col min="10243" max="10243" width="16" style="1146" customWidth="1"/>
    <col min="10244" max="10244" width="18.5703125" style="1146" customWidth="1"/>
    <col min="10245" max="10245" width="55.7109375" style="1146" customWidth="1"/>
    <col min="10246" max="10249" width="8.7109375" style="1146"/>
    <col min="10250" max="10250" width="17.42578125" style="1146" customWidth="1"/>
    <col min="10251" max="10251" width="18.5703125" style="1146" customWidth="1"/>
    <col min="10252" max="10497" width="8.7109375" style="1146"/>
    <col min="10498" max="10498" width="11.5703125" style="1146" customWidth="1"/>
    <col min="10499" max="10499" width="16" style="1146" customWidth="1"/>
    <col min="10500" max="10500" width="18.5703125" style="1146" customWidth="1"/>
    <col min="10501" max="10501" width="55.7109375" style="1146" customWidth="1"/>
    <col min="10502" max="10505" width="8.7109375" style="1146"/>
    <col min="10506" max="10506" width="17.42578125" style="1146" customWidth="1"/>
    <col min="10507" max="10507" width="18.5703125" style="1146" customWidth="1"/>
    <col min="10508" max="10753" width="8.7109375" style="1146"/>
    <col min="10754" max="10754" width="11.5703125" style="1146" customWidth="1"/>
    <col min="10755" max="10755" width="16" style="1146" customWidth="1"/>
    <col min="10756" max="10756" width="18.5703125" style="1146" customWidth="1"/>
    <col min="10757" max="10757" width="55.7109375" style="1146" customWidth="1"/>
    <col min="10758" max="10761" width="8.7109375" style="1146"/>
    <col min="10762" max="10762" width="17.42578125" style="1146" customWidth="1"/>
    <col min="10763" max="10763" width="18.5703125" style="1146" customWidth="1"/>
    <col min="10764" max="11009" width="8.7109375" style="1146"/>
    <col min="11010" max="11010" width="11.5703125" style="1146" customWidth="1"/>
    <col min="11011" max="11011" width="16" style="1146" customWidth="1"/>
    <col min="11012" max="11012" width="18.5703125" style="1146" customWidth="1"/>
    <col min="11013" max="11013" width="55.7109375" style="1146" customWidth="1"/>
    <col min="11014" max="11017" width="8.7109375" style="1146"/>
    <col min="11018" max="11018" width="17.42578125" style="1146" customWidth="1"/>
    <col min="11019" max="11019" width="18.5703125" style="1146" customWidth="1"/>
    <col min="11020" max="11265" width="8.7109375" style="1146"/>
    <col min="11266" max="11266" width="11.5703125" style="1146" customWidth="1"/>
    <col min="11267" max="11267" width="16" style="1146" customWidth="1"/>
    <col min="11268" max="11268" width="18.5703125" style="1146" customWidth="1"/>
    <col min="11269" max="11269" width="55.7109375" style="1146" customWidth="1"/>
    <col min="11270" max="11273" width="8.7109375" style="1146"/>
    <col min="11274" max="11274" width="17.42578125" style="1146" customWidth="1"/>
    <col min="11275" max="11275" width="18.5703125" style="1146" customWidth="1"/>
    <col min="11276" max="11521" width="8.7109375" style="1146"/>
    <col min="11522" max="11522" width="11.5703125" style="1146" customWidth="1"/>
    <col min="11523" max="11523" width="16" style="1146" customWidth="1"/>
    <col min="11524" max="11524" width="18.5703125" style="1146" customWidth="1"/>
    <col min="11525" max="11525" width="55.7109375" style="1146" customWidth="1"/>
    <col min="11526" max="11529" width="8.7109375" style="1146"/>
    <col min="11530" max="11530" width="17.42578125" style="1146" customWidth="1"/>
    <col min="11531" max="11531" width="18.5703125" style="1146" customWidth="1"/>
    <col min="11532" max="11777" width="8.7109375" style="1146"/>
    <col min="11778" max="11778" width="11.5703125" style="1146" customWidth="1"/>
    <col min="11779" max="11779" width="16" style="1146" customWidth="1"/>
    <col min="11780" max="11780" width="18.5703125" style="1146" customWidth="1"/>
    <col min="11781" max="11781" width="55.7109375" style="1146" customWidth="1"/>
    <col min="11782" max="11785" width="8.7109375" style="1146"/>
    <col min="11786" max="11786" width="17.42578125" style="1146" customWidth="1"/>
    <col min="11787" max="11787" width="18.5703125" style="1146" customWidth="1"/>
    <col min="11788" max="12033" width="8.7109375" style="1146"/>
    <col min="12034" max="12034" width="11.5703125" style="1146" customWidth="1"/>
    <col min="12035" max="12035" width="16" style="1146" customWidth="1"/>
    <col min="12036" max="12036" width="18.5703125" style="1146" customWidth="1"/>
    <col min="12037" max="12037" width="55.7109375" style="1146" customWidth="1"/>
    <col min="12038" max="12041" width="8.7109375" style="1146"/>
    <col min="12042" max="12042" width="17.42578125" style="1146" customWidth="1"/>
    <col min="12043" max="12043" width="18.5703125" style="1146" customWidth="1"/>
    <col min="12044" max="12289" width="8.7109375" style="1146"/>
    <col min="12290" max="12290" width="11.5703125" style="1146" customWidth="1"/>
    <col min="12291" max="12291" width="16" style="1146" customWidth="1"/>
    <col min="12292" max="12292" width="18.5703125" style="1146" customWidth="1"/>
    <col min="12293" max="12293" width="55.7109375" style="1146" customWidth="1"/>
    <col min="12294" max="12297" width="8.7109375" style="1146"/>
    <col min="12298" max="12298" width="17.42578125" style="1146" customWidth="1"/>
    <col min="12299" max="12299" width="18.5703125" style="1146" customWidth="1"/>
    <col min="12300" max="12545" width="8.7109375" style="1146"/>
    <col min="12546" max="12546" width="11.5703125" style="1146" customWidth="1"/>
    <col min="12547" max="12547" width="16" style="1146" customWidth="1"/>
    <col min="12548" max="12548" width="18.5703125" style="1146" customWidth="1"/>
    <col min="12549" max="12549" width="55.7109375" style="1146" customWidth="1"/>
    <col min="12550" max="12553" width="8.7109375" style="1146"/>
    <col min="12554" max="12554" width="17.42578125" style="1146" customWidth="1"/>
    <col min="12555" max="12555" width="18.5703125" style="1146" customWidth="1"/>
    <col min="12556" max="12801" width="8.7109375" style="1146"/>
    <col min="12802" max="12802" width="11.5703125" style="1146" customWidth="1"/>
    <col min="12803" max="12803" width="16" style="1146" customWidth="1"/>
    <col min="12804" max="12804" width="18.5703125" style="1146" customWidth="1"/>
    <col min="12805" max="12805" width="55.7109375" style="1146" customWidth="1"/>
    <col min="12806" max="12809" width="8.7109375" style="1146"/>
    <col min="12810" max="12810" width="17.42578125" style="1146" customWidth="1"/>
    <col min="12811" max="12811" width="18.5703125" style="1146" customWidth="1"/>
    <col min="12812" max="13057" width="8.7109375" style="1146"/>
    <col min="13058" max="13058" width="11.5703125" style="1146" customWidth="1"/>
    <col min="13059" max="13059" width="16" style="1146" customWidth="1"/>
    <col min="13060" max="13060" width="18.5703125" style="1146" customWidth="1"/>
    <col min="13061" max="13061" width="55.7109375" style="1146" customWidth="1"/>
    <col min="13062" max="13065" width="8.7109375" style="1146"/>
    <col min="13066" max="13066" width="17.42578125" style="1146" customWidth="1"/>
    <col min="13067" max="13067" width="18.5703125" style="1146" customWidth="1"/>
    <col min="13068" max="13313" width="8.7109375" style="1146"/>
    <col min="13314" max="13314" width="11.5703125" style="1146" customWidth="1"/>
    <col min="13315" max="13315" width="16" style="1146" customWidth="1"/>
    <col min="13316" max="13316" width="18.5703125" style="1146" customWidth="1"/>
    <col min="13317" max="13317" width="55.7109375" style="1146" customWidth="1"/>
    <col min="13318" max="13321" width="8.7109375" style="1146"/>
    <col min="13322" max="13322" width="17.42578125" style="1146" customWidth="1"/>
    <col min="13323" max="13323" width="18.5703125" style="1146" customWidth="1"/>
    <col min="13324" max="13569" width="8.7109375" style="1146"/>
    <col min="13570" max="13570" width="11.5703125" style="1146" customWidth="1"/>
    <col min="13571" max="13571" width="16" style="1146" customWidth="1"/>
    <col min="13572" max="13572" width="18.5703125" style="1146" customWidth="1"/>
    <col min="13573" max="13573" width="55.7109375" style="1146" customWidth="1"/>
    <col min="13574" max="13577" width="8.7109375" style="1146"/>
    <col min="13578" max="13578" width="17.42578125" style="1146" customWidth="1"/>
    <col min="13579" max="13579" width="18.5703125" style="1146" customWidth="1"/>
    <col min="13580" max="13825" width="8.7109375" style="1146"/>
    <col min="13826" max="13826" width="11.5703125" style="1146" customWidth="1"/>
    <col min="13827" max="13827" width="16" style="1146" customWidth="1"/>
    <col min="13828" max="13828" width="18.5703125" style="1146" customWidth="1"/>
    <col min="13829" max="13829" width="55.7109375" style="1146" customWidth="1"/>
    <col min="13830" max="13833" width="8.7109375" style="1146"/>
    <col min="13834" max="13834" width="17.42578125" style="1146" customWidth="1"/>
    <col min="13835" max="13835" width="18.5703125" style="1146" customWidth="1"/>
    <col min="13836" max="14081" width="8.7109375" style="1146"/>
    <col min="14082" max="14082" width="11.5703125" style="1146" customWidth="1"/>
    <col min="14083" max="14083" width="16" style="1146" customWidth="1"/>
    <col min="14084" max="14084" width="18.5703125" style="1146" customWidth="1"/>
    <col min="14085" max="14085" width="55.7109375" style="1146" customWidth="1"/>
    <col min="14086" max="14089" width="8.7109375" style="1146"/>
    <col min="14090" max="14090" width="17.42578125" style="1146" customWidth="1"/>
    <col min="14091" max="14091" width="18.5703125" style="1146" customWidth="1"/>
    <col min="14092" max="14337" width="8.7109375" style="1146"/>
    <col min="14338" max="14338" width="11.5703125" style="1146" customWidth="1"/>
    <col min="14339" max="14339" width="16" style="1146" customWidth="1"/>
    <col min="14340" max="14340" width="18.5703125" style="1146" customWidth="1"/>
    <col min="14341" max="14341" width="55.7109375" style="1146" customWidth="1"/>
    <col min="14342" max="14345" width="8.7109375" style="1146"/>
    <col min="14346" max="14346" width="17.42578125" style="1146" customWidth="1"/>
    <col min="14347" max="14347" width="18.5703125" style="1146" customWidth="1"/>
    <col min="14348" max="14593" width="8.7109375" style="1146"/>
    <col min="14594" max="14594" width="11.5703125" style="1146" customWidth="1"/>
    <col min="14595" max="14595" width="16" style="1146" customWidth="1"/>
    <col min="14596" max="14596" width="18.5703125" style="1146" customWidth="1"/>
    <col min="14597" max="14597" width="55.7109375" style="1146" customWidth="1"/>
    <col min="14598" max="14601" width="8.7109375" style="1146"/>
    <col min="14602" max="14602" width="17.42578125" style="1146" customWidth="1"/>
    <col min="14603" max="14603" width="18.5703125" style="1146" customWidth="1"/>
    <col min="14604" max="14849" width="8.7109375" style="1146"/>
    <col min="14850" max="14850" width="11.5703125" style="1146" customWidth="1"/>
    <col min="14851" max="14851" width="16" style="1146" customWidth="1"/>
    <col min="14852" max="14852" width="18.5703125" style="1146" customWidth="1"/>
    <col min="14853" max="14853" width="55.7109375" style="1146" customWidth="1"/>
    <col min="14854" max="14857" width="8.7109375" style="1146"/>
    <col min="14858" max="14858" width="17.42578125" style="1146" customWidth="1"/>
    <col min="14859" max="14859" width="18.5703125" style="1146" customWidth="1"/>
    <col min="14860" max="15105" width="8.7109375" style="1146"/>
    <col min="15106" max="15106" width="11.5703125" style="1146" customWidth="1"/>
    <col min="15107" max="15107" width="16" style="1146" customWidth="1"/>
    <col min="15108" max="15108" width="18.5703125" style="1146" customWidth="1"/>
    <col min="15109" max="15109" width="55.7109375" style="1146" customWidth="1"/>
    <col min="15110" max="15113" width="8.7109375" style="1146"/>
    <col min="15114" max="15114" width="17.42578125" style="1146" customWidth="1"/>
    <col min="15115" max="15115" width="18.5703125" style="1146" customWidth="1"/>
    <col min="15116" max="15361" width="8.7109375" style="1146"/>
    <col min="15362" max="15362" width="11.5703125" style="1146" customWidth="1"/>
    <col min="15363" max="15363" width="16" style="1146" customWidth="1"/>
    <col min="15364" max="15364" width="18.5703125" style="1146" customWidth="1"/>
    <col min="15365" max="15365" width="55.7109375" style="1146" customWidth="1"/>
    <col min="15366" max="15369" width="8.7109375" style="1146"/>
    <col min="15370" max="15370" width="17.42578125" style="1146" customWidth="1"/>
    <col min="15371" max="15371" width="18.5703125" style="1146" customWidth="1"/>
    <col min="15372" max="15617" width="8.7109375" style="1146"/>
    <col min="15618" max="15618" width="11.5703125" style="1146" customWidth="1"/>
    <col min="15619" max="15619" width="16" style="1146" customWidth="1"/>
    <col min="15620" max="15620" width="18.5703125" style="1146" customWidth="1"/>
    <col min="15621" max="15621" width="55.7109375" style="1146" customWidth="1"/>
    <col min="15622" max="15625" width="8.7109375" style="1146"/>
    <col min="15626" max="15626" width="17.42578125" style="1146" customWidth="1"/>
    <col min="15627" max="15627" width="18.5703125" style="1146" customWidth="1"/>
    <col min="15628" max="15873" width="8.7109375" style="1146"/>
    <col min="15874" max="15874" width="11.5703125" style="1146" customWidth="1"/>
    <col min="15875" max="15875" width="16" style="1146" customWidth="1"/>
    <col min="15876" max="15876" width="18.5703125" style="1146" customWidth="1"/>
    <col min="15877" max="15877" width="55.7109375" style="1146" customWidth="1"/>
    <col min="15878" max="15881" width="8.7109375" style="1146"/>
    <col min="15882" max="15882" width="17.42578125" style="1146" customWidth="1"/>
    <col min="15883" max="15883" width="18.5703125" style="1146" customWidth="1"/>
    <col min="15884" max="16129" width="8.7109375" style="1146"/>
    <col min="16130" max="16130" width="11.5703125" style="1146" customWidth="1"/>
    <col min="16131" max="16131" width="16" style="1146" customWidth="1"/>
    <col min="16132" max="16132" width="18.5703125" style="1146" customWidth="1"/>
    <col min="16133" max="16133" width="55.7109375" style="1146" customWidth="1"/>
    <col min="16134" max="16137" width="8.7109375" style="1146"/>
    <col min="16138" max="16138" width="17.42578125" style="1146" customWidth="1"/>
    <col min="16139" max="16139" width="18.5703125" style="1146" customWidth="1"/>
    <col min="16140" max="16384" width="8.7109375" style="1146"/>
  </cols>
  <sheetData>
    <row r="2" spans="2:13" ht="14.45" customHeight="1" x14ac:dyDescent="0.25">
      <c r="B2" s="1151" t="s">
        <v>156</v>
      </c>
      <c r="C2" s="1153" t="s">
        <v>244</v>
      </c>
      <c r="D2" s="1154" t="s">
        <v>592</v>
      </c>
      <c r="E2" s="1153" t="s">
        <v>592</v>
      </c>
      <c r="F2" s="1153" t="s">
        <v>593</v>
      </c>
      <c r="G2" s="1153" t="s">
        <v>213</v>
      </c>
      <c r="H2" s="1152" t="s">
        <v>532</v>
      </c>
      <c r="I2" s="1152" t="s">
        <v>533</v>
      </c>
      <c r="J2" s="1153" t="s">
        <v>594</v>
      </c>
      <c r="K2" s="1153" t="s">
        <v>595</v>
      </c>
      <c r="L2" s="1155" t="s">
        <v>534</v>
      </c>
      <c r="M2" s="1147"/>
    </row>
    <row r="3" spans="2:13" x14ac:dyDescent="0.25">
      <c r="B3" s="1151"/>
      <c r="C3" s="1153"/>
      <c r="D3" s="1154"/>
      <c r="E3" s="1153"/>
      <c r="F3" s="1153"/>
      <c r="G3" s="1153"/>
      <c r="H3" s="1152"/>
      <c r="I3" s="1152"/>
      <c r="J3" s="1153"/>
      <c r="K3" s="1153"/>
      <c r="L3" s="1155"/>
      <c r="M3" s="1147"/>
    </row>
    <row r="4" spans="2:13" x14ac:dyDescent="0.25">
      <c r="B4" s="1151" t="s">
        <v>596</v>
      </c>
      <c r="C4" s="1156" t="s">
        <v>597</v>
      </c>
      <c r="D4" s="1154"/>
      <c r="E4" s="1153"/>
      <c r="F4" s="1153"/>
      <c r="G4" s="1153"/>
      <c r="H4" s="1152"/>
      <c r="I4" s="1152"/>
      <c r="J4" s="1153"/>
      <c r="K4" s="1153"/>
      <c r="L4" s="1155"/>
      <c r="M4" s="1148"/>
    </row>
    <row r="5" spans="2:13" x14ac:dyDescent="0.25">
      <c r="B5" s="1151"/>
      <c r="C5" s="1153"/>
      <c r="D5" s="1154"/>
      <c r="E5" s="1153"/>
      <c r="F5" s="1153"/>
      <c r="G5" s="1153"/>
      <c r="H5" s="1152"/>
      <c r="I5" s="1152"/>
      <c r="J5" s="1153"/>
      <c r="K5" s="1153"/>
      <c r="L5" s="1155"/>
    </row>
    <row r="6" spans="2:13" x14ac:dyDescent="0.25">
      <c r="B6" s="1149" t="s">
        <v>576</v>
      </c>
      <c r="C6" s="1146" t="str">
        <f>'TH1'!G4</f>
        <v>1.DV Quang Phát</v>
      </c>
      <c r="D6" s="756">
        <v>2022</v>
      </c>
      <c r="E6" s="1146" t="str">
        <f>"Điều chỉnh "&amp;D6</f>
        <v>Điều chỉnh 2022</v>
      </c>
      <c r="F6" s="1146" t="str">
        <f>C6&amp;E6</f>
        <v>1.DV Quang PhátĐiều chỉnh 2022</v>
      </c>
      <c r="G6" s="1146" t="s">
        <v>681</v>
      </c>
      <c r="H6" s="752" t="s">
        <v>277</v>
      </c>
      <c r="I6" s="752" t="s">
        <v>366</v>
      </c>
      <c r="J6" s="756">
        <v>632</v>
      </c>
      <c r="K6" s="756">
        <v>214</v>
      </c>
      <c r="L6" s="758">
        <v>5249296703</v>
      </c>
    </row>
    <row r="7" spans="2:13" x14ac:dyDescent="0.25">
      <c r="B7" s="1149" t="s">
        <v>577</v>
      </c>
      <c r="C7" s="1146" t="str">
        <f>C6</f>
        <v>1.DV Quang Phát</v>
      </c>
      <c r="D7" s="756">
        <v>2022</v>
      </c>
      <c r="E7" s="1146" t="str">
        <f>"Điều chỉnh "&amp;D7</f>
        <v>Điều chỉnh 2022</v>
      </c>
      <c r="F7" s="1146" t="str">
        <f>C7&amp;E7</f>
        <v>1.DV Quang PhátĐiều chỉnh 2022</v>
      </c>
      <c r="G7" s="1146" t="s">
        <v>990</v>
      </c>
      <c r="H7" s="752" t="s">
        <v>280</v>
      </c>
      <c r="I7" s="752" t="s">
        <v>382</v>
      </c>
      <c r="J7" s="756">
        <v>635</v>
      </c>
      <c r="K7" s="756">
        <v>241</v>
      </c>
      <c r="L7" s="758">
        <v>2100000000</v>
      </c>
    </row>
    <row r="8" spans="2:13" x14ac:dyDescent="0.25">
      <c r="B8" s="1149" t="s">
        <v>645</v>
      </c>
      <c r="C8" s="1146" t="str">
        <f>C7</f>
        <v>1.DV Quang Phát</v>
      </c>
      <c r="D8" s="756">
        <v>2022</v>
      </c>
      <c r="E8" s="1146" t="str">
        <f t="shared" ref="E8" si="0">"Điều chỉnh "&amp;D8</f>
        <v>Điều chỉnh 2022</v>
      </c>
      <c r="F8" s="1146" t="str">
        <f t="shared" ref="F8" si="1">C8&amp;E8</f>
        <v>1.DV Quang PhátĐiều chỉnh 2022</v>
      </c>
      <c r="G8" s="1146" t="s">
        <v>991</v>
      </c>
      <c r="H8" s="752" t="s">
        <v>280</v>
      </c>
      <c r="I8" s="752" t="s">
        <v>392</v>
      </c>
      <c r="J8" s="756">
        <v>635</v>
      </c>
      <c r="K8" s="756">
        <v>242</v>
      </c>
      <c r="L8" s="758">
        <v>3400420923</v>
      </c>
    </row>
    <row r="9" spans="2:13" x14ac:dyDescent="0.25">
      <c r="B9" s="1149" t="s">
        <v>604</v>
      </c>
      <c r="C9" s="1146" t="str">
        <f>C8</f>
        <v>1.DV Quang Phát</v>
      </c>
      <c r="D9" s="756">
        <v>2022</v>
      </c>
      <c r="E9" s="1146" t="str">
        <f t="shared" ref="E9" si="2">"Điều chỉnh "&amp;D9</f>
        <v>Điều chỉnh 2022</v>
      </c>
      <c r="F9" s="1146" t="str">
        <f t="shared" ref="F9" si="3">C9&amp;E9</f>
        <v>1.DV Quang PhátĐiều chỉnh 2022</v>
      </c>
      <c r="G9" s="1146" t="s">
        <v>1801</v>
      </c>
      <c r="H9" s="752" t="s">
        <v>488</v>
      </c>
      <c r="I9" s="752"/>
      <c r="J9" s="756">
        <v>421</v>
      </c>
      <c r="K9" s="756"/>
      <c r="L9" s="758">
        <f>L6+L7+L8</f>
        <v>10749717626</v>
      </c>
    </row>
    <row r="10" spans="2:13" x14ac:dyDescent="0.25">
      <c r="B10" s="1149" t="s">
        <v>605</v>
      </c>
      <c r="C10" s="1146" t="str">
        <f>C8</f>
        <v>1.DV Quang Phát</v>
      </c>
      <c r="D10" s="756">
        <v>2023</v>
      </c>
      <c r="E10" s="1146" t="str">
        <f>"Điều chỉnh "&amp;D10</f>
        <v>Điều chỉnh 2023</v>
      </c>
      <c r="F10" s="1146" t="str">
        <f>C10&amp;E10</f>
        <v>1.DV Quang PhátĐiều chỉnh 2023</v>
      </c>
      <c r="G10" s="1146" t="s">
        <v>992</v>
      </c>
      <c r="H10" s="752" t="s">
        <v>277</v>
      </c>
      <c r="I10" s="752" t="s">
        <v>366</v>
      </c>
      <c r="J10" s="756">
        <v>632</v>
      </c>
      <c r="K10" s="756">
        <v>214</v>
      </c>
      <c r="L10" s="758">
        <v>1073603888</v>
      </c>
    </row>
    <row r="11" spans="2:13" s="760" customFormat="1" x14ac:dyDescent="0.25">
      <c r="B11" s="1149" t="s">
        <v>644</v>
      </c>
      <c r="C11" s="1146" t="str">
        <f t="shared" ref="C11:C12" si="4">C10</f>
        <v>1.DV Quang Phát</v>
      </c>
      <c r="D11" s="756">
        <v>2023</v>
      </c>
      <c r="E11" s="1146" t="str">
        <f t="shared" ref="E11:E25" si="5">"Điều chỉnh "&amp;D11</f>
        <v>Điều chỉnh 2023</v>
      </c>
      <c r="F11" s="1146" t="str">
        <f t="shared" ref="F11:F25" si="6">C11&amp;E11</f>
        <v>1.DV Quang PhátĐiều chỉnh 2023</v>
      </c>
      <c r="G11" s="1146" t="s">
        <v>989</v>
      </c>
      <c r="H11" s="752" t="s">
        <v>283</v>
      </c>
      <c r="I11" s="752" t="s">
        <v>322</v>
      </c>
      <c r="J11" s="756">
        <v>642</v>
      </c>
      <c r="K11" s="756">
        <v>229</v>
      </c>
      <c r="L11" s="755">
        <v>3550000000</v>
      </c>
    </row>
    <row r="12" spans="2:13" s="760" customFormat="1" x14ac:dyDescent="0.25">
      <c r="B12" s="1149" t="s">
        <v>1459</v>
      </c>
      <c r="C12" s="1146" t="str">
        <f t="shared" si="4"/>
        <v>1.DV Quang Phát</v>
      </c>
      <c r="D12" s="756">
        <v>2023</v>
      </c>
      <c r="E12" s="1146" t="str">
        <f t="shared" si="5"/>
        <v>Điều chỉnh 2023</v>
      </c>
      <c r="F12" s="1146" t="str">
        <f t="shared" si="6"/>
        <v>1.DV Quang PhátĐiều chỉnh 2023</v>
      </c>
      <c r="G12" s="1146" t="s">
        <v>1801</v>
      </c>
      <c r="H12" s="752" t="s">
        <v>488</v>
      </c>
      <c r="I12" s="752"/>
      <c r="J12" s="756">
        <v>421</v>
      </c>
      <c r="K12" s="756"/>
      <c r="L12" s="755">
        <f>L11+L10</f>
        <v>4623603888</v>
      </c>
    </row>
    <row r="13" spans="2:13" s="760" customFormat="1" x14ac:dyDescent="0.25">
      <c r="B13" s="757"/>
      <c r="C13" s="1146"/>
      <c r="D13" s="756"/>
      <c r="E13" s="1146"/>
      <c r="F13" s="1146"/>
      <c r="G13" s="1146"/>
      <c r="H13" s="752"/>
      <c r="I13" s="752"/>
      <c r="J13" s="756"/>
      <c r="K13" s="756"/>
      <c r="L13" s="755"/>
    </row>
    <row r="14" spans="2:13" s="760" customFormat="1" x14ac:dyDescent="0.25">
      <c r="B14" s="1149" t="s">
        <v>576</v>
      </c>
      <c r="C14" s="1146" t="str">
        <f>'TH1'!G5</f>
        <v>2.BT Quang Phát</v>
      </c>
      <c r="D14" s="756">
        <v>2022</v>
      </c>
      <c r="E14" s="1146" t="str">
        <f t="shared" si="5"/>
        <v>Điều chỉnh 2022</v>
      </c>
      <c r="F14" s="1146" t="str">
        <f t="shared" si="6"/>
        <v>2.BT Quang PhátĐiều chỉnh 2022</v>
      </c>
      <c r="G14" s="1146" t="s">
        <v>991</v>
      </c>
      <c r="H14" s="752" t="s">
        <v>280</v>
      </c>
      <c r="I14" s="752" t="s">
        <v>334</v>
      </c>
      <c r="J14" s="756">
        <v>635</v>
      </c>
      <c r="K14" s="756">
        <v>242</v>
      </c>
      <c r="L14" s="759">
        <v>741540549</v>
      </c>
    </row>
    <row r="15" spans="2:13" s="760" customFormat="1" x14ac:dyDescent="0.25">
      <c r="B15" s="1149" t="s">
        <v>577</v>
      </c>
      <c r="C15" s="1146" t="str">
        <f>C14</f>
        <v>2.BT Quang Phát</v>
      </c>
      <c r="D15" s="756">
        <f>D14</f>
        <v>2022</v>
      </c>
      <c r="E15" s="1146" t="str">
        <f t="shared" si="5"/>
        <v>Điều chỉnh 2022</v>
      </c>
      <c r="F15" s="1146" t="str">
        <f t="shared" si="6"/>
        <v>2.BT Quang PhátĐiều chỉnh 2022</v>
      </c>
      <c r="G15" s="1146" t="s">
        <v>1801</v>
      </c>
      <c r="H15" s="752" t="s">
        <v>488</v>
      </c>
      <c r="I15" s="752"/>
      <c r="J15" s="756">
        <v>421</v>
      </c>
      <c r="K15" s="756"/>
      <c r="L15" s="759">
        <f>L14</f>
        <v>741540549</v>
      </c>
    </row>
    <row r="16" spans="2:13" s="760" customFormat="1" x14ac:dyDescent="0.25">
      <c r="B16" s="757"/>
      <c r="C16" s="1146"/>
      <c r="D16" s="756"/>
      <c r="E16" s="1146"/>
      <c r="F16" s="1146"/>
      <c r="G16" s="1146"/>
      <c r="H16" s="752"/>
      <c r="I16" s="752"/>
      <c r="J16" s="756"/>
      <c r="K16" s="756"/>
      <c r="L16" s="759"/>
    </row>
    <row r="17" spans="2:17" s="760" customFormat="1" x14ac:dyDescent="0.25">
      <c r="B17" s="1149" t="s">
        <v>576</v>
      </c>
      <c r="C17" s="1146" t="str">
        <f>'TH1'!G6</f>
        <v>3.Kim Quang Phát</v>
      </c>
      <c r="D17" s="756">
        <v>2022</v>
      </c>
      <c r="E17" s="1146" t="str">
        <f t="shared" si="5"/>
        <v>Điều chỉnh 2022</v>
      </c>
      <c r="F17" s="1146" t="str">
        <f t="shared" si="6"/>
        <v>3.Kim Quang PhátĐiều chỉnh 2022</v>
      </c>
      <c r="G17" s="1146" t="s">
        <v>991</v>
      </c>
      <c r="H17" s="752" t="s">
        <v>280</v>
      </c>
      <c r="I17" s="752" t="s">
        <v>392</v>
      </c>
      <c r="J17" s="756">
        <v>635</v>
      </c>
      <c r="K17" s="756">
        <v>242</v>
      </c>
      <c r="L17" s="755">
        <v>846888229</v>
      </c>
    </row>
    <row r="18" spans="2:17" s="760" customFormat="1" x14ac:dyDescent="0.25">
      <c r="B18" s="1149" t="s">
        <v>577</v>
      </c>
      <c r="C18" s="1146" t="str">
        <f>C17</f>
        <v>3.Kim Quang Phát</v>
      </c>
      <c r="D18" s="756">
        <v>2022</v>
      </c>
      <c r="E18" s="1146" t="str">
        <f t="shared" si="5"/>
        <v>Điều chỉnh 2022</v>
      </c>
      <c r="F18" s="1146" t="str">
        <f t="shared" si="6"/>
        <v>3.Kim Quang PhátĐiều chỉnh 2022</v>
      </c>
      <c r="G18" s="1146" t="s">
        <v>1801</v>
      </c>
      <c r="H18" s="752" t="s">
        <v>488</v>
      </c>
      <c r="I18" s="752"/>
      <c r="J18" s="756">
        <v>421</v>
      </c>
      <c r="K18" s="756"/>
      <c r="L18" s="755">
        <f>L17</f>
        <v>846888229</v>
      </c>
    </row>
    <row r="19" spans="2:17" s="760" customFormat="1" x14ac:dyDescent="0.25">
      <c r="B19" s="1149" t="s">
        <v>645</v>
      </c>
      <c r="C19" s="1146" t="str">
        <f>C17</f>
        <v>3.Kim Quang Phát</v>
      </c>
      <c r="D19" s="756">
        <v>2023</v>
      </c>
      <c r="E19" s="1146" t="str">
        <f t="shared" si="5"/>
        <v>Điều chỉnh 2023</v>
      </c>
      <c r="F19" s="1146" t="str">
        <f t="shared" si="6"/>
        <v>3.Kim Quang PhátĐiều chỉnh 2023</v>
      </c>
      <c r="G19" s="1146" t="s">
        <v>682</v>
      </c>
      <c r="H19" s="752" t="s">
        <v>283</v>
      </c>
      <c r="I19" s="752" t="s">
        <v>322</v>
      </c>
      <c r="J19" s="756">
        <v>642</v>
      </c>
      <c r="K19" s="756">
        <v>229</v>
      </c>
      <c r="L19" s="755">
        <v>4950000000</v>
      </c>
    </row>
    <row r="20" spans="2:17" s="760" customFormat="1" x14ac:dyDescent="0.25">
      <c r="B20" s="1149" t="s">
        <v>604</v>
      </c>
      <c r="C20" s="1146" t="str">
        <f>C18</f>
        <v>3.Kim Quang Phát</v>
      </c>
      <c r="D20" s="756">
        <v>2023</v>
      </c>
      <c r="E20" s="1146" t="str">
        <f t="shared" si="5"/>
        <v>Điều chỉnh 2023</v>
      </c>
      <c r="F20" s="1146" t="str">
        <f t="shared" si="6"/>
        <v>3.Kim Quang PhátĐiều chỉnh 2023</v>
      </c>
      <c r="G20" s="1146" t="s">
        <v>1801</v>
      </c>
      <c r="H20" s="752" t="s">
        <v>488</v>
      </c>
      <c r="I20" s="752"/>
      <c r="J20" s="756">
        <v>421</v>
      </c>
      <c r="K20" s="756"/>
      <c r="L20" s="755">
        <f>L19</f>
        <v>4950000000</v>
      </c>
    </row>
    <row r="21" spans="2:17" s="760" customFormat="1" x14ac:dyDescent="0.25">
      <c r="B21" s="757"/>
      <c r="C21" s="1146"/>
      <c r="D21" s="756"/>
      <c r="E21" s="1146"/>
      <c r="F21" s="1146"/>
      <c r="G21" s="1146"/>
      <c r="H21" s="752"/>
      <c r="I21" s="752"/>
      <c r="J21" s="756"/>
      <c r="K21" s="756"/>
      <c r="L21" s="755"/>
    </row>
    <row r="22" spans="2:17" x14ac:dyDescent="0.25">
      <c r="B22" s="1149" t="s">
        <v>576</v>
      </c>
      <c r="C22" s="1146" t="str">
        <f>'TH1'!G7</f>
        <v>4.Kim Mỹ Linh</v>
      </c>
      <c r="D22" s="756">
        <v>2022</v>
      </c>
      <c r="E22" s="1146" t="str">
        <f t="shared" si="5"/>
        <v>Điều chỉnh 2022</v>
      </c>
      <c r="F22" s="1146" t="str">
        <f t="shared" si="6"/>
        <v>4.Kim Mỹ LinhĐiều chỉnh 2022</v>
      </c>
      <c r="G22" s="1146" t="s">
        <v>991</v>
      </c>
      <c r="H22" s="752" t="s">
        <v>280</v>
      </c>
      <c r="I22" s="752" t="s">
        <v>392</v>
      </c>
      <c r="J22" s="756">
        <v>635</v>
      </c>
      <c r="K22" s="756">
        <v>242</v>
      </c>
      <c r="L22" s="755">
        <v>1262355349</v>
      </c>
    </row>
    <row r="23" spans="2:17" x14ac:dyDescent="0.25">
      <c r="B23" s="1149" t="s">
        <v>577</v>
      </c>
      <c r="C23" s="1146" t="s">
        <v>1802</v>
      </c>
      <c r="D23" s="756">
        <v>2022</v>
      </c>
      <c r="E23" s="1146" t="str">
        <f t="shared" si="5"/>
        <v>Điều chỉnh 2022</v>
      </c>
      <c r="F23" s="1146" t="str">
        <f>C23&amp;E23</f>
        <v>4.Kim Mỹ LinhĐiều chỉnh 2022</v>
      </c>
      <c r="G23" s="1146" t="s">
        <v>1801</v>
      </c>
      <c r="H23" s="752" t="s">
        <v>488</v>
      </c>
      <c r="I23" s="752"/>
      <c r="J23" s="756">
        <v>421</v>
      </c>
      <c r="K23" s="756"/>
      <c r="L23" s="755">
        <f>L22</f>
        <v>1262355349</v>
      </c>
    </row>
    <row r="24" spans="2:17" x14ac:dyDescent="0.25">
      <c r="B24" s="1149" t="s">
        <v>645</v>
      </c>
      <c r="C24" s="1146" t="str">
        <f>C22</f>
        <v>4.Kim Mỹ Linh</v>
      </c>
      <c r="D24" s="756">
        <v>2023</v>
      </c>
      <c r="E24" s="1146" t="str">
        <f t="shared" si="5"/>
        <v>Điều chỉnh 2023</v>
      </c>
      <c r="F24" s="1146" t="str">
        <f t="shared" si="6"/>
        <v>4.Kim Mỹ LinhĐiều chỉnh 2023</v>
      </c>
      <c r="G24" s="1146" t="s">
        <v>682</v>
      </c>
      <c r="H24" s="752" t="s">
        <v>283</v>
      </c>
      <c r="I24" s="752" t="s">
        <v>322</v>
      </c>
      <c r="J24" s="756">
        <v>642</v>
      </c>
      <c r="K24" s="756">
        <v>229</v>
      </c>
      <c r="L24" s="755">
        <v>5000000000</v>
      </c>
    </row>
    <row r="25" spans="2:17" x14ac:dyDescent="0.25">
      <c r="B25" s="1149" t="s">
        <v>604</v>
      </c>
      <c r="C25" s="1146" t="s">
        <v>1802</v>
      </c>
      <c r="D25" s="756">
        <v>2023</v>
      </c>
      <c r="E25" s="1146" t="str">
        <f t="shared" si="5"/>
        <v>Điều chỉnh 2023</v>
      </c>
      <c r="F25" s="1146" t="str">
        <f t="shared" si="6"/>
        <v>4.Kim Mỹ LinhĐiều chỉnh 2023</v>
      </c>
      <c r="G25" s="1146" t="s">
        <v>1801</v>
      </c>
      <c r="H25" s="752" t="s">
        <v>488</v>
      </c>
      <c r="I25" s="752"/>
      <c r="J25" s="756">
        <v>421</v>
      </c>
      <c r="K25" s="756"/>
      <c r="L25" s="755">
        <f>L24</f>
        <v>5000000000</v>
      </c>
    </row>
    <row r="26" spans="2:17" x14ac:dyDescent="0.25">
      <c r="B26" s="751"/>
      <c r="C26" s="760"/>
      <c r="D26" s="751"/>
      <c r="E26" s="760"/>
      <c r="F26" s="760"/>
      <c r="G26" s="760"/>
      <c r="H26" s="753"/>
      <c r="I26" s="753"/>
      <c r="J26" s="751"/>
      <c r="K26" s="751"/>
      <c r="L26" s="754"/>
    </row>
    <row r="27" spans="2:17" x14ac:dyDescent="0.25">
      <c r="B27" s="1142" t="s">
        <v>598</v>
      </c>
      <c r="C27" s="1143" t="s">
        <v>599</v>
      </c>
      <c r="D27" s="1142"/>
      <c r="E27" s="1143"/>
      <c r="F27" s="1143"/>
      <c r="G27" s="1143"/>
      <c r="H27" s="1144"/>
      <c r="I27" s="1150"/>
      <c r="J27" s="1142"/>
      <c r="K27" s="1142"/>
      <c r="L27" s="1145"/>
    </row>
    <row r="28" spans="2:17" x14ac:dyDescent="0.25">
      <c r="B28" s="1149" t="s">
        <v>576</v>
      </c>
      <c r="C28" s="1146" t="str">
        <f>C6</f>
        <v>1.DV Quang Phát</v>
      </c>
      <c r="D28" s="756">
        <v>2023</v>
      </c>
      <c r="E28" s="760" t="str">
        <f t="shared" ref="E28:E36" si="7">"Điều chỉnh "&amp;D28</f>
        <v>Điều chỉnh 2023</v>
      </c>
      <c r="F28" s="760" t="str">
        <f t="shared" ref="F28:F36" si="8">C28&amp;E28</f>
        <v>1.DV Quang PhátĐiều chỉnh 2023</v>
      </c>
      <c r="G28" s="760" t="s">
        <v>600</v>
      </c>
      <c r="H28" s="753" t="s">
        <v>488</v>
      </c>
      <c r="I28" s="753" t="s">
        <v>366</v>
      </c>
      <c r="J28" s="751"/>
      <c r="K28" s="751"/>
      <c r="L28" s="754">
        <f>L6</f>
        <v>5249296703</v>
      </c>
      <c r="Q28" s="1146" t="s">
        <v>993</v>
      </c>
    </row>
    <row r="29" spans="2:17" x14ac:dyDescent="0.25">
      <c r="B29" s="1149" t="s">
        <v>577</v>
      </c>
      <c r="C29" s="760" t="str">
        <f>C28</f>
        <v>1.DV Quang Phát</v>
      </c>
      <c r="D29" s="756">
        <v>2023</v>
      </c>
      <c r="E29" s="760" t="str">
        <f t="shared" si="7"/>
        <v>Điều chỉnh 2023</v>
      </c>
      <c r="F29" s="760" t="str">
        <f t="shared" si="8"/>
        <v>1.DV Quang PhátĐiều chỉnh 2023</v>
      </c>
      <c r="G29" s="760" t="s">
        <v>600</v>
      </c>
      <c r="H29" s="753" t="s">
        <v>488</v>
      </c>
      <c r="I29" s="753" t="s">
        <v>382</v>
      </c>
      <c r="J29" s="751"/>
      <c r="K29" s="751"/>
      <c r="L29" s="754">
        <f>L7</f>
        <v>2100000000</v>
      </c>
      <c r="M29" s="755"/>
    </row>
    <row r="30" spans="2:17" x14ac:dyDescent="0.25">
      <c r="B30" s="1149" t="s">
        <v>645</v>
      </c>
      <c r="C30" s="760" t="str">
        <f>C8</f>
        <v>1.DV Quang Phát</v>
      </c>
      <c r="D30" s="756">
        <v>2023</v>
      </c>
      <c r="E30" s="760" t="str">
        <f t="shared" si="7"/>
        <v>Điều chỉnh 2023</v>
      </c>
      <c r="F30" s="760" t="str">
        <f t="shared" si="8"/>
        <v>1.DV Quang PhátĐiều chỉnh 2023</v>
      </c>
      <c r="G30" s="760" t="s">
        <v>600</v>
      </c>
      <c r="H30" s="753" t="s">
        <v>488</v>
      </c>
      <c r="I30" s="753" t="s">
        <v>392</v>
      </c>
      <c r="J30" s="751"/>
      <c r="K30" s="751"/>
      <c r="L30" s="754">
        <f>L8</f>
        <v>3400420923</v>
      </c>
    </row>
    <row r="31" spans="2:17" x14ac:dyDescent="0.25">
      <c r="B31" s="1149"/>
      <c r="C31" s="760"/>
      <c r="F31" s="760"/>
      <c r="G31" s="760"/>
      <c r="H31" s="753"/>
      <c r="I31" s="753"/>
      <c r="J31" s="751"/>
      <c r="K31" s="751"/>
      <c r="L31" s="754"/>
    </row>
    <row r="32" spans="2:17" x14ac:dyDescent="0.25">
      <c r="B32" s="1149" t="s">
        <v>604</v>
      </c>
      <c r="C32" s="760" t="str">
        <f>C14</f>
        <v>2.BT Quang Phát</v>
      </c>
      <c r="D32" s="756">
        <v>2023</v>
      </c>
      <c r="E32" s="760" t="str">
        <f t="shared" si="7"/>
        <v>Điều chỉnh 2023</v>
      </c>
      <c r="F32" s="760" t="str">
        <f t="shared" si="8"/>
        <v>2.BT Quang PhátĐiều chỉnh 2023</v>
      </c>
      <c r="G32" s="760" t="s">
        <v>600</v>
      </c>
      <c r="H32" s="753" t="s">
        <v>488</v>
      </c>
      <c r="I32" s="752" t="s">
        <v>392</v>
      </c>
      <c r="J32" s="751"/>
      <c r="K32" s="751"/>
      <c r="L32" s="754">
        <f>L14</f>
        <v>741540549</v>
      </c>
    </row>
    <row r="33" spans="2:12" x14ac:dyDescent="0.25">
      <c r="B33" s="1149"/>
      <c r="C33" s="760"/>
      <c r="E33" s="760"/>
      <c r="F33" s="760"/>
      <c r="G33" s="760"/>
      <c r="H33" s="753"/>
      <c r="I33" s="753"/>
      <c r="J33" s="751"/>
      <c r="K33" s="751"/>
      <c r="L33" s="754"/>
    </row>
    <row r="34" spans="2:12" x14ac:dyDescent="0.25">
      <c r="B34" s="1149" t="s">
        <v>605</v>
      </c>
      <c r="C34" s="760" t="str">
        <f>C17</f>
        <v>3.Kim Quang Phát</v>
      </c>
      <c r="D34" s="756">
        <v>2023</v>
      </c>
      <c r="E34" s="760" t="str">
        <f t="shared" si="7"/>
        <v>Điều chỉnh 2023</v>
      </c>
      <c r="F34" s="760" t="str">
        <f t="shared" si="8"/>
        <v>3.Kim Quang PhátĐiều chỉnh 2023</v>
      </c>
      <c r="G34" s="760" t="s">
        <v>600</v>
      </c>
      <c r="H34" s="753" t="s">
        <v>488</v>
      </c>
      <c r="I34" s="753" t="str">
        <f>I17</f>
        <v>254</v>
      </c>
      <c r="J34" s="751"/>
      <c r="K34" s="751"/>
      <c r="L34" s="754">
        <f>L17</f>
        <v>846888229</v>
      </c>
    </row>
    <row r="35" spans="2:12" x14ac:dyDescent="0.25">
      <c r="B35" s="1149"/>
      <c r="C35" s="760"/>
      <c r="E35" s="760"/>
      <c r="F35" s="760"/>
      <c r="G35" s="760"/>
      <c r="H35" s="753"/>
      <c r="I35" s="753"/>
      <c r="J35" s="751"/>
      <c r="K35" s="751"/>
      <c r="L35" s="754"/>
    </row>
    <row r="36" spans="2:12" x14ac:dyDescent="0.25">
      <c r="B36" s="1149" t="s">
        <v>644</v>
      </c>
      <c r="C36" s="760" t="str">
        <f>C22</f>
        <v>4.Kim Mỹ Linh</v>
      </c>
      <c r="D36" s="756">
        <v>2023</v>
      </c>
      <c r="E36" s="760" t="str">
        <f t="shared" si="7"/>
        <v>Điều chỉnh 2023</v>
      </c>
      <c r="F36" s="760" t="str">
        <f t="shared" si="8"/>
        <v>4.Kim Mỹ LinhĐiều chỉnh 2023</v>
      </c>
      <c r="G36" s="760" t="s">
        <v>600</v>
      </c>
      <c r="H36" s="753" t="s">
        <v>488</v>
      </c>
      <c r="I36" s="753" t="str">
        <f>I22</f>
        <v>254</v>
      </c>
      <c r="J36" s="751"/>
      <c r="K36" s="751"/>
      <c r="L36" s="754">
        <f>L22</f>
        <v>1262355349</v>
      </c>
    </row>
    <row r="37" spans="2:12" x14ac:dyDescent="0.25">
      <c r="B37" s="1149"/>
      <c r="C37" s="760"/>
      <c r="E37" s="760"/>
      <c r="F37" s="760"/>
      <c r="G37" s="760"/>
      <c r="H37" s="753"/>
      <c r="I37" s="753"/>
      <c r="J37" s="751"/>
      <c r="K37" s="751"/>
      <c r="L37" s="754"/>
    </row>
    <row r="38" spans="2:12" x14ac:dyDescent="0.25">
      <c r="B38" s="1142" t="s">
        <v>601</v>
      </c>
      <c r="C38" s="1143" t="s">
        <v>602</v>
      </c>
      <c r="D38" s="1142"/>
      <c r="E38" s="1143"/>
      <c r="F38" s="1143"/>
      <c r="G38" s="1143"/>
      <c r="H38" s="1144"/>
      <c r="I38" s="1144"/>
      <c r="J38" s="1142"/>
      <c r="K38" s="1142"/>
      <c r="L38" s="1142"/>
    </row>
    <row r="39" spans="2:12" x14ac:dyDescent="0.25">
      <c r="B39" s="751">
        <v>1</v>
      </c>
      <c r="C39" s="760" t="s">
        <v>603</v>
      </c>
      <c r="D39" s="751"/>
      <c r="E39" s="760">
        <v>2023</v>
      </c>
      <c r="F39" s="760" t="str">
        <f>C39&amp;E39</f>
        <v>ButruNB2023</v>
      </c>
      <c r="G39" s="760" t="s">
        <v>683</v>
      </c>
      <c r="H39" s="753" t="s">
        <v>274</v>
      </c>
      <c r="I39" s="753" t="s">
        <v>277</v>
      </c>
      <c r="J39" s="751">
        <v>511</v>
      </c>
      <c r="K39" s="751">
        <v>632</v>
      </c>
      <c r="L39" s="754">
        <v>85934511540</v>
      </c>
    </row>
    <row r="40" spans="2:12" x14ac:dyDescent="0.25">
      <c r="B40" s="751">
        <v>2</v>
      </c>
      <c r="C40" s="760" t="s">
        <v>603</v>
      </c>
      <c r="D40" s="751"/>
      <c r="E40" s="760">
        <v>2022</v>
      </c>
      <c r="F40" s="760" t="str">
        <f t="shared" ref="F40" si="9">C40&amp;E40</f>
        <v>ButruNB2022</v>
      </c>
      <c r="G40" s="760" t="s">
        <v>684</v>
      </c>
      <c r="H40" s="753" t="s">
        <v>274</v>
      </c>
      <c r="I40" s="753" t="s">
        <v>277</v>
      </c>
      <c r="J40" s="751">
        <v>511</v>
      </c>
      <c r="K40" s="751">
        <v>632</v>
      </c>
      <c r="L40" s="754">
        <v>97491273670</v>
      </c>
    </row>
    <row r="41" spans="2:12" x14ac:dyDescent="0.25">
      <c r="B41" s="751"/>
      <c r="C41" s="760"/>
      <c r="D41" s="751"/>
      <c r="E41" s="760"/>
      <c r="F41" s="760"/>
      <c r="G41" s="760"/>
      <c r="H41" s="753"/>
      <c r="I41" s="753"/>
      <c r="J41" s="751"/>
      <c r="K41" s="751"/>
      <c r="L41" s="754"/>
    </row>
  </sheetData>
  <phoneticPr fontId="6" type="noConversion"/>
  <pageMargins left="0.7" right="0.7" top="0.75" bottom="0.75" header="0.3" footer="0.3"/>
  <pageSetup paperSize="9" orientation="portrait" r:id="rId1"/>
  <ignoredErrors>
    <ignoredError sqref="B32:B36 B26:B30 B6 H26:I43 H6:I14 B13 H16:I17 B16 H19:I19 H21:I21 B21 H24:I24" numberStoredAsText="1"/>
  </ignoredError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filterMode="1"/>
  <dimension ref="A1:DJ155"/>
  <sheetViews>
    <sheetView showGridLines="0" zoomScale="70" zoomScaleNormal="70" workbookViewId="0">
      <pane xSplit="4" ySplit="6" topLeftCell="BM7" activePane="bottomRight" state="frozen"/>
      <selection pane="topRight" activeCell="E1" sqref="E1"/>
      <selection pane="bottomLeft" activeCell="A7" sqref="A7"/>
      <selection pane="bottomRight" activeCell="CI14" sqref="CI14"/>
    </sheetView>
  </sheetViews>
  <sheetFormatPr defaultColWidth="8.7109375" defaultRowHeight="15" outlineLevelCol="2" x14ac:dyDescent="0.25"/>
  <cols>
    <col min="1" max="1" width="3.7109375" style="183" customWidth="1"/>
    <col min="2" max="2" width="1.5703125" style="183" customWidth="1"/>
    <col min="3" max="3" width="46.7109375" style="183" customWidth="1"/>
    <col min="4" max="4" width="5.7109375" style="183" customWidth="1"/>
    <col min="5" max="8" width="10.85546875" style="183" customWidth="1" outlineLevel="1"/>
    <col min="9" max="9" width="3.7109375" style="183" customWidth="1" outlineLevel="1"/>
    <col min="10" max="13" width="10.85546875" style="183" customWidth="1" outlineLevel="1"/>
    <col min="14" max="14" width="4.7109375" style="183" customWidth="1" outlineLevel="1"/>
    <col min="15" max="18" width="10.85546875" style="183" customWidth="1" outlineLevel="1"/>
    <col min="19" max="19" width="4.28515625" style="183" customWidth="1" outlineLevel="1"/>
    <col min="20" max="23" width="10.85546875" style="183" customWidth="1" outlineLevel="1"/>
    <col min="24" max="24" width="4.42578125" style="183" customWidth="1" outlineLevel="1"/>
    <col min="25" max="28" width="10.85546875" style="183" customWidth="1" outlineLevel="1"/>
    <col min="29" max="29" width="3.7109375" style="183" customWidth="1" outlineLevel="2"/>
    <col min="30" max="33" width="10.85546875" style="183" customWidth="1" outlineLevel="2"/>
    <col min="34" max="34" width="5.42578125" style="183" customWidth="1"/>
    <col min="35" max="38" width="10.85546875" style="183" customWidth="1"/>
    <col min="39" max="39" width="4.28515625" style="183" customWidth="1" outlineLevel="1"/>
    <col min="40" max="43" width="10.85546875" style="183" customWidth="1" outlineLevel="1"/>
    <col min="44" max="44" width="4.28515625" style="183" customWidth="1" outlineLevel="1"/>
    <col min="45" max="48" width="10.85546875" style="183" customWidth="1" outlineLevel="1"/>
    <col min="49" max="49" width="3.7109375" style="183" customWidth="1" outlineLevel="1"/>
    <col min="50" max="53" width="10.85546875" style="183" customWidth="1" outlineLevel="1"/>
    <col min="54" max="54" width="5.85546875" style="183" customWidth="1" outlineLevel="1"/>
    <col min="55" max="58" width="10.85546875" style="183" customWidth="1" outlineLevel="1"/>
    <col min="59" max="59" width="2.42578125" style="183" customWidth="1" outlineLevel="1"/>
    <col min="60" max="63" width="10.85546875" style="183" customWidth="1" outlineLevel="1"/>
    <col min="64" max="64" width="3.28515625" style="183" customWidth="1" outlineLevel="1"/>
    <col min="65" max="68" width="10.85546875" style="183" customWidth="1" outlineLevel="1"/>
    <col min="69" max="69" width="3.7109375" style="183" customWidth="1" outlineLevel="1"/>
    <col min="70" max="73" width="10.85546875" style="183" customWidth="1" outlineLevel="1"/>
    <col min="74" max="74" width="4.28515625" style="183" customWidth="1" outlineLevel="1"/>
    <col min="75" max="78" width="10.85546875" style="183" customWidth="1" outlineLevel="1"/>
    <col min="79" max="79" width="4" style="183" customWidth="1" outlineLevel="1"/>
    <col min="80" max="83" width="10.85546875" style="183" customWidth="1" outlineLevel="1"/>
    <col min="84" max="84" width="3.42578125" style="183" customWidth="1" outlineLevel="1"/>
    <col min="85" max="88" width="10.85546875" style="183" customWidth="1" outlineLevel="1"/>
    <col min="89" max="89" width="3.7109375" style="183" customWidth="1" outlineLevel="1"/>
    <col min="90" max="93" width="10.85546875" style="183" customWidth="1" outlineLevel="1"/>
    <col min="94" max="94" width="2.5703125" style="183" customWidth="1" outlineLevel="1"/>
    <col min="95" max="98" width="10.85546875" style="183" customWidth="1" outlineLevel="1"/>
    <col min="99" max="99" width="3" style="183" customWidth="1"/>
    <col min="100" max="103" width="10.85546875" style="183" customWidth="1"/>
    <col min="104" max="104" width="4.28515625" style="183" customWidth="1"/>
    <col min="105" max="108" width="10.85546875" style="183" customWidth="1"/>
    <col min="109" max="109" width="3.7109375" style="183" customWidth="1"/>
    <col min="110" max="113" width="10.85546875" style="183" customWidth="1"/>
    <col min="114" max="16384" width="8.7109375" style="183"/>
  </cols>
  <sheetData>
    <row r="1" spans="3:114" s="213" customFormat="1" ht="15.75" x14ac:dyDescent="0.25">
      <c r="C1" s="209"/>
      <c r="D1" s="209"/>
      <c r="E1" s="210"/>
      <c r="F1" s="210"/>
      <c r="G1" s="210"/>
      <c r="H1" s="210"/>
      <c r="I1" s="211"/>
      <c r="J1" s="161"/>
      <c r="K1" s="161"/>
      <c r="L1" s="161"/>
      <c r="M1" s="210"/>
      <c r="N1" s="211"/>
      <c r="O1" s="161"/>
      <c r="P1" s="161"/>
      <c r="Q1" s="161"/>
      <c r="R1" s="210"/>
      <c r="S1" s="211"/>
      <c r="T1" s="211"/>
      <c r="U1" s="211"/>
      <c r="V1" s="211"/>
      <c r="W1" s="211"/>
      <c r="X1" s="211"/>
      <c r="Y1" s="211"/>
      <c r="Z1" s="211"/>
      <c r="AA1" s="211"/>
      <c r="AB1" s="211"/>
      <c r="AC1" s="211"/>
      <c r="AD1" s="161"/>
      <c r="AE1" s="161"/>
      <c r="AF1" s="161"/>
      <c r="AG1" s="210"/>
      <c r="AH1" s="211"/>
      <c r="AI1" s="161"/>
      <c r="AJ1" s="161"/>
      <c r="AK1" s="161"/>
      <c r="AL1" s="161"/>
    </row>
    <row r="2" spans="3:114" s="213" customFormat="1" ht="15.75" x14ac:dyDescent="0.25">
      <c r="C2" s="276" t="s">
        <v>528</v>
      </c>
      <c r="D2" s="215"/>
      <c r="E2" s="2194" t="s">
        <v>634</v>
      </c>
      <c r="F2" s="2194"/>
      <c r="G2" s="2194"/>
      <c r="H2" s="2194"/>
      <c r="I2" s="2194"/>
      <c r="J2" s="2194"/>
      <c r="K2" s="2194"/>
      <c r="L2" s="2194"/>
      <c r="M2" s="2194"/>
      <c r="N2" s="2194"/>
      <c r="O2" s="2194"/>
      <c r="P2" s="2194"/>
      <c r="Q2" s="2194"/>
      <c r="R2" s="2194"/>
      <c r="S2" s="2194"/>
      <c r="T2" s="2194"/>
      <c r="U2" s="2194"/>
      <c r="V2" s="2194"/>
      <c r="W2" s="2194"/>
      <c r="X2" s="2194"/>
      <c r="Y2" s="2194"/>
      <c r="Z2" s="2194"/>
      <c r="AA2" s="2194"/>
      <c r="AB2" s="2194"/>
      <c r="AC2" s="2194"/>
      <c r="AD2" s="2194"/>
      <c r="AE2" s="2194"/>
      <c r="AF2" s="2194"/>
      <c r="AG2" s="2194"/>
      <c r="AH2" s="211"/>
      <c r="AI2" s="277"/>
      <c r="AJ2" s="277" t="s">
        <v>619</v>
      </c>
      <c r="AK2" s="277"/>
      <c r="AL2" s="277"/>
      <c r="AN2" s="2195" t="s">
        <v>531</v>
      </c>
      <c r="AO2" s="2195"/>
      <c r="AP2" s="2195"/>
      <c r="AQ2" s="2195"/>
      <c r="AR2" s="2195"/>
      <c r="AS2" s="2195"/>
      <c r="AT2" s="2195"/>
      <c r="AU2" s="2195"/>
      <c r="AV2" s="2195"/>
      <c r="AW2" s="2195"/>
      <c r="AX2" s="2195"/>
      <c r="AY2" s="2195"/>
      <c r="AZ2" s="2195"/>
      <c r="BA2" s="2195"/>
      <c r="BB2" s="2195"/>
      <c r="BC2" s="2195"/>
      <c r="BD2" s="2195"/>
      <c r="BE2" s="2195"/>
      <c r="BF2" s="2195"/>
      <c r="BG2" s="2195"/>
      <c r="BH2" s="2195"/>
      <c r="BI2" s="2195"/>
      <c r="BJ2" s="2195"/>
      <c r="BK2" s="2195"/>
      <c r="BL2" s="2195"/>
      <c r="BM2" s="2195"/>
      <c r="BN2" s="2195"/>
      <c r="BO2" s="2195"/>
      <c r="BP2" s="2195"/>
      <c r="BQ2" s="211"/>
      <c r="BR2" s="2196" t="s">
        <v>621</v>
      </c>
      <c r="BS2" s="2196"/>
      <c r="BT2" s="2196"/>
      <c r="BU2" s="2196"/>
      <c r="BV2" s="2196"/>
      <c r="BW2" s="2196"/>
      <c r="BX2" s="2196"/>
      <c r="BY2" s="2196"/>
      <c r="BZ2" s="2196"/>
      <c r="CA2" s="2196"/>
      <c r="CB2" s="2196"/>
      <c r="CC2" s="2196"/>
      <c r="CD2" s="2196"/>
      <c r="CE2" s="2196"/>
      <c r="CF2" s="2196"/>
      <c r="CG2" s="2196"/>
      <c r="CH2" s="2196"/>
      <c r="CI2" s="2196"/>
      <c r="CJ2" s="2196"/>
      <c r="CK2" s="2196"/>
      <c r="CL2" s="2196"/>
      <c r="CM2" s="2196"/>
      <c r="CN2" s="2196"/>
      <c r="CO2" s="2196"/>
      <c r="CP2" s="2196"/>
      <c r="CQ2" s="2196"/>
      <c r="CR2" s="2196"/>
      <c r="CS2" s="2196"/>
      <c r="CT2" s="2196"/>
      <c r="CV2" s="2193" t="s">
        <v>621</v>
      </c>
      <c r="CW2" s="2193"/>
      <c r="CX2" s="2193"/>
      <c r="CY2" s="2193"/>
      <c r="DA2" s="2197" t="s">
        <v>622</v>
      </c>
      <c r="DB2" s="2197"/>
      <c r="DC2" s="2197"/>
      <c r="DD2" s="2197"/>
      <c r="DF2" s="2193" t="s">
        <v>635</v>
      </c>
      <c r="DG2" s="2193"/>
      <c r="DH2" s="2193"/>
      <c r="DI2" s="2193"/>
    </row>
    <row r="3" spans="3:114" s="213" customFormat="1" ht="15.75" x14ac:dyDescent="0.25">
      <c r="C3" s="226"/>
      <c r="D3" s="278">
        <v>1</v>
      </c>
      <c r="E3" s="227"/>
      <c r="F3" s="227"/>
      <c r="G3" s="227"/>
      <c r="H3" s="227"/>
      <c r="I3" s="211"/>
      <c r="J3" s="161"/>
      <c r="K3" s="161"/>
      <c r="L3" s="161"/>
      <c r="M3" s="227"/>
      <c r="N3" s="211"/>
      <c r="O3" s="161"/>
      <c r="P3" s="161"/>
      <c r="Q3" s="161"/>
      <c r="R3" s="227"/>
      <c r="S3" s="211"/>
      <c r="T3" s="211"/>
      <c r="U3" s="211"/>
      <c r="V3" s="211"/>
      <c r="W3" s="211"/>
      <c r="X3" s="211"/>
      <c r="Y3" s="211"/>
      <c r="Z3" s="211"/>
      <c r="AA3" s="211"/>
      <c r="AB3" s="211"/>
      <c r="AC3" s="211"/>
      <c r="AD3" s="161"/>
      <c r="AE3" s="161"/>
      <c r="AF3" s="161"/>
      <c r="AG3" s="227"/>
      <c r="AH3" s="211"/>
      <c r="AI3" s="161"/>
      <c r="AJ3" s="161"/>
      <c r="AK3" s="161"/>
      <c r="AL3" s="161"/>
    </row>
    <row r="4" spans="3:114" s="213" customFormat="1" ht="15.75" x14ac:dyDescent="0.25">
      <c r="C4" s="279" t="s">
        <v>142</v>
      </c>
      <c r="D4" s="229" t="s">
        <v>273</v>
      </c>
      <c r="E4" s="2201" t="str">
        <f>'1.PL (VND) '!D5</f>
        <v>1.DV Quang Phát</v>
      </c>
      <c r="F4" s="2202"/>
      <c r="G4" s="2202"/>
      <c r="H4" s="2203"/>
      <c r="I4" s="230"/>
      <c r="J4" s="2198" t="str">
        <f>'TH1'!G5</f>
        <v>2.BT Quang Phát</v>
      </c>
      <c r="K4" s="2199"/>
      <c r="L4" s="2199"/>
      <c r="M4" s="2200"/>
      <c r="N4" s="230"/>
      <c r="O4" s="2198" t="str">
        <f>'TH1'!G6</f>
        <v>3.Kim Quang Phát</v>
      </c>
      <c r="P4" s="2199"/>
      <c r="Q4" s="2199"/>
      <c r="R4" s="2200"/>
      <c r="S4" s="280"/>
      <c r="T4" s="2198" t="str">
        <f>'TH1'!G7</f>
        <v>4.Kim Mỹ Linh</v>
      </c>
      <c r="U4" s="2199"/>
      <c r="V4" s="2199"/>
      <c r="W4" s="2200"/>
      <c r="X4" s="280"/>
      <c r="Y4" s="2198" t="str">
        <f>'TH1'!G8</f>
        <v>5.Vạn Xuân</v>
      </c>
      <c r="Z4" s="2199"/>
      <c r="AA4" s="2199"/>
      <c r="AB4" s="2200"/>
      <c r="AC4" s="231"/>
      <c r="AD4" s="2198" t="str">
        <f>'TH1'!G9</f>
        <v>6.</v>
      </c>
      <c r="AE4" s="2199"/>
      <c r="AF4" s="2199"/>
      <c r="AG4" s="2200"/>
      <c r="AH4" s="231"/>
      <c r="AI4" s="2204" t="s">
        <v>873</v>
      </c>
      <c r="AJ4" s="2204"/>
      <c r="AK4" s="2204"/>
      <c r="AL4" s="2205"/>
      <c r="AN4" s="2201" t="str">
        <f>'TH1'!G4</f>
        <v>1.DV Quang Phát</v>
      </c>
      <c r="AO4" s="2202"/>
      <c r="AP4" s="2202"/>
      <c r="AQ4" s="2203"/>
      <c r="AR4" s="230"/>
      <c r="AS4" s="2198" t="str">
        <f>'TH1'!G5</f>
        <v>2.BT Quang Phát</v>
      </c>
      <c r="AT4" s="2199"/>
      <c r="AU4" s="2199"/>
      <c r="AV4" s="2200"/>
      <c r="AW4" s="230"/>
      <c r="AX4" s="2198" t="str">
        <f>'TH1'!G6</f>
        <v>3.Kim Quang Phát</v>
      </c>
      <c r="AY4" s="2199"/>
      <c r="AZ4" s="2199"/>
      <c r="BA4" s="2200"/>
      <c r="BB4" s="230"/>
      <c r="BC4" s="2198" t="str">
        <f>'TH1'!G7</f>
        <v>4.Kim Mỹ Linh</v>
      </c>
      <c r="BD4" s="2199"/>
      <c r="BE4" s="2199"/>
      <c r="BF4" s="2200"/>
      <c r="BG4" s="230"/>
      <c r="BH4" s="2198" t="str">
        <f>'TH1'!G8</f>
        <v>5.Vạn Xuân</v>
      </c>
      <c r="BI4" s="2199"/>
      <c r="BJ4" s="2199"/>
      <c r="BK4" s="2200"/>
      <c r="BL4" s="231"/>
      <c r="BM4" s="2198" t="str">
        <f>'TH1'!G9</f>
        <v>6.</v>
      </c>
      <c r="BN4" s="2199"/>
      <c r="BO4" s="2199"/>
      <c r="BP4" s="2200"/>
      <c r="BR4" s="2201" t="str">
        <f>AN4</f>
        <v>1.DV Quang Phát</v>
      </c>
      <c r="BS4" s="2202"/>
      <c r="BT4" s="2202"/>
      <c r="BU4" s="2203"/>
      <c r="BV4" s="230"/>
      <c r="BW4" s="2198" t="str">
        <f>AS4</f>
        <v>2.BT Quang Phát</v>
      </c>
      <c r="BX4" s="2199"/>
      <c r="BY4" s="2199"/>
      <c r="BZ4" s="2200"/>
      <c r="CA4" s="230"/>
      <c r="CB4" s="2198" t="str">
        <f>AX4</f>
        <v>3.Kim Quang Phát</v>
      </c>
      <c r="CC4" s="2199"/>
      <c r="CD4" s="2199"/>
      <c r="CE4" s="2200"/>
      <c r="CF4" s="230"/>
      <c r="CG4" s="2198" t="str">
        <f>'TH1'!G7</f>
        <v>4.Kim Mỹ Linh</v>
      </c>
      <c r="CH4" s="2199"/>
      <c r="CI4" s="2199"/>
      <c r="CJ4" s="2200"/>
      <c r="CK4" s="230"/>
      <c r="CL4" s="2198" t="str">
        <f>'TH1'!G8</f>
        <v>5.Vạn Xuân</v>
      </c>
      <c r="CM4" s="2199"/>
      <c r="CN4" s="2199"/>
      <c r="CO4" s="2200"/>
      <c r="CP4" s="231"/>
      <c r="CQ4" s="2198" t="str">
        <f>BM4</f>
        <v>6.</v>
      </c>
      <c r="CR4" s="2199"/>
      <c r="CS4" s="2199"/>
      <c r="CT4" s="2200"/>
      <c r="CV4" s="2198" t="s">
        <v>615</v>
      </c>
      <c r="CW4" s="2199"/>
      <c r="CX4" s="2199"/>
      <c r="CY4" s="2200"/>
      <c r="DA4" s="2198" t="s">
        <v>615</v>
      </c>
      <c r="DB4" s="2199"/>
      <c r="DC4" s="2199"/>
      <c r="DD4" s="2200"/>
      <c r="DF4" s="2198" t="s">
        <v>615</v>
      </c>
      <c r="DG4" s="2199"/>
      <c r="DH4" s="2199"/>
      <c r="DI4" s="2200"/>
    </row>
    <row r="5" spans="3:114" s="213" customFormat="1" ht="14.1" customHeight="1" x14ac:dyDescent="0.25">
      <c r="C5" s="281"/>
      <c r="D5" s="232"/>
      <c r="E5" s="233">
        <v>2020</v>
      </c>
      <c r="F5" s="233">
        <v>2021</v>
      </c>
      <c r="G5" s="233">
        <v>2022</v>
      </c>
      <c r="H5" s="233">
        <v>2023</v>
      </c>
      <c r="I5" s="234"/>
      <c r="J5" s="235">
        <v>2020</v>
      </c>
      <c r="K5" s="235">
        <v>2021</v>
      </c>
      <c r="L5" s="235">
        <v>2022</v>
      </c>
      <c r="M5" s="233">
        <v>2023</v>
      </c>
      <c r="N5" s="234"/>
      <c r="O5" s="235">
        <v>2020</v>
      </c>
      <c r="P5" s="235">
        <v>2021</v>
      </c>
      <c r="Q5" s="235">
        <v>2022</v>
      </c>
      <c r="R5" s="233">
        <v>2023</v>
      </c>
      <c r="S5" s="282"/>
      <c r="T5" s="235">
        <v>2020</v>
      </c>
      <c r="U5" s="235">
        <v>2021</v>
      </c>
      <c r="V5" s="235">
        <v>2022</v>
      </c>
      <c r="W5" s="233">
        <v>2023</v>
      </c>
      <c r="X5" s="282"/>
      <c r="Y5" s="235">
        <v>2020</v>
      </c>
      <c r="Z5" s="235">
        <v>2021</v>
      </c>
      <c r="AA5" s="235">
        <v>2022</v>
      </c>
      <c r="AB5" s="235">
        <v>2023</v>
      </c>
      <c r="AC5" s="234"/>
      <c r="AD5" s="235">
        <v>2020</v>
      </c>
      <c r="AE5" s="235">
        <v>2021</v>
      </c>
      <c r="AF5" s="235">
        <v>2022</v>
      </c>
      <c r="AG5" s="235">
        <v>2023</v>
      </c>
      <c r="AH5" s="283"/>
      <c r="AI5" s="284">
        <v>2020</v>
      </c>
      <c r="AJ5" s="284">
        <v>2021</v>
      </c>
      <c r="AK5" s="284">
        <v>2022</v>
      </c>
      <c r="AL5" s="284">
        <v>2023</v>
      </c>
      <c r="AN5" s="233">
        <f>E5</f>
        <v>2020</v>
      </c>
      <c r="AO5" s="233">
        <v>2021</v>
      </c>
      <c r="AP5" s="233">
        <f>G5</f>
        <v>2022</v>
      </c>
      <c r="AQ5" s="233">
        <f>H5</f>
        <v>2023</v>
      </c>
      <c r="AR5" s="234"/>
      <c r="AS5" s="233">
        <f>J5</f>
        <v>2020</v>
      </c>
      <c r="AT5" s="233">
        <f>K5</f>
        <v>2021</v>
      </c>
      <c r="AU5" s="233">
        <f>L5</f>
        <v>2022</v>
      </c>
      <c r="AV5" s="233">
        <f>M5</f>
        <v>2023</v>
      </c>
      <c r="AW5" s="234"/>
      <c r="AX5" s="233">
        <f>O5</f>
        <v>2020</v>
      </c>
      <c r="AY5" s="233">
        <f>P5</f>
        <v>2021</v>
      </c>
      <c r="AZ5" s="233">
        <f>Q5</f>
        <v>2022</v>
      </c>
      <c r="BA5" s="233">
        <f>R5</f>
        <v>2023</v>
      </c>
      <c r="BB5" s="234"/>
      <c r="BC5" s="233">
        <f>T5</f>
        <v>2020</v>
      </c>
      <c r="BD5" s="233">
        <f>U5</f>
        <v>2021</v>
      </c>
      <c r="BE5" s="233">
        <f>V5</f>
        <v>2022</v>
      </c>
      <c r="BF5" s="233">
        <f>W5</f>
        <v>2023</v>
      </c>
      <c r="BG5" s="234"/>
      <c r="BH5" s="233">
        <f>Y5</f>
        <v>2020</v>
      </c>
      <c r="BI5" s="233">
        <f>Z5</f>
        <v>2021</v>
      </c>
      <c r="BJ5" s="233">
        <f>AA5</f>
        <v>2022</v>
      </c>
      <c r="BK5" s="233">
        <f>AB5</f>
        <v>2023</v>
      </c>
      <c r="BL5" s="234"/>
      <c r="BM5" s="233">
        <f>AD5</f>
        <v>2020</v>
      </c>
      <c r="BN5" s="233">
        <f>AE5</f>
        <v>2021</v>
      </c>
      <c r="BO5" s="233">
        <f>AF5</f>
        <v>2022</v>
      </c>
      <c r="BP5" s="233">
        <f>AG5</f>
        <v>2023</v>
      </c>
      <c r="BR5" s="233">
        <f>AI5</f>
        <v>2020</v>
      </c>
      <c r="BS5" s="233">
        <f>AJ5</f>
        <v>2021</v>
      </c>
      <c r="BT5" s="233">
        <f>AK5</f>
        <v>2022</v>
      </c>
      <c r="BU5" s="233">
        <f>AL5</f>
        <v>2023</v>
      </c>
      <c r="BV5" s="234"/>
      <c r="BW5" s="233">
        <f>BR5</f>
        <v>2020</v>
      </c>
      <c r="BX5" s="233">
        <f t="shared" ref="BX5:BZ5" si="0">BS5</f>
        <v>2021</v>
      </c>
      <c r="BY5" s="233">
        <f t="shared" si="0"/>
        <v>2022</v>
      </c>
      <c r="BZ5" s="233">
        <f t="shared" si="0"/>
        <v>2023</v>
      </c>
      <c r="CA5" s="234"/>
      <c r="CB5" s="233">
        <f>BW5</f>
        <v>2020</v>
      </c>
      <c r="CC5" s="233">
        <f t="shared" ref="CC5:CD5" si="1">BX5</f>
        <v>2021</v>
      </c>
      <c r="CD5" s="233">
        <f t="shared" si="1"/>
        <v>2022</v>
      </c>
      <c r="CE5" s="233">
        <f>BZ5</f>
        <v>2023</v>
      </c>
      <c r="CF5" s="234"/>
      <c r="CG5" s="235">
        <f>CB5</f>
        <v>2020</v>
      </c>
      <c r="CH5" s="235">
        <f t="shared" ref="CH5:CJ5" si="2">CC5</f>
        <v>2021</v>
      </c>
      <c r="CI5" s="235">
        <f t="shared" si="2"/>
        <v>2022</v>
      </c>
      <c r="CJ5" s="235">
        <f t="shared" si="2"/>
        <v>2023</v>
      </c>
      <c r="CK5" s="234"/>
      <c r="CL5" s="235">
        <f>CG5</f>
        <v>2020</v>
      </c>
      <c r="CM5" s="235">
        <f t="shared" ref="CM5:CO5" si="3">CH5</f>
        <v>2021</v>
      </c>
      <c r="CN5" s="235">
        <f t="shared" si="3"/>
        <v>2022</v>
      </c>
      <c r="CO5" s="235">
        <f t="shared" si="3"/>
        <v>2023</v>
      </c>
      <c r="CP5" s="234"/>
      <c r="CQ5" s="235">
        <f>CL5</f>
        <v>2020</v>
      </c>
      <c r="CR5" s="235">
        <f t="shared" ref="CR5:CT5" si="4">CM5</f>
        <v>2021</v>
      </c>
      <c r="CS5" s="235">
        <f t="shared" si="4"/>
        <v>2022</v>
      </c>
      <c r="CT5" s="235">
        <f t="shared" si="4"/>
        <v>2023</v>
      </c>
      <c r="CV5" s="235">
        <f>CL5</f>
        <v>2020</v>
      </c>
      <c r="CW5" s="235">
        <f t="shared" ref="CW5:CY5" si="5">CM5</f>
        <v>2021</v>
      </c>
      <c r="CX5" s="235">
        <f t="shared" si="5"/>
        <v>2022</v>
      </c>
      <c r="CY5" s="235">
        <f t="shared" si="5"/>
        <v>2023</v>
      </c>
      <c r="DA5" s="235">
        <f>CV5</f>
        <v>2020</v>
      </c>
      <c r="DB5" s="235">
        <f t="shared" ref="DB5:DD5" si="6">CW5</f>
        <v>2021</v>
      </c>
      <c r="DC5" s="235">
        <f t="shared" si="6"/>
        <v>2022</v>
      </c>
      <c r="DD5" s="235">
        <f t="shared" si="6"/>
        <v>2023</v>
      </c>
      <c r="DF5" s="235">
        <f>DA5</f>
        <v>2020</v>
      </c>
      <c r="DG5" s="235">
        <f t="shared" ref="DG5:DI5" si="7">DB5</f>
        <v>2021</v>
      </c>
      <c r="DH5" s="235">
        <f t="shared" si="7"/>
        <v>2022</v>
      </c>
      <c r="DI5" s="235">
        <f t="shared" si="7"/>
        <v>2023</v>
      </c>
    </row>
    <row r="6" spans="3:114" s="213" customFormat="1" ht="15.75" x14ac:dyDescent="0.25">
      <c r="C6" s="285">
        <v>1000000000</v>
      </c>
      <c r="D6" s="237"/>
      <c r="E6" s="238"/>
      <c r="F6" s="238"/>
      <c r="G6" s="238"/>
      <c r="H6" s="238"/>
      <c r="I6" s="240"/>
      <c r="J6" s="238"/>
      <c r="K6" s="238"/>
      <c r="L6" s="238"/>
      <c r="M6" s="238"/>
      <c r="N6" s="240"/>
      <c r="O6" s="238"/>
      <c r="P6" s="238"/>
      <c r="Q6" s="238"/>
      <c r="R6" s="238"/>
      <c r="S6" s="240"/>
      <c r="T6" s="240"/>
      <c r="U6" s="240"/>
      <c r="V6" s="240"/>
      <c r="W6" s="240"/>
      <c r="X6" s="240"/>
      <c r="Y6" s="240"/>
      <c r="Z6" s="240"/>
      <c r="AA6" s="240"/>
      <c r="AB6" s="240"/>
      <c r="AC6" s="240"/>
      <c r="AD6" s="2174"/>
      <c r="AE6" s="2174"/>
      <c r="AF6" s="2174"/>
      <c r="AG6" s="238"/>
      <c r="AH6" s="286"/>
      <c r="AI6" s="238"/>
      <c r="AJ6" s="238"/>
      <c r="AK6" s="238"/>
      <c r="AL6" s="238"/>
      <c r="AN6" s="238"/>
      <c r="AO6" s="238"/>
      <c r="AP6" s="238"/>
      <c r="AQ6" s="238"/>
      <c r="AR6" s="240"/>
      <c r="AS6" s="238"/>
      <c r="AT6" s="238"/>
      <c r="AU6" s="238"/>
      <c r="AV6" s="238"/>
      <c r="AW6" s="240"/>
      <c r="AX6" s="238"/>
      <c r="AY6" s="238"/>
      <c r="AZ6" s="238"/>
      <c r="BA6" s="238"/>
      <c r="BB6" s="240"/>
      <c r="BC6" s="238"/>
      <c r="BD6" s="238"/>
      <c r="BE6" s="238"/>
      <c r="BF6" s="238"/>
      <c r="BG6" s="240"/>
      <c r="BH6" s="238"/>
      <c r="BI6" s="238"/>
      <c r="BJ6" s="238"/>
      <c r="BK6" s="238"/>
      <c r="BL6" s="240"/>
      <c r="BM6" s="2174"/>
      <c r="BN6" s="2174"/>
      <c r="BO6" s="2174"/>
      <c r="BP6" s="238"/>
      <c r="BQ6" s="286"/>
      <c r="BR6" s="238"/>
      <c r="BS6" s="238"/>
      <c r="BT6" s="238"/>
      <c r="BU6" s="238"/>
      <c r="BV6" s="240"/>
      <c r="BW6" s="238"/>
      <c r="BX6" s="238"/>
      <c r="BY6" s="238"/>
      <c r="BZ6" s="238"/>
      <c r="CA6" s="240"/>
      <c r="CB6" s="238"/>
      <c r="CC6" s="238"/>
      <c r="CD6" s="238"/>
      <c r="CE6" s="238"/>
      <c r="CF6" s="240"/>
      <c r="CG6" s="238"/>
      <c r="CH6" s="238"/>
      <c r="CI6" s="238"/>
      <c r="CJ6" s="238"/>
      <c r="CK6" s="240"/>
      <c r="CL6" s="238"/>
      <c r="CM6" s="238"/>
      <c r="CN6" s="238"/>
      <c r="CO6" s="238"/>
      <c r="CP6" s="240"/>
      <c r="CQ6" s="2174"/>
      <c r="CR6" s="2174"/>
      <c r="CS6" s="2174"/>
      <c r="CT6" s="238"/>
      <c r="CV6" s="2174"/>
      <c r="CW6" s="2174"/>
      <c r="CX6" s="2174"/>
      <c r="CY6" s="238"/>
      <c r="DA6" s="2174"/>
      <c r="DB6" s="2174"/>
      <c r="DC6" s="2174"/>
      <c r="DD6" s="238"/>
      <c r="DF6" s="2174"/>
      <c r="DG6" s="2174"/>
      <c r="DH6" s="2174"/>
      <c r="DI6" s="238"/>
    </row>
    <row r="7" spans="3:114" s="447" customFormat="1" ht="15.75" x14ac:dyDescent="0.25">
      <c r="C7" s="775" t="s">
        <v>623</v>
      </c>
      <c r="D7" s="848" t="s">
        <v>274</v>
      </c>
      <c r="E7" s="849">
        <f>'1.PL (VND) '!D8/$C$6</f>
        <v>272.81550909800001</v>
      </c>
      <c r="F7" s="849">
        <f>'1.PL (VND) '!E8/$C$6</f>
        <v>361.22590755700003</v>
      </c>
      <c r="G7" s="849">
        <f>'1.PL (VND) '!F8/$C$6</f>
        <v>423.67960537499999</v>
      </c>
      <c r="H7" s="849">
        <f>'1.PL (VND) '!G8/$C$6</f>
        <v>441.34407631400001</v>
      </c>
      <c r="I7" s="850"/>
      <c r="J7" s="849">
        <f>'1.PL (VND) '!I8/$C$6</f>
        <v>0</v>
      </c>
      <c r="K7" s="849">
        <f>'1.PL (VND) '!J8/$C$6</f>
        <v>41.462536712999999</v>
      </c>
      <c r="L7" s="849">
        <f>'1.PL (VND) '!K8/$C$6</f>
        <v>69.811635749000004</v>
      </c>
      <c r="M7" s="849">
        <f>'1.PL (VND) '!L8/$C$6</f>
        <v>74.678752638000006</v>
      </c>
      <c r="N7" s="850"/>
      <c r="O7" s="849">
        <f>'1.PL (VND) '!N8/$C$6</f>
        <v>59.548559255000001</v>
      </c>
      <c r="P7" s="849">
        <f>'1.PL (VND) '!O8/$C$6</f>
        <v>54.917326996</v>
      </c>
      <c r="Q7" s="849">
        <f>'1.PL (VND) '!P8/$C$6</f>
        <v>64.008838726999997</v>
      </c>
      <c r="R7" s="849">
        <f>'1.PL (VND) '!Q8/$C$6</f>
        <v>58.809727981000002</v>
      </c>
      <c r="S7" s="850"/>
      <c r="T7" s="849">
        <f>'1.PL (VND) '!S8/$C$6</f>
        <v>20.700982926999998</v>
      </c>
      <c r="U7" s="849">
        <f>'1.PL (VND) '!T8/$C$6</f>
        <v>43.997295526999999</v>
      </c>
      <c r="V7" s="849">
        <f>'1.PL (VND) '!U8/$C$6</f>
        <v>45.487103105999999</v>
      </c>
      <c r="W7" s="849">
        <f>'1.PL (VND) '!V8/$C$6</f>
        <v>43.10030458</v>
      </c>
      <c r="X7" s="850"/>
      <c r="Y7" s="849">
        <f>'1.PL (VND) '!X8/$C$6</f>
        <v>0</v>
      </c>
      <c r="Z7" s="849">
        <f>'1.PL (VND) '!Y8/$C$6</f>
        <v>0</v>
      </c>
      <c r="AA7" s="849">
        <f>'1.PL (VND) '!Z8/$C$6</f>
        <v>0</v>
      </c>
      <c r="AB7" s="849">
        <f>'1.PL (VND) '!AA8/$C$6</f>
        <v>0</v>
      </c>
      <c r="AC7" s="850"/>
      <c r="AD7" s="849">
        <f>'1.PL (VND) '!AC8/$C$6</f>
        <v>0</v>
      </c>
      <c r="AE7" s="849">
        <f>'1.PL (VND) '!AD8/$C$6</f>
        <v>0</v>
      </c>
      <c r="AF7" s="849">
        <f>'1.PL (VND) '!AE8/$C$6</f>
        <v>0</v>
      </c>
      <c r="AG7" s="849">
        <f>'1.PL (VND) '!AF8/$C$6</f>
        <v>0</v>
      </c>
      <c r="AH7" s="851"/>
      <c r="AI7" s="849">
        <f>SUMIF($E$5:$AG$5,AI$5,$E7:$AG7)</f>
        <v>353.06505127999998</v>
      </c>
      <c r="AJ7" s="849">
        <f>SUMIF($E$5:$AG$5,AJ$5,$E7:$AG7)</f>
        <v>501.60306679300004</v>
      </c>
      <c r="AK7" s="849">
        <f>SUMIF($E$5:$AG$5,AK$5,$E7:$AG7)</f>
        <v>602.98718295699996</v>
      </c>
      <c r="AL7" s="849">
        <f>SUM(H7,M7,R7,W7)</f>
        <v>617.93286151300003</v>
      </c>
      <c r="AM7" s="852"/>
      <c r="AN7" s="849">
        <f>'1.PL (VND) '!AH8/$C$6</f>
        <v>0</v>
      </c>
      <c r="AO7" s="849">
        <f>'1.PL (VND) '!AI8/$C$6</f>
        <v>0</v>
      </c>
      <c r="AP7" s="849">
        <f>'1.PL (VND) '!AJ8/$C$6</f>
        <v>0</v>
      </c>
      <c r="AQ7" s="849">
        <f>'1.PL (VND) '!AK8/$C$6</f>
        <v>0</v>
      </c>
      <c r="AR7" s="849"/>
      <c r="AS7" s="849">
        <f>'1.PL (VND) '!AM8/$C$6</f>
        <v>0</v>
      </c>
      <c r="AT7" s="849">
        <f>'1.PL (VND) '!AN8/$C$6</f>
        <v>0</v>
      </c>
      <c r="AU7" s="849">
        <f>'1.PL (VND) '!AO8/$C$6</f>
        <v>0</v>
      </c>
      <c r="AV7" s="849">
        <f>'1.PL (VND) '!AP8/$C$6</f>
        <v>0</v>
      </c>
      <c r="AW7" s="849"/>
      <c r="AX7" s="849">
        <f>'1.PL (VND) '!AR8/$C$6</f>
        <v>0</v>
      </c>
      <c r="AY7" s="849">
        <f>'1.PL (VND) '!AS8/$C$6</f>
        <v>0</v>
      </c>
      <c r="AZ7" s="849">
        <f>'1.PL (VND) '!AT8/$C$6</f>
        <v>0</v>
      </c>
      <c r="BA7" s="849">
        <f>'1.PL (VND) '!AU8/$C$6</f>
        <v>0</v>
      </c>
      <c r="BB7" s="849"/>
      <c r="BC7" s="849">
        <f>'1.PL (VND) '!AW8/$C$6</f>
        <v>0</v>
      </c>
      <c r="BD7" s="849">
        <f>'1.PL (VND) '!AX8/$C$6</f>
        <v>0</v>
      </c>
      <c r="BE7" s="849">
        <f>'1.PL (VND) '!AY8/$C$6</f>
        <v>0</v>
      </c>
      <c r="BF7" s="849">
        <f>'1.PL (VND) '!AZ8/$C$6</f>
        <v>0</v>
      </c>
      <c r="BG7" s="849"/>
      <c r="BH7" s="849">
        <f>'1.PL (VND) '!BB8/$C$6</f>
        <v>0</v>
      </c>
      <c r="BI7" s="849">
        <f>'1.PL (VND) '!BC8/$C$6</f>
        <v>0</v>
      </c>
      <c r="BJ7" s="849">
        <f>'1.PL (VND) '!BD8/$C$6</f>
        <v>0</v>
      </c>
      <c r="BK7" s="849">
        <f>'1.PL (VND) '!BE8/$C$6</f>
        <v>0</v>
      </c>
      <c r="BL7" s="849"/>
      <c r="BM7" s="849">
        <f>'1.PL (VND) '!BG8/$C$6</f>
        <v>0</v>
      </c>
      <c r="BN7" s="849">
        <f>'1.PL (VND) '!BH8/$C$6</f>
        <v>0</v>
      </c>
      <c r="BO7" s="849">
        <f>'1.PL (VND) '!BI8/$C$6</f>
        <v>0</v>
      </c>
      <c r="BP7" s="849">
        <f>'1.PL (VND) '!BJ8/$C$6</f>
        <v>0</v>
      </c>
      <c r="BQ7" s="851"/>
      <c r="BR7" s="849">
        <f t="shared" ref="BR7:BU14" si="8">E7+AN7</f>
        <v>272.81550909800001</v>
      </c>
      <c r="BS7" s="849">
        <f t="shared" si="8"/>
        <v>361.22590755700003</v>
      </c>
      <c r="BT7" s="849">
        <f t="shared" si="8"/>
        <v>423.67960537499999</v>
      </c>
      <c r="BU7" s="849">
        <f t="shared" si="8"/>
        <v>441.34407631400001</v>
      </c>
      <c r="BV7" s="850"/>
      <c r="BW7" s="849">
        <f t="shared" ref="BW7:BZ14" si="9">J7+AS7</f>
        <v>0</v>
      </c>
      <c r="BX7" s="849">
        <f t="shared" si="9"/>
        <v>41.462536712999999</v>
      </c>
      <c r="BY7" s="849">
        <f t="shared" si="9"/>
        <v>69.811635749000004</v>
      </c>
      <c r="BZ7" s="849">
        <f t="shared" si="9"/>
        <v>74.678752638000006</v>
      </c>
      <c r="CA7" s="850"/>
      <c r="CB7" s="849">
        <f t="shared" ref="CB7:CE14" si="10">O7+AX7</f>
        <v>59.548559255000001</v>
      </c>
      <c r="CC7" s="849">
        <f t="shared" si="10"/>
        <v>54.917326996</v>
      </c>
      <c r="CD7" s="849">
        <f t="shared" si="10"/>
        <v>64.008838726999997</v>
      </c>
      <c r="CE7" s="849">
        <f t="shared" si="10"/>
        <v>58.809727981000002</v>
      </c>
      <c r="CF7" s="850"/>
      <c r="CG7" s="849">
        <f t="shared" ref="CG7:CJ14" si="11">T7+BC7</f>
        <v>20.700982926999998</v>
      </c>
      <c r="CH7" s="849">
        <f t="shared" si="11"/>
        <v>43.997295526999999</v>
      </c>
      <c r="CI7" s="849">
        <f t="shared" si="11"/>
        <v>45.487103105999999</v>
      </c>
      <c r="CJ7" s="849">
        <f t="shared" si="11"/>
        <v>43.10030458</v>
      </c>
      <c r="CK7" s="850"/>
      <c r="CL7" s="849">
        <f t="shared" ref="CL7:CO14" si="12">Y7+BH7</f>
        <v>0</v>
      </c>
      <c r="CM7" s="849">
        <f t="shared" si="12"/>
        <v>0</v>
      </c>
      <c r="CN7" s="849">
        <f t="shared" si="12"/>
        <v>0</v>
      </c>
      <c r="CO7" s="849">
        <f t="shared" si="12"/>
        <v>0</v>
      </c>
      <c r="CP7" s="850"/>
      <c r="CQ7" s="849">
        <f t="shared" ref="CQ7:CT14" si="13">AD7+BM7</f>
        <v>0</v>
      </c>
      <c r="CR7" s="849">
        <f t="shared" si="13"/>
        <v>0</v>
      </c>
      <c r="CS7" s="849">
        <f t="shared" si="13"/>
        <v>0</v>
      </c>
      <c r="CT7" s="849">
        <f t="shared" si="13"/>
        <v>0</v>
      </c>
      <c r="CU7" s="852"/>
      <c r="CV7" s="849">
        <f t="shared" ref="CV7:CY14" si="14">SUMIF($BR$5:$CT$5,CV$5,$BR7:$CT7)</f>
        <v>353.06505127999998</v>
      </c>
      <c r="CW7" s="849">
        <f>SUMIF($BR$5:$CT$5,CW$5,$BR7:$CT7)</f>
        <v>501.60306679300004</v>
      </c>
      <c r="CX7" s="849">
        <f t="shared" si="14"/>
        <v>602.98718295699996</v>
      </c>
      <c r="CY7" s="849">
        <f>SUMIF($BR$5:$CT$5,CY$5,$BR7:$CT7)</f>
        <v>617.93286151300003</v>
      </c>
      <c r="CZ7" s="852"/>
      <c r="DA7" s="849">
        <f>'1.PL (VND) '!CU8/$C$6</f>
        <v>0</v>
      </c>
      <c r="DB7" s="849">
        <f>'1.PL (VND) '!CV8/$C$6</f>
        <v>0</v>
      </c>
      <c r="DC7" s="849">
        <f>'1.PL (VND) '!CW8/$C$6</f>
        <v>-97.491273669999998</v>
      </c>
      <c r="DD7" s="849">
        <f>'1.PL (VND) '!CX8/$C$6</f>
        <v>-85.934511540000003</v>
      </c>
      <c r="DE7" s="852"/>
      <c r="DF7" s="849">
        <f>CV7+DA7</f>
        <v>353.06505127999998</v>
      </c>
      <c r="DG7" s="849">
        <f>CW7+DB7</f>
        <v>501.60306679300004</v>
      </c>
      <c r="DH7" s="849">
        <f t="shared" ref="DG7:DI22" si="15">CX7+DC7</f>
        <v>505.49590928699996</v>
      </c>
      <c r="DI7" s="849">
        <f t="shared" si="15"/>
        <v>531.99834997300002</v>
      </c>
      <c r="DJ7" s="444"/>
    </row>
    <row r="8" spans="3:114" s="441" customFormat="1" ht="15.75" x14ac:dyDescent="0.25">
      <c r="C8" s="438" t="s">
        <v>624</v>
      </c>
      <c r="D8" s="438" t="s">
        <v>275</v>
      </c>
      <c r="E8" s="835">
        <f>'1.PL (VND) '!D9/$C$6</f>
        <v>0</v>
      </c>
      <c r="F8" s="835">
        <f>'1.PL (VND) '!E9/$C$6</f>
        <v>0</v>
      </c>
      <c r="G8" s="835">
        <f>'1.PL (VND) '!F9/$C$6</f>
        <v>0.31180042600000002</v>
      </c>
      <c r="H8" s="835">
        <f>'1.PL (VND) '!G9/$C$6</f>
        <v>0</v>
      </c>
      <c r="I8" s="840"/>
      <c r="J8" s="835">
        <f>'1.PL (VND) '!I9/$C$6</f>
        <v>0</v>
      </c>
      <c r="K8" s="835">
        <f>'1.PL (VND) '!J9/$C$6</f>
        <v>0</v>
      </c>
      <c r="L8" s="835">
        <f>'1.PL (VND) '!K9/$C$6</f>
        <v>0</v>
      </c>
      <c r="M8" s="835">
        <f>'1.PL (VND) '!L9/$C$6</f>
        <v>0</v>
      </c>
      <c r="N8" s="840"/>
      <c r="O8" s="835">
        <f>'1.PL (VND) '!N9/$C$6</f>
        <v>0</v>
      </c>
      <c r="P8" s="835">
        <f>'1.PL (VND) '!O9/$C$6</f>
        <v>0</v>
      </c>
      <c r="Q8" s="835">
        <f>'1.PL (VND) '!P9/$C$6</f>
        <v>0</v>
      </c>
      <c r="R8" s="835">
        <f>'1.PL (VND) '!Q9/$C$6</f>
        <v>0</v>
      </c>
      <c r="S8" s="840"/>
      <c r="T8" s="835">
        <f>'1.PL (VND) '!S9/$C$6</f>
        <v>0</v>
      </c>
      <c r="U8" s="835">
        <f>'1.PL (VND) '!T9/$C$6</f>
        <v>0</v>
      </c>
      <c r="V8" s="835">
        <f>'1.PL (VND) '!U9/$C$6</f>
        <v>0</v>
      </c>
      <c r="W8" s="835">
        <f>'1.PL (VND) '!V9/$C$6</f>
        <v>0</v>
      </c>
      <c r="X8" s="840"/>
      <c r="Y8" s="835">
        <f>'1.PL (VND) '!X9/$C$6</f>
        <v>0</v>
      </c>
      <c r="Z8" s="835">
        <f>'1.PL (VND) '!Y9/$C$6</f>
        <v>0</v>
      </c>
      <c r="AA8" s="835">
        <f>'1.PL (VND) '!Z9/$C$6</f>
        <v>0</v>
      </c>
      <c r="AB8" s="835">
        <f>'1.PL (VND) '!AA9/$C$6</f>
        <v>0</v>
      </c>
      <c r="AC8" s="840"/>
      <c r="AD8" s="835">
        <f>'1.PL (VND) '!AC9/$C$6</f>
        <v>0</v>
      </c>
      <c r="AE8" s="835">
        <f>'1.PL (VND) '!AD9/$C$6</f>
        <v>0</v>
      </c>
      <c r="AF8" s="835">
        <f>'1.PL (VND) '!AE9/$C$6</f>
        <v>0</v>
      </c>
      <c r="AG8" s="835">
        <f>'1.PL (VND) '!AF9/$C$6</f>
        <v>0</v>
      </c>
      <c r="AH8" s="841"/>
      <c r="AI8" s="835">
        <f t="shared" ref="AI8:AK26" si="16">SUMIF($E$5:$AG$5,AI$5,$E8:$AG8)</f>
        <v>0</v>
      </c>
      <c r="AJ8" s="835">
        <f t="shared" si="16"/>
        <v>0</v>
      </c>
      <c r="AK8" s="835">
        <f t="shared" si="16"/>
        <v>0.31180042600000002</v>
      </c>
      <c r="AL8" s="835">
        <f t="shared" ref="AL8:AL27" si="17">SUM(H8,M8,R8,W8)</f>
        <v>0</v>
      </c>
      <c r="AM8" s="842"/>
      <c r="AN8" s="835">
        <f>'1.PL (VND) '!AH9/$C$6</f>
        <v>0</v>
      </c>
      <c r="AO8" s="835">
        <f>'1.PL (VND) '!AI9/$C$6</f>
        <v>0</v>
      </c>
      <c r="AP8" s="835">
        <f>'1.PL (VND) '!AJ9/$C$6</f>
        <v>0</v>
      </c>
      <c r="AQ8" s="835">
        <f>'1.PL (VND) '!AK9/$C$6</f>
        <v>0</v>
      </c>
      <c r="AR8" s="840"/>
      <c r="AS8" s="835">
        <f>'1.PL (VND) '!AM9/$C$6</f>
        <v>0</v>
      </c>
      <c r="AT8" s="835">
        <f>'1.PL (VND) '!AN9/$C$6</f>
        <v>0</v>
      </c>
      <c r="AU8" s="835">
        <f>'1.PL (VND) '!AO9/$C$6</f>
        <v>0</v>
      </c>
      <c r="AV8" s="835">
        <f>'1.PL (VND) '!AP9/$C$6</f>
        <v>0</v>
      </c>
      <c r="AW8" s="840"/>
      <c r="AX8" s="835">
        <f>'1.PL (VND) '!AR9/$C$6</f>
        <v>0</v>
      </c>
      <c r="AY8" s="835">
        <f>'1.PL (VND) '!AS9/$C$6</f>
        <v>0</v>
      </c>
      <c r="AZ8" s="835">
        <f>'1.PL (VND) '!AT9/$C$6</f>
        <v>0</v>
      </c>
      <c r="BA8" s="835">
        <f>'1.PL (VND) '!AU9/$C$6</f>
        <v>0</v>
      </c>
      <c r="BB8" s="840"/>
      <c r="BC8" s="835">
        <f>'1.PL (VND) '!AW9/$C$6</f>
        <v>0</v>
      </c>
      <c r="BD8" s="835">
        <f>'1.PL (VND) '!AX9/$C$6</f>
        <v>0</v>
      </c>
      <c r="BE8" s="835">
        <f>'1.PL (VND) '!AY9/$C$6</f>
        <v>0</v>
      </c>
      <c r="BF8" s="835">
        <f>'1.PL (VND) '!AZ9/$C$6</f>
        <v>0</v>
      </c>
      <c r="BG8" s="840"/>
      <c r="BH8" s="835">
        <f>'1.PL (VND) '!BB9/$C$6</f>
        <v>0</v>
      </c>
      <c r="BI8" s="835">
        <f>'1.PL (VND) '!BC9/$C$6</f>
        <v>0</v>
      </c>
      <c r="BJ8" s="835">
        <f>'1.PL (VND) '!BD9/$C$6</f>
        <v>0</v>
      </c>
      <c r="BK8" s="835">
        <f>'1.PL (VND) '!BE9/$C$6</f>
        <v>0</v>
      </c>
      <c r="BL8" s="840"/>
      <c r="BM8" s="835">
        <f>'1.PL (VND) '!BG9/$C$6</f>
        <v>0</v>
      </c>
      <c r="BN8" s="835">
        <f>'1.PL (VND) '!BH9/$C$6</f>
        <v>0</v>
      </c>
      <c r="BO8" s="835">
        <f>'1.PL (VND) '!BI9/$C$6</f>
        <v>0</v>
      </c>
      <c r="BP8" s="835">
        <f>'1.PL (VND) '!BJ9/$C$6</f>
        <v>0</v>
      </c>
      <c r="BQ8" s="841"/>
      <c r="BR8" s="835">
        <f t="shared" si="8"/>
        <v>0</v>
      </c>
      <c r="BS8" s="835">
        <f t="shared" si="8"/>
        <v>0</v>
      </c>
      <c r="BT8" s="835">
        <f t="shared" si="8"/>
        <v>0.31180042600000002</v>
      </c>
      <c r="BU8" s="835">
        <f t="shared" si="8"/>
        <v>0</v>
      </c>
      <c r="BV8" s="840"/>
      <c r="BW8" s="835">
        <f t="shared" si="9"/>
        <v>0</v>
      </c>
      <c r="BX8" s="835">
        <f t="shared" si="9"/>
        <v>0</v>
      </c>
      <c r="BY8" s="835">
        <f t="shared" si="9"/>
        <v>0</v>
      </c>
      <c r="BZ8" s="835">
        <f t="shared" si="9"/>
        <v>0</v>
      </c>
      <c r="CA8" s="840"/>
      <c r="CB8" s="835">
        <f t="shared" si="10"/>
        <v>0</v>
      </c>
      <c r="CC8" s="835">
        <f t="shared" si="10"/>
        <v>0</v>
      </c>
      <c r="CD8" s="835">
        <f t="shared" si="10"/>
        <v>0</v>
      </c>
      <c r="CE8" s="835">
        <f t="shared" si="10"/>
        <v>0</v>
      </c>
      <c r="CF8" s="840"/>
      <c r="CG8" s="835">
        <f t="shared" si="11"/>
        <v>0</v>
      </c>
      <c r="CH8" s="835">
        <f t="shared" si="11"/>
        <v>0</v>
      </c>
      <c r="CI8" s="835">
        <f t="shared" si="11"/>
        <v>0</v>
      </c>
      <c r="CJ8" s="835">
        <f t="shared" si="11"/>
        <v>0</v>
      </c>
      <c r="CK8" s="840"/>
      <c r="CL8" s="835">
        <f t="shared" si="12"/>
        <v>0</v>
      </c>
      <c r="CM8" s="835">
        <f t="shared" si="12"/>
        <v>0</v>
      </c>
      <c r="CN8" s="835">
        <f t="shared" si="12"/>
        <v>0</v>
      </c>
      <c r="CO8" s="835">
        <f t="shared" si="12"/>
        <v>0</v>
      </c>
      <c r="CP8" s="840"/>
      <c r="CQ8" s="835">
        <f t="shared" si="13"/>
        <v>0</v>
      </c>
      <c r="CR8" s="835">
        <f t="shared" si="13"/>
        <v>0</v>
      </c>
      <c r="CS8" s="835">
        <f t="shared" si="13"/>
        <v>0</v>
      </c>
      <c r="CT8" s="835">
        <f t="shared" si="13"/>
        <v>0</v>
      </c>
      <c r="CU8" s="842"/>
      <c r="CV8" s="835">
        <f t="shared" si="14"/>
        <v>0</v>
      </c>
      <c r="CW8" s="835">
        <f t="shared" si="14"/>
        <v>0</v>
      </c>
      <c r="CX8" s="835">
        <f t="shared" si="14"/>
        <v>0.31180042600000002</v>
      </c>
      <c r="CY8" s="835">
        <f t="shared" si="14"/>
        <v>0</v>
      </c>
      <c r="CZ8" s="842"/>
      <c r="DA8" s="835">
        <f>'1.PL (VND) '!CU9/$C$6</f>
        <v>0</v>
      </c>
      <c r="DB8" s="835">
        <f>'1.PL (VND) '!CV9/$C$6</f>
        <v>0</v>
      </c>
      <c r="DC8" s="835">
        <f>'1.PL (VND) '!CW9/$C$6</f>
        <v>0</v>
      </c>
      <c r="DD8" s="835">
        <f>'1.PL (VND) '!CX9/$C$6</f>
        <v>0</v>
      </c>
      <c r="DE8" s="842"/>
      <c r="DF8" s="835">
        <f t="shared" ref="DF8:DI27" si="18">CV8+DA8</f>
        <v>0</v>
      </c>
      <c r="DG8" s="835">
        <f t="shared" si="15"/>
        <v>0</v>
      </c>
      <c r="DH8" s="835">
        <f t="shared" si="15"/>
        <v>0.31180042600000002</v>
      </c>
      <c r="DI8" s="835">
        <f t="shared" si="15"/>
        <v>0</v>
      </c>
      <c r="DJ8" s="440"/>
    </row>
    <row r="9" spans="3:114" s="857" customFormat="1" ht="15.75" x14ac:dyDescent="0.25">
      <c r="C9" s="792" t="s">
        <v>625</v>
      </c>
      <c r="D9" s="791" t="s">
        <v>276</v>
      </c>
      <c r="E9" s="849">
        <f>'1.PL (VND) '!D10/$C$6</f>
        <v>272.81550909800001</v>
      </c>
      <c r="F9" s="849">
        <f>'1.PL (VND) '!E10/$C$6</f>
        <v>361.22590755700003</v>
      </c>
      <c r="G9" s="849">
        <f>'1.PL (VND) '!F10/$C$6</f>
        <v>423.99140580099998</v>
      </c>
      <c r="H9" s="849">
        <f>'1.PL (VND) '!G10/$C$6</f>
        <v>441.34407631400001</v>
      </c>
      <c r="I9" s="853"/>
      <c r="J9" s="849">
        <f>'1.PL (VND) '!I10/$C$6</f>
        <v>0</v>
      </c>
      <c r="K9" s="849">
        <f>'1.PL (VND) '!J10/$C$6</f>
        <v>41.462536712999999</v>
      </c>
      <c r="L9" s="849">
        <f>'1.PL (VND) '!K10/$C$6</f>
        <v>69.811635749000004</v>
      </c>
      <c r="M9" s="849">
        <f>'1.PL (VND) '!L10/$C$6</f>
        <v>74.678752638000006</v>
      </c>
      <c r="N9" s="853"/>
      <c r="O9" s="849">
        <f>'1.PL (VND) '!N10/$C$6</f>
        <v>59.548559255000001</v>
      </c>
      <c r="P9" s="849">
        <f>'1.PL (VND) '!O10/$C$6</f>
        <v>54.917326996</v>
      </c>
      <c r="Q9" s="849">
        <f>'1.PL (VND) '!P10/$C$6</f>
        <v>64.008838726999997</v>
      </c>
      <c r="R9" s="849">
        <f>'1.PL (VND) '!Q10/$C$6</f>
        <v>58.809727981000002</v>
      </c>
      <c r="S9" s="853"/>
      <c r="T9" s="849">
        <f>'1.PL (VND) '!S10/$C$6</f>
        <v>20.700982926999998</v>
      </c>
      <c r="U9" s="849">
        <f>'1.PL (VND) '!T10/$C$6</f>
        <v>43.997295526999999</v>
      </c>
      <c r="V9" s="849">
        <f>'1.PL (VND) '!U10/$C$6</f>
        <v>45.487103105999999</v>
      </c>
      <c r="W9" s="849">
        <f>'1.PL (VND) '!V10/$C$6</f>
        <v>43.10030458</v>
      </c>
      <c r="X9" s="853"/>
      <c r="Y9" s="849">
        <f>'1.PL (VND) '!X10/$C$6</f>
        <v>0</v>
      </c>
      <c r="Z9" s="849">
        <f>'1.PL (VND) '!Y10/$C$6</f>
        <v>0</v>
      </c>
      <c r="AA9" s="849">
        <f>'1.PL (VND) '!Z10/$C$6</f>
        <v>0</v>
      </c>
      <c r="AB9" s="849">
        <f>'1.PL (VND) '!AA10/$C$6</f>
        <v>0</v>
      </c>
      <c r="AC9" s="853"/>
      <c r="AD9" s="849">
        <f>'1.PL (VND) '!AC10/$C$6</f>
        <v>0</v>
      </c>
      <c r="AE9" s="849">
        <f>'1.PL (VND) '!AD10/$C$6</f>
        <v>0</v>
      </c>
      <c r="AF9" s="849">
        <f>'1.PL (VND) '!AE10/$C$6</f>
        <v>0</v>
      </c>
      <c r="AG9" s="849">
        <f>'1.PL (VND) '!AF10/$C$6</f>
        <v>0</v>
      </c>
      <c r="AH9" s="854"/>
      <c r="AI9" s="855">
        <f t="shared" si="16"/>
        <v>353.06505127999998</v>
      </c>
      <c r="AJ9" s="855">
        <f t="shared" si="16"/>
        <v>501.60306679300004</v>
      </c>
      <c r="AK9" s="855">
        <f t="shared" si="16"/>
        <v>603.29898338299995</v>
      </c>
      <c r="AL9" s="849">
        <f t="shared" si="17"/>
        <v>617.93286151300003</v>
      </c>
      <c r="AM9" s="852"/>
      <c r="AN9" s="849">
        <f>'1.PL (VND) '!AH10/$C$6</f>
        <v>0</v>
      </c>
      <c r="AO9" s="849">
        <f>'1.PL (VND) '!AI10/$C$6</f>
        <v>0</v>
      </c>
      <c r="AP9" s="849">
        <f>'1.PL (VND) '!AJ10/$C$6</f>
        <v>0</v>
      </c>
      <c r="AQ9" s="849">
        <f>'1.PL (VND) '!AK10/$C$6</f>
        <v>0</v>
      </c>
      <c r="AR9" s="853"/>
      <c r="AS9" s="849">
        <f>'1.PL (VND) '!AM10/$C$6</f>
        <v>0</v>
      </c>
      <c r="AT9" s="849">
        <f>'1.PL (VND) '!AN10/$C$6</f>
        <v>0</v>
      </c>
      <c r="AU9" s="849">
        <f>'1.PL (VND) '!AO10/$C$6</f>
        <v>0</v>
      </c>
      <c r="AV9" s="849">
        <f>'1.PL (VND) '!AP10/$C$6</f>
        <v>0</v>
      </c>
      <c r="AW9" s="853"/>
      <c r="AX9" s="849">
        <f>'1.PL (VND) '!AR10/$C$6</f>
        <v>0</v>
      </c>
      <c r="AY9" s="849">
        <f>'1.PL (VND) '!AS10/$C$6</f>
        <v>0</v>
      </c>
      <c r="AZ9" s="849">
        <f>'1.PL (VND) '!AT10/$C$6</f>
        <v>0</v>
      </c>
      <c r="BA9" s="849">
        <f>'1.PL (VND) '!AU10/$C$6</f>
        <v>0</v>
      </c>
      <c r="BB9" s="853"/>
      <c r="BC9" s="855">
        <f>'1.PL (VND) '!AW10/$C$6</f>
        <v>0</v>
      </c>
      <c r="BD9" s="855">
        <f>'1.PL (VND) '!AX10/$C$6</f>
        <v>0</v>
      </c>
      <c r="BE9" s="855">
        <f>'1.PL (VND) '!AY10/$C$6</f>
        <v>0</v>
      </c>
      <c r="BF9" s="855">
        <f>'1.PL (VND) '!AZ10/$C$6</f>
        <v>0</v>
      </c>
      <c r="BG9" s="853"/>
      <c r="BH9" s="855">
        <f>'1.PL (VND) '!BB10/$C$6</f>
        <v>0</v>
      </c>
      <c r="BI9" s="855">
        <f>'1.PL (VND) '!BC10/$C$6</f>
        <v>0</v>
      </c>
      <c r="BJ9" s="855">
        <f>'1.PL (VND) '!BD10/$C$6</f>
        <v>0</v>
      </c>
      <c r="BK9" s="855">
        <f>'1.PL (VND) '!BE10/$C$6</f>
        <v>0</v>
      </c>
      <c r="BL9" s="853"/>
      <c r="BM9" s="855">
        <f>'1.PL (VND) '!BG10/$C$6</f>
        <v>0</v>
      </c>
      <c r="BN9" s="855">
        <f>'1.PL (VND) '!BH10/$C$6</f>
        <v>0</v>
      </c>
      <c r="BO9" s="855">
        <f>'1.PL (VND) '!BI10/$C$6</f>
        <v>0</v>
      </c>
      <c r="BP9" s="855">
        <f>'1.PL (VND) '!BJ10/$C$6</f>
        <v>0</v>
      </c>
      <c r="BQ9" s="854"/>
      <c r="BR9" s="855">
        <f t="shared" si="8"/>
        <v>272.81550909800001</v>
      </c>
      <c r="BS9" s="855">
        <f t="shared" si="8"/>
        <v>361.22590755700003</v>
      </c>
      <c r="BT9" s="855">
        <f t="shared" si="8"/>
        <v>423.99140580099998</v>
      </c>
      <c r="BU9" s="855">
        <f t="shared" si="8"/>
        <v>441.34407631400001</v>
      </c>
      <c r="BV9" s="853"/>
      <c r="BW9" s="855">
        <f t="shared" si="9"/>
        <v>0</v>
      </c>
      <c r="BX9" s="855">
        <f t="shared" si="9"/>
        <v>41.462536712999999</v>
      </c>
      <c r="BY9" s="855">
        <f t="shared" si="9"/>
        <v>69.811635749000004</v>
      </c>
      <c r="BZ9" s="855">
        <f t="shared" si="9"/>
        <v>74.678752638000006</v>
      </c>
      <c r="CA9" s="853"/>
      <c r="CB9" s="855">
        <f t="shared" si="10"/>
        <v>59.548559255000001</v>
      </c>
      <c r="CC9" s="855">
        <f t="shared" si="10"/>
        <v>54.917326996</v>
      </c>
      <c r="CD9" s="855">
        <f t="shared" si="10"/>
        <v>64.008838726999997</v>
      </c>
      <c r="CE9" s="855">
        <f t="shared" si="10"/>
        <v>58.809727981000002</v>
      </c>
      <c r="CF9" s="853"/>
      <c r="CG9" s="855">
        <f t="shared" si="11"/>
        <v>20.700982926999998</v>
      </c>
      <c r="CH9" s="855">
        <f t="shared" si="11"/>
        <v>43.997295526999999</v>
      </c>
      <c r="CI9" s="855">
        <f t="shared" si="11"/>
        <v>45.487103105999999</v>
      </c>
      <c r="CJ9" s="855">
        <f t="shared" si="11"/>
        <v>43.10030458</v>
      </c>
      <c r="CK9" s="853"/>
      <c r="CL9" s="855">
        <f t="shared" si="12"/>
        <v>0</v>
      </c>
      <c r="CM9" s="855">
        <f t="shared" si="12"/>
        <v>0</v>
      </c>
      <c r="CN9" s="855">
        <f t="shared" si="12"/>
        <v>0</v>
      </c>
      <c r="CO9" s="855">
        <f t="shared" si="12"/>
        <v>0</v>
      </c>
      <c r="CP9" s="853"/>
      <c r="CQ9" s="855">
        <f t="shared" si="13"/>
        <v>0</v>
      </c>
      <c r="CR9" s="855">
        <f t="shared" si="13"/>
        <v>0</v>
      </c>
      <c r="CS9" s="855">
        <f t="shared" si="13"/>
        <v>0</v>
      </c>
      <c r="CT9" s="855">
        <f t="shared" si="13"/>
        <v>0</v>
      </c>
      <c r="CU9" s="856"/>
      <c r="CV9" s="855">
        <f t="shared" si="14"/>
        <v>353.06505127999998</v>
      </c>
      <c r="CW9" s="855">
        <f t="shared" si="14"/>
        <v>501.60306679300004</v>
      </c>
      <c r="CX9" s="855">
        <f t="shared" si="14"/>
        <v>603.29898338299995</v>
      </c>
      <c r="CY9" s="855">
        <f t="shared" si="14"/>
        <v>617.93286151300003</v>
      </c>
      <c r="CZ9" s="856"/>
      <c r="DA9" s="849">
        <f>'1.PL (VND) '!CU10/$C$6</f>
        <v>0</v>
      </c>
      <c r="DB9" s="849">
        <f>'1.PL (VND) '!CV10/$C$6</f>
        <v>0</v>
      </c>
      <c r="DC9" s="849">
        <f>'1.PL (VND) '!CW10/$C$6</f>
        <v>-97.491273669999998</v>
      </c>
      <c r="DD9" s="849">
        <f>'1.PL (VND) '!CX10/$C$6</f>
        <v>-85.934511540000003</v>
      </c>
      <c r="DE9" s="856"/>
      <c r="DF9" s="855">
        <f t="shared" si="18"/>
        <v>353.06505127999998</v>
      </c>
      <c r="DG9" s="855">
        <f t="shared" si="15"/>
        <v>501.60306679300004</v>
      </c>
      <c r="DH9" s="855">
        <f t="shared" si="15"/>
        <v>505.80770971299995</v>
      </c>
      <c r="DI9" s="855">
        <f t="shared" si="15"/>
        <v>531.99834997300002</v>
      </c>
      <c r="DJ9" s="444"/>
    </row>
    <row r="10" spans="3:114" s="441" customFormat="1" ht="15.75" x14ac:dyDescent="0.25">
      <c r="C10" s="442" t="s">
        <v>575</v>
      </c>
      <c r="D10" s="442" t="s">
        <v>277</v>
      </c>
      <c r="E10" s="835">
        <f>'1.PL (VND) '!D11/$C$6</f>
        <v>258.558885567</v>
      </c>
      <c r="F10" s="835">
        <f>'1.PL (VND) '!E11/$C$6</f>
        <v>344.46240270300001</v>
      </c>
      <c r="G10" s="835">
        <f>'1.PL (VND) '!F11/$C$6</f>
        <v>407.46407256499998</v>
      </c>
      <c r="H10" s="835">
        <f>'1.PL (VND) '!G11/$C$6</f>
        <v>407.961793699</v>
      </c>
      <c r="I10" s="840"/>
      <c r="J10" s="835">
        <f>'1.PL (VND) '!I11/$C$6</f>
        <v>0</v>
      </c>
      <c r="K10" s="835">
        <f>'1.PL (VND) '!J11/$C$6</f>
        <v>39.077128119999998</v>
      </c>
      <c r="L10" s="835">
        <f>'1.PL (VND) '!K11/$C$6</f>
        <v>70.442604235999994</v>
      </c>
      <c r="M10" s="835">
        <f>'1.PL (VND) '!L11/$C$6</f>
        <v>41.666803162999997</v>
      </c>
      <c r="N10" s="840"/>
      <c r="O10" s="835">
        <f>'1.PL (VND) '!N11/$C$6</f>
        <v>53.813171869000001</v>
      </c>
      <c r="P10" s="835">
        <f>'1.PL (VND) '!O11/$C$6</f>
        <v>47.543364529999998</v>
      </c>
      <c r="Q10" s="835">
        <f>'1.PL (VND) '!P11/$C$6</f>
        <v>60.151917597000001</v>
      </c>
      <c r="R10" s="835">
        <f>'1.PL (VND) '!Q11/$C$6</f>
        <v>58.359783403999998</v>
      </c>
      <c r="S10" s="840"/>
      <c r="T10" s="835">
        <f>'1.PL (VND) '!S11/$C$6</f>
        <v>20.334102810000001</v>
      </c>
      <c r="U10" s="835">
        <f>'1.PL (VND) '!T11/$C$6</f>
        <v>41.893581101000002</v>
      </c>
      <c r="V10" s="835">
        <f>'1.PL (VND) '!U11/$C$6</f>
        <v>44.696628066000002</v>
      </c>
      <c r="W10" s="835">
        <f>'1.PL (VND) '!V11/$C$6</f>
        <v>42.396032419000001</v>
      </c>
      <c r="X10" s="840"/>
      <c r="Y10" s="835">
        <f>'1.PL (VND) '!X11/$C$6</f>
        <v>0</v>
      </c>
      <c r="Z10" s="835">
        <f>'1.PL (VND) '!Y11/$C$6</f>
        <v>0</v>
      </c>
      <c r="AA10" s="835">
        <f>'1.PL (VND) '!Z11/$C$6</f>
        <v>0</v>
      </c>
      <c r="AB10" s="835">
        <f>'1.PL (VND) '!AA11/$C$6</f>
        <v>0</v>
      </c>
      <c r="AC10" s="840"/>
      <c r="AD10" s="835">
        <f>'1.PL (VND) '!AC11/$C$6</f>
        <v>0</v>
      </c>
      <c r="AE10" s="835">
        <f>'1.PL (VND) '!AD11/$C$6</f>
        <v>0</v>
      </c>
      <c r="AF10" s="835">
        <f>'1.PL (VND) '!AE11/$C$6</f>
        <v>0</v>
      </c>
      <c r="AG10" s="835">
        <f>'1.PL (VND) '!AF11/$C$6</f>
        <v>0</v>
      </c>
      <c r="AH10" s="841"/>
      <c r="AI10" s="835">
        <f t="shared" si="16"/>
        <v>332.70616024599997</v>
      </c>
      <c r="AJ10" s="835">
        <f t="shared" si="16"/>
        <v>472.97647645400002</v>
      </c>
      <c r="AK10" s="835">
        <f t="shared" si="16"/>
        <v>582.75522246399998</v>
      </c>
      <c r="AL10" s="835">
        <f t="shared" si="17"/>
        <v>550.38441268500003</v>
      </c>
      <c r="AM10" s="842"/>
      <c r="AN10" s="835">
        <f>'1.PL (VND) '!AH11/$C$6</f>
        <v>0</v>
      </c>
      <c r="AO10" s="835">
        <f>'1.PL (VND) '!AI11/$C$6</f>
        <v>0</v>
      </c>
      <c r="AP10" s="835">
        <f>'1.PL (VND) '!AJ11/$C$6</f>
        <v>5.2492967029999997</v>
      </c>
      <c r="AQ10" s="835">
        <f>'1.PL (VND) '!AK11/$C$6</f>
        <v>1.0736038880000001</v>
      </c>
      <c r="AR10" s="840"/>
      <c r="AS10" s="835">
        <f>'1.PL (VND) '!AM11/$C$6</f>
        <v>0</v>
      </c>
      <c r="AT10" s="835">
        <f>'1.PL (VND) '!AN11/$C$6</f>
        <v>0</v>
      </c>
      <c r="AU10" s="835">
        <f>'1.PL (VND) '!AO11/$C$6</f>
        <v>0</v>
      </c>
      <c r="AV10" s="835">
        <f>'1.PL (VND) '!AP11/$C$6</f>
        <v>0</v>
      </c>
      <c r="AW10" s="840"/>
      <c r="AX10" s="835">
        <f>'1.PL (VND) '!AR11/$C$6</f>
        <v>0</v>
      </c>
      <c r="AY10" s="835">
        <f>'1.PL (VND) '!AS11/$C$6</f>
        <v>0</v>
      </c>
      <c r="AZ10" s="835">
        <f>'1.PL (VND) '!AT11/$C$6</f>
        <v>0</v>
      </c>
      <c r="BA10" s="835">
        <f>'1.PL (VND) '!AU11/$C$6</f>
        <v>0</v>
      </c>
      <c r="BB10" s="840"/>
      <c r="BC10" s="835">
        <f>'1.PL (VND) '!AW11/$C$6</f>
        <v>0</v>
      </c>
      <c r="BD10" s="835">
        <f>'1.PL (VND) '!AX11/$C$6</f>
        <v>0</v>
      </c>
      <c r="BE10" s="835">
        <f>'1.PL (VND) '!AY11/$C$6</f>
        <v>0</v>
      </c>
      <c r="BF10" s="835">
        <f>'1.PL (VND) '!AZ11/$C$6</f>
        <v>0</v>
      </c>
      <c r="BG10" s="840"/>
      <c r="BH10" s="835">
        <f>'1.PL (VND) '!BB11/$C$6</f>
        <v>0</v>
      </c>
      <c r="BI10" s="835">
        <f>'1.PL (VND) '!BC11/$C$6</f>
        <v>0</v>
      </c>
      <c r="BJ10" s="835">
        <f>'1.PL (VND) '!BD11/$C$6</f>
        <v>0</v>
      </c>
      <c r="BK10" s="835">
        <f>'1.PL (VND) '!BE11/$C$6</f>
        <v>0</v>
      </c>
      <c r="BL10" s="840"/>
      <c r="BM10" s="835">
        <f>'1.PL (VND) '!BG11/$C$6</f>
        <v>0</v>
      </c>
      <c r="BN10" s="835">
        <f>'1.PL (VND) '!BH11/$C$6</f>
        <v>0</v>
      </c>
      <c r="BO10" s="835">
        <f>'1.PL (VND) '!BI11/$C$6</f>
        <v>0</v>
      </c>
      <c r="BP10" s="835">
        <f>'1.PL (VND) '!BJ11/$C$6</f>
        <v>0</v>
      </c>
      <c r="BQ10" s="841"/>
      <c r="BR10" s="835">
        <f t="shared" si="8"/>
        <v>258.558885567</v>
      </c>
      <c r="BS10" s="835">
        <f t="shared" si="8"/>
        <v>344.46240270300001</v>
      </c>
      <c r="BT10" s="835">
        <f t="shared" si="8"/>
        <v>412.71336926800001</v>
      </c>
      <c r="BU10" s="835">
        <f t="shared" si="8"/>
        <v>409.03539758699998</v>
      </c>
      <c r="BV10" s="840"/>
      <c r="BW10" s="835">
        <f t="shared" si="9"/>
        <v>0</v>
      </c>
      <c r="BX10" s="835">
        <f t="shared" si="9"/>
        <v>39.077128119999998</v>
      </c>
      <c r="BY10" s="835">
        <f t="shared" si="9"/>
        <v>70.442604235999994</v>
      </c>
      <c r="BZ10" s="835">
        <f t="shared" si="9"/>
        <v>41.666803162999997</v>
      </c>
      <c r="CA10" s="840"/>
      <c r="CB10" s="835">
        <f t="shared" si="10"/>
        <v>53.813171869000001</v>
      </c>
      <c r="CC10" s="835">
        <f t="shared" si="10"/>
        <v>47.543364529999998</v>
      </c>
      <c r="CD10" s="835">
        <f t="shared" si="10"/>
        <v>60.151917597000001</v>
      </c>
      <c r="CE10" s="835">
        <f t="shared" si="10"/>
        <v>58.359783403999998</v>
      </c>
      <c r="CF10" s="840"/>
      <c r="CG10" s="835">
        <f t="shared" si="11"/>
        <v>20.334102810000001</v>
      </c>
      <c r="CH10" s="835">
        <f t="shared" si="11"/>
        <v>41.893581101000002</v>
      </c>
      <c r="CI10" s="835">
        <f t="shared" si="11"/>
        <v>44.696628066000002</v>
      </c>
      <c r="CJ10" s="835">
        <f t="shared" si="11"/>
        <v>42.396032419000001</v>
      </c>
      <c r="CK10" s="840"/>
      <c r="CL10" s="835">
        <f t="shared" si="12"/>
        <v>0</v>
      </c>
      <c r="CM10" s="835">
        <f t="shared" si="12"/>
        <v>0</v>
      </c>
      <c r="CN10" s="835">
        <f t="shared" si="12"/>
        <v>0</v>
      </c>
      <c r="CO10" s="835">
        <f t="shared" si="12"/>
        <v>0</v>
      </c>
      <c r="CP10" s="840"/>
      <c r="CQ10" s="835">
        <f t="shared" si="13"/>
        <v>0</v>
      </c>
      <c r="CR10" s="835">
        <f t="shared" si="13"/>
        <v>0</v>
      </c>
      <c r="CS10" s="835">
        <f t="shared" si="13"/>
        <v>0</v>
      </c>
      <c r="CT10" s="835">
        <f t="shared" si="13"/>
        <v>0</v>
      </c>
      <c r="CU10" s="842"/>
      <c r="CV10" s="835">
        <f t="shared" si="14"/>
        <v>332.70616024599997</v>
      </c>
      <c r="CW10" s="835">
        <f t="shared" si="14"/>
        <v>472.97647645400002</v>
      </c>
      <c r="CX10" s="835">
        <f t="shared" si="14"/>
        <v>588.00451916700001</v>
      </c>
      <c r="CY10" s="835">
        <f t="shared" si="14"/>
        <v>551.45801657300001</v>
      </c>
      <c r="CZ10" s="842"/>
      <c r="DA10" s="835">
        <f>'1.PL (VND) '!CU11/$C$6</f>
        <v>0</v>
      </c>
      <c r="DB10" s="835">
        <f>'1.PL (VND) '!CV11/$C$6</f>
        <v>0</v>
      </c>
      <c r="DC10" s="835">
        <f>'1.PL (VND) '!CW11/$C$6</f>
        <v>-97.491273669999998</v>
      </c>
      <c r="DD10" s="835">
        <f>'1.PL (VND) '!CX11/$C$6</f>
        <v>-85.934511540000003</v>
      </c>
      <c r="DE10" s="842"/>
      <c r="DF10" s="835">
        <f t="shared" si="18"/>
        <v>332.70616024599997</v>
      </c>
      <c r="DG10" s="835">
        <f t="shared" si="15"/>
        <v>472.97647645400002</v>
      </c>
      <c r="DH10" s="835">
        <f t="shared" si="15"/>
        <v>490.51324549700001</v>
      </c>
      <c r="DI10" s="835">
        <f t="shared" si="15"/>
        <v>465.52350503299999</v>
      </c>
      <c r="DJ10" s="440"/>
    </row>
    <row r="11" spans="3:114" s="857" customFormat="1" ht="15.75" x14ac:dyDescent="0.25">
      <c r="C11" s="792" t="s">
        <v>626</v>
      </c>
      <c r="D11" s="791" t="s">
        <v>278</v>
      </c>
      <c r="E11" s="849">
        <f>'1.PL (VND) '!D12/$C$6</f>
        <v>14.256623531000001</v>
      </c>
      <c r="F11" s="849">
        <f>'1.PL (VND) '!E12/$C$6</f>
        <v>16.763504854000001</v>
      </c>
      <c r="G11" s="849">
        <f>'1.PL (VND) '!F12/$C$6</f>
        <v>16.527333236</v>
      </c>
      <c r="H11" s="849">
        <f>'1.PL (VND) '!G12/$C$6</f>
        <v>33.382282615000001</v>
      </c>
      <c r="I11" s="853"/>
      <c r="J11" s="849">
        <f>'1.PL (VND) '!I12/$C$6</f>
        <v>0</v>
      </c>
      <c r="K11" s="849">
        <f>'1.PL (VND) '!J12/$C$6</f>
        <v>2.3854085930000002</v>
      </c>
      <c r="L11" s="849">
        <f>'1.PL (VND) '!K12/$C$6</f>
        <v>-0.63096848699999997</v>
      </c>
      <c r="M11" s="849">
        <f>'1.PL (VND) '!L12/$C$6</f>
        <v>33.011949475000002</v>
      </c>
      <c r="N11" s="853"/>
      <c r="O11" s="849">
        <f>'1.PL (VND) '!N12/$C$6</f>
        <v>5.7353873860000002</v>
      </c>
      <c r="P11" s="849">
        <f>'1.PL (VND) '!O12/$C$6</f>
        <v>7.373962466</v>
      </c>
      <c r="Q11" s="849">
        <f>'1.PL (VND) '!P12/$C$6</f>
        <v>3.8569211299999999</v>
      </c>
      <c r="R11" s="849">
        <f>'1.PL (VND) '!Q12/$C$6</f>
        <v>0.44994457700000001</v>
      </c>
      <c r="S11" s="853"/>
      <c r="T11" s="849">
        <f>'1.PL (VND) '!S12/$C$6</f>
        <v>0.36688011700000001</v>
      </c>
      <c r="U11" s="849">
        <f>'1.PL (VND) '!T12/$C$6</f>
        <v>2.1037144259999998</v>
      </c>
      <c r="V11" s="849">
        <f>'1.PL (VND) '!U12/$C$6</f>
        <v>0.79047504000000002</v>
      </c>
      <c r="W11" s="849">
        <f>'1.PL (VND) '!V12/$C$6</f>
        <v>0.70427216100000001</v>
      </c>
      <c r="X11" s="853"/>
      <c r="Y11" s="849">
        <f>'1.PL (VND) '!X12/$C$6</f>
        <v>0</v>
      </c>
      <c r="Z11" s="849">
        <f>'1.PL (VND) '!Y12/$C$6</f>
        <v>0</v>
      </c>
      <c r="AA11" s="849">
        <f>'1.PL (VND) '!Z12/$C$6</f>
        <v>0</v>
      </c>
      <c r="AB11" s="849">
        <f>'1.PL (VND) '!AA12/$C$6</f>
        <v>0</v>
      </c>
      <c r="AC11" s="853"/>
      <c r="AD11" s="849">
        <f>'1.PL (VND) '!AC12/$C$6</f>
        <v>0</v>
      </c>
      <c r="AE11" s="849">
        <f>'1.PL (VND) '!AD12/$C$6</f>
        <v>0</v>
      </c>
      <c r="AF11" s="849">
        <f>'1.PL (VND) '!AE12/$C$6</f>
        <v>0</v>
      </c>
      <c r="AG11" s="849">
        <f>'1.PL (VND) '!AF12/$C$6</f>
        <v>0</v>
      </c>
      <c r="AH11" s="854"/>
      <c r="AI11" s="855">
        <f t="shared" si="16"/>
        <v>20.358891034000003</v>
      </c>
      <c r="AJ11" s="855">
        <f t="shared" si="16"/>
        <v>28.626590339</v>
      </c>
      <c r="AK11" s="855">
        <f t="shared" si="16"/>
        <v>20.543760919</v>
      </c>
      <c r="AL11" s="855">
        <f t="shared" si="17"/>
        <v>67.548448828000005</v>
      </c>
      <c r="AM11" s="852"/>
      <c r="AN11" s="849">
        <f>'1.PL (VND) '!AH12/$C$6</f>
        <v>0</v>
      </c>
      <c r="AO11" s="849">
        <f>'1.PL (VND) '!AI12/$C$6</f>
        <v>0</v>
      </c>
      <c r="AP11" s="849">
        <f>'1.PL (VND) '!AJ12/$C$6</f>
        <v>-5.2492967029999997</v>
      </c>
      <c r="AQ11" s="849">
        <f>'1.PL (VND) '!AK12/$C$6</f>
        <v>-1.0736038880000001</v>
      </c>
      <c r="AR11" s="853"/>
      <c r="AS11" s="849">
        <f>'1.PL (VND) '!AM12/$C$6</f>
        <v>0</v>
      </c>
      <c r="AT11" s="849">
        <f>'1.PL (VND) '!AN12/$C$6</f>
        <v>0</v>
      </c>
      <c r="AU11" s="849">
        <f>'1.PL (VND) '!AO12/$C$6</f>
        <v>0</v>
      </c>
      <c r="AV11" s="849">
        <f>'1.PL (VND) '!AP12/$C$6</f>
        <v>0</v>
      </c>
      <c r="AW11" s="853"/>
      <c r="AX11" s="849">
        <f>'1.PL (VND) '!AR12/$C$6</f>
        <v>0</v>
      </c>
      <c r="AY11" s="849">
        <f>'1.PL (VND) '!AS12/$C$6</f>
        <v>0</v>
      </c>
      <c r="AZ11" s="849">
        <f>'1.PL (VND) '!AT12/$C$6</f>
        <v>0</v>
      </c>
      <c r="BA11" s="849">
        <f>'1.PL (VND) '!AU12/$C$6</f>
        <v>0</v>
      </c>
      <c r="BB11" s="853"/>
      <c r="BC11" s="855">
        <f>'1.PL (VND) '!AW12/$C$6</f>
        <v>0</v>
      </c>
      <c r="BD11" s="855">
        <f>'1.PL (VND) '!AX12/$C$6</f>
        <v>0</v>
      </c>
      <c r="BE11" s="855">
        <f>'1.PL (VND) '!AY12/$C$6</f>
        <v>0</v>
      </c>
      <c r="BF11" s="855">
        <f>'1.PL (VND) '!AZ12/$C$6</f>
        <v>0</v>
      </c>
      <c r="BG11" s="853"/>
      <c r="BH11" s="855">
        <f>'1.PL (VND) '!BB12/$C$6</f>
        <v>0</v>
      </c>
      <c r="BI11" s="855">
        <f>'1.PL (VND) '!BC12/$C$6</f>
        <v>0</v>
      </c>
      <c r="BJ11" s="855">
        <f>'1.PL (VND) '!BD12/$C$6</f>
        <v>0</v>
      </c>
      <c r="BK11" s="855">
        <f>'1.PL (VND) '!BE12/$C$6</f>
        <v>0</v>
      </c>
      <c r="BL11" s="853"/>
      <c r="BM11" s="855">
        <f>'1.PL (VND) '!BG12/$C$6</f>
        <v>0</v>
      </c>
      <c r="BN11" s="855">
        <f>'1.PL (VND) '!BH12/$C$6</f>
        <v>0</v>
      </c>
      <c r="BO11" s="855">
        <f>'1.PL (VND) '!BI12/$C$6</f>
        <v>0</v>
      </c>
      <c r="BP11" s="855">
        <f>'1.PL (VND) '!BJ12/$C$6</f>
        <v>0</v>
      </c>
      <c r="BQ11" s="854"/>
      <c r="BR11" s="855">
        <f t="shared" si="8"/>
        <v>14.256623531000001</v>
      </c>
      <c r="BS11" s="855">
        <f t="shared" si="8"/>
        <v>16.763504854000001</v>
      </c>
      <c r="BT11" s="855">
        <f t="shared" si="8"/>
        <v>11.278036533000002</v>
      </c>
      <c r="BU11" s="855">
        <f t="shared" si="8"/>
        <v>32.308678727</v>
      </c>
      <c r="BV11" s="853"/>
      <c r="BW11" s="855">
        <f t="shared" si="9"/>
        <v>0</v>
      </c>
      <c r="BX11" s="855">
        <f t="shared" si="9"/>
        <v>2.3854085930000002</v>
      </c>
      <c r="BY11" s="855">
        <f t="shared" si="9"/>
        <v>-0.63096848699999997</v>
      </c>
      <c r="BZ11" s="855">
        <f t="shared" si="9"/>
        <v>33.011949475000002</v>
      </c>
      <c r="CA11" s="853"/>
      <c r="CB11" s="855">
        <f t="shared" si="10"/>
        <v>5.7353873860000002</v>
      </c>
      <c r="CC11" s="855">
        <f t="shared" si="10"/>
        <v>7.373962466</v>
      </c>
      <c r="CD11" s="855">
        <f t="shared" si="10"/>
        <v>3.8569211299999999</v>
      </c>
      <c r="CE11" s="855">
        <f t="shared" si="10"/>
        <v>0.44994457700000001</v>
      </c>
      <c r="CF11" s="853"/>
      <c r="CG11" s="855">
        <f t="shared" si="11"/>
        <v>0.36688011700000001</v>
      </c>
      <c r="CH11" s="855">
        <f t="shared" si="11"/>
        <v>2.1037144259999998</v>
      </c>
      <c r="CI11" s="855">
        <f t="shared" si="11"/>
        <v>0.79047504000000002</v>
      </c>
      <c r="CJ11" s="855">
        <f t="shared" si="11"/>
        <v>0.70427216100000001</v>
      </c>
      <c r="CK11" s="853"/>
      <c r="CL11" s="855">
        <f t="shared" si="12"/>
        <v>0</v>
      </c>
      <c r="CM11" s="855">
        <f t="shared" si="12"/>
        <v>0</v>
      </c>
      <c r="CN11" s="855">
        <f t="shared" si="12"/>
        <v>0</v>
      </c>
      <c r="CO11" s="855">
        <f t="shared" si="12"/>
        <v>0</v>
      </c>
      <c r="CP11" s="853"/>
      <c r="CQ11" s="855">
        <f t="shared" si="13"/>
        <v>0</v>
      </c>
      <c r="CR11" s="855">
        <f t="shared" si="13"/>
        <v>0</v>
      </c>
      <c r="CS11" s="855">
        <f t="shared" si="13"/>
        <v>0</v>
      </c>
      <c r="CT11" s="855">
        <f t="shared" si="13"/>
        <v>0</v>
      </c>
      <c r="CU11" s="856"/>
      <c r="CV11" s="855">
        <f t="shared" si="14"/>
        <v>20.358891034000003</v>
      </c>
      <c r="CW11" s="855">
        <f t="shared" si="14"/>
        <v>28.626590339</v>
      </c>
      <c r="CX11" s="855">
        <f t="shared" si="14"/>
        <v>15.294464216000001</v>
      </c>
      <c r="CY11" s="855">
        <f t="shared" si="14"/>
        <v>66.474844939999997</v>
      </c>
      <c r="CZ11" s="856"/>
      <c r="DA11" s="849">
        <f>'1.PL (VND) '!CU12/$C$6</f>
        <v>0</v>
      </c>
      <c r="DB11" s="849">
        <f>'1.PL (VND) '!CV12/$C$6</f>
        <v>0</v>
      </c>
      <c r="DC11" s="849">
        <f>'1.PL (VND) '!CW12/$C$6</f>
        <v>0</v>
      </c>
      <c r="DD11" s="849">
        <f>'1.PL (VND) '!CX12/$C$6</f>
        <v>0</v>
      </c>
      <c r="DE11" s="856"/>
      <c r="DF11" s="855">
        <f t="shared" si="18"/>
        <v>20.358891034000003</v>
      </c>
      <c r="DG11" s="855">
        <f t="shared" si="15"/>
        <v>28.626590339</v>
      </c>
      <c r="DH11" s="855">
        <f t="shared" si="15"/>
        <v>15.294464216000001</v>
      </c>
      <c r="DI11" s="855">
        <f t="shared" si="15"/>
        <v>66.474844939999997</v>
      </c>
      <c r="DJ11" s="444"/>
    </row>
    <row r="12" spans="3:114" s="441" customFormat="1" ht="15.75" x14ac:dyDescent="0.25">
      <c r="C12" s="438" t="s">
        <v>148</v>
      </c>
      <c r="D12" s="438" t="s">
        <v>279</v>
      </c>
      <c r="E12" s="835">
        <f>'1.PL (VND) '!D13/$C$6</f>
        <v>8.33883E-4</v>
      </c>
      <c r="F12" s="835">
        <f>'1.PL (VND) '!E13/$C$6</f>
        <v>5.2461999999999995E-4</v>
      </c>
      <c r="G12" s="835">
        <f>'1.PL (VND) '!F13/$C$6</f>
        <v>2.9885100000000002E-3</v>
      </c>
      <c r="H12" s="835">
        <f>'1.PL (VND) '!G13/$C$6</f>
        <v>3.8735872999999997E-2</v>
      </c>
      <c r="I12" s="840"/>
      <c r="J12" s="835">
        <f>'1.PL (VND) '!I13/$C$6</f>
        <v>1.1510000000000001E-6</v>
      </c>
      <c r="K12" s="835">
        <f>'1.PL (VND) '!J13/$C$6</f>
        <v>2.8280999999999999E-5</v>
      </c>
      <c r="L12" s="835">
        <f>'1.PL (VND) '!K13/$C$6</f>
        <v>1.35642E-4</v>
      </c>
      <c r="M12" s="835">
        <f>'1.PL (VND) '!L13/$C$6</f>
        <v>9.9182E-5</v>
      </c>
      <c r="N12" s="840"/>
      <c r="O12" s="835">
        <f>'1.PL (VND) '!N13/$C$6</f>
        <v>8.7952000000000001E-5</v>
      </c>
      <c r="P12" s="835">
        <f>'1.PL (VND) '!O13/$C$6</f>
        <v>4.2348999999999997E-5</v>
      </c>
      <c r="Q12" s="835">
        <f>'1.PL (VND) '!P13/$C$6</f>
        <v>1.5450300000000001E-4</v>
      </c>
      <c r="R12" s="835">
        <f>'1.PL (VND) '!Q13/$C$6</f>
        <v>1.0233100000000001E-4</v>
      </c>
      <c r="S12" s="840"/>
      <c r="T12" s="835">
        <f>'1.PL (VND) '!S13/$C$6</f>
        <v>5.0076E-5</v>
      </c>
      <c r="U12" s="835">
        <f>'1.PL (VND) '!T13/$C$6</f>
        <v>9.8187E-5</v>
      </c>
      <c r="V12" s="835">
        <f>'1.PL (VND) '!U13/$C$6</f>
        <v>6.4875999999999993E-5</v>
      </c>
      <c r="W12" s="835">
        <f>'1.PL (VND) '!V13/$C$6</f>
        <v>7.1366999999999996E-5</v>
      </c>
      <c r="X12" s="840"/>
      <c r="Y12" s="835">
        <f>'1.PL (VND) '!X13/$C$6</f>
        <v>0</v>
      </c>
      <c r="Z12" s="835">
        <f>'1.PL (VND) '!Y13/$C$6</f>
        <v>0</v>
      </c>
      <c r="AA12" s="835">
        <f>'1.PL (VND) '!Z13/$C$6</f>
        <v>0</v>
      </c>
      <c r="AB12" s="835">
        <f>'1.PL (VND) '!AA13/$C$6</f>
        <v>0</v>
      </c>
      <c r="AC12" s="840"/>
      <c r="AD12" s="835">
        <f>'1.PL (VND) '!AC13/$C$6</f>
        <v>0</v>
      </c>
      <c r="AE12" s="835">
        <f>'1.PL (VND) '!AD13/$C$6</f>
        <v>0</v>
      </c>
      <c r="AF12" s="835">
        <f>'1.PL (VND) '!AE13/$C$6</f>
        <v>0</v>
      </c>
      <c r="AG12" s="835">
        <f>'1.PL (VND) '!AF13/$C$6</f>
        <v>0</v>
      </c>
      <c r="AH12" s="841"/>
      <c r="AI12" s="835">
        <f t="shared" si="16"/>
        <v>9.7306200000000002E-4</v>
      </c>
      <c r="AJ12" s="835">
        <f t="shared" si="16"/>
        <v>6.9343699999999998E-4</v>
      </c>
      <c r="AK12" s="835">
        <f t="shared" si="16"/>
        <v>3.3435310000000003E-3</v>
      </c>
      <c r="AL12" s="835">
        <f t="shared" si="17"/>
        <v>3.9008753E-2</v>
      </c>
      <c r="AM12" s="842"/>
      <c r="AN12" s="835">
        <f>'1.PL (VND) '!AH13/$C$6</f>
        <v>0</v>
      </c>
      <c r="AO12" s="835">
        <f>'1.PL (VND) '!AI13/$C$6</f>
        <v>0</v>
      </c>
      <c r="AP12" s="835">
        <f>'1.PL (VND) '!AJ13/$C$6</f>
        <v>0</v>
      </c>
      <c r="AQ12" s="835">
        <f>'1.PL (VND) '!AK13/$C$6</f>
        <v>0</v>
      </c>
      <c r="AR12" s="840"/>
      <c r="AS12" s="835">
        <f>'1.PL (VND) '!AM13/$C$6</f>
        <v>0</v>
      </c>
      <c r="AT12" s="835">
        <f>'1.PL (VND) '!AN13/$C$6</f>
        <v>0</v>
      </c>
      <c r="AU12" s="835">
        <f>'1.PL (VND) '!AO13/$C$6</f>
        <v>0</v>
      </c>
      <c r="AV12" s="835">
        <f>'1.PL (VND) '!AP13/$C$6</f>
        <v>0</v>
      </c>
      <c r="AW12" s="840"/>
      <c r="AX12" s="835">
        <f>'1.PL (VND) '!AR13/$C$6</f>
        <v>0</v>
      </c>
      <c r="AY12" s="835">
        <f>'1.PL (VND) '!AS13/$C$6</f>
        <v>0</v>
      </c>
      <c r="AZ12" s="835">
        <f>'1.PL (VND) '!AT13/$C$6</f>
        <v>0</v>
      </c>
      <c r="BA12" s="835">
        <f>'1.PL (VND) '!AU13/$C$6</f>
        <v>0</v>
      </c>
      <c r="BB12" s="840"/>
      <c r="BC12" s="835">
        <f>'1.PL (VND) '!AW13/$C$6</f>
        <v>0</v>
      </c>
      <c r="BD12" s="835">
        <f>'1.PL (VND) '!AX13/$C$6</f>
        <v>0</v>
      </c>
      <c r="BE12" s="835">
        <f>'1.PL (VND) '!AY13/$C$6</f>
        <v>0</v>
      </c>
      <c r="BF12" s="835">
        <f>'1.PL (VND) '!AZ13/$C$6</f>
        <v>0</v>
      </c>
      <c r="BG12" s="840"/>
      <c r="BH12" s="835">
        <f>'1.PL (VND) '!BB13/$C$6</f>
        <v>0</v>
      </c>
      <c r="BI12" s="835">
        <f>'1.PL (VND) '!BC13/$C$6</f>
        <v>0</v>
      </c>
      <c r="BJ12" s="835">
        <f>'1.PL (VND) '!BD13/$C$6</f>
        <v>0</v>
      </c>
      <c r="BK12" s="835">
        <f>'1.PL (VND) '!BE13/$C$6</f>
        <v>0</v>
      </c>
      <c r="BL12" s="840"/>
      <c r="BM12" s="835">
        <f>'1.PL (VND) '!BG13/$C$6</f>
        <v>0</v>
      </c>
      <c r="BN12" s="835">
        <f>'1.PL (VND) '!BH13/$C$6</f>
        <v>0</v>
      </c>
      <c r="BO12" s="835">
        <f>'1.PL (VND) '!BI13/$C$6</f>
        <v>0</v>
      </c>
      <c r="BP12" s="835">
        <f>'1.PL (VND) '!BJ13/$C$6</f>
        <v>0</v>
      </c>
      <c r="BQ12" s="841"/>
      <c r="BR12" s="835">
        <f t="shared" si="8"/>
        <v>8.33883E-4</v>
      </c>
      <c r="BS12" s="835">
        <f t="shared" si="8"/>
        <v>5.2461999999999995E-4</v>
      </c>
      <c r="BT12" s="835">
        <f t="shared" si="8"/>
        <v>2.9885100000000002E-3</v>
      </c>
      <c r="BU12" s="835">
        <f t="shared" si="8"/>
        <v>3.8735872999999997E-2</v>
      </c>
      <c r="BV12" s="840"/>
      <c r="BW12" s="835">
        <f t="shared" si="9"/>
        <v>1.1510000000000001E-6</v>
      </c>
      <c r="BX12" s="835">
        <f t="shared" si="9"/>
        <v>2.8280999999999999E-5</v>
      </c>
      <c r="BY12" s="835">
        <f t="shared" si="9"/>
        <v>1.35642E-4</v>
      </c>
      <c r="BZ12" s="835">
        <f t="shared" si="9"/>
        <v>9.9182E-5</v>
      </c>
      <c r="CA12" s="840"/>
      <c r="CB12" s="835">
        <f t="shared" si="10"/>
        <v>8.7952000000000001E-5</v>
      </c>
      <c r="CC12" s="835">
        <f t="shared" si="10"/>
        <v>4.2348999999999997E-5</v>
      </c>
      <c r="CD12" s="835">
        <f t="shared" si="10"/>
        <v>1.5450300000000001E-4</v>
      </c>
      <c r="CE12" s="835">
        <f t="shared" si="10"/>
        <v>1.0233100000000001E-4</v>
      </c>
      <c r="CF12" s="840"/>
      <c r="CG12" s="835">
        <f t="shared" si="11"/>
        <v>5.0076E-5</v>
      </c>
      <c r="CH12" s="835">
        <f t="shared" si="11"/>
        <v>9.8187E-5</v>
      </c>
      <c r="CI12" s="835">
        <f t="shared" si="11"/>
        <v>6.4875999999999993E-5</v>
      </c>
      <c r="CJ12" s="835">
        <f t="shared" si="11"/>
        <v>7.1366999999999996E-5</v>
      </c>
      <c r="CK12" s="840"/>
      <c r="CL12" s="835">
        <f t="shared" si="12"/>
        <v>0</v>
      </c>
      <c r="CM12" s="835">
        <f t="shared" si="12"/>
        <v>0</v>
      </c>
      <c r="CN12" s="835">
        <f t="shared" si="12"/>
        <v>0</v>
      </c>
      <c r="CO12" s="835">
        <f t="shared" si="12"/>
        <v>0</v>
      </c>
      <c r="CP12" s="840"/>
      <c r="CQ12" s="835">
        <f t="shared" si="13"/>
        <v>0</v>
      </c>
      <c r="CR12" s="835">
        <f t="shared" si="13"/>
        <v>0</v>
      </c>
      <c r="CS12" s="835">
        <f t="shared" si="13"/>
        <v>0</v>
      </c>
      <c r="CT12" s="835">
        <f t="shared" si="13"/>
        <v>0</v>
      </c>
      <c r="CU12" s="842"/>
      <c r="CV12" s="835">
        <f t="shared" si="14"/>
        <v>9.7306200000000002E-4</v>
      </c>
      <c r="CW12" s="835">
        <f t="shared" si="14"/>
        <v>6.9343699999999998E-4</v>
      </c>
      <c r="CX12" s="835">
        <f t="shared" si="14"/>
        <v>3.3435310000000003E-3</v>
      </c>
      <c r="CY12" s="835">
        <f t="shared" si="14"/>
        <v>3.9008753E-2</v>
      </c>
      <c r="CZ12" s="842"/>
      <c r="DA12" s="835">
        <f>'1.PL (VND) '!CU13/$C$6</f>
        <v>0</v>
      </c>
      <c r="DB12" s="835">
        <f>'1.PL (VND) '!CV13/$C$6</f>
        <v>0</v>
      </c>
      <c r="DC12" s="835">
        <f>'1.PL (VND) '!CW13/$C$6</f>
        <v>0</v>
      </c>
      <c r="DD12" s="835">
        <f>'1.PL (VND) '!CX13/$C$6</f>
        <v>0</v>
      </c>
      <c r="DE12" s="842"/>
      <c r="DF12" s="835">
        <f t="shared" si="18"/>
        <v>9.7306200000000002E-4</v>
      </c>
      <c r="DG12" s="835">
        <f t="shared" si="15"/>
        <v>6.9343699999999998E-4</v>
      </c>
      <c r="DH12" s="835">
        <f t="shared" si="15"/>
        <v>3.3435310000000003E-3</v>
      </c>
      <c r="DI12" s="835">
        <f t="shared" si="15"/>
        <v>3.9008753E-2</v>
      </c>
      <c r="DJ12" s="440"/>
    </row>
    <row r="13" spans="3:114" s="441" customFormat="1" ht="15.75" x14ac:dyDescent="0.25">
      <c r="C13" s="797" t="s">
        <v>149</v>
      </c>
      <c r="D13" s="438" t="s">
        <v>280</v>
      </c>
      <c r="E13" s="849">
        <f>'1.PL (VND) '!D14/$C$6</f>
        <v>8.1715981430000006</v>
      </c>
      <c r="F13" s="849">
        <f>'1.PL (VND) '!E14/$C$6</f>
        <v>4.4960613330000001</v>
      </c>
      <c r="G13" s="849">
        <f>'1.PL (VND) '!F14/$C$6</f>
        <v>8.3329001989999991</v>
      </c>
      <c r="H13" s="849">
        <f>'1.PL (VND) '!G14/$C$6</f>
        <v>12.548808701</v>
      </c>
      <c r="I13" s="840"/>
      <c r="J13" s="849">
        <f>'1.PL (VND) '!I14/$C$6</f>
        <v>0</v>
      </c>
      <c r="K13" s="849">
        <f>'1.PL (VND) '!J14/$C$6</f>
        <v>0.72522763800000001</v>
      </c>
      <c r="L13" s="849">
        <f>'1.PL (VND) '!K14/$C$6</f>
        <v>2.5864691720000001</v>
      </c>
      <c r="M13" s="849">
        <f>'1.PL (VND) '!L14/$C$6</f>
        <v>1.8905604439999999</v>
      </c>
      <c r="N13" s="840"/>
      <c r="O13" s="849">
        <f>'1.PL (VND) '!N14/$C$6</f>
        <v>1.336298435</v>
      </c>
      <c r="P13" s="849">
        <f>'1.PL (VND) '!O14/$C$6</f>
        <v>1.675370773</v>
      </c>
      <c r="Q13" s="849">
        <f>'1.PL (VND) '!P14/$C$6</f>
        <v>2.1780705789999999</v>
      </c>
      <c r="R13" s="849">
        <f>'1.PL (VND) '!Q14/$C$6</f>
        <v>2.2148900359999999</v>
      </c>
      <c r="S13" s="840"/>
      <c r="T13" s="849">
        <f>'1.PL (VND) '!S14/$C$6</f>
        <v>0.29666299000000002</v>
      </c>
      <c r="U13" s="849">
        <f>'1.PL (VND) '!T14/$C$6</f>
        <v>0.83243800700000004</v>
      </c>
      <c r="V13" s="849">
        <f>'1.PL (VND) '!U14/$C$6</f>
        <v>1.0927591459999999</v>
      </c>
      <c r="W13" s="849">
        <f>'1.PL (VND) '!V14/$C$6</f>
        <v>1.540066497</v>
      </c>
      <c r="X13" s="840"/>
      <c r="Y13" s="849">
        <f>'1.PL (VND) '!X14/$C$6</f>
        <v>0</v>
      </c>
      <c r="Z13" s="849">
        <f>'1.PL (VND) '!Y14/$C$6</f>
        <v>0</v>
      </c>
      <c r="AA13" s="849">
        <f>'1.PL (VND) '!Z14/$C$6</f>
        <v>0</v>
      </c>
      <c r="AB13" s="849">
        <f>'1.PL (VND) '!AA14/$C$6</f>
        <v>0</v>
      </c>
      <c r="AC13" s="840"/>
      <c r="AD13" s="849">
        <f>'1.PL (VND) '!AC14/$C$6</f>
        <v>0</v>
      </c>
      <c r="AE13" s="849">
        <f>'1.PL (VND) '!AD14/$C$6</f>
        <v>0</v>
      </c>
      <c r="AF13" s="849">
        <f>'1.PL (VND) '!AE14/$C$6</f>
        <v>0</v>
      </c>
      <c r="AG13" s="849">
        <f>'1.PL (VND) '!AF14/$C$6</f>
        <v>0</v>
      </c>
      <c r="AH13" s="841"/>
      <c r="AI13" s="835">
        <f>SUMIF($E$5:$AG$5,AI$5,$E13:$AG13)</f>
        <v>9.8045595680000002</v>
      </c>
      <c r="AJ13" s="835">
        <f>SUMIF($E$5:$AG$5,AJ$5,$E13:$AG13)</f>
        <v>7.7290977510000003</v>
      </c>
      <c r="AK13" s="835">
        <f t="shared" si="16"/>
        <v>14.190199095999999</v>
      </c>
      <c r="AL13" s="835">
        <f t="shared" si="17"/>
        <v>18.194325678000002</v>
      </c>
      <c r="AM13" s="852"/>
      <c r="AN13" s="849">
        <f>'1.PL (VND) '!AH14/$C$6</f>
        <v>0</v>
      </c>
      <c r="AO13" s="849">
        <f>'1.PL (VND) '!AI14/$C$6</f>
        <v>0</v>
      </c>
      <c r="AP13" s="849">
        <f>'1.PL (VND) '!AJ14/$C$6</f>
        <v>5.5004209230000001</v>
      </c>
      <c r="AQ13" s="849">
        <f>'1.PL (VND) '!AK14/$C$6</f>
        <v>0</v>
      </c>
      <c r="AR13" s="840"/>
      <c r="AS13" s="849">
        <f>'1.PL (VND) '!AM14/$C$6</f>
        <v>0</v>
      </c>
      <c r="AT13" s="849">
        <f>'1.PL (VND) '!AN14/$C$6</f>
        <v>0</v>
      </c>
      <c r="AU13" s="849">
        <f>'1.PL (VND) '!AO14/$C$6</f>
        <v>0.74154054899999999</v>
      </c>
      <c r="AV13" s="849">
        <f>'1.PL (VND) '!AP14/$C$6</f>
        <v>0</v>
      </c>
      <c r="AW13" s="840"/>
      <c r="AX13" s="849">
        <f>'1.PL (VND) '!AR14/$C$6</f>
        <v>0</v>
      </c>
      <c r="AY13" s="849">
        <f>'1.PL (VND) '!AS14/$C$6</f>
        <v>0</v>
      </c>
      <c r="AZ13" s="849">
        <f>'1.PL (VND) '!AT14/$C$6</f>
        <v>0</v>
      </c>
      <c r="BA13" s="849">
        <f>'1.PL (VND) '!AU14/$C$6</f>
        <v>0</v>
      </c>
      <c r="BB13" s="840"/>
      <c r="BC13" s="835">
        <f>'1.PL (VND) '!AW14/$C$6</f>
        <v>0</v>
      </c>
      <c r="BD13" s="835">
        <f>'1.PL (VND) '!AX14/$C$6</f>
        <v>0</v>
      </c>
      <c r="BE13" s="835">
        <f>'1.PL (VND) '!AY14/$C$6</f>
        <v>1.2623553489999999</v>
      </c>
      <c r="BF13" s="835">
        <f>'1.PL (VND) '!AZ14/$C$6</f>
        <v>0</v>
      </c>
      <c r="BG13" s="840"/>
      <c r="BH13" s="835">
        <f>'1.PL (VND) '!BB14/$C$6</f>
        <v>0</v>
      </c>
      <c r="BI13" s="835">
        <f>'1.PL (VND) '!BC14/$C$6</f>
        <v>0</v>
      </c>
      <c r="BJ13" s="835">
        <f>'1.PL (VND) '!BD14/$C$6</f>
        <v>0</v>
      </c>
      <c r="BK13" s="835">
        <f>'1.PL (VND) '!BE14/$C$6</f>
        <v>0</v>
      </c>
      <c r="BL13" s="840"/>
      <c r="BM13" s="835">
        <f>'1.PL (VND) '!BG14/$C$6</f>
        <v>0</v>
      </c>
      <c r="BN13" s="835">
        <f>'1.PL (VND) '!BH14/$C$6</f>
        <v>0</v>
      </c>
      <c r="BO13" s="835">
        <f>'1.PL (VND) '!BI14/$C$6</f>
        <v>0</v>
      </c>
      <c r="BP13" s="835">
        <f>'1.PL (VND) '!BJ14/$C$6</f>
        <v>0</v>
      </c>
      <c r="BQ13" s="841"/>
      <c r="BR13" s="835">
        <f t="shared" si="8"/>
        <v>8.1715981430000006</v>
      </c>
      <c r="BS13" s="835">
        <f t="shared" si="8"/>
        <v>4.4960613330000001</v>
      </c>
      <c r="BT13" s="835">
        <f t="shared" si="8"/>
        <v>13.833321121999999</v>
      </c>
      <c r="BU13" s="835">
        <f t="shared" si="8"/>
        <v>12.548808701</v>
      </c>
      <c r="BV13" s="840"/>
      <c r="BW13" s="835">
        <f t="shared" si="9"/>
        <v>0</v>
      </c>
      <c r="BX13" s="835">
        <f t="shared" si="9"/>
        <v>0.72522763800000001</v>
      </c>
      <c r="BY13" s="835">
        <f t="shared" si="9"/>
        <v>3.3280097209999999</v>
      </c>
      <c r="BZ13" s="835">
        <f t="shared" si="9"/>
        <v>1.8905604439999999</v>
      </c>
      <c r="CA13" s="840"/>
      <c r="CB13" s="835">
        <f t="shared" si="10"/>
        <v>1.336298435</v>
      </c>
      <c r="CC13" s="835">
        <f t="shared" si="10"/>
        <v>1.675370773</v>
      </c>
      <c r="CD13" s="835">
        <f t="shared" si="10"/>
        <v>2.1780705789999999</v>
      </c>
      <c r="CE13" s="835">
        <f t="shared" si="10"/>
        <v>2.2148900359999999</v>
      </c>
      <c r="CF13" s="840"/>
      <c r="CG13" s="835">
        <f t="shared" si="11"/>
        <v>0.29666299000000002</v>
      </c>
      <c r="CH13" s="835">
        <f t="shared" si="11"/>
        <v>0.83243800700000004</v>
      </c>
      <c r="CI13" s="835">
        <f t="shared" si="11"/>
        <v>2.3551144949999996</v>
      </c>
      <c r="CJ13" s="835">
        <f t="shared" si="11"/>
        <v>1.540066497</v>
      </c>
      <c r="CK13" s="840"/>
      <c r="CL13" s="835">
        <f t="shared" si="12"/>
        <v>0</v>
      </c>
      <c r="CM13" s="835">
        <f t="shared" si="12"/>
        <v>0</v>
      </c>
      <c r="CN13" s="835">
        <f t="shared" si="12"/>
        <v>0</v>
      </c>
      <c r="CO13" s="835">
        <f t="shared" si="12"/>
        <v>0</v>
      </c>
      <c r="CP13" s="840"/>
      <c r="CQ13" s="835">
        <f t="shared" si="13"/>
        <v>0</v>
      </c>
      <c r="CR13" s="835">
        <f t="shared" si="13"/>
        <v>0</v>
      </c>
      <c r="CS13" s="835">
        <f t="shared" si="13"/>
        <v>0</v>
      </c>
      <c r="CT13" s="835">
        <f t="shared" si="13"/>
        <v>0</v>
      </c>
      <c r="CU13" s="842"/>
      <c r="CV13" s="835">
        <f t="shared" si="14"/>
        <v>9.8045595680000002</v>
      </c>
      <c r="CW13" s="835">
        <f t="shared" si="14"/>
        <v>7.7290977510000003</v>
      </c>
      <c r="CX13" s="835">
        <f>SUMIF($BR$5:$CT$5,CX$5,$BR13:$CT13)</f>
        <v>21.694515916999997</v>
      </c>
      <c r="CY13" s="835">
        <f t="shared" si="14"/>
        <v>18.194325678000002</v>
      </c>
      <c r="CZ13" s="842"/>
      <c r="DA13" s="849">
        <f>'1.PL (VND) '!CU14/$C$6</f>
        <v>0</v>
      </c>
      <c r="DB13" s="849">
        <f>'1.PL (VND) '!CV14/$C$6</f>
        <v>0</v>
      </c>
      <c r="DC13" s="849">
        <f>'1.PL (VND) '!CW14/$C$6</f>
        <v>0</v>
      </c>
      <c r="DD13" s="849">
        <f>'1.PL (VND) '!CX14/$C$6</f>
        <v>0</v>
      </c>
      <c r="DE13" s="842"/>
      <c r="DF13" s="835">
        <f t="shared" si="18"/>
        <v>9.8045595680000002</v>
      </c>
      <c r="DG13" s="835">
        <f t="shared" si="15"/>
        <v>7.7290977510000003</v>
      </c>
      <c r="DH13" s="835">
        <f t="shared" si="15"/>
        <v>21.694515916999997</v>
      </c>
      <c r="DI13" s="835">
        <f t="shared" si="15"/>
        <v>18.194325678000002</v>
      </c>
      <c r="DJ13" s="444"/>
    </row>
    <row r="14" spans="3:114" s="449" customFormat="1" ht="15.75" x14ac:dyDescent="0.25">
      <c r="C14" s="445" t="s">
        <v>627</v>
      </c>
      <c r="D14" s="445" t="s">
        <v>281</v>
      </c>
      <c r="E14" s="836">
        <f>'1.PL (VND) '!D15/$C$6</f>
        <v>8.1715981430000006</v>
      </c>
      <c r="F14" s="836">
        <f>'1.PL (VND) '!E15/$C$6</f>
        <v>4.4960613330000001</v>
      </c>
      <c r="G14" s="836">
        <f>'1.PL (VND) '!F15/$C$6</f>
        <v>8.3329001989999991</v>
      </c>
      <c r="H14" s="836">
        <f>'1.PL (VND) '!G15/$C$6</f>
        <v>12.548808701</v>
      </c>
      <c r="I14" s="845"/>
      <c r="J14" s="836">
        <f>'1.PL (VND) '!I15/$C$6</f>
        <v>0</v>
      </c>
      <c r="K14" s="836">
        <f>'1.PL (VND) '!J15/$C$6</f>
        <v>0.72522763800000001</v>
      </c>
      <c r="L14" s="836">
        <f>'1.PL (VND) '!K15/$C$6</f>
        <v>2.5864691720000001</v>
      </c>
      <c r="M14" s="836">
        <f>'1.PL (VND) '!L15/$C$6</f>
        <v>1.8905604439999999</v>
      </c>
      <c r="N14" s="845"/>
      <c r="O14" s="836">
        <f>'1.PL (VND) '!N15/$C$6</f>
        <v>1.336298435</v>
      </c>
      <c r="P14" s="836">
        <f>'1.PL (VND) '!O15/$C$6</f>
        <v>1.675370773</v>
      </c>
      <c r="Q14" s="836">
        <f>'1.PL (VND) '!P15/$C$6</f>
        <v>2.1780705789999999</v>
      </c>
      <c r="R14" s="836">
        <f>'1.PL (VND) '!Q15/$C$6</f>
        <v>2.2148900359999999</v>
      </c>
      <c r="S14" s="845"/>
      <c r="T14" s="836">
        <f>'1.PL (VND) '!S15/$C$6</f>
        <v>0.29666299000000002</v>
      </c>
      <c r="U14" s="836">
        <f>'1.PL (VND) '!T15/$C$6</f>
        <v>0.83243800700000004</v>
      </c>
      <c r="V14" s="836">
        <f>'1.PL (VND) '!U15/$C$6</f>
        <v>1.0927591459999999</v>
      </c>
      <c r="W14" s="836">
        <f>'1.PL (VND) '!V15/$C$6</f>
        <v>1.540066497</v>
      </c>
      <c r="X14" s="845"/>
      <c r="Y14" s="836">
        <f>'1.PL (VND) '!X15/$C$6</f>
        <v>0</v>
      </c>
      <c r="Z14" s="836">
        <f>'1.PL (VND) '!Y15/$C$6</f>
        <v>0</v>
      </c>
      <c r="AA14" s="836">
        <f>'1.PL (VND) '!Z15/$C$6</f>
        <v>0</v>
      </c>
      <c r="AB14" s="836">
        <f>'1.PL (VND) '!AA15/$C$6</f>
        <v>0</v>
      </c>
      <c r="AC14" s="845"/>
      <c r="AD14" s="836">
        <f>'1.PL (VND) '!AC15/$C$6</f>
        <v>0</v>
      </c>
      <c r="AE14" s="836">
        <f>'1.PL (VND) '!AD15/$C$6</f>
        <v>0</v>
      </c>
      <c r="AF14" s="836">
        <f>'1.PL (VND) '!AE15/$C$6</f>
        <v>0</v>
      </c>
      <c r="AG14" s="836">
        <f>'1.PL (VND) '!AF15/$C$6</f>
        <v>0</v>
      </c>
      <c r="AH14" s="846"/>
      <c r="AI14" s="836">
        <f t="shared" si="16"/>
        <v>9.8045595680000002</v>
      </c>
      <c r="AJ14" s="836">
        <f t="shared" si="16"/>
        <v>7.7290977510000003</v>
      </c>
      <c r="AK14" s="836">
        <f t="shared" si="16"/>
        <v>14.190199095999999</v>
      </c>
      <c r="AL14" s="836">
        <f t="shared" si="17"/>
        <v>18.194325678000002</v>
      </c>
      <c r="AM14" s="847"/>
      <c r="AN14" s="836">
        <f>'1.PL (VND) '!AH15/$C$6</f>
        <v>0</v>
      </c>
      <c r="AO14" s="836">
        <f>'1.PL (VND) '!AI15/$C$6</f>
        <v>0</v>
      </c>
      <c r="AP14" s="836">
        <f>'1.PL (VND) '!AJ15/$C$6</f>
        <v>0</v>
      </c>
      <c r="AQ14" s="836">
        <f>'1.PL (VND) '!AK15/$C$6</f>
        <v>0</v>
      </c>
      <c r="AR14" s="845"/>
      <c r="AS14" s="836">
        <f>'1.PL (VND) '!AM15/$C$6</f>
        <v>0</v>
      </c>
      <c r="AT14" s="836">
        <f>'1.PL (VND) '!AN15/$C$6</f>
        <v>0</v>
      </c>
      <c r="AU14" s="836">
        <f>'1.PL (VND) '!AO15/$C$6</f>
        <v>0</v>
      </c>
      <c r="AV14" s="836">
        <f>'1.PL (VND) '!AP15/$C$6</f>
        <v>0</v>
      </c>
      <c r="AW14" s="845"/>
      <c r="AX14" s="836">
        <f>'1.PL (VND) '!AR15/$C$6</f>
        <v>0</v>
      </c>
      <c r="AY14" s="836">
        <f>'1.PL (VND) '!AS15/$C$6</f>
        <v>0</v>
      </c>
      <c r="AZ14" s="836">
        <f>'1.PL (VND) '!AT15/$C$6</f>
        <v>0</v>
      </c>
      <c r="BA14" s="836">
        <f>'1.PL (VND) '!AU15/$C$6</f>
        <v>0</v>
      </c>
      <c r="BB14" s="845"/>
      <c r="BC14" s="836">
        <f>'1.PL (VND) '!AW15/$C$6</f>
        <v>0</v>
      </c>
      <c r="BD14" s="836">
        <f>'1.PL (VND) '!AX15/$C$6</f>
        <v>0</v>
      </c>
      <c r="BE14" s="836">
        <f>'1.PL (VND) '!AY15/$C$6</f>
        <v>0</v>
      </c>
      <c r="BF14" s="836">
        <f>'1.PL (VND) '!AZ15/$C$6</f>
        <v>0</v>
      </c>
      <c r="BG14" s="845"/>
      <c r="BH14" s="836">
        <f>'1.PL (VND) '!BB15/$C$6</f>
        <v>0</v>
      </c>
      <c r="BI14" s="836">
        <f>'1.PL (VND) '!BC15/$C$6</f>
        <v>0</v>
      </c>
      <c r="BJ14" s="836">
        <f>'1.PL (VND) '!BD15/$C$6</f>
        <v>0</v>
      </c>
      <c r="BK14" s="836">
        <f>'1.PL (VND) '!BE15/$C$6</f>
        <v>0</v>
      </c>
      <c r="BL14" s="845"/>
      <c r="BM14" s="836">
        <f>'1.PL (VND) '!BG15/$C$6</f>
        <v>0</v>
      </c>
      <c r="BN14" s="836">
        <f>'1.PL (VND) '!BH15/$C$6</f>
        <v>0</v>
      </c>
      <c r="BO14" s="836">
        <f>'1.PL (VND) '!BI15/$C$6</f>
        <v>0</v>
      </c>
      <c r="BP14" s="836">
        <f>'1.PL (VND) '!BJ15/$C$6</f>
        <v>0</v>
      </c>
      <c r="BQ14" s="846"/>
      <c r="BR14" s="836">
        <f t="shared" si="8"/>
        <v>8.1715981430000006</v>
      </c>
      <c r="BS14" s="836">
        <f t="shared" si="8"/>
        <v>4.4960613330000001</v>
      </c>
      <c r="BT14" s="836">
        <f t="shared" si="8"/>
        <v>8.3329001989999991</v>
      </c>
      <c r="BU14" s="836">
        <f t="shared" si="8"/>
        <v>12.548808701</v>
      </c>
      <c r="BV14" s="845"/>
      <c r="BW14" s="836">
        <f t="shared" si="9"/>
        <v>0</v>
      </c>
      <c r="BX14" s="836">
        <f t="shared" si="9"/>
        <v>0.72522763800000001</v>
      </c>
      <c r="BY14" s="836">
        <f t="shared" si="9"/>
        <v>2.5864691720000001</v>
      </c>
      <c r="BZ14" s="836">
        <f t="shared" si="9"/>
        <v>1.8905604439999999</v>
      </c>
      <c r="CA14" s="845"/>
      <c r="CB14" s="836">
        <f t="shared" si="10"/>
        <v>1.336298435</v>
      </c>
      <c r="CC14" s="836">
        <f t="shared" si="10"/>
        <v>1.675370773</v>
      </c>
      <c r="CD14" s="836">
        <f t="shared" si="10"/>
        <v>2.1780705789999999</v>
      </c>
      <c r="CE14" s="836">
        <f t="shared" si="10"/>
        <v>2.2148900359999999</v>
      </c>
      <c r="CF14" s="845"/>
      <c r="CG14" s="836">
        <f t="shared" si="11"/>
        <v>0.29666299000000002</v>
      </c>
      <c r="CH14" s="836">
        <f t="shared" si="11"/>
        <v>0.83243800700000004</v>
      </c>
      <c r="CI14" s="836">
        <f>V14+BE14</f>
        <v>1.0927591459999999</v>
      </c>
      <c r="CJ14" s="836">
        <f t="shared" si="11"/>
        <v>1.540066497</v>
      </c>
      <c r="CK14" s="845"/>
      <c r="CL14" s="836">
        <f t="shared" si="12"/>
        <v>0</v>
      </c>
      <c r="CM14" s="836">
        <f t="shared" si="12"/>
        <v>0</v>
      </c>
      <c r="CN14" s="836">
        <f t="shared" si="12"/>
        <v>0</v>
      </c>
      <c r="CO14" s="836">
        <f t="shared" si="12"/>
        <v>0</v>
      </c>
      <c r="CP14" s="845"/>
      <c r="CQ14" s="836">
        <f t="shared" si="13"/>
        <v>0</v>
      </c>
      <c r="CR14" s="836">
        <f t="shared" si="13"/>
        <v>0</v>
      </c>
      <c r="CS14" s="836">
        <f t="shared" si="13"/>
        <v>0</v>
      </c>
      <c r="CT14" s="836">
        <f t="shared" si="13"/>
        <v>0</v>
      </c>
      <c r="CU14" s="847"/>
      <c r="CV14" s="836">
        <f t="shared" si="14"/>
        <v>9.8045595680000002</v>
      </c>
      <c r="CW14" s="836">
        <f t="shared" si="14"/>
        <v>7.7290977510000003</v>
      </c>
      <c r="CX14" s="836">
        <f>SUMIF($BR$5:$CT$5,CX$5,$BR14:$CT14)</f>
        <v>14.190199095999999</v>
      </c>
      <c r="CY14" s="836">
        <f t="shared" si="14"/>
        <v>18.194325678000002</v>
      </c>
      <c r="CZ14" s="847"/>
      <c r="DA14" s="836">
        <f>'1.PL (VND) '!CU15/$C$6</f>
        <v>0</v>
      </c>
      <c r="DB14" s="836">
        <f>'1.PL (VND) '!CV15/$C$6</f>
        <v>0</v>
      </c>
      <c r="DC14" s="836">
        <f>'1.PL (VND) '!CW15/$C$6</f>
        <v>0</v>
      </c>
      <c r="DD14" s="836">
        <f>'1.PL (VND) '!CX15/$C$6</f>
        <v>0</v>
      </c>
      <c r="DE14" s="847"/>
      <c r="DF14" s="836">
        <f t="shared" si="18"/>
        <v>9.8045595680000002</v>
      </c>
      <c r="DG14" s="836">
        <f t="shared" si="15"/>
        <v>7.7290977510000003</v>
      </c>
      <c r="DH14" s="836">
        <f t="shared" si="15"/>
        <v>14.190199095999999</v>
      </c>
      <c r="DI14" s="836">
        <f t="shared" si="15"/>
        <v>18.194325678000002</v>
      </c>
      <c r="DJ14" s="975"/>
    </row>
    <row r="15" spans="3:114" s="441" customFormat="1" ht="15.75" x14ac:dyDescent="0.25">
      <c r="C15" s="791" t="s">
        <v>649</v>
      </c>
      <c r="D15" s="858">
        <v>24</v>
      </c>
      <c r="E15" s="849">
        <f>'1.PL (VND) '!D16/$C$6</f>
        <v>0</v>
      </c>
      <c r="F15" s="849">
        <f>'1.PL (VND) '!E16/$C$6</f>
        <v>0</v>
      </c>
      <c r="G15" s="849">
        <f>'1.PL (VND) '!F16/$C$6</f>
        <v>0</v>
      </c>
      <c r="H15" s="849">
        <f>'1.PL (VND) '!G16/$C$6</f>
        <v>0</v>
      </c>
      <c r="I15" s="859"/>
      <c r="J15" s="849">
        <f>'1.PL (VND) '!I16/$C$6</f>
        <v>0</v>
      </c>
      <c r="K15" s="849">
        <f>'1.PL (VND) '!J16/$C$6</f>
        <v>0</v>
      </c>
      <c r="L15" s="849">
        <f>'1.PL (VND) '!K16/$C$6</f>
        <v>0</v>
      </c>
      <c r="M15" s="849">
        <f>'1.PL (VND) '!L16/$C$6</f>
        <v>0</v>
      </c>
      <c r="N15" s="859"/>
      <c r="O15" s="849">
        <f>'1.PL (VND) '!N16/$C$6</f>
        <v>0</v>
      </c>
      <c r="P15" s="849">
        <f>'1.PL (VND) '!O16/$C$6</f>
        <v>0</v>
      </c>
      <c r="Q15" s="849">
        <f>'1.PL (VND) '!P16/$C$6</f>
        <v>0</v>
      </c>
      <c r="R15" s="849">
        <f>'1.PL (VND) '!Q16/$C$6</f>
        <v>0</v>
      </c>
      <c r="S15" s="859"/>
      <c r="T15" s="849">
        <f>'1.PL (VND) '!S16/$C$6</f>
        <v>0</v>
      </c>
      <c r="U15" s="849">
        <f>'1.PL (VND) '!T16/$C$6</f>
        <v>0</v>
      </c>
      <c r="V15" s="849">
        <f>'1.PL (VND) '!U16/$C$6</f>
        <v>0</v>
      </c>
      <c r="W15" s="849">
        <f>'1.PL (VND) '!V16/$C$6</f>
        <v>0</v>
      </c>
      <c r="X15" s="859"/>
      <c r="Y15" s="849">
        <f>'1.PL (VND) '!X16/$C$6</f>
        <v>0</v>
      </c>
      <c r="Z15" s="849">
        <f>'1.PL (VND) '!Y16/$C$6</f>
        <v>0</v>
      </c>
      <c r="AA15" s="849">
        <f>'1.PL (VND) '!Z16/$C$6</f>
        <v>0</v>
      </c>
      <c r="AB15" s="849">
        <f>'1.PL (VND) '!AA16/$C$6</f>
        <v>0</v>
      </c>
      <c r="AC15" s="859"/>
      <c r="AD15" s="849">
        <f>'1.PL (VND) '!AC16/$C$6</f>
        <v>0</v>
      </c>
      <c r="AE15" s="849">
        <f>'1.PL (VND) '!AD16/$C$6</f>
        <v>0</v>
      </c>
      <c r="AF15" s="849">
        <f>'1.PL (VND) '!AE16/$C$6</f>
        <v>0</v>
      </c>
      <c r="AG15" s="849">
        <f>'1.PL (VND) '!AF16/$C$6</f>
        <v>0</v>
      </c>
      <c r="AH15" s="860"/>
      <c r="AI15" s="861">
        <f t="shared" si="16"/>
        <v>0</v>
      </c>
      <c r="AJ15" s="861">
        <f t="shared" si="16"/>
        <v>0</v>
      </c>
      <c r="AK15" s="861">
        <f t="shared" si="16"/>
        <v>0</v>
      </c>
      <c r="AL15" s="861">
        <f t="shared" si="17"/>
        <v>0</v>
      </c>
      <c r="AM15" s="852"/>
      <c r="AN15" s="849">
        <f>'1.PL (VND) '!AH16/$C$6</f>
        <v>0</v>
      </c>
      <c r="AO15" s="849">
        <f>'1.PL (VND) '!AI16/$C$6</f>
        <v>0</v>
      </c>
      <c r="AP15" s="849">
        <f>'1.PL (VND) '!AJ16/$C$6</f>
        <v>0</v>
      </c>
      <c r="AQ15" s="849">
        <f>'1.PL (VND) '!AK16/$C$6</f>
        <v>0</v>
      </c>
      <c r="AR15" s="840"/>
      <c r="AS15" s="849">
        <f>'1.PL (VND) '!AM16/$C$6</f>
        <v>0</v>
      </c>
      <c r="AT15" s="849">
        <f>'1.PL (VND) '!AN16/$C$6</f>
        <v>0</v>
      </c>
      <c r="AU15" s="849">
        <f>'1.PL (VND) '!AO16/$C$6</f>
        <v>0</v>
      </c>
      <c r="AV15" s="849">
        <f>'1.PL (VND) '!AP16/$C$6</f>
        <v>0</v>
      </c>
      <c r="AW15" s="840"/>
      <c r="AX15" s="849">
        <f>'1.PL (VND) '!AR16/$C$6</f>
        <v>0</v>
      </c>
      <c r="AY15" s="849">
        <f>'1.PL (VND) '!AS16/$C$6</f>
        <v>0</v>
      </c>
      <c r="AZ15" s="849">
        <f>'1.PL (VND) '!AT16/$C$6</f>
        <v>0</v>
      </c>
      <c r="BA15" s="849">
        <f>'1.PL (VND) '!AU16/$C$6</f>
        <v>0</v>
      </c>
      <c r="BB15" s="840"/>
      <c r="BC15" s="835">
        <f>'1.PL (VND) '!AW16/$C$6</f>
        <v>0</v>
      </c>
      <c r="BD15" s="835">
        <f>'1.PL (VND) '!AX16/$C$6</f>
        <v>0</v>
      </c>
      <c r="BE15" s="835">
        <f>'1.PL (VND) '!AY16/$C$6</f>
        <v>0</v>
      </c>
      <c r="BF15" s="835">
        <f>'1.PL (VND) '!AZ16/$C$6</f>
        <v>0</v>
      </c>
      <c r="BG15" s="840"/>
      <c r="BH15" s="835">
        <f>'1.PL (VND) '!BB16/$C$6</f>
        <v>0</v>
      </c>
      <c r="BI15" s="835">
        <f>'1.PL (VND) '!BC16/$C$6</f>
        <v>0</v>
      </c>
      <c r="BJ15" s="835">
        <f>'1.PL (VND) '!BD16/$C$6</f>
        <v>0</v>
      </c>
      <c r="BK15" s="835">
        <f>'1.PL (VND) '!BE16/$C$6</f>
        <v>0</v>
      </c>
      <c r="BL15" s="840"/>
      <c r="BM15" s="835">
        <f>'1.PL (VND) '!BG16/$C$6</f>
        <v>0</v>
      </c>
      <c r="BN15" s="835">
        <f>'1.PL (VND) '!BH16/$C$6</f>
        <v>0</v>
      </c>
      <c r="BO15" s="835">
        <f>'1.PL (VND) '!BI16/$C$6</f>
        <v>0</v>
      </c>
      <c r="BP15" s="835">
        <f>'1.PL (VND) '!BJ16/$C$6</f>
        <v>0</v>
      </c>
      <c r="BQ15" s="841"/>
      <c r="BR15" s="835"/>
      <c r="BS15" s="835"/>
      <c r="BT15" s="835"/>
      <c r="BU15" s="835"/>
      <c r="BV15" s="840"/>
      <c r="BW15" s="835"/>
      <c r="BX15" s="835"/>
      <c r="BY15" s="835"/>
      <c r="BZ15" s="835"/>
      <c r="CA15" s="840"/>
      <c r="CB15" s="835"/>
      <c r="CC15" s="835"/>
      <c r="CD15" s="835"/>
      <c r="CE15" s="835"/>
      <c r="CF15" s="840"/>
      <c r="CG15" s="835"/>
      <c r="CH15" s="835"/>
      <c r="CI15" s="835"/>
      <c r="CJ15" s="835"/>
      <c r="CK15" s="840"/>
      <c r="CL15" s="835"/>
      <c r="CM15" s="835"/>
      <c r="CN15" s="835"/>
      <c r="CO15" s="835"/>
      <c r="CP15" s="840"/>
      <c r="CQ15" s="835"/>
      <c r="CR15" s="835"/>
      <c r="CS15" s="835"/>
      <c r="CT15" s="835"/>
      <c r="CU15" s="842"/>
      <c r="CV15" s="835"/>
      <c r="CW15" s="835"/>
      <c r="CX15" s="835"/>
      <c r="CY15" s="835"/>
      <c r="CZ15" s="842"/>
      <c r="DA15" s="849">
        <f>'1.PL (VND) '!CU16/$C$6</f>
        <v>0</v>
      </c>
      <c r="DB15" s="849">
        <f>'1.PL (VND) '!CV16/$C$6</f>
        <v>0</v>
      </c>
      <c r="DC15" s="849">
        <f>'1.PL (VND) '!CW16/$C$6</f>
        <v>0</v>
      </c>
      <c r="DD15" s="849">
        <f>'1.PL (VND) '!CX16/$C$6</f>
        <v>0</v>
      </c>
      <c r="DE15" s="842"/>
      <c r="DF15" s="835"/>
      <c r="DG15" s="835"/>
      <c r="DH15" s="835"/>
      <c r="DI15" s="835"/>
      <c r="DJ15" s="444"/>
    </row>
    <row r="16" spans="3:114" s="441" customFormat="1" ht="15.75" x14ac:dyDescent="0.25">
      <c r="C16" s="797" t="s">
        <v>201</v>
      </c>
      <c r="D16" s="438" t="s">
        <v>282</v>
      </c>
      <c r="E16" s="849">
        <f>'1.PL (VND) '!D17/$C$6</f>
        <v>0</v>
      </c>
      <c r="F16" s="849">
        <f>'1.PL (VND) '!E17/$C$6</f>
        <v>0</v>
      </c>
      <c r="G16" s="849">
        <f>'1.PL (VND) '!F17/$C$6</f>
        <v>0</v>
      </c>
      <c r="H16" s="849">
        <f>'1.PL (VND) '!G17/$C$6</f>
        <v>0</v>
      </c>
      <c r="I16" s="840"/>
      <c r="J16" s="849">
        <f>'1.PL (VND) '!I17/$C$6</f>
        <v>0</v>
      </c>
      <c r="K16" s="849">
        <f>'1.PL (VND) '!J17/$C$6</f>
        <v>0</v>
      </c>
      <c r="L16" s="849">
        <f>'1.PL (VND) '!K17/$C$6</f>
        <v>0</v>
      </c>
      <c r="M16" s="849">
        <f>'1.PL (VND) '!L17/$C$6</f>
        <v>0.24060000000000001</v>
      </c>
      <c r="N16" s="840"/>
      <c r="O16" s="849">
        <f>'1.PL (VND) '!N17/$C$6</f>
        <v>0</v>
      </c>
      <c r="P16" s="849">
        <f>'1.PL (VND) '!O17/$C$6</f>
        <v>0</v>
      </c>
      <c r="Q16" s="849">
        <f>'1.PL (VND) '!P17/$C$6</f>
        <v>0</v>
      </c>
      <c r="R16" s="849">
        <f>'1.PL (VND) '!Q17/$C$6</f>
        <v>0</v>
      </c>
      <c r="S16" s="840"/>
      <c r="T16" s="849">
        <f>'1.PL (VND) '!S17/$C$6</f>
        <v>0</v>
      </c>
      <c r="U16" s="849">
        <f>'1.PL (VND) '!T17/$C$6</f>
        <v>0</v>
      </c>
      <c r="V16" s="849">
        <f>'1.PL (VND) '!U17/$C$6</f>
        <v>0</v>
      </c>
      <c r="W16" s="849">
        <f>'1.PL (VND) '!V17/$C$6</f>
        <v>0</v>
      </c>
      <c r="X16" s="840"/>
      <c r="Y16" s="849">
        <f>'1.PL (VND) '!X17/$C$6</f>
        <v>0</v>
      </c>
      <c r="Z16" s="849">
        <f>'1.PL (VND) '!Y17/$C$6</f>
        <v>0</v>
      </c>
      <c r="AA16" s="849">
        <f>'1.PL (VND) '!Z17/$C$6</f>
        <v>0</v>
      </c>
      <c r="AB16" s="849">
        <f>'1.PL (VND) '!AA17/$C$6</f>
        <v>0</v>
      </c>
      <c r="AC16" s="840"/>
      <c r="AD16" s="849">
        <f>'1.PL (VND) '!AC17/$C$6</f>
        <v>0</v>
      </c>
      <c r="AE16" s="849">
        <f>'1.PL (VND) '!AD17/$C$6</f>
        <v>0</v>
      </c>
      <c r="AF16" s="849">
        <f>'1.PL (VND) '!AE17/$C$6</f>
        <v>0</v>
      </c>
      <c r="AG16" s="849">
        <f>'1.PL (VND) '!AF17/$C$6</f>
        <v>0</v>
      </c>
      <c r="AH16" s="841"/>
      <c r="AI16" s="835">
        <f t="shared" si="16"/>
        <v>0</v>
      </c>
      <c r="AJ16" s="835">
        <f t="shared" si="16"/>
        <v>0</v>
      </c>
      <c r="AK16" s="835">
        <f t="shared" si="16"/>
        <v>0</v>
      </c>
      <c r="AL16" s="835">
        <f t="shared" si="17"/>
        <v>0.24060000000000001</v>
      </c>
      <c r="AM16" s="852"/>
      <c r="AN16" s="849">
        <f>'1.PL (VND) '!AH17/$C$6</f>
        <v>0</v>
      </c>
      <c r="AO16" s="849">
        <f>'1.PL (VND) '!AI17/$C$6</f>
        <v>0</v>
      </c>
      <c r="AP16" s="849">
        <f>'1.PL (VND) '!AJ17/$C$6</f>
        <v>0</v>
      </c>
      <c r="AQ16" s="849">
        <f>'1.PL (VND) '!AK17/$C$6</f>
        <v>0</v>
      </c>
      <c r="AR16" s="840"/>
      <c r="AS16" s="849">
        <f>'1.PL (VND) '!AM17/$C$6</f>
        <v>0</v>
      </c>
      <c r="AT16" s="849">
        <f>'1.PL (VND) '!AN17/$C$6</f>
        <v>0</v>
      </c>
      <c r="AU16" s="849">
        <f>'1.PL (VND) '!AO17/$C$6</f>
        <v>0</v>
      </c>
      <c r="AV16" s="849">
        <f>'1.PL (VND) '!AP17/$C$6</f>
        <v>0</v>
      </c>
      <c r="AW16" s="840"/>
      <c r="AX16" s="849">
        <f>'1.PL (VND) '!AR17/$C$6</f>
        <v>0</v>
      </c>
      <c r="AY16" s="849">
        <f>'1.PL (VND) '!AS17/$C$6</f>
        <v>0</v>
      </c>
      <c r="AZ16" s="849">
        <f>'1.PL (VND) '!AT17/$C$6</f>
        <v>0</v>
      </c>
      <c r="BA16" s="849">
        <f>'1.PL (VND) '!AU17/$C$6</f>
        <v>0</v>
      </c>
      <c r="BB16" s="840"/>
      <c r="BC16" s="835">
        <f>'1.PL (VND) '!AW17/$C$6</f>
        <v>0</v>
      </c>
      <c r="BD16" s="835">
        <f>'1.PL (VND) '!AX17/$C$6</f>
        <v>0</v>
      </c>
      <c r="BE16" s="835">
        <f>'1.PL (VND) '!AY17/$C$6</f>
        <v>0</v>
      </c>
      <c r="BF16" s="835">
        <f>'1.PL (VND) '!AZ17/$C$6</f>
        <v>0</v>
      </c>
      <c r="BG16" s="840"/>
      <c r="BH16" s="835">
        <f>'1.PL (VND) '!BB17/$C$6</f>
        <v>0</v>
      </c>
      <c r="BI16" s="835">
        <f>'1.PL (VND) '!BC17/$C$6</f>
        <v>0</v>
      </c>
      <c r="BJ16" s="835">
        <f>'1.PL (VND) '!BD17/$C$6</f>
        <v>0</v>
      </c>
      <c r="BK16" s="835">
        <f>'1.PL (VND) '!BE17/$C$6</f>
        <v>0</v>
      </c>
      <c r="BL16" s="840"/>
      <c r="BM16" s="835">
        <f>'1.PL (VND) '!BG17/$C$6</f>
        <v>0</v>
      </c>
      <c r="BN16" s="835">
        <f>'1.PL (VND) '!BH17/$C$6</f>
        <v>0</v>
      </c>
      <c r="BO16" s="835">
        <f>'1.PL (VND) '!BI17/$C$6</f>
        <v>0</v>
      </c>
      <c r="BP16" s="835">
        <f>'1.PL (VND) '!BJ17/$C$6</f>
        <v>0</v>
      </c>
      <c r="BQ16" s="841"/>
      <c r="BR16" s="835">
        <f t="shared" ref="BR16:BR27" si="19">E16+AN16</f>
        <v>0</v>
      </c>
      <c r="BS16" s="835">
        <f t="shared" ref="BS16:BS27" si="20">F16+AO16</f>
        <v>0</v>
      </c>
      <c r="BT16" s="835">
        <f t="shared" ref="BT16:BT27" si="21">G16+AP16</f>
        <v>0</v>
      </c>
      <c r="BU16" s="835">
        <f t="shared" ref="BU16:BU27" si="22">H16+AQ16</f>
        <v>0</v>
      </c>
      <c r="BV16" s="840"/>
      <c r="BW16" s="835">
        <f t="shared" ref="BW16:BW27" si="23">J16+AS16</f>
        <v>0</v>
      </c>
      <c r="BX16" s="835">
        <f t="shared" ref="BX16:BX27" si="24">K16+AT16</f>
        <v>0</v>
      </c>
      <c r="BY16" s="835">
        <f t="shared" ref="BY16:BY27" si="25">L16+AU16</f>
        <v>0</v>
      </c>
      <c r="BZ16" s="835">
        <f t="shared" ref="BZ16:BZ27" si="26">M16+AV16</f>
        <v>0.24060000000000001</v>
      </c>
      <c r="CA16" s="840"/>
      <c r="CB16" s="835">
        <f t="shared" ref="CB16:CB27" si="27">O16+AX16</f>
        <v>0</v>
      </c>
      <c r="CC16" s="835">
        <f t="shared" ref="CC16:CC27" si="28">P16+AY16</f>
        <v>0</v>
      </c>
      <c r="CD16" s="835">
        <f t="shared" ref="CD16:CD27" si="29">Q16+AZ16</f>
        <v>0</v>
      </c>
      <c r="CE16" s="835">
        <f t="shared" ref="CE16:CE27" si="30">R16+BA16</f>
        <v>0</v>
      </c>
      <c r="CF16" s="840"/>
      <c r="CG16" s="835">
        <f t="shared" ref="CG16:CG27" si="31">T16+BC16</f>
        <v>0</v>
      </c>
      <c r="CH16" s="835">
        <f t="shared" ref="CH16:CH27" si="32">U16+BD16</f>
        <v>0</v>
      </c>
      <c r="CI16" s="835">
        <f t="shared" ref="CI16:CI27" si="33">V16+BE16</f>
        <v>0</v>
      </c>
      <c r="CJ16" s="835">
        <f t="shared" ref="CJ16:CJ27" si="34">W16+BF16</f>
        <v>0</v>
      </c>
      <c r="CK16" s="840"/>
      <c r="CL16" s="835">
        <f t="shared" ref="CL16:CL27" si="35">Y16+BH16</f>
        <v>0</v>
      </c>
      <c r="CM16" s="835">
        <f t="shared" ref="CM16:CM27" si="36">Z16+BI16</f>
        <v>0</v>
      </c>
      <c r="CN16" s="835">
        <f t="shared" ref="CN16:CN27" si="37">AA16+BJ16</f>
        <v>0</v>
      </c>
      <c r="CO16" s="835">
        <f t="shared" ref="CO16:CO27" si="38">AB16+BK16</f>
        <v>0</v>
      </c>
      <c r="CP16" s="840"/>
      <c r="CQ16" s="835">
        <f t="shared" ref="CQ16:CQ27" si="39">AD16+BM16</f>
        <v>0</v>
      </c>
      <c r="CR16" s="835">
        <f t="shared" ref="CR16:CR27" si="40">AE16+BN16</f>
        <v>0</v>
      </c>
      <c r="CS16" s="835">
        <f t="shared" ref="CS16:CS27" si="41">AF16+BO16</f>
        <v>0</v>
      </c>
      <c r="CT16" s="835">
        <f t="shared" ref="CT16:CT27" si="42">AG16+BP16</f>
        <v>0</v>
      </c>
      <c r="CU16" s="842"/>
      <c r="CV16" s="835">
        <f t="shared" ref="CV16:CY27" si="43">SUMIF($BR$5:$CT$5,CV$5,$BR16:$CT16)</f>
        <v>0</v>
      </c>
      <c r="CW16" s="835">
        <f t="shared" si="43"/>
        <v>0</v>
      </c>
      <c r="CX16" s="835">
        <f t="shared" si="43"/>
        <v>0</v>
      </c>
      <c r="CY16" s="835">
        <f t="shared" si="43"/>
        <v>0.24060000000000001</v>
      </c>
      <c r="CZ16" s="842"/>
      <c r="DA16" s="849">
        <f>'1.PL (VND) '!CU17/$C$6</f>
        <v>0</v>
      </c>
      <c r="DB16" s="849">
        <f>'1.PL (VND) '!CV17/$C$6</f>
        <v>0</v>
      </c>
      <c r="DC16" s="849">
        <f>'1.PL (VND) '!CW17/$C$6</f>
        <v>0</v>
      </c>
      <c r="DD16" s="849">
        <f>'1.PL (VND) '!CX17/$C$6</f>
        <v>0</v>
      </c>
      <c r="DE16" s="842"/>
      <c r="DF16" s="835">
        <f t="shared" si="18"/>
        <v>0</v>
      </c>
      <c r="DG16" s="835">
        <f t="shared" si="15"/>
        <v>0</v>
      </c>
      <c r="DH16" s="835">
        <f t="shared" si="15"/>
        <v>0</v>
      </c>
      <c r="DI16" s="835">
        <f t="shared" si="15"/>
        <v>0.24060000000000001</v>
      </c>
      <c r="DJ16" s="444"/>
    </row>
    <row r="17" spans="3:114" s="441" customFormat="1" ht="15.75" x14ac:dyDescent="0.25">
      <c r="C17" s="438" t="s">
        <v>202</v>
      </c>
      <c r="D17" s="438" t="s">
        <v>283</v>
      </c>
      <c r="E17" s="835">
        <f>'1.PL (VND) '!D18/$C$6</f>
        <v>6.1124068359999999</v>
      </c>
      <c r="F17" s="835">
        <f>'1.PL (VND) '!E18/$C$6</f>
        <v>11.423662819</v>
      </c>
      <c r="G17" s="835">
        <f>'1.PL (VND) '!F18/$C$6</f>
        <v>7.4653001469999998</v>
      </c>
      <c r="H17" s="835">
        <f>'1.PL (VND) '!G18/$C$6</f>
        <v>11.492599238</v>
      </c>
      <c r="I17" s="840"/>
      <c r="J17" s="835">
        <f>'1.PL (VND) '!I18/$C$6</f>
        <v>1.0108490000000001E-3</v>
      </c>
      <c r="K17" s="835">
        <f>'1.PL (VND) '!J18/$C$6</f>
        <v>1.4542276380000001</v>
      </c>
      <c r="L17" s="835">
        <f>'1.PL (VND) '!K18/$C$6</f>
        <v>2.0635634039999999</v>
      </c>
      <c r="M17" s="835">
        <f>'1.PL (VND) '!L18/$C$6</f>
        <v>0.38042038900000003</v>
      </c>
      <c r="N17" s="840"/>
      <c r="O17" s="835">
        <f>'1.PL (VND) '!N18/$C$6</f>
        <v>4.3805003879999997</v>
      </c>
      <c r="P17" s="835">
        <f>'1.PL (VND) '!O18/$C$6</f>
        <v>5.7251047909999997</v>
      </c>
      <c r="Q17" s="835">
        <f>'1.PL (VND) '!P18/$C$6</f>
        <v>1.648893959</v>
      </c>
      <c r="R17" s="835">
        <f>'1.PL (VND) '!Q18/$C$6</f>
        <v>1.7095841460000001</v>
      </c>
      <c r="S17" s="840"/>
      <c r="T17" s="835">
        <f>'1.PL (VND) '!S18/$C$6</f>
        <v>0.37625081199999999</v>
      </c>
      <c r="U17" s="835">
        <f>'1.PL (VND) '!T18/$C$6</f>
        <v>1.2470011860000001</v>
      </c>
      <c r="V17" s="835">
        <f>'1.PL (VND) '!U18/$C$6</f>
        <v>1.246767325</v>
      </c>
      <c r="W17" s="835">
        <f>'1.PL (VND) '!V18/$C$6</f>
        <v>1.138916982</v>
      </c>
      <c r="X17" s="840"/>
      <c r="Y17" s="835">
        <f>'1.PL (VND) '!X18/$C$6</f>
        <v>0</v>
      </c>
      <c r="Z17" s="835">
        <f>'1.PL (VND) '!Y18/$C$6</f>
        <v>0</v>
      </c>
      <c r="AA17" s="835">
        <f>'1.PL (VND) '!Z18/$C$6</f>
        <v>0</v>
      </c>
      <c r="AB17" s="835">
        <f>'1.PL (VND) '!AA18/$C$6</f>
        <v>0</v>
      </c>
      <c r="AC17" s="840"/>
      <c r="AD17" s="835">
        <f>'1.PL (VND) '!AC18/$C$6</f>
        <v>0</v>
      </c>
      <c r="AE17" s="835">
        <f>'1.PL (VND) '!AD18/$C$6</f>
        <v>0</v>
      </c>
      <c r="AF17" s="835">
        <f>'1.PL (VND) '!AE18/$C$6</f>
        <v>0</v>
      </c>
      <c r="AG17" s="835">
        <f>'1.PL (VND) '!AF18/$C$6</f>
        <v>0</v>
      </c>
      <c r="AH17" s="841"/>
      <c r="AI17" s="835">
        <f t="shared" si="16"/>
        <v>10.870168885</v>
      </c>
      <c r="AJ17" s="835">
        <f t="shared" si="16"/>
        <v>19.849996433999998</v>
      </c>
      <c r="AK17" s="835">
        <f t="shared" si="16"/>
        <v>12.424524835000001</v>
      </c>
      <c r="AL17" s="835">
        <f t="shared" si="17"/>
        <v>14.721520754999998</v>
      </c>
      <c r="AM17" s="842"/>
      <c r="AN17" s="835">
        <f>'1.PL (VND) '!AH18/$C$6</f>
        <v>0</v>
      </c>
      <c r="AO17" s="835">
        <f>'1.PL (VND) '!AI18/$C$6</f>
        <v>0</v>
      </c>
      <c r="AP17" s="835">
        <f>'1.PL (VND) '!AJ18/$C$6</f>
        <v>0</v>
      </c>
      <c r="AQ17" s="835">
        <f>'1.PL (VND) '!AK18/$C$6</f>
        <v>3.55</v>
      </c>
      <c r="AR17" s="840"/>
      <c r="AS17" s="835">
        <f>'1.PL (VND) '!AM18/$C$6</f>
        <v>0</v>
      </c>
      <c r="AT17" s="835">
        <f>'1.PL (VND) '!AN18/$C$6</f>
        <v>0</v>
      </c>
      <c r="AU17" s="835">
        <f>'1.PL (VND) '!AO18/$C$6</f>
        <v>0</v>
      </c>
      <c r="AV17" s="835">
        <f>'1.PL (VND) '!AP18/$C$6</f>
        <v>0</v>
      </c>
      <c r="AW17" s="840"/>
      <c r="AX17" s="835">
        <f>'1.PL (VND) '!AR18/$C$6</f>
        <v>0</v>
      </c>
      <c r="AY17" s="835">
        <f>'1.PL (VND) '!AS18/$C$6</f>
        <v>0</v>
      </c>
      <c r="AZ17" s="835">
        <f>'1.PL (VND) '!AT18/$C$6</f>
        <v>0</v>
      </c>
      <c r="BA17" s="835">
        <f>'1.PL (VND) '!AU18/$C$6</f>
        <v>4.95</v>
      </c>
      <c r="BB17" s="840"/>
      <c r="BC17" s="835">
        <f>'1.PL (VND) '!AW18/$C$6</f>
        <v>0</v>
      </c>
      <c r="BD17" s="835">
        <f>'1.PL (VND) '!AX18/$C$6</f>
        <v>0</v>
      </c>
      <c r="BE17" s="835">
        <f>'1.PL (VND) '!AY18/$C$6</f>
        <v>0</v>
      </c>
      <c r="BF17" s="835">
        <f>'1.PL (VND) '!AZ18/$C$6</f>
        <v>5</v>
      </c>
      <c r="BG17" s="840"/>
      <c r="BH17" s="835">
        <f>'1.PL (VND) '!BB18/$C$6</f>
        <v>0</v>
      </c>
      <c r="BI17" s="835">
        <f>'1.PL (VND) '!BC18/$C$6</f>
        <v>0</v>
      </c>
      <c r="BJ17" s="835">
        <f>'1.PL (VND) '!BD18/$C$6</f>
        <v>0</v>
      </c>
      <c r="BK17" s="835">
        <f>'1.PL (VND) '!BE18/$C$6</f>
        <v>0</v>
      </c>
      <c r="BL17" s="840"/>
      <c r="BM17" s="835">
        <f>'1.PL (VND) '!BG18/$C$6</f>
        <v>0</v>
      </c>
      <c r="BN17" s="835">
        <f>'1.PL (VND) '!BH18/$C$6</f>
        <v>0</v>
      </c>
      <c r="BO17" s="835">
        <f>'1.PL (VND) '!BI18/$C$6</f>
        <v>0</v>
      </c>
      <c r="BP17" s="835">
        <f>'1.PL (VND) '!BJ18/$C$6</f>
        <v>0</v>
      </c>
      <c r="BQ17" s="841"/>
      <c r="BR17" s="835">
        <f t="shared" si="19"/>
        <v>6.1124068359999999</v>
      </c>
      <c r="BS17" s="835">
        <f t="shared" si="20"/>
        <v>11.423662819</v>
      </c>
      <c r="BT17" s="835">
        <f t="shared" si="21"/>
        <v>7.4653001469999998</v>
      </c>
      <c r="BU17" s="835">
        <f t="shared" si="22"/>
        <v>15.042599238000001</v>
      </c>
      <c r="BV17" s="840"/>
      <c r="BW17" s="835">
        <f t="shared" si="23"/>
        <v>1.0108490000000001E-3</v>
      </c>
      <c r="BX17" s="835">
        <f t="shared" si="24"/>
        <v>1.4542276380000001</v>
      </c>
      <c r="BY17" s="835">
        <f t="shared" si="25"/>
        <v>2.0635634039999999</v>
      </c>
      <c r="BZ17" s="835">
        <f t="shared" si="26"/>
        <v>0.38042038900000003</v>
      </c>
      <c r="CA17" s="840"/>
      <c r="CB17" s="835">
        <f t="shared" si="27"/>
        <v>4.3805003879999997</v>
      </c>
      <c r="CC17" s="835">
        <f t="shared" si="28"/>
        <v>5.7251047909999997</v>
      </c>
      <c r="CD17" s="835">
        <f t="shared" si="29"/>
        <v>1.648893959</v>
      </c>
      <c r="CE17" s="835">
        <f t="shared" si="30"/>
        <v>6.6595841460000003</v>
      </c>
      <c r="CF17" s="840"/>
      <c r="CG17" s="835">
        <f t="shared" si="31"/>
        <v>0.37625081199999999</v>
      </c>
      <c r="CH17" s="835">
        <f t="shared" si="32"/>
        <v>1.2470011860000001</v>
      </c>
      <c r="CI17" s="835">
        <f t="shared" si="33"/>
        <v>1.246767325</v>
      </c>
      <c r="CJ17" s="835">
        <f t="shared" si="34"/>
        <v>6.1389169819999996</v>
      </c>
      <c r="CK17" s="840"/>
      <c r="CL17" s="835">
        <f t="shared" si="35"/>
        <v>0</v>
      </c>
      <c r="CM17" s="835">
        <f t="shared" si="36"/>
        <v>0</v>
      </c>
      <c r="CN17" s="835">
        <f t="shared" si="37"/>
        <v>0</v>
      </c>
      <c r="CO17" s="835">
        <f t="shared" si="38"/>
        <v>0</v>
      </c>
      <c r="CP17" s="840"/>
      <c r="CQ17" s="835">
        <f t="shared" si="39"/>
        <v>0</v>
      </c>
      <c r="CR17" s="835">
        <f t="shared" si="40"/>
        <v>0</v>
      </c>
      <c r="CS17" s="835">
        <f t="shared" si="41"/>
        <v>0</v>
      </c>
      <c r="CT17" s="835">
        <f t="shared" si="42"/>
        <v>0</v>
      </c>
      <c r="CU17" s="842"/>
      <c r="CV17" s="835">
        <f t="shared" si="43"/>
        <v>10.870168885</v>
      </c>
      <c r="CW17" s="835">
        <f t="shared" si="43"/>
        <v>19.849996433999998</v>
      </c>
      <c r="CX17" s="835">
        <f t="shared" si="43"/>
        <v>12.424524835000001</v>
      </c>
      <c r="CY17" s="835">
        <f t="shared" si="43"/>
        <v>28.221520755</v>
      </c>
      <c r="CZ17" s="842"/>
      <c r="DA17" s="835">
        <f>'1.PL (VND) '!CU18/$C$6</f>
        <v>0</v>
      </c>
      <c r="DB17" s="835">
        <f>'1.PL (VND) '!CV18/$C$6</f>
        <v>0</v>
      </c>
      <c r="DC17" s="835">
        <f>'1.PL (VND) '!CW18/$C$6</f>
        <v>0</v>
      </c>
      <c r="DD17" s="835">
        <f>'1.PL (VND) '!CX18/$C$6</f>
        <v>0</v>
      </c>
      <c r="DE17" s="842"/>
      <c r="DF17" s="835">
        <f t="shared" si="18"/>
        <v>10.870168885</v>
      </c>
      <c r="DG17" s="835">
        <f t="shared" si="15"/>
        <v>19.849996433999998</v>
      </c>
      <c r="DH17" s="835">
        <f t="shared" si="15"/>
        <v>12.424524835000001</v>
      </c>
      <c r="DI17" s="835">
        <f t="shared" si="15"/>
        <v>28.221520755</v>
      </c>
      <c r="DJ17" s="440"/>
    </row>
    <row r="18" spans="3:114" s="857" customFormat="1" ht="15.75" x14ac:dyDescent="0.25">
      <c r="C18" s="792" t="s">
        <v>557</v>
      </c>
      <c r="D18" s="791" t="s">
        <v>284</v>
      </c>
      <c r="E18" s="849">
        <f>'1.PL (VND) '!D19/$C$6</f>
        <v>-2.6547564999999999E-2</v>
      </c>
      <c r="F18" s="849">
        <f>'1.PL (VND) '!E19/$C$6</f>
        <v>0.84430532199999997</v>
      </c>
      <c r="G18" s="849">
        <f>'1.PL (VND) '!F19/$C$6</f>
        <v>0.73212140000000003</v>
      </c>
      <c r="H18" s="849">
        <f>'1.PL (VND) '!G19/$C$6</f>
        <v>9.3796105490000006</v>
      </c>
      <c r="I18" s="853"/>
      <c r="J18" s="849">
        <f>'1.PL (VND) '!I19/$C$6</f>
        <v>-1.0096980000000001E-3</v>
      </c>
      <c r="K18" s="849">
        <f>'1.PL (VND) '!J19/$C$6</f>
        <v>0.20598159799999999</v>
      </c>
      <c r="L18" s="849">
        <f>'1.PL (VND) '!K19/$C$6</f>
        <v>-5.2808654209999997</v>
      </c>
      <c r="M18" s="849">
        <f>'1.PL (VND) '!L19/$C$6</f>
        <v>30.500467824000001</v>
      </c>
      <c r="N18" s="853"/>
      <c r="O18" s="849">
        <f>'1.PL (VND) '!N19/$C$6</f>
        <v>1.8676515000000001E-2</v>
      </c>
      <c r="P18" s="849">
        <f>'1.PL (VND) '!O19/$C$6</f>
        <v>-2.6470748999999998E-2</v>
      </c>
      <c r="Q18" s="849">
        <f>'1.PL (VND) '!P19/$C$6</f>
        <v>3.0111095000000001E-2</v>
      </c>
      <c r="R18" s="849">
        <f>'1.PL (VND) '!Q19/$C$6</f>
        <v>-3.474427274</v>
      </c>
      <c r="S18" s="853"/>
      <c r="T18" s="849">
        <f>'1.PL (VND) '!S19/$C$6</f>
        <v>-0.30598360899999999</v>
      </c>
      <c r="U18" s="849">
        <f>'1.PL (VND) '!T19/$C$6</f>
        <v>2.437342E-2</v>
      </c>
      <c r="V18" s="849">
        <f>'1.PL (VND) '!U19/$C$6</f>
        <v>-1.5489865549999999</v>
      </c>
      <c r="W18" s="849">
        <f>'1.PL (VND) '!V19/$C$6</f>
        <v>-1.9746399509999999</v>
      </c>
      <c r="X18" s="853"/>
      <c r="Y18" s="849">
        <f>'1.PL (VND) '!X19/$C$6</f>
        <v>0</v>
      </c>
      <c r="Z18" s="849">
        <f>'1.PL (VND) '!Y19/$C$6</f>
        <v>0</v>
      </c>
      <c r="AA18" s="849">
        <f>'1.PL (VND) '!Z19/$C$6</f>
        <v>0</v>
      </c>
      <c r="AB18" s="849">
        <f>'1.PL (VND) '!AA19/$C$6</f>
        <v>0</v>
      </c>
      <c r="AC18" s="853"/>
      <c r="AD18" s="849">
        <f>'1.PL (VND) '!AC19/$C$6</f>
        <v>0</v>
      </c>
      <c r="AE18" s="849">
        <f>'1.PL (VND) '!AD19/$C$6</f>
        <v>0</v>
      </c>
      <c r="AF18" s="849">
        <f>'1.PL (VND) '!AE19/$C$6</f>
        <v>0</v>
      </c>
      <c r="AG18" s="849">
        <f>'1.PL (VND) '!AF19/$C$6</f>
        <v>0</v>
      </c>
      <c r="AH18" s="854"/>
      <c r="AI18" s="855">
        <f>SUMIF($E$5:$AG$5,AI$5,$E18:$AG18)</f>
        <v>-0.31486435699999998</v>
      </c>
      <c r="AJ18" s="855">
        <f t="shared" si="16"/>
        <v>1.0481895910000001</v>
      </c>
      <c r="AK18" s="855">
        <f t="shared" si="16"/>
        <v>-6.0676194809999995</v>
      </c>
      <c r="AL18" s="855">
        <f t="shared" si="17"/>
        <v>34.431011148000003</v>
      </c>
      <c r="AM18" s="852"/>
      <c r="AN18" s="849">
        <f>'1.PL (VND) '!AH19/$C$6</f>
        <v>0</v>
      </c>
      <c r="AO18" s="849">
        <f>'1.PL (VND) '!AI19/$C$6</f>
        <v>0</v>
      </c>
      <c r="AP18" s="849">
        <f>'1.PL (VND) '!AJ19/$C$6</f>
        <v>-10.749717626000001</v>
      </c>
      <c r="AQ18" s="849">
        <f>'1.PL (VND) '!AK19/$C$6</f>
        <v>-4.6236038879999999</v>
      </c>
      <c r="AR18" s="853"/>
      <c r="AS18" s="849">
        <f>'1.PL (VND) '!AM19/$C$6</f>
        <v>0</v>
      </c>
      <c r="AT18" s="849">
        <f>'1.PL (VND) '!AN19/$C$6</f>
        <v>0</v>
      </c>
      <c r="AU18" s="849">
        <f>'1.PL (VND) '!AO19/$C$6</f>
        <v>-0.74154054899999999</v>
      </c>
      <c r="AV18" s="849">
        <f>'1.PL (VND) '!AP19/$C$6</f>
        <v>0</v>
      </c>
      <c r="AW18" s="853"/>
      <c r="AX18" s="849">
        <f>'1.PL (VND) '!AR19/$C$6</f>
        <v>0</v>
      </c>
      <c r="AY18" s="849">
        <f>'1.PL (VND) '!AS19/$C$6</f>
        <v>0</v>
      </c>
      <c r="AZ18" s="849">
        <f>'1.PL (VND) '!AT19/$C$6</f>
        <v>0</v>
      </c>
      <c r="BA18" s="849">
        <f>'1.PL (VND) '!AU19/$C$6</f>
        <v>-4.95</v>
      </c>
      <c r="BB18" s="853"/>
      <c r="BC18" s="855">
        <f>'1.PL (VND) '!AW19/$C$6</f>
        <v>0</v>
      </c>
      <c r="BD18" s="855">
        <f>'1.PL (VND) '!AX19/$C$6</f>
        <v>0</v>
      </c>
      <c r="BE18" s="855">
        <f>'1.PL (VND) '!AY19/$C$6</f>
        <v>-1.2623553489999999</v>
      </c>
      <c r="BF18" s="855">
        <f>'1.PL (VND) '!AZ19/$C$6</f>
        <v>-5</v>
      </c>
      <c r="BG18" s="853"/>
      <c r="BH18" s="855">
        <f>'1.PL (VND) '!BB19/$C$6</f>
        <v>0</v>
      </c>
      <c r="BI18" s="855">
        <f>'1.PL (VND) '!BC19/$C$6</f>
        <v>0</v>
      </c>
      <c r="BJ18" s="855">
        <f>'1.PL (VND) '!BD19/$C$6</f>
        <v>0</v>
      </c>
      <c r="BK18" s="855">
        <f>'1.PL (VND) '!BE19/$C$6</f>
        <v>0</v>
      </c>
      <c r="BL18" s="853"/>
      <c r="BM18" s="855">
        <f>'1.PL (VND) '!BG19/$C$6</f>
        <v>0</v>
      </c>
      <c r="BN18" s="855">
        <f>'1.PL (VND) '!BH19/$C$6</f>
        <v>0</v>
      </c>
      <c r="BO18" s="855">
        <f>'1.PL (VND) '!BI19/$C$6</f>
        <v>0</v>
      </c>
      <c r="BP18" s="855">
        <f>'1.PL (VND) '!BJ19/$C$6</f>
        <v>0</v>
      </c>
      <c r="BQ18" s="854"/>
      <c r="BR18" s="855">
        <f t="shared" si="19"/>
        <v>-2.6547564999999999E-2</v>
      </c>
      <c r="BS18" s="855">
        <f t="shared" si="20"/>
        <v>0.84430532199999997</v>
      </c>
      <c r="BT18" s="855">
        <f t="shared" si="21"/>
        <v>-10.017596226</v>
      </c>
      <c r="BU18" s="855">
        <f t="shared" si="22"/>
        <v>4.7560066610000007</v>
      </c>
      <c r="BV18" s="853"/>
      <c r="BW18" s="855">
        <f t="shared" si="23"/>
        <v>-1.0096980000000001E-3</v>
      </c>
      <c r="BX18" s="855">
        <f t="shared" si="24"/>
        <v>0.20598159799999999</v>
      </c>
      <c r="BY18" s="855">
        <f t="shared" si="25"/>
        <v>-6.0224059699999994</v>
      </c>
      <c r="BZ18" s="855">
        <f t="shared" si="26"/>
        <v>30.500467824000001</v>
      </c>
      <c r="CA18" s="853"/>
      <c r="CB18" s="855">
        <f t="shared" si="27"/>
        <v>1.8676515000000001E-2</v>
      </c>
      <c r="CC18" s="855">
        <f t="shared" si="28"/>
        <v>-2.6470748999999998E-2</v>
      </c>
      <c r="CD18" s="855">
        <f t="shared" si="29"/>
        <v>3.0111095000000001E-2</v>
      </c>
      <c r="CE18" s="855">
        <f t="shared" si="30"/>
        <v>-8.4244272739999992</v>
      </c>
      <c r="CF18" s="853"/>
      <c r="CG18" s="855">
        <f t="shared" si="31"/>
        <v>-0.30598360899999999</v>
      </c>
      <c r="CH18" s="855">
        <f t="shared" si="32"/>
        <v>2.437342E-2</v>
      </c>
      <c r="CI18" s="855">
        <f t="shared" si="33"/>
        <v>-2.8113419039999998</v>
      </c>
      <c r="CJ18" s="855">
        <f t="shared" si="34"/>
        <v>-6.9746399510000003</v>
      </c>
      <c r="CK18" s="853"/>
      <c r="CL18" s="855">
        <f t="shared" si="35"/>
        <v>0</v>
      </c>
      <c r="CM18" s="855">
        <f t="shared" si="36"/>
        <v>0</v>
      </c>
      <c r="CN18" s="855">
        <f t="shared" si="37"/>
        <v>0</v>
      </c>
      <c r="CO18" s="855">
        <f t="shared" si="38"/>
        <v>0</v>
      </c>
      <c r="CP18" s="853"/>
      <c r="CQ18" s="855">
        <f t="shared" si="39"/>
        <v>0</v>
      </c>
      <c r="CR18" s="855">
        <f t="shared" si="40"/>
        <v>0</v>
      </c>
      <c r="CS18" s="855">
        <f t="shared" si="41"/>
        <v>0</v>
      </c>
      <c r="CT18" s="855">
        <f t="shared" si="42"/>
        <v>0</v>
      </c>
      <c r="CU18" s="856"/>
      <c r="CV18" s="855">
        <f t="shared" si="43"/>
        <v>-0.31486435699999998</v>
      </c>
      <c r="CW18" s="855">
        <f t="shared" si="43"/>
        <v>1.0481895910000001</v>
      </c>
      <c r="CX18" s="855">
        <f t="shared" si="43"/>
        <v>-18.821233005</v>
      </c>
      <c r="CY18" s="855">
        <f t="shared" si="43"/>
        <v>19.857407259999999</v>
      </c>
      <c r="CZ18" s="856"/>
      <c r="DA18" s="849">
        <f>'1.PL (VND) '!CU19/$C$6</f>
        <v>0</v>
      </c>
      <c r="DB18" s="849">
        <f>'1.PL (VND) '!CV19/$C$6</f>
        <v>0</v>
      </c>
      <c r="DC18" s="849">
        <f>'1.PL (VND) '!CW19/$C$6</f>
        <v>0</v>
      </c>
      <c r="DD18" s="849">
        <f>'1.PL (VND) '!CX19/$C$6</f>
        <v>0</v>
      </c>
      <c r="DE18" s="856"/>
      <c r="DF18" s="855">
        <f t="shared" si="18"/>
        <v>-0.31486435699999998</v>
      </c>
      <c r="DG18" s="855">
        <f t="shared" si="15"/>
        <v>1.0481895910000001</v>
      </c>
      <c r="DH18" s="855">
        <f t="shared" si="15"/>
        <v>-18.821233005</v>
      </c>
      <c r="DI18" s="855">
        <f t="shared" si="15"/>
        <v>19.857407259999999</v>
      </c>
      <c r="DJ18" s="444"/>
    </row>
    <row r="19" spans="3:114" s="441" customFormat="1" ht="15.75" x14ac:dyDescent="0.25">
      <c r="C19" s="446" t="s">
        <v>204</v>
      </c>
      <c r="D19" s="438" t="s">
        <v>285</v>
      </c>
      <c r="E19" s="835">
        <f>'1.PL (VND) '!D20/$C$6</f>
        <v>0.10642500000000001</v>
      </c>
      <c r="F19" s="835">
        <f>'1.PL (VND) '!E20/$C$6</f>
        <v>1.7769467590000001</v>
      </c>
      <c r="G19" s="835">
        <f>'1.PL (VND) '!F20/$C$6</f>
        <v>0.10625</v>
      </c>
      <c r="H19" s="835">
        <f>'1.PL (VND) '!G20/$C$6</f>
        <v>2.3752535000000002E-2</v>
      </c>
      <c r="I19" s="840"/>
      <c r="J19" s="835">
        <f>'1.PL (VND) '!I20/$C$6</f>
        <v>0</v>
      </c>
      <c r="K19" s="835">
        <f>'1.PL (VND) '!J20/$C$6</f>
        <v>3.3E-3</v>
      </c>
      <c r="L19" s="835">
        <f>'1.PL (VND) '!K20/$C$6</f>
        <v>0</v>
      </c>
      <c r="M19" s="835">
        <f>'1.PL (VND) '!L20/$C$6</f>
        <v>2.1050000000000001E-3</v>
      </c>
      <c r="N19" s="840"/>
      <c r="O19" s="835">
        <f>'1.PL (VND) '!N20/$C$6</f>
        <v>0</v>
      </c>
      <c r="P19" s="835">
        <f>'1.PL (VND) '!O20/$C$6</f>
        <v>0.18183566200000001</v>
      </c>
      <c r="Q19" s="835">
        <f>'1.PL (VND) '!P20/$C$6</f>
        <v>2.817796296</v>
      </c>
      <c r="R19" s="835">
        <f>'1.PL (VND) '!Q20/$C$6</f>
        <v>4.8000009999999999E-3</v>
      </c>
      <c r="S19" s="840"/>
      <c r="T19" s="835">
        <f>'1.PL (VND) '!S20/$C$6</f>
        <v>0</v>
      </c>
      <c r="U19" s="835">
        <f>'1.PL (VND) '!T20/$C$6</f>
        <v>0</v>
      </c>
      <c r="V19" s="835">
        <f>'1.PL (VND) '!U20/$C$6</f>
        <v>0.185185185</v>
      </c>
      <c r="W19" s="835">
        <f>'1.PL (VND) '!V20/$C$6</f>
        <v>0</v>
      </c>
      <c r="X19" s="840"/>
      <c r="Y19" s="835">
        <f>'1.PL (VND) '!X20/$C$6</f>
        <v>0</v>
      </c>
      <c r="Z19" s="835">
        <f>'1.PL (VND) '!Y20/$C$6</f>
        <v>0</v>
      </c>
      <c r="AA19" s="835">
        <f>'1.PL (VND) '!Z20/$C$6</f>
        <v>0</v>
      </c>
      <c r="AB19" s="835">
        <f>'1.PL (VND) '!AA20/$C$6</f>
        <v>0</v>
      </c>
      <c r="AC19" s="840"/>
      <c r="AD19" s="835">
        <f>'1.PL (VND) '!AC20/$C$6</f>
        <v>0</v>
      </c>
      <c r="AE19" s="835">
        <f>'1.PL (VND) '!AD20/$C$6</f>
        <v>0</v>
      </c>
      <c r="AF19" s="835">
        <f>'1.PL (VND) '!AE20/$C$6</f>
        <v>0</v>
      </c>
      <c r="AG19" s="835">
        <f>'1.PL (VND) '!AF20/$C$6</f>
        <v>0</v>
      </c>
      <c r="AH19" s="841"/>
      <c r="AI19" s="835">
        <f t="shared" si="16"/>
        <v>0.10642500000000001</v>
      </c>
      <c r="AJ19" s="835">
        <f t="shared" si="16"/>
        <v>1.9620824210000003</v>
      </c>
      <c r="AK19" s="835">
        <f t="shared" si="16"/>
        <v>3.1092314810000001</v>
      </c>
      <c r="AL19" s="835">
        <f t="shared" si="17"/>
        <v>3.0657535999999999E-2</v>
      </c>
      <c r="AM19" s="842"/>
      <c r="AN19" s="835">
        <f>'1.PL (VND) '!AH20/$C$6</f>
        <v>0</v>
      </c>
      <c r="AO19" s="835">
        <f>'1.PL (VND) '!AI20/$C$6</f>
        <v>0</v>
      </c>
      <c r="AP19" s="835">
        <f>'1.PL (VND) '!AJ20/$C$6</f>
        <v>0</v>
      </c>
      <c r="AQ19" s="835">
        <f>'1.PL (VND) '!AK20/$C$6</f>
        <v>0</v>
      </c>
      <c r="AR19" s="840"/>
      <c r="AS19" s="835">
        <f>'1.PL (VND) '!AM20/$C$6</f>
        <v>0</v>
      </c>
      <c r="AT19" s="835">
        <f>'1.PL (VND) '!AN20/$C$6</f>
        <v>0</v>
      </c>
      <c r="AU19" s="835">
        <f>'1.PL (VND) '!AO20/$C$6</f>
        <v>0</v>
      </c>
      <c r="AV19" s="835">
        <f>'1.PL (VND) '!AP20/$C$6</f>
        <v>0</v>
      </c>
      <c r="AW19" s="840"/>
      <c r="AX19" s="835">
        <f>'1.PL (VND) '!AR20/$C$6</f>
        <v>0</v>
      </c>
      <c r="AY19" s="835">
        <f>'1.PL (VND) '!AS20/$C$6</f>
        <v>0</v>
      </c>
      <c r="AZ19" s="835">
        <f>'1.PL (VND) '!AT20/$C$6</f>
        <v>0</v>
      </c>
      <c r="BA19" s="835">
        <f>'1.PL (VND) '!AU20/$C$6</f>
        <v>0</v>
      </c>
      <c r="BB19" s="840"/>
      <c r="BC19" s="835">
        <f>'1.PL (VND) '!AW20/$C$6</f>
        <v>0</v>
      </c>
      <c r="BD19" s="835">
        <f>'1.PL (VND) '!AX20/$C$6</f>
        <v>0</v>
      </c>
      <c r="BE19" s="835">
        <f>'1.PL (VND) '!AY20/$C$6</f>
        <v>0</v>
      </c>
      <c r="BF19" s="835">
        <f>'1.PL (VND) '!AZ20/$C$6</f>
        <v>0</v>
      </c>
      <c r="BG19" s="840"/>
      <c r="BH19" s="835">
        <f>'1.PL (VND) '!BB20/$C$6</f>
        <v>0</v>
      </c>
      <c r="BI19" s="835">
        <f>'1.PL (VND) '!BC20/$C$6</f>
        <v>0</v>
      </c>
      <c r="BJ19" s="835">
        <f>'1.PL (VND) '!BD20/$C$6</f>
        <v>0</v>
      </c>
      <c r="BK19" s="835">
        <f>'1.PL (VND) '!BE20/$C$6</f>
        <v>0</v>
      </c>
      <c r="BL19" s="840"/>
      <c r="BM19" s="835">
        <f>'1.PL (VND) '!BG20/$C$6</f>
        <v>0</v>
      </c>
      <c r="BN19" s="835">
        <f>'1.PL (VND) '!BH20/$C$6</f>
        <v>0</v>
      </c>
      <c r="BO19" s="835">
        <f>'1.PL (VND) '!BI20/$C$6</f>
        <v>0</v>
      </c>
      <c r="BP19" s="835">
        <f>'1.PL (VND) '!BJ20/$C$6</f>
        <v>0</v>
      </c>
      <c r="BQ19" s="841"/>
      <c r="BR19" s="835">
        <f t="shared" si="19"/>
        <v>0.10642500000000001</v>
      </c>
      <c r="BS19" s="835">
        <f t="shared" si="20"/>
        <v>1.7769467590000001</v>
      </c>
      <c r="BT19" s="835">
        <f t="shared" si="21"/>
        <v>0.10625</v>
      </c>
      <c r="BU19" s="835">
        <f t="shared" si="22"/>
        <v>2.3752535000000002E-2</v>
      </c>
      <c r="BV19" s="840"/>
      <c r="BW19" s="835">
        <f t="shared" si="23"/>
        <v>0</v>
      </c>
      <c r="BX19" s="835">
        <f t="shared" si="24"/>
        <v>3.3E-3</v>
      </c>
      <c r="BY19" s="835">
        <f t="shared" si="25"/>
        <v>0</v>
      </c>
      <c r="BZ19" s="835">
        <f t="shared" si="26"/>
        <v>2.1050000000000001E-3</v>
      </c>
      <c r="CA19" s="840"/>
      <c r="CB19" s="835">
        <f t="shared" si="27"/>
        <v>0</v>
      </c>
      <c r="CC19" s="835">
        <f t="shared" si="28"/>
        <v>0.18183566200000001</v>
      </c>
      <c r="CD19" s="835">
        <f t="shared" si="29"/>
        <v>2.817796296</v>
      </c>
      <c r="CE19" s="835">
        <f t="shared" si="30"/>
        <v>4.8000009999999999E-3</v>
      </c>
      <c r="CF19" s="840"/>
      <c r="CG19" s="835">
        <f t="shared" si="31"/>
        <v>0</v>
      </c>
      <c r="CH19" s="835">
        <f t="shared" si="32"/>
        <v>0</v>
      </c>
      <c r="CI19" s="835">
        <f t="shared" si="33"/>
        <v>0.185185185</v>
      </c>
      <c r="CJ19" s="835">
        <f t="shared" si="34"/>
        <v>0</v>
      </c>
      <c r="CK19" s="840"/>
      <c r="CL19" s="835">
        <f t="shared" si="35"/>
        <v>0</v>
      </c>
      <c r="CM19" s="835">
        <f t="shared" si="36"/>
        <v>0</v>
      </c>
      <c r="CN19" s="835">
        <f t="shared" si="37"/>
        <v>0</v>
      </c>
      <c r="CO19" s="835">
        <f t="shared" si="38"/>
        <v>0</v>
      </c>
      <c r="CP19" s="840"/>
      <c r="CQ19" s="835">
        <f t="shared" si="39"/>
        <v>0</v>
      </c>
      <c r="CR19" s="835">
        <f t="shared" si="40"/>
        <v>0</v>
      </c>
      <c r="CS19" s="835">
        <f t="shared" si="41"/>
        <v>0</v>
      </c>
      <c r="CT19" s="835">
        <f t="shared" si="42"/>
        <v>0</v>
      </c>
      <c r="CU19" s="842"/>
      <c r="CV19" s="835">
        <f t="shared" si="43"/>
        <v>0.10642500000000001</v>
      </c>
      <c r="CW19" s="835">
        <f t="shared" si="43"/>
        <v>1.9620824210000003</v>
      </c>
      <c r="CX19" s="835">
        <f t="shared" si="43"/>
        <v>3.1092314810000001</v>
      </c>
      <c r="CY19" s="835">
        <f t="shared" si="43"/>
        <v>3.0657535999999999E-2</v>
      </c>
      <c r="CZ19" s="842"/>
      <c r="DA19" s="835">
        <f>'1.PL (VND) '!CU20/$C$6</f>
        <v>0</v>
      </c>
      <c r="DB19" s="835">
        <f>'1.PL (VND) '!CV20/$C$6</f>
        <v>0</v>
      </c>
      <c r="DC19" s="835">
        <f>'1.PL (VND) '!CW20/$C$6</f>
        <v>0</v>
      </c>
      <c r="DD19" s="835">
        <f>'1.PL (VND) '!CX20/$C$6</f>
        <v>0</v>
      </c>
      <c r="DE19" s="842"/>
      <c r="DF19" s="835">
        <f t="shared" si="18"/>
        <v>0.10642500000000001</v>
      </c>
      <c r="DG19" s="835">
        <f t="shared" si="15"/>
        <v>1.9620824210000003</v>
      </c>
      <c r="DH19" s="835">
        <f t="shared" si="15"/>
        <v>3.1092314810000001</v>
      </c>
      <c r="DI19" s="835">
        <f t="shared" si="15"/>
        <v>3.0657535999999999E-2</v>
      </c>
      <c r="DJ19" s="440"/>
    </row>
    <row r="20" spans="3:114" s="441" customFormat="1" ht="15.75" x14ac:dyDescent="0.25">
      <c r="C20" s="797" t="s">
        <v>205</v>
      </c>
      <c r="D20" s="438" t="s">
        <v>286</v>
      </c>
      <c r="E20" s="849">
        <f>'1.PL (VND) '!D21/$C$6</f>
        <v>0</v>
      </c>
      <c r="F20" s="849">
        <f>'1.PL (VND) '!E21/$C$6</f>
        <v>2.4503713220000001</v>
      </c>
      <c r="G20" s="849">
        <f>'1.PL (VND) '!F21/$C$6</f>
        <v>0</v>
      </c>
      <c r="H20" s="849">
        <f>'1.PL (VND) '!G21/$C$6</f>
        <v>0.15272697199999999</v>
      </c>
      <c r="I20" s="840"/>
      <c r="J20" s="849">
        <f>'1.PL (VND) '!I21/$C$6</f>
        <v>0</v>
      </c>
      <c r="K20" s="849">
        <f>'1.PL (VND) '!J21/$C$6</f>
        <v>0</v>
      </c>
      <c r="L20" s="849">
        <f>'1.PL (VND) '!K21/$C$6</f>
        <v>0</v>
      </c>
      <c r="M20" s="849">
        <f>'1.PL (VND) '!L21/$C$6</f>
        <v>3.8000099999999998E-4</v>
      </c>
      <c r="N20" s="840"/>
      <c r="O20" s="849">
        <f>'1.PL (VND) '!N21/$C$6</f>
        <v>0</v>
      </c>
      <c r="P20" s="849">
        <f>'1.PL (VND) '!O21/$C$6</f>
        <v>7.8282826999999999E-2</v>
      </c>
      <c r="Q20" s="849">
        <f>'1.PL (VND) '!P21/$C$6</f>
        <v>2.8114731540000002</v>
      </c>
      <c r="R20" s="849">
        <f>'1.PL (VND) '!Q21/$C$6</f>
        <v>0</v>
      </c>
      <c r="S20" s="840"/>
      <c r="T20" s="849">
        <f>'1.PL (VND) '!S21/$C$6</f>
        <v>0</v>
      </c>
      <c r="U20" s="849">
        <f>'1.PL (VND) '!T21/$C$6</f>
        <v>0</v>
      </c>
      <c r="V20" s="849">
        <f>'1.PL (VND) '!U21/$C$6</f>
        <v>0.57303749999999998</v>
      </c>
      <c r="W20" s="849">
        <f>'1.PL (VND) '!V21/$C$6</f>
        <v>2.2713210000000002E-3</v>
      </c>
      <c r="X20" s="840"/>
      <c r="Y20" s="849">
        <f>'1.PL (VND) '!X21/$C$6</f>
        <v>0</v>
      </c>
      <c r="Z20" s="849">
        <f>'1.PL (VND) '!Y21/$C$6</f>
        <v>0</v>
      </c>
      <c r="AA20" s="849">
        <f>'1.PL (VND) '!Z21/$C$6</f>
        <v>0</v>
      </c>
      <c r="AB20" s="849">
        <f>'1.PL (VND) '!AA21/$C$6</f>
        <v>0</v>
      </c>
      <c r="AC20" s="840"/>
      <c r="AD20" s="849">
        <f>'1.PL (VND) '!AC21/$C$6</f>
        <v>0</v>
      </c>
      <c r="AE20" s="849">
        <f>'1.PL (VND) '!AD21/$C$6</f>
        <v>0</v>
      </c>
      <c r="AF20" s="849">
        <f>'1.PL (VND) '!AE21/$C$6</f>
        <v>0</v>
      </c>
      <c r="AG20" s="849">
        <f>'1.PL (VND) '!AF21/$C$6</f>
        <v>0</v>
      </c>
      <c r="AH20" s="841"/>
      <c r="AI20" s="835">
        <f t="shared" si="16"/>
        <v>0</v>
      </c>
      <c r="AJ20" s="835">
        <f t="shared" si="16"/>
        <v>2.5286541490000003</v>
      </c>
      <c r="AK20" s="835">
        <f t="shared" si="16"/>
        <v>3.3845106540000001</v>
      </c>
      <c r="AL20" s="835">
        <f t="shared" si="17"/>
        <v>0.15537829399999997</v>
      </c>
      <c r="AM20" s="852"/>
      <c r="AN20" s="849">
        <f>'1.PL (VND) '!AH21/$C$6</f>
        <v>0</v>
      </c>
      <c r="AO20" s="849">
        <f>'1.PL (VND) '!AI21/$C$6</f>
        <v>0</v>
      </c>
      <c r="AP20" s="849">
        <f>'1.PL (VND) '!AJ21/$C$6</f>
        <v>0</v>
      </c>
      <c r="AQ20" s="849">
        <f>'1.PL (VND) '!AK21/$C$6</f>
        <v>0</v>
      </c>
      <c r="AR20" s="840"/>
      <c r="AS20" s="849">
        <f>'1.PL (VND) '!AM21/$C$6</f>
        <v>0</v>
      </c>
      <c r="AT20" s="849">
        <f>'1.PL (VND) '!AN21/$C$6</f>
        <v>0</v>
      </c>
      <c r="AU20" s="849">
        <f>'1.PL (VND) '!AO21/$C$6</f>
        <v>0</v>
      </c>
      <c r="AV20" s="849">
        <f>'1.PL (VND) '!AP21/$C$6</f>
        <v>0</v>
      </c>
      <c r="AW20" s="840"/>
      <c r="AX20" s="849">
        <f>'1.PL (VND) '!AR21/$C$6</f>
        <v>0</v>
      </c>
      <c r="AY20" s="849">
        <f>'1.PL (VND) '!AS21/$C$6</f>
        <v>0</v>
      </c>
      <c r="AZ20" s="849">
        <f>'1.PL (VND) '!AT21/$C$6</f>
        <v>0</v>
      </c>
      <c r="BA20" s="849">
        <f>'1.PL (VND) '!AU21/$C$6</f>
        <v>0</v>
      </c>
      <c r="BB20" s="840"/>
      <c r="BC20" s="835">
        <f>'1.PL (VND) '!AW21/$C$6</f>
        <v>0</v>
      </c>
      <c r="BD20" s="835">
        <f>'1.PL (VND) '!AX21/$C$6</f>
        <v>0</v>
      </c>
      <c r="BE20" s="835">
        <f>'1.PL (VND) '!AY21/$C$6</f>
        <v>0</v>
      </c>
      <c r="BF20" s="835">
        <f>'1.PL (VND) '!AZ21/$C$6</f>
        <v>0</v>
      </c>
      <c r="BG20" s="840"/>
      <c r="BH20" s="835">
        <f>'1.PL (VND) '!BB21/$C$6</f>
        <v>0</v>
      </c>
      <c r="BI20" s="835">
        <f>'1.PL (VND) '!BC21/$C$6</f>
        <v>0</v>
      </c>
      <c r="BJ20" s="835">
        <f>'1.PL (VND) '!BD21/$C$6</f>
        <v>0</v>
      </c>
      <c r="BK20" s="835">
        <f>'1.PL (VND) '!BE21/$C$6</f>
        <v>0</v>
      </c>
      <c r="BL20" s="840"/>
      <c r="BM20" s="835">
        <f>'1.PL (VND) '!BG21/$C$6</f>
        <v>0</v>
      </c>
      <c r="BN20" s="835">
        <f>'1.PL (VND) '!BH21/$C$6</f>
        <v>0</v>
      </c>
      <c r="BO20" s="835">
        <f>'1.PL (VND) '!BI21/$C$6</f>
        <v>0</v>
      </c>
      <c r="BP20" s="835">
        <f>'1.PL (VND) '!BJ21/$C$6</f>
        <v>0</v>
      </c>
      <c r="BQ20" s="841"/>
      <c r="BR20" s="835">
        <f t="shared" si="19"/>
        <v>0</v>
      </c>
      <c r="BS20" s="835">
        <f t="shared" si="20"/>
        <v>2.4503713220000001</v>
      </c>
      <c r="BT20" s="835">
        <f t="shared" si="21"/>
        <v>0</v>
      </c>
      <c r="BU20" s="835">
        <f t="shared" si="22"/>
        <v>0.15272697199999999</v>
      </c>
      <c r="BV20" s="840"/>
      <c r="BW20" s="835">
        <f t="shared" si="23"/>
        <v>0</v>
      </c>
      <c r="BX20" s="835">
        <f t="shared" si="24"/>
        <v>0</v>
      </c>
      <c r="BY20" s="835">
        <f t="shared" si="25"/>
        <v>0</v>
      </c>
      <c r="BZ20" s="835">
        <f t="shared" si="26"/>
        <v>3.8000099999999998E-4</v>
      </c>
      <c r="CA20" s="840"/>
      <c r="CB20" s="835">
        <f t="shared" si="27"/>
        <v>0</v>
      </c>
      <c r="CC20" s="835">
        <f t="shared" si="28"/>
        <v>7.8282826999999999E-2</v>
      </c>
      <c r="CD20" s="835">
        <f t="shared" si="29"/>
        <v>2.8114731540000002</v>
      </c>
      <c r="CE20" s="835">
        <f t="shared" si="30"/>
        <v>0</v>
      </c>
      <c r="CF20" s="840"/>
      <c r="CG20" s="835">
        <f t="shared" si="31"/>
        <v>0</v>
      </c>
      <c r="CH20" s="835">
        <f t="shared" si="32"/>
        <v>0</v>
      </c>
      <c r="CI20" s="835">
        <f t="shared" si="33"/>
        <v>0.57303749999999998</v>
      </c>
      <c r="CJ20" s="835">
        <f t="shared" si="34"/>
        <v>2.2713210000000002E-3</v>
      </c>
      <c r="CK20" s="840"/>
      <c r="CL20" s="835">
        <f t="shared" si="35"/>
        <v>0</v>
      </c>
      <c r="CM20" s="835">
        <f t="shared" si="36"/>
        <v>0</v>
      </c>
      <c r="CN20" s="835">
        <f t="shared" si="37"/>
        <v>0</v>
      </c>
      <c r="CO20" s="835">
        <f t="shared" si="38"/>
        <v>0</v>
      </c>
      <c r="CP20" s="840"/>
      <c r="CQ20" s="835">
        <f t="shared" si="39"/>
        <v>0</v>
      </c>
      <c r="CR20" s="835">
        <f t="shared" si="40"/>
        <v>0</v>
      </c>
      <c r="CS20" s="835">
        <f t="shared" si="41"/>
        <v>0</v>
      </c>
      <c r="CT20" s="835">
        <f t="shared" si="42"/>
        <v>0</v>
      </c>
      <c r="CU20" s="842"/>
      <c r="CV20" s="835">
        <f t="shared" si="43"/>
        <v>0</v>
      </c>
      <c r="CW20" s="835">
        <f t="shared" si="43"/>
        <v>2.5286541490000003</v>
      </c>
      <c r="CX20" s="835">
        <f t="shared" si="43"/>
        <v>3.3845106540000001</v>
      </c>
      <c r="CY20" s="835">
        <f t="shared" si="43"/>
        <v>0.15537829399999997</v>
      </c>
      <c r="CZ20" s="842"/>
      <c r="DA20" s="849">
        <f>'1.PL (VND) '!CU21/$C$6</f>
        <v>0</v>
      </c>
      <c r="DB20" s="849">
        <f>'1.PL (VND) '!CV21/$C$6</f>
        <v>0</v>
      </c>
      <c r="DC20" s="849">
        <f>'1.PL (VND) '!CW21/$C$6</f>
        <v>0</v>
      </c>
      <c r="DD20" s="849">
        <f>'1.PL (VND) '!CX21/$C$6</f>
        <v>0</v>
      </c>
      <c r="DE20" s="842"/>
      <c r="DF20" s="835">
        <f t="shared" si="18"/>
        <v>0</v>
      </c>
      <c r="DG20" s="835">
        <f t="shared" si="15"/>
        <v>2.5286541490000003</v>
      </c>
      <c r="DH20" s="835">
        <f t="shared" si="15"/>
        <v>3.3845106540000001</v>
      </c>
      <c r="DI20" s="835">
        <f t="shared" si="15"/>
        <v>0.15537829399999997</v>
      </c>
      <c r="DJ20" s="444"/>
    </row>
    <row r="21" spans="3:114" s="441" customFormat="1" ht="15.75" x14ac:dyDescent="0.25">
      <c r="C21" s="448" t="s">
        <v>628</v>
      </c>
      <c r="D21" s="445" t="s">
        <v>287</v>
      </c>
      <c r="E21" s="835">
        <f>'1.PL (VND) '!D22/$C$6</f>
        <v>0.10642500000000001</v>
      </c>
      <c r="F21" s="835">
        <f>'1.PL (VND) '!E22/$C$6</f>
        <v>-0.67342456299999998</v>
      </c>
      <c r="G21" s="835">
        <f>'1.PL (VND) '!F22/$C$6</f>
        <v>0.10625</v>
      </c>
      <c r="H21" s="835">
        <f>'1.PL (VND) '!G22/$C$6</f>
        <v>-0.128974437</v>
      </c>
      <c r="I21" s="840"/>
      <c r="J21" s="835">
        <f>'1.PL (VND) '!I22/$C$6</f>
        <v>0</v>
      </c>
      <c r="K21" s="835">
        <f>'1.PL (VND) '!J22/$C$6</f>
        <v>3.3E-3</v>
      </c>
      <c r="L21" s="835">
        <f>'1.PL (VND) '!K22/$C$6</f>
        <v>0</v>
      </c>
      <c r="M21" s="835">
        <f>'1.PL (VND) '!L22/$C$6</f>
        <v>1.7249990000000001E-3</v>
      </c>
      <c r="N21" s="840"/>
      <c r="O21" s="835">
        <f>'1.PL (VND) '!N22/$C$6</f>
        <v>0</v>
      </c>
      <c r="P21" s="835">
        <f>'1.PL (VND) '!O22/$C$6</f>
        <v>0.103552835</v>
      </c>
      <c r="Q21" s="835">
        <f>'1.PL (VND) '!P22/$C$6</f>
        <v>6.3231420000000003E-3</v>
      </c>
      <c r="R21" s="835">
        <f>'1.PL (VND) '!Q22/$C$6</f>
        <v>4.8000009999999999E-3</v>
      </c>
      <c r="S21" s="840"/>
      <c r="T21" s="835">
        <f>'1.PL (VND) '!S22/$C$6</f>
        <v>0</v>
      </c>
      <c r="U21" s="835">
        <f>'1.PL (VND) '!T22/$C$6</f>
        <v>0</v>
      </c>
      <c r="V21" s="835">
        <f>'1.PL (VND) '!U22/$C$6</f>
        <v>-0.387852315</v>
      </c>
      <c r="W21" s="835">
        <f>'1.PL (VND) '!V22/$C$6</f>
        <v>-2.2713210000000002E-3</v>
      </c>
      <c r="X21" s="840"/>
      <c r="Y21" s="835">
        <f>'1.PL (VND) '!X22/$C$6</f>
        <v>0</v>
      </c>
      <c r="Z21" s="835">
        <f>'1.PL (VND) '!Y22/$C$6</f>
        <v>0</v>
      </c>
      <c r="AA21" s="835">
        <f>'1.PL (VND) '!Z22/$C$6</f>
        <v>0</v>
      </c>
      <c r="AB21" s="835">
        <f>'1.PL (VND) '!AA22/$C$6</f>
        <v>0</v>
      </c>
      <c r="AC21" s="840"/>
      <c r="AD21" s="835">
        <f>'1.PL (VND) '!AC22/$C$6</f>
        <v>0</v>
      </c>
      <c r="AE21" s="835">
        <f>'1.PL (VND) '!AD22/$C$6</f>
        <v>0</v>
      </c>
      <c r="AF21" s="835">
        <f>'1.PL (VND) '!AE22/$C$6</f>
        <v>0</v>
      </c>
      <c r="AG21" s="835">
        <f>'1.PL (VND) '!AF22/$C$6</f>
        <v>0</v>
      </c>
      <c r="AH21" s="841"/>
      <c r="AI21" s="835">
        <f t="shared" si="16"/>
        <v>0.10642500000000001</v>
      </c>
      <c r="AJ21" s="835">
        <f t="shared" si="16"/>
        <v>-0.566571728</v>
      </c>
      <c r="AK21" s="835">
        <f t="shared" si="16"/>
        <v>-0.27527917299999999</v>
      </c>
      <c r="AL21" s="835">
        <f t="shared" si="17"/>
        <v>-0.124720758</v>
      </c>
      <c r="AM21" s="842"/>
      <c r="AN21" s="835">
        <f>'1.PL (VND) '!AH22/$C$6</f>
        <v>0</v>
      </c>
      <c r="AO21" s="835">
        <f>'1.PL (VND) '!AI22/$C$6</f>
        <v>0</v>
      </c>
      <c r="AP21" s="835">
        <f>'1.PL (VND) '!AJ22/$C$6</f>
        <v>0</v>
      </c>
      <c r="AQ21" s="835">
        <f>'1.PL (VND) '!AK22/$C$6</f>
        <v>0</v>
      </c>
      <c r="AR21" s="840"/>
      <c r="AS21" s="835">
        <f>'1.PL (VND) '!AM22/$C$6</f>
        <v>0</v>
      </c>
      <c r="AT21" s="835">
        <f>'1.PL (VND) '!AN22/$C$6</f>
        <v>0</v>
      </c>
      <c r="AU21" s="835">
        <f>'1.PL (VND) '!AO22/$C$6</f>
        <v>0</v>
      </c>
      <c r="AV21" s="835">
        <f>'1.PL (VND) '!AP22/$C$6</f>
        <v>0</v>
      </c>
      <c r="AW21" s="840"/>
      <c r="AX21" s="835">
        <f>'1.PL (VND) '!AR22/$C$6</f>
        <v>0</v>
      </c>
      <c r="AY21" s="835">
        <f>'1.PL (VND) '!AS22/$C$6</f>
        <v>0</v>
      </c>
      <c r="AZ21" s="835">
        <f>'1.PL (VND) '!AT22/$C$6</f>
        <v>0</v>
      </c>
      <c r="BA21" s="835">
        <f>'1.PL (VND) '!AU22/$C$6</f>
        <v>0</v>
      </c>
      <c r="BB21" s="840"/>
      <c r="BC21" s="835">
        <f>'1.PL (VND) '!AW22/$C$6</f>
        <v>0</v>
      </c>
      <c r="BD21" s="835">
        <f>'1.PL (VND) '!AX22/$C$6</f>
        <v>0</v>
      </c>
      <c r="BE21" s="835">
        <f>'1.PL (VND) '!AY22/$C$6</f>
        <v>0</v>
      </c>
      <c r="BF21" s="835">
        <f>'1.PL (VND) '!AZ22/$C$6</f>
        <v>0</v>
      </c>
      <c r="BG21" s="840"/>
      <c r="BH21" s="835">
        <f>'1.PL (VND) '!BB22/$C$6</f>
        <v>0</v>
      </c>
      <c r="BI21" s="835">
        <f>'1.PL (VND) '!BC22/$C$6</f>
        <v>0</v>
      </c>
      <c r="BJ21" s="835">
        <f>'1.PL (VND) '!BD22/$C$6</f>
        <v>0</v>
      </c>
      <c r="BK21" s="835">
        <f>'1.PL (VND) '!BE22/$C$6</f>
        <v>0</v>
      </c>
      <c r="BL21" s="840"/>
      <c r="BM21" s="835">
        <f>'1.PL (VND) '!BG22/$C$6</f>
        <v>0</v>
      </c>
      <c r="BN21" s="835">
        <f>'1.PL (VND) '!BH22/$C$6</f>
        <v>0</v>
      </c>
      <c r="BO21" s="835">
        <f>'1.PL (VND) '!BI22/$C$6</f>
        <v>0</v>
      </c>
      <c r="BP21" s="835">
        <f>'1.PL (VND) '!BJ22/$C$6</f>
        <v>0</v>
      </c>
      <c r="BQ21" s="841"/>
      <c r="BR21" s="835">
        <f t="shared" si="19"/>
        <v>0.10642500000000001</v>
      </c>
      <c r="BS21" s="835">
        <f t="shared" si="20"/>
        <v>-0.67342456299999998</v>
      </c>
      <c r="BT21" s="835">
        <f t="shared" si="21"/>
        <v>0.10625</v>
      </c>
      <c r="BU21" s="835">
        <f t="shared" si="22"/>
        <v>-0.128974437</v>
      </c>
      <c r="BV21" s="840"/>
      <c r="BW21" s="835">
        <f t="shared" si="23"/>
        <v>0</v>
      </c>
      <c r="BX21" s="835">
        <f t="shared" si="24"/>
        <v>3.3E-3</v>
      </c>
      <c r="BY21" s="835">
        <f t="shared" si="25"/>
        <v>0</v>
      </c>
      <c r="BZ21" s="835">
        <f t="shared" si="26"/>
        <v>1.7249990000000001E-3</v>
      </c>
      <c r="CA21" s="840"/>
      <c r="CB21" s="835">
        <f t="shared" si="27"/>
        <v>0</v>
      </c>
      <c r="CC21" s="835">
        <f t="shared" si="28"/>
        <v>0.103552835</v>
      </c>
      <c r="CD21" s="835">
        <f t="shared" si="29"/>
        <v>6.3231420000000003E-3</v>
      </c>
      <c r="CE21" s="835">
        <f t="shared" si="30"/>
        <v>4.8000009999999999E-3</v>
      </c>
      <c r="CF21" s="840"/>
      <c r="CG21" s="835">
        <f t="shared" si="31"/>
        <v>0</v>
      </c>
      <c r="CH21" s="835">
        <f t="shared" si="32"/>
        <v>0</v>
      </c>
      <c r="CI21" s="835">
        <f t="shared" si="33"/>
        <v>-0.387852315</v>
      </c>
      <c r="CJ21" s="835">
        <f t="shared" si="34"/>
        <v>-2.2713210000000002E-3</v>
      </c>
      <c r="CK21" s="840"/>
      <c r="CL21" s="835">
        <f t="shared" si="35"/>
        <v>0</v>
      </c>
      <c r="CM21" s="835">
        <f t="shared" si="36"/>
        <v>0</v>
      </c>
      <c r="CN21" s="835">
        <f t="shared" si="37"/>
        <v>0</v>
      </c>
      <c r="CO21" s="835">
        <f t="shared" si="38"/>
        <v>0</v>
      </c>
      <c r="CP21" s="840"/>
      <c r="CQ21" s="835">
        <f t="shared" si="39"/>
        <v>0</v>
      </c>
      <c r="CR21" s="835">
        <f t="shared" si="40"/>
        <v>0</v>
      </c>
      <c r="CS21" s="835">
        <f t="shared" si="41"/>
        <v>0</v>
      </c>
      <c r="CT21" s="835">
        <f t="shared" si="42"/>
        <v>0</v>
      </c>
      <c r="CU21" s="842"/>
      <c r="CV21" s="835">
        <f t="shared" si="43"/>
        <v>0.10642500000000001</v>
      </c>
      <c r="CW21" s="835">
        <f t="shared" si="43"/>
        <v>-0.566571728</v>
      </c>
      <c r="CX21" s="835">
        <f t="shared" si="43"/>
        <v>-0.27527917299999999</v>
      </c>
      <c r="CY21" s="835">
        <f t="shared" si="43"/>
        <v>-0.124720758</v>
      </c>
      <c r="CZ21" s="842"/>
      <c r="DA21" s="835">
        <f>'1.PL (VND) '!CU22/$C$6</f>
        <v>0</v>
      </c>
      <c r="DB21" s="835">
        <f>'1.PL (VND) '!CV22/$C$6</f>
        <v>0</v>
      </c>
      <c r="DC21" s="835">
        <f>'1.PL (VND) '!CW22/$C$6</f>
        <v>0</v>
      </c>
      <c r="DD21" s="835">
        <f>'1.PL (VND) '!CX22/$C$6</f>
        <v>0</v>
      </c>
      <c r="DE21" s="842"/>
      <c r="DF21" s="835">
        <f t="shared" si="18"/>
        <v>0.10642500000000001</v>
      </c>
      <c r="DG21" s="835">
        <f t="shared" si="15"/>
        <v>-0.566571728</v>
      </c>
      <c r="DH21" s="835">
        <f t="shared" si="15"/>
        <v>-0.27527917299999999</v>
      </c>
      <c r="DI21" s="835">
        <f t="shared" si="15"/>
        <v>-0.124720758</v>
      </c>
      <c r="DJ21" s="440"/>
    </row>
    <row r="22" spans="3:114" s="447" customFormat="1" ht="15.75" x14ac:dyDescent="0.25">
      <c r="C22" s="775" t="s">
        <v>629</v>
      </c>
      <c r="D22" s="848" t="s">
        <v>288</v>
      </c>
      <c r="E22" s="849">
        <f>'1.PL (VND) '!D23/$C$6</f>
        <v>7.9877434999999997E-2</v>
      </c>
      <c r="F22" s="849">
        <f>'1.PL (VND) '!E23/$C$6</f>
        <v>0.17088075899999999</v>
      </c>
      <c r="G22" s="849">
        <f>'1.PL (VND) '!F23/$C$6</f>
        <v>0.83837139999999999</v>
      </c>
      <c r="H22" s="849">
        <f>'1.PL (VND) '!G23/$C$6</f>
        <v>9.2506361120000005</v>
      </c>
      <c r="I22" s="850"/>
      <c r="J22" s="849">
        <f>'1.PL (VND) '!I23/$C$6</f>
        <v>-1.0096980000000001E-3</v>
      </c>
      <c r="K22" s="849">
        <f>'1.PL (VND) '!J23/$C$6</f>
        <v>0.20928159800000001</v>
      </c>
      <c r="L22" s="849">
        <f>'1.PL (VND) '!K23/$C$6</f>
        <v>-5.2808654209999997</v>
      </c>
      <c r="M22" s="849">
        <f>'1.PL (VND) '!L23/$C$6</f>
        <v>30.502192823000001</v>
      </c>
      <c r="N22" s="850"/>
      <c r="O22" s="849">
        <f>'1.PL (VND) '!N23/$C$6</f>
        <v>1.8676515000000001E-2</v>
      </c>
      <c r="P22" s="849">
        <f>'1.PL (VND) '!O23/$C$6</f>
        <v>7.7082085999999994E-2</v>
      </c>
      <c r="Q22" s="849">
        <f>'1.PL (VND) '!P23/$C$6</f>
        <v>3.6434237000000001E-2</v>
      </c>
      <c r="R22" s="849">
        <f>'1.PL (VND) '!Q23/$C$6</f>
        <v>-3.469627273</v>
      </c>
      <c r="S22" s="850"/>
      <c r="T22" s="849">
        <f>'1.PL (VND) '!S23/$C$6</f>
        <v>-0.30598360899999999</v>
      </c>
      <c r="U22" s="849">
        <f>'1.PL (VND) '!T23/$C$6</f>
        <v>2.437342E-2</v>
      </c>
      <c r="V22" s="849">
        <f>'1.PL (VND) '!U23/$C$6</f>
        <v>-1.9368388700000001</v>
      </c>
      <c r="W22" s="849">
        <f>'1.PL (VND) '!V23/$C$6</f>
        <v>-1.9769112719999999</v>
      </c>
      <c r="X22" s="850"/>
      <c r="Y22" s="849">
        <f>'1.PL (VND) '!X23/$C$6</f>
        <v>0</v>
      </c>
      <c r="Z22" s="849">
        <f>'1.PL (VND) '!Y23/$C$6</f>
        <v>0</v>
      </c>
      <c r="AA22" s="849">
        <f>'1.PL (VND) '!Z23/$C$6</f>
        <v>0</v>
      </c>
      <c r="AB22" s="849">
        <f>'1.PL (VND) '!AA23/$C$6</f>
        <v>0</v>
      </c>
      <c r="AC22" s="850"/>
      <c r="AD22" s="849">
        <f>'1.PL (VND) '!AC23/$C$6</f>
        <v>0</v>
      </c>
      <c r="AE22" s="849">
        <f>'1.PL (VND) '!AD23/$C$6</f>
        <v>0</v>
      </c>
      <c r="AF22" s="849">
        <f>'1.PL (VND) '!AE23/$C$6</f>
        <v>0</v>
      </c>
      <c r="AG22" s="849">
        <f>'1.PL (VND) '!AF23/$C$6</f>
        <v>0</v>
      </c>
      <c r="AH22" s="851"/>
      <c r="AI22" s="849">
        <f t="shared" si="16"/>
        <v>-0.20843935699999999</v>
      </c>
      <c r="AJ22" s="849">
        <f t="shared" si="16"/>
        <v>0.48161786299999998</v>
      </c>
      <c r="AK22" s="849">
        <f t="shared" si="16"/>
        <v>-6.3428986539999999</v>
      </c>
      <c r="AL22" s="849">
        <f t="shared" si="17"/>
        <v>34.306290390000001</v>
      </c>
      <c r="AM22" s="852"/>
      <c r="AN22" s="849">
        <f>'1.PL (VND) '!AH23/$C$6</f>
        <v>0</v>
      </c>
      <c r="AO22" s="849">
        <f>'1.PL (VND) '!AI23/$C$6</f>
        <v>0</v>
      </c>
      <c r="AP22" s="849">
        <f>'1.PL (VND) '!AJ23/$C$6</f>
        <v>-10.749717626000001</v>
      </c>
      <c r="AQ22" s="849">
        <f>'1.PL (VND) '!AK23/$C$6</f>
        <v>-4.6236038879999999</v>
      </c>
      <c r="AR22" s="850"/>
      <c r="AS22" s="849">
        <f>'1.PL (VND) '!AM23/$C$6</f>
        <v>0</v>
      </c>
      <c r="AT22" s="849">
        <f>'1.PL (VND) '!AN23/$C$6</f>
        <v>0</v>
      </c>
      <c r="AU22" s="849">
        <f>'1.PL (VND) '!AO23/$C$6</f>
        <v>-0.74154054899999999</v>
      </c>
      <c r="AV22" s="849">
        <f>'1.PL (VND) '!AP23/$C$6</f>
        <v>0</v>
      </c>
      <c r="AW22" s="850"/>
      <c r="AX22" s="849">
        <f>'1.PL (VND) '!AR23/$C$6</f>
        <v>0</v>
      </c>
      <c r="AY22" s="849">
        <f>'1.PL (VND) '!AS23/$C$6</f>
        <v>0</v>
      </c>
      <c r="AZ22" s="849">
        <f>'1.PL (VND) '!AT23/$C$6</f>
        <v>0</v>
      </c>
      <c r="BA22" s="849">
        <f>'1.PL (VND) '!AU23/$C$6</f>
        <v>-4.95</v>
      </c>
      <c r="BB22" s="850"/>
      <c r="BC22" s="849">
        <f>'1.PL (VND) '!AW23/$C$6</f>
        <v>0</v>
      </c>
      <c r="BD22" s="849">
        <f>'1.PL (VND) '!AX23/$C$6</f>
        <v>0</v>
      </c>
      <c r="BE22" s="849">
        <f>'1.PL (VND) '!AY23/$C$6</f>
        <v>-1.2623553489999999</v>
      </c>
      <c r="BF22" s="849">
        <f>'1.PL (VND) '!AZ23/$C$6</f>
        <v>-5</v>
      </c>
      <c r="BG22" s="850"/>
      <c r="BH22" s="849">
        <f>'1.PL (VND) '!BB23/$C$6</f>
        <v>0</v>
      </c>
      <c r="BI22" s="849">
        <f>'1.PL (VND) '!BC23/$C$6</f>
        <v>0</v>
      </c>
      <c r="BJ22" s="849">
        <f>'1.PL (VND) '!BD23/$C$6</f>
        <v>0</v>
      </c>
      <c r="BK22" s="849">
        <f>'1.PL (VND) '!BE23/$C$6</f>
        <v>0</v>
      </c>
      <c r="BL22" s="850"/>
      <c r="BM22" s="849">
        <f>'1.PL (VND) '!BG23/$C$6</f>
        <v>0</v>
      </c>
      <c r="BN22" s="849">
        <f>'1.PL (VND) '!BH23/$C$6</f>
        <v>0</v>
      </c>
      <c r="BO22" s="849">
        <f>'1.PL (VND) '!BI23/$C$6</f>
        <v>0</v>
      </c>
      <c r="BP22" s="849">
        <f>'1.PL (VND) '!BJ23/$C$6</f>
        <v>0</v>
      </c>
      <c r="BQ22" s="851"/>
      <c r="BR22" s="849">
        <f t="shared" si="19"/>
        <v>7.9877434999999997E-2</v>
      </c>
      <c r="BS22" s="849">
        <f t="shared" si="20"/>
        <v>0.17088075899999999</v>
      </c>
      <c r="BT22" s="849">
        <f t="shared" si="21"/>
        <v>-9.9113462260000009</v>
      </c>
      <c r="BU22" s="849">
        <f t="shared" si="22"/>
        <v>4.6270322240000006</v>
      </c>
      <c r="BV22" s="850"/>
      <c r="BW22" s="849">
        <f t="shared" si="23"/>
        <v>-1.0096980000000001E-3</v>
      </c>
      <c r="BX22" s="849">
        <f t="shared" si="24"/>
        <v>0.20928159800000001</v>
      </c>
      <c r="BY22" s="849">
        <f t="shared" si="25"/>
        <v>-6.0224059699999994</v>
      </c>
      <c r="BZ22" s="849">
        <f t="shared" si="26"/>
        <v>30.502192823000001</v>
      </c>
      <c r="CA22" s="850"/>
      <c r="CB22" s="849">
        <f t="shared" si="27"/>
        <v>1.8676515000000001E-2</v>
      </c>
      <c r="CC22" s="849">
        <f t="shared" si="28"/>
        <v>7.7082085999999994E-2</v>
      </c>
      <c r="CD22" s="849">
        <f t="shared" si="29"/>
        <v>3.6434237000000001E-2</v>
      </c>
      <c r="CE22" s="849">
        <f t="shared" si="30"/>
        <v>-8.4196272729999997</v>
      </c>
      <c r="CF22" s="850"/>
      <c r="CG22" s="849">
        <f t="shared" si="31"/>
        <v>-0.30598360899999999</v>
      </c>
      <c r="CH22" s="849">
        <f t="shared" si="32"/>
        <v>2.437342E-2</v>
      </c>
      <c r="CI22" s="849">
        <f t="shared" si="33"/>
        <v>-3.1991942189999998</v>
      </c>
      <c r="CJ22" s="849">
        <f t="shared" si="34"/>
        <v>-6.9769112719999997</v>
      </c>
      <c r="CK22" s="850"/>
      <c r="CL22" s="849">
        <f t="shared" si="35"/>
        <v>0</v>
      </c>
      <c r="CM22" s="849">
        <f t="shared" si="36"/>
        <v>0</v>
      </c>
      <c r="CN22" s="849">
        <f t="shared" si="37"/>
        <v>0</v>
      </c>
      <c r="CO22" s="849">
        <f t="shared" si="38"/>
        <v>0</v>
      </c>
      <c r="CP22" s="850"/>
      <c r="CQ22" s="849">
        <f t="shared" si="39"/>
        <v>0</v>
      </c>
      <c r="CR22" s="849">
        <f t="shared" si="40"/>
        <v>0</v>
      </c>
      <c r="CS22" s="849">
        <f t="shared" si="41"/>
        <v>0</v>
      </c>
      <c r="CT22" s="849">
        <f t="shared" si="42"/>
        <v>0</v>
      </c>
      <c r="CU22" s="852"/>
      <c r="CV22" s="849">
        <f t="shared" si="43"/>
        <v>-0.20843935699999999</v>
      </c>
      <c r="CW22" s="849">
        <f t="shared" si="43"/>
        <v>0.48161786299999998</v>
      </c>
      <c r="CX22" s="849">
        <f t="shared" si="43"/>
        <v>-19.096512178000001</v>
      </c>
      <c r="CY22" s="849">
        <f t="shared" si="43"/>
        <v>19.732686502000007</v>
      </c>
      <c r="CZ22" s="852"/>
      <c r="DA22" s="849">
        <f>'1.PL (VND) '!CU23/$C$6</f>
        <v>0</v>
      </c>
      <c r="DB22" s="849">
        <f>'1.PL (VND) '!CV23/$C$6</f>
        <v>0</v>
      </c>
      <c r="DC22" s="849">
        <f>'1.PL (VND) '!CW23/$C$6</f>
        <v>0</v>
      </c>
      <c r="DD22" s="849">
        <f>'1.PL (VND) '!CX23/$C$6</f>
        <v>0</v>
      </c>
      <c r="DE22" s="852"/>
      <c r="DF22" s="849">
        <f t="shared" si="18"/>
        <v>-0.20843935699999999</v>
      </c>
      <c r="DG22" s="849">
        <f t="shared" si="15"/>
        <v>0.48161786299999998</v>
      </c>
      <c r="DH22" s="849">
        <f t="shared" si="15"/>
        <v>-19.096512178000001</v>
      </c>
      <c r="DI22" s="849">
        <f t="shared" si="15"/>
        <v>19.732686502000007</v>
      </c>
      <c r="DJ22" s="444"/>
    </row>
    <row r="23" spans="3:114" s="441" customFormat="1" ht="15.75" x14ac:dyDescent="0.25">
      <c r="C23" s="446" t="s">
        <v>630</v>
      </c>
      <c r="D23" s="438" t="s">
        <v>289</v>
      </c>
      <c r="E23" s="835">
        <f>'1.PL (VND) '!D24/$C$6</f>
        <v>1.5975487E-2</v>
      </c>
      <c r="F23" s="835">
        <f>'1.PL (VND) '!E24/$C$6</f>
        <v>3.4176152000000001E-2</v>
      </c>
      <c r="G23" s="835">
        <f>'1.PL (VND) '!F24/$C$6</f>
        <v>2.8102223999999999E-2</v>
      </c>
      <c r="H23" s="835">
        <f>'1.PL (VND) '!G24/$C$6</f>
        <v>1.8501272224</v>
      </c>
      <c r="I23" s="840"/>
      <c r="J23" s="835">
        <f>'1.PL (VND) '!I24/$C$6</f>
        <v>0</v>
      </c>
      <c r="K23" s="835">
        <f>'1.PL (VND) '!J24/$C$6</f>
        <v>0</v>
      </c>
      <c r="L23" s="835">
        <f>'1.PL (VND) '!K24/$C$6</f>
        <v>0</v>
      </c>
      <c r="M23" s="835">
        <f>'1.PL (VND) '!L24/$C$6</f>
        <v>6.1485585646000001</v>
      </c>
      <c r="N23" s="840"/>
      <c r="O23" s="835">
        <f>'1.PL (VND) '!N24/$C$6</f>
        <v>2.6147119999999999E-3</v>
      </c>
      <c r="P23" s="835">
        <f>'1.PL (VND) '!O24/$C$6</f>
        <v>1.0791492E-2</v>
      </c>
      <c r="Q23" s="835">
        <f>'1.PL (VND) '!P24/$C$6</f>
        <v>7.2868469999999999E-3</v>
      </c>
      <c r="R23" s="835">
        <f>'1.PL (VND) '!Q24/$C$6</f>
        <v>0</v>
      </c>
      <c r="S23" s="840"/>
      <c r="T23" s="835">
        <f>'1.PL (VND) '!S24/$C$6</f>
        <v>0</v>
      </c>
      <c r="U23" s="835">
        <f>'1.PL (VND) '!T24/$C$6</f>
        <v>3.4122789999999998E-3</v>
      </c>
      <c r="V23" s="835">
        <f>'1.PL (VND) '!U24/$C$6</f>
        <v>0</v>
      </c>
      <c r="W23" s="835">
        <f>'1.PL (VND) '!V24/$C$6</f>
        <v>2.2713210000000002E-3</v>
      </c>
      <c r="X23" s="840"/>
      <c r="Y23" s="835">
        <f>'1.PL (VND) '!X24/$C$6</f>
        <v>0</v>
      </c>
      <c r="Z23" s="835">
        <f>'1.PL (VND) '!Y24/$C$6</f>
        <v>0</v>
      </c>
      <c r="AA23" s="835">
        <f>'1.PL (VND) '!Z24/$C$6</f>
        <v>0</v>
      </c>
      <c r="AB23" s="835">
        <f>'1.PL (VND) '!AA24/$C$6</f>
        <v>0</v>
      </c>
      <c r="AC23" s="840"/>
      <c r="AD23" s="835">
        <f>'1.PL (VND) '!AC24/$C$6</f>
        <v>0</v>
      </c>
      <c r="AE23" s="835">
        <f>'1.PL (VND) '!AD24/$C$6</f>
        <v>0</v>
      </c>
      <c r="AF23" s="835">
        <f>'1.PL (VND) '!AE24/$C$6</f>
        <v>0</v>
      </c>
      <c r="AG23" s="835">
        <f>'1.PL (VND) '!AF24/$C$6</f>
        <v>0</v>
      </c>
      <c r="AH23" s="841"/>
      <c r="AI23" s="835">
        <f t="shared" si="16"/>
        <v>1.8590199000000002E-2</v>
      </c>
      <c r="AJ23" s="835">
        <f t="shared" si="16"/>
        <v>4.8379922999999998E-2</v>
      </c>
      <c r="AK23" s="835">
        <f t="shared" si="16"/>
        <v>3.5389071000000001E-2</v>
      </c>
      <c r="AL23" s="835">
        <f t="shared" si="17"/>
        <v>8.0009571079999997</v>
      </c>
      <c r="AM23" s="842"/>
      <c r="AN23" s="835">
        <f>'1.PL (VND) '!AH24/$C$6</f>
        <v>0</v>
      </c>
      <c r="AO23" s="835">
        <f>'1.PL (VND) '!AI24/$C$6</f>
        <v>0</v>
      </c>
      <c r="AP23" s="835">
        <f>'1.PL (VND) '!AJ24/$C$6</f>
        <v>0</v>
      </c>
      <c r="AQ23" s="835">
        <f>'1.PL (VND) '!AK24/$C$6</f>
        <v>0</v>
      </c>
      <c r="AR23" s="840"/>
      <c r="AS23" s="835">
        <f>'1.PL (VND) '!AM24/$C$6</f>
        <v>0</v>
      </c>
      <c r="AT23" s="835">
        <f>'1.PL (VND) '!AN24/$C$6</f>
        <v>0</v>
      </c>
      <c r="AU23" s="835">
        <f>'1.PL (VND) '!AO24/$C$6</f>
        <v>0</v>
      </c>
      <c r="AV23" s="835">
        <f>'1.PL (VND) '!AP24/$C$6</f>
        <v>0</v>
      </c>
      <c r="AW23" s="840"/>
      <c r="AX23" s="835">
        <f>'1.PL (VND) '!AR24/$C$6</f>
        <v>0</v>
      </c>
      <c r="AY23" s="835">
        <f>'1.PL (VND) '!AS24/$C$6</f>
        <v>0</v>
      </c>
      <c r="AZ23" s="835">
        <f>'1.PL (VND) '!AT24/$C$6</f>
        <v>0</v>
      </c>
      <c r="BA23" s="835">
        <f>'1.PL (VND) '!AU24/$C$6</f>
        <v>0</v>
      </c>
      <c r="BB23" s="840"/>
      <c r="BC23" s="835">
        <f>'1.PL (VND) '!AW24/$C$6</f>
        <v>0</v>
      </c>
      <c r="BD23" s="835">
        <f>'1.PL (VND) '!AX24/$C$6</f>
        <v>0</v>
      </c>
      <c r="BE23" s="835">
        <f>'1.PL (VND) '!AY24/$C$6</f>
        <v>0</v>
      </c>
      <c r="BF23" s="835">
        <f>'1.PL (VND) '!AZ24/$C$6</f>
        <v>0</v>
      </c>
      <c r="BG23" s="840"/>
      <c r="BH23" s="835">
        <f>'1.PL (VND) '!BB24/$C$6</f>
        <v>0</v>
      </c>
      <c r="BI23" s="835">
        <f>'1.PL (VND) '!BC24/$C$6</f>
        <v>0</v>
      </c>
      <c r="BJ23" s="835">
        <f>'1.PL (VND) '!BD24/$C$6</f>
        <v>0</v>
      </c>
      <c r="BK23" s="835">
        <f>'1.PL (VND) '!BE24/$C$6</f>
        <v>0</v>
      </c>
      <c r="BL23" s="840"/>
      <c r="BM23" s="835">
        <f>'1.PL (VND) '!BG24/$C$6</f>
        <v>0</v>
      </c>
      <c r="BN23" s="835">
        <f>'1.PL (VND) '!BH24/$C$6</f>
        <v>0</v>
      </c>
      <c r="BO23" s="835">
        <f>'1.PL (VND) '!BI24/$C$6</f>
        <v>0</v>
      </c>
      <c r="BP23" s="835">
        <f>'1.PL (VND) '!BJ24/$C$6</f>
        <v>0</v>
      </c>
      <c r="BQ23" s="841"/>
      <c r="BR23" s="835">
        <f t="shared" si="19"/>
        <v>1.5975487E-2</v>
      </c>
      <c r="BS23" s="835">
        <f t="shared" si="20"/>
        <v>3.4176152000000001E-2</v>
      </c>
      <c r="BT23" s="835">
        <f t="shared" si="21"/>
        <v>2.8102223999999999E-2</v>
      </c>
      <c r="BU23" s="835">
        <f t="shared" si="22"/>
        <v>1.8501272224</v>
      </c>
      <c r="BV23" s="840"/>
      <c r="BW23" s="835">
        <f t="shared" si="23"/>
        <v>0</v>
      </c>
      <c r="BX23" s="835">
        <f t="shared" si="24"/>
        <v>0</v>
      </c>
      <c r="BY23" s="835">
        <f t="shared" si="25"/>
        <v>0</v>
      </c>
      <c r="BZ23" s="835">
        <f t="shared" si="26"/>
        <v>6.1485585646000001</v>
      </c>
      <c r="CA23" s="840"/>
      <c r="CB23" s="835">
        <f t="shared" si="27"/>
        <v>2.6147119999999999E-3</v>
      </c>
      <c r="CC23" s="835">
        <f t="shared" si="28"/>
        <v>1.0791492E-2</v>
      </c>
      <c r="CD23" s="835">
        <f t="shared" si="29"/>
        <v>7.2868469999999999E-3</v>
      </c>
      <c r="CE23" s="835">
        <f t="shared" si="30"/>
        <v>0</v>
      </c>
      <c r="CF23" s="840"/>
      <c r="CG23" s="835">
        <f t="shared" si="31"/>
        <v>0</v>
      </c>
      <c r="CH23" s="835">
        <f t="shared" si="32"/>
        <v>3.4122789999999998E-3</v>
      </c>
      <c r="CI23" s="835">
        <f t="shared" si="33"/>
        <v>0</v>
      </c>
      <c r="CJ23" s="835">
        <f t="shared" si="34"/>
        <v>2.2713210000000002E-3</v>
      </c>
      <c r="CK23" s="840"/>
      <c r="CL23" s="835">
        <f t="shared" si="35"/>
        <v>0</v>
      </c>
      <c r="CM23" s="835">
        <f t="shared" si="36"/>
        <v>0</v>
      </c>
      <c r="CN23" s="835">
        <f t="shared" si="37"/>
        <v>0</v>
      </c>
      <c r="CO23" s="835">
        <f t="shared" si="38"/>
        <v>0</v>
      </c>
      <c r="CP23" s="840"/>
      <c r="CQ23" s="835">
        <f t="shared" si="39"/>
        <v>0</v>
      </c>
      <c r="CR23" s="835">
        <f t="shared" si="40"/>
        <v>0</v>
      </c>
      <c r="CS23" s="835">
        <f t="shared" si="41"/>
        <v>0</v>
      </c>
      <c r="CT23" s="835">
        <f t="shared" si="42"/>
        <v>0</v>
      </c>
      <c r="CU23" s="842"/>
      <c r="CV23" s="835">
        <f t="shared" si="43"/>
        <v>1.8590199000000002E-2</v>
      </c>
      <c r="CW23" s="835">
        <f t="shared" si="43"/>
        <v>4.8379922999999998E-2</v>
      </c>
      <c r="CX23" s="835">
        <f t="shared" si="43"/>
        <v>3.5389071000000001E-2</v>
      </c>
      <c r="CY23" s="835">
        <f t="shared" si="43"/>
        <v>8.0009571079999997</v>
      </c>
      <c r="CZ23" s="842"/>
      <c r="DA23" s="835">
        <f>'1.PL (VND) '!CU24/$C$6</f>
        <v>0</v>
      </c>
      <c r="DB23" s="835">
        <f>'1.PL (VND) '!CV24/$C$6</f>
        <v>0</v>
      </c>
      <c r="DC23" s="835">
        <f>'1.PL (VND) '!CW24/$C$6</f>
        <v>0</v>
      </c>
      <c r="DD23" s="835">
        <f>'1.PL (VND) '!CX24/$C$6</f>
        <v>0</v>
      </c>
      <c r="DE23" s="842"/>
      <c r="DF23" s="835">
        <f t="shared" si="18"/>
        <v>1.8590199000000002E-2</v>
      </c>
      <c r="DG23" s="835">
        <f t="shared" si="18"/>
        <v>4.8379922999999998E-2</v>
      </c>
      <c r="DH23" s="835">
        <f t="shared" si="18"/>
        <v>3.5389071000000001E-2</v>
      </c>
      <c r="DI23" s="835">
        <f t="shared" si="18"/>
        <v>8.0009571079999997</v>
      </c>
      <c r="DJ23" s="440"/>
    </row>
    <row r="24" spans="3:114" s="441" customFormat="1" ht="15.75" x14ac:dyDescent="0.25">
      <c r="C24" s="797" t="s">
        <v>529</v>
      </c>
      <c r="D24" s="438" t="s">
        <v>290</v>
      </c>
      <c r="E24" s="849">
        <f>'1.PL (VND) '!D25/$C$6</f>
        <v>0</v>
      </c>
      <c r="F24" s="849">
        <f>'1.PL (VND) '!E25/$C$6</f>
        <v>0</v>
      </c>
      <c r="G24" s="849">
        <f>'1.PL (VND) '!F25/$C$6</f>
        <v>0</v>
      </c>
      <c r="H24" s="849">
        <f>'1.PL (VND) '!G25/$C$6</f>
        <v>0</v>
      </c>
      <c r="I24" s="840"/>
      <c r="J24" s="849">
        <f>'1.PL (VND) '!I25/$C$6</f>
        <v>0</v>
      </c>
      <c r="K24" s="849">
        <f>'1.PL (VND) '!J25/$C$6</f>
        <v>0</v>
      </c>
      <c r="L24" s="849">
        <f>'1.PL (VND) '!K25/$C$6</f>
        <v>0</v>
      </c>
      <c r="M24" s="849">
        <f>'1.PL (VND) '!L25/$C$6</f>
        <v>0</v>
      </c>
      <c r="N24" s="840"/>
      <c r="O24" s="849">
        <f>'1.PL (VND) '!N25/$C$6</f>
        <v>0</v>
      </c>
      <c r="P24" s="849">
        <f>'1.PL (VND) '!O25/$C$6</f>
        <v>0</v>
      </c>
      <c r="Q24" s="849">
        <f>'1.PL (VND) '!P25/$C$6</f>
        <v>0</v>
      </c>
      <c r="R24" s="849">
        <f>'1.PL (VND) '!Q25/$C$6</f>
        <v>0</v>
      </c>
      <c r="S24" s="840"/>
      <c r="T24" s="849">
        <f>'1.PL (VND) '!S25/$C$6</f>
        <v>0</v>
      </c>
      <c r="U24" s="849">
        <f>'1.PL (VND) '!T25/$C$6</f>
        <v>0</v>
      </c>
      <c r="V24" s="849">
        <f>'1.PL (VND) '!U25/$C$6</f>
        <v>0</v>
      </c>
      <c r="W24" s="849">
        <f>'1.PL (VND) '!V25/$C$6</f>
        <v>0</v>
      </c>
      <c r="X24" s="840"/>
      <c r="Y24" s="849">
        <f>'1.PL (VND) '!X25/$C$6</f>
        <v>0</v>
      </c>
      <c r="Z24" s="849">
        <f>'1.PL (VND) '!Y25/$C$6</f>
        <v>0</v>
      </c>
      <c r="AA24" s="849">
        <f>'1.PL (VND) '!Z25/$C$6</f>
        <v>0</v>
      </c>
      <c r="AB24" s="849">
        <f>'1.PL (VND) '!AA25/$C$6</f>
        <v>0</v>
      </c>
      <c r="AC24" s="840"/>
      <c r="AD24" s="849">
        <f>'1.PL (VND) '!AC25/$C$6</f>
        <v>0</v>
      </c>
      <c r="AE24" s="849">
        <f>'1.PL (VND) '!AD25/$C$6</f>
        <v>0</v>
      </c>
      <c r="AF24" s="849">
        <f>'1.PL (VND) '!AE25/$C$6</f>
        <v>0</v>
      </c>
      <c r="AG24" s="849">
        <f>'1.PL (VND) '!AF25/$C$6</f>
        <v>0</v>
      </c>
      <c r="AH24" s="841"/>
      <c r="AI24" s="835">
        <f t="shared" si="16"/>
        <v>0</v>
      </c>
      <c r="AJ24" s="835">
        <f t="shared" si="16"/>
        <v>0</v>
      </c>
      <c r="AK24" s="835">
        <f t="shared" si="16"/>
        <v>0</v>
      </c>
      <c r="AL24" s="835">
        <f t="shared" si="17"/>
        <v>0</v>
      </c>
      <c r="AM24" s="852"/>
      <c r="AN24" s="849">
        <f>'1.PL (VND) '!AH25/$C$6</f>
        <v>0</v>
      </c>
      <c r="AO24" s="849">
        <f>'1.PL (VND) '!AI25/$C$6</f>
        <v>0</v>
      </c>
      <c r="AP24" s="849">
        <f>'1.PL (VND) '!AJ25/$C$6</f>
        <v>0</v>
      </c>
      <c r="AQ24" s="849">
        <f>'1.PL (VND) '!AK25/$C$6</f>
        <v>0</v>
      </c>
      <c r="AR24" s="840"/>
      <c r="AS24" s="849">
        <f>'1.PL (VND) '!AM25/$C$6</f>
        <v>0</v>
      </c>
      <c r="AT24" s="849">
        <f>'1.PL (VND) '!AN25/$C$6</f>
        <v>0</v>
      </c>
      <c r="AU24" s="849">
        <f>'1.PL (VND) '!AO25/$C$6</f>
        <v>0</v>
      </c>
      <c r="AV24" s="849">
        <f>'1.PL (VND) '!AP25/$C$6</f>
        <v>0</v>
      </c>
      <c r="AW24" s="840"/>
      <c r="AX24" s="849">
        <f>'1.PL (VND) '!AR25/$C$6</f>
        <v>0</v>
      </c>
      <c r="AY24" s="849">
        <f>'1.PL (VND) '!AS25/$C$6</f>
        <v>0</v>
      </c>
      <c r="AZ24" s="849">
        <f>'1.PL (VND) '!AT25/$C$6</f>
        <v>0</v>
      </c>
      <c r="BA24" s="849">
        <f>'1.PL (VND) '!AU25/$C$6</f>
        <v>0</v>
      </c>
      <c r="BB24" s="840"/>
      <c r="BC24" s="835">
        <f>'1.PL (VND) '!AW25/$C$6</f>
        <v>0</v>
      </c>
      <c r="BD24" s="835">
        <f>'1.PL (VND) '!AX25/$C$6</f>
        <v>0</v>
      </c>
      <c r="BE24" s="835">
        <f>'1.PL (VND) '!AY25/$C$6</f>
        <v>0</v>
      </c>
      <c r="BF24" s="835">
        <f>'1.PL (VND) '!AZ25/$C$6</f>
        <v>0</v>
      </c>
      <c r="BG24" s="840"/>
      <c r="BH24" s="835">
        <f>'1.PL (VND) '!BB25/$C$6</f>
        <v>0</v>
      </c>
      <c r="BI24" s="835">
        <f>'1.PL (VND) '!BC25/$C$6</f>
        <v>0</v>
      </c>
      <c r="BJ24" s="835">
        <f>'1.PL (VND) '!BD25/$C$6</f>
        <v>0</v>
      </c>
      <c r="BK24" s="835">
        <f>'1.PL (VND) '!BE25/$C$6</f>
        <v>0</v>
      </c>
      <c r="BL24" s="840"/>
      <c r="BM24" s="835">
        <f>'1.PL (VND) '!BG25/$C$6</f>
        <v>0</v>
      </c>
      <c r="BN24" s="835">
        <f>'1.PL (VND) '!BH25/$C$6</f>
        <v>0</v>
      </c>
      <c r="BO24" s="835">
        <f>'1.PL (VND) '!BI25/$C$6</f>
        <v>0</v>
      </c>
      <c r="BP24" s="835">
        <f>'1.PL (VND) '!BJ25/$C$6</f>
        <v>0</v>
      </c>
      <c r="BQ24" s="841"/>
      <c r="BR24" s="835">
        <f t="shared" si="19"/>
        <v>0</v>
      </c>
      <c r="BS24" s="835">
        <f t="shared" si="20"/>
        <v>0</v>
      </c>
      <c r="BT24" s="835">
        <f t="shared" si="21"/>
        <v>0</v>
      </c>
      <c r="BU24" s="835">
        <f t="shared" si="22"/>
        <v>0</v>
      </c>
      <c r="BV24" s="840"/>
      <c r="BW24" s="835">
        <f t="shared" si="23"/>
        <v>0</v>
      </c>
      <c r="BX24" s="835">
        <f t="shared" si="24"/>
        <v>0</v>
      </c>
      <c r="BY24" s="835">
        <f t="shared" si="25"/>
        <v>0</v>
      </c>
      <c r="BZ24" s="835">
        <f t="shared" si="26"/>
        <v>0</v>
      </c>
      <c r="CA24" s="840"/>
      <c r="CB24" s="835">
        <f t="shared" si="27"/>
        <v>0</v>
      </c>
      <c r="CC24" s="835">
        <f t="shared" si="28"/>
        <v>0</v>
      </c>
      <c r="CD24" s="835">
        <f t="shared" si="29"/>
        <v>0</v>
      </c>
      <c r="CE24" s="835">
        <f t="shared" si="30"/>
        <v>0</v>
      </c>
      <c r="CF24" s="840"/>
      <c r="CG24" s="835">
        <f t="shared" si="31"/>
        <v>0</v>
      </c>
      <c r="CH24" s="835">
        <f t="shared" si="32"/>
        <v>0</v>
      </c>
      <c r="CI24" s="835">
        <f t="shared" si="33"/>
        <v>0</v>
      </c>
      <c r="CJ24" s="835">
        <f t="shared" si="34"/>
        <v>0</v>
      </c>
      <c r="CK24" s="840"/>
      <c r="CL24" s="835">
        <f t="shared" si="35"/>
        <v>0</v>
      </c>
      <c r="CM24" s="835">
        <f t="shared" si="36"/>
        <v>0</v>
      </c>
      <c r="CN24" s="835">
        <f t="shared" si="37"/>
        <v>0</v>
      </c>
      <c r="CO24" s="835">
        <f t="shared" si="38"/>
        <v>0</v>
      </c>
      <c r="CP24" s="840"/>
      <c r="CQ24" s="835">
        <f t="shared" si="39"/>
        <v>0</v>
      </c>
      <c r="CR24" s="835">
        <f t="shared" si="40"/>
        <v>0</v>
      </c>
      <c r="CS24" s="835">
        <f t="shared" si="41"/>
        <v>0</v>
      </c>
      <c r="CT24" s="835">
        <f t="shared" si="42"/>
        <v>0</v>
      </c>
      <c r="CU24" s="842"/>
      <c r="CV24" s="835">
        <f t="shared" si="43"/>
        <v>0</v>
      </c>
      <c r="CW24" s="835">
        <f t="shared" si="43"/>
        <v>0</v>
      </c>
      <c r="CX24" s="835">
        <f t="shared" si="43"/>
        <v>0</v>
      </c>
      <c r="CY24" s="835">
        <f t="shared" si="43"/>
        <v>0</v>
      </c>
      <c r="CZ24" s="842"/>
      <c r="DA24" s="849">
        <f>'1.PL (VND) '!CU25/$C$6</f>
        <v>0</v>
      </c>
      <c r="DB24" s="849">
        <f>'1.PL (VND) '!CV25/$C$6</f>
        <v>0</v>
      </c>
      <c r="DC24" s="849">
        <f>'1.PL (VND) '!CW25/$C$6</f>
        <v>0</v>
      </c>
      <c r="DD24" s="849">
        <f>'1.PL (VND) '!CX25/$C$6</f>
        <v>0</v>
      </c>
      <c r="DE24" s="842"/>
      <c r="DF24" s="835">
        <f t="shared" si="18"/>
        <v>0</v>
      </c>
      <c r="DG24" s="835">
        <f t="shared" si="18"/>
        <v>0</v>
      </c>
      <c r="DH24" s="835">
        <f t="shared" si="18"/>
        <v>0</v>
      </c>
      <c r="DI24" s="835">
        <f t="shared" si="18"/>
        <v>0</v>
      </c>
      <c r="DJ24" s="444"/>
    </row>
    <row r="25" spans="3:114" s="857" customFormat="1" ht="15.75" x14ac:dyDescent="0.25">
      <c r="C25" s="862" t="s">
        <v>530</v>
      </c>
      <c r="D25" s="863" t="s">
        <v>291</v>
      </c>
      <c r="E25" s="864">
        <f>'1.PL (VND) '!D26/$C$6</f>
        <v>6.3901948E-2</v>
      </c>
      <c r="F25" s="864">
        <f>'1.PL (VND) '!E26/$C$6</f>
        <v>0.13670460700000001</v>
      </c>
      <c r="G25" s="864">
        <f>'1.PL (VND) '!F26/$C$6</f>
        <v>0.81026917600000004</v>
      </c>
      <c r="H25" s="864">
        <f>'1.PL (VND) '!G26/$C$6</f>
        <v>7.4005088896000002</v>
      </c>
      <c r="I25" s="853"/>
      <c r="J25" s="864">
        <f>'1.PL (VND) '!I26/$C$6</f>
        <v>-1.0096980000000001E-3</v>
      </c>
      <c r="K25" s="864">
        <f>'1.PL (VND) '!J26/$C$6</f>
        <v>0.20928159800000001</v>
      </c>
      <c r="L25" s="864">
        <f>'1.PL (VND) '!K26/$C$6</f>
        <v>-5.2808654209999997</v>
      </c>
      <c r="M25" s="864">
        <f>'1.PL (VND) '!L26/$C$6</f>
        <v>24.353634258400003</v>
      </c>
      <c r="N25" s="853"/>
      <c r="O25" s="864">
        <f>'1.PL (VND) '!N26/$C$6</f>
        <v>1.6061802999999999E-2</v>
      </c>
      <c r="P25" s="864">
        <f>'1.PL (VND) '!O26/$C$6</f>
        <v>6.6290593999999994E-2</v>
      </c>
      <c r="Q25" s="864">
        <f>'1.PL (VND) '!P26/$C$6</f>
        <v>2.9147389999999999E-2</v>
      </c>
      <c r="R25" s="864">
        <f>'1.PL (VND) '!Q26/$C$6</f>
        <v>-3.469627273</v>
      </c>
      <c r="S25" s="853"/>
      <c r="T25" s="864">
        <f>'1.PL (VND) '!S26/$C$6</f>
        <v>-0.30598360899999999</v>
      </c>
      <c r="U25" s="864">
        <f>'1.PL (VND) '!T26/$C$6</f>
        <v>2.0961140999999999E-2</v>
      </c>
      <c r="V25" s="864">
        <f>'1.PL (VND) '!U26/$C$6</f>
        <v>-1.9368388700000001</v>
      </c>
      <c r="W25" s="864">
        <f>'1.PL (VND) '!V26/$C$6</f>
        <v>-1.979182593</v>
      </c>
      <c r="X25" s="853"/>
      <c r="Y25" s="864">
        <f>'1.PL (VND) '!X26/$C$6</f>
        <v>0</v>
      </c>
      <c r="Z25" s="864">
        <f>'1.PL (VND) '!Y26/$C$6</f>
        <v>0</v>
      </c>
      <c r="AA25" s="864">
        <f>'1.PL (VND) '!Z26/$C$6</f>
        <v>0</v>
      </c>
      <c r="AB25" s="864">
        <f>'1.PL (VND) '!AA26/$C$6</f>
        <v>0</v>
      </c>
      <c r="AC25" s="853"/>
      <c r="AD25" s="864">
        <f>'1.PL (VND) '!AC26/$C$6</f>
        <v>0</v>
      </c>
      <c r="AE25" s="864">
        <f>'1.PL (VND) '!AD26/$C$6</f>
        <v>0</v>
      </c>
      <c r="AF25" s="864">
        <f>'1.PL (VND) '!AE26/$C$6</f>
        <v>0</v>
      </c>
      <c r="AG25" s="864">
        <f>'1.PL (VND) '!AF26/$C$6</f>
        <v>0</v>
      </c>
      <c r="AH25" s="854"/>
      <c r="AI25" s="865">
        <f t="shared" si="16"/>
        <v>-0.22702955599999999</v>
      </c>
      <c r="AJ25" s="865">
        <f t="shared" si="16"/>
        <v>0.43323793999999999</v>
      </c>
      <c r="AK25" s="865">
        <f t="shared" si="16"/>
        <v>-6.378287724999999</v>
      </c>
      <c r="AL25" s="865">
        <f t="shared" si="17"/>
        <v>26.305333282000003</v>
      </c>
      <c r="AM25" s="852"/>
      <c r="AN25" s="864">
        <f>'1.PL (VND) '!AH26/$C$6</f>
        <v>0</v>
      </c>
      <c r="AO25" s="864">
        <f>'1.PL (VND) '!AI26/$C$6</f>
        <v>0</v>
      </c>
      <c r="AP25" s="864">
        <f>'1.PL (VND) '!AJ26/$C$6</f>
        <v>-10.749717626000001</v>
      </c>
      <c r="AQ25" s="864">
        <f>'1.PL (VND) '!AK26/$C$6</f>
        <v>-4.6236038879999999</v>
      </c>
      <c r="AR25" s="853"/>
      <c r="AS25" s="864">
        <f>'1.PL (VND) '!AM26/$C$6</f>
        <v>0</v>
      </c>
      <c r="AT25" s="864">
        <f>'1.PL (VND) '!AN26/$C$6</f>
        <v>0</v>
      </c>
      <c r="AU25" s="864">
        <f>'1.PL (VND) '!AO26/$C$6</f>
        <v>-0.74154054899999999</v>
      </c>
      <c r="AV25" s="864">
        <f>'1.PL (VND) '!AP26/$C$6</f>
        <v>0</v>
      </c>
      <c r="AW25" s="853"/>
      <c r="AX25" s="864">
        <f>'1.PL (VND) '!AR26/$C$6</f>
        <v>0</v>
      </c>
      <c r="AY25" s="864">
        <f>'1.PL (VND) '!AS26/$C$6</f>
        <v>0</v>
      </c>
      <c r="AZ25" s="864">
        <f>'1.PL (VND) '!AT26/$C$6</f>
        <v>0</v>
      </c>
      <c r="BA25" s="864">
        <f>'1.PL (VND) '!AU26/$C$6</f>
        <v>-4.95</v>
      </c>
      <c r="BB25" s="853"/>
      <c r="BC25" s="865">
        <f>'1.PL (VND) '!AW26/$C$6</f>
        <v>0</v>
      </c>
      <c r="BD25" s="865">
        <f>'1.PL (VND) '!AX26/$C$6</f>
        <v>0</v>
      </c>
      <c r="BE25" s="865">
        <f>'1.PL (VND) '!AY26/$C$6</f>
        <v>-1.2623553489999999</v>
      </c>
      <c r="BF25" s="865">
        <f>'1.PL (VND) '!AZ26/$C$6</f>
        <v>-5</v>
      </c>
      <c r="BG25" s="853"/>
      <c r="BH25" s="865">
        <f>'1.PL (VND) '!BB26/$C$6</f>
        <v>0</v>
      </c>
      <c r="BI25" s="865">
        <f>'1.PL (VND) '!BC26/$C$6</f>
        <v>0</v>
      </c>
      <c r="BJ25" s="865">
        <f>'1.PL (VND) '!BD26/$C$6</f>
        <v>0</v>
      </c>
      <c r="BK25" s="865">
        <f>'1.PL (VND) '!BE26/$C$6</f>
        <v>0</v>
      </c>
      <c r="BL25" s="853"/>
      <c r="BM25" s="865">
        <f>'1.PL (VND) '!BG26/$C$6</f>
        <v>0</v>
      </c>
      <c r="BN25" s="865">
        <f>'1.PL (VND) '!BH26/$C$6</f>
        <v>0</v>
      </c>
      <c r="BO25" s="865">
        <f>'1.PL (VND) '!BI26/$C$6</f>
        <v>0</v>
      </c>
      <c r="BP25" s="865">
        <f>'1.PL (VND) '!BJ26/$C$6</f>
        <v>0</v>
      </c>
      <c r="BQ25" s="854"/>
      <c r="BR25" s="865">
        <f t="shared" si="19"/>
        <v>6.3901948E-2</v>
      </c>
      <c r="BS25" s="865">
        <f t="shared" si="20"/>
        <v>0.13670460700000001</v>
      </c>
      <c r="BT25" s="865">
        <f t="shared" si="21"/>
        <v>-9.9394484500000004</v>
      </c>
      <c r="BU25" s="865">
        <f t="shared" si="22"/>
        <v>2.7769050016000003</v>
      </c>
      <c r="BV25" s="853"/>
      <c r="BW25" s="865">
        <f t="shared" si="23"/>
        <v>-1.0096980000000001E-3</v>
      </c>
      <c r="BX25" s="865">
        <f t="shared" si="24"/>
        <v>0.20928159800000001</v>
      </c>
      <c r="BY25" s="865">
        <f t="shared" si="25"/>
        <v>-6.0224059699999994</v>
      </c>
      <c r="BZ25" s="865">
        <f t="shared" si="26"/>
        <v>24.353634258400003</v>
      </c>
      <c r="CA25" s="853"/>
      <c r="CB25" s="865">
        <f t="shared" si="27"/>
        <v>1.6061802999999999E-2</v>
      </c>
      <c r="CC25" s="865">
        <f t="shared" si="28"/>
        <v>6.6290593999999994E-2</v>
      </c>
      <c r="CD25" s="865">
        <f t="shared" si="29"/>
        <v>2.9147389999999999E-2</v>
      </c>
      <c r="CE25" s="865">
        <f t="shared" si="30"/>
        <v>-8.4196272729999997</v>
      </c>
      <c r="CF25" s="853"/>
      <c r="CG25" s="865">
        <f t="shared" si="31"/>
        <v>-0.30598360899999999</v>
      </c>
      <c r="CH25" s="865">
        <f t="shared" si="32"/>
        <v>2.0961140999999999E-2</v>
      </c>
      <c r="CI25" s="865">
        <f t="shared" si="33"/>
        <v>-3.1991942189999998</v>
      </c>
      <c r="CJ25" s="865">
        <f t="shared" si="34"/>
        <v>-6.979182593</v>
      </c>
      <c r="CK25" s="853"/>
      <c r="CL25" s="865">
        <f t="shared" si="35"/>
        <v>0</v>
      </c>
      <c r="CM25" s="865">
        <f t="shared" si="36"/>
        <v>0</v>
      </c>
      <c r="CN25" s="865">
        <f t="shared" si="37"/>
        <v>0</v>
      </c>
      <c r="CO25" s="865">
        <f t="shared" si="38"/>
        <v>0</v>
      </c>
      <c r="CP25" s="853"/>
      <c r="CQ25" s="865">
        <f t="shared" si="39"/>
        <v>0</v>
      </c>
      <c r="CR25" s="865">
        <f t="shared" si="40"/>
        <v>0</v>
      </c>
      <c r="CS25" s="865">
        <f t="shared" si="41"/>
        <v>0</v>
      </c>
      <c r="CT25" s="865">
        <f t="shared" si="42"/>
        <v>0</v>
      </c>
      <c r="CU25" s="856"/>
      <c r="CV25" s="865">
        <f t="shared" si="43"/>
        <v>-0.22702955599999999</v>
      </c>
      <c r="CW25" s="865">
        <f t="shared" si="43"/>
        <v>0.43323793999999999</v>
      </c>
      <c r="CX25" s="865">
        <f t="shared" si="43"/>
        <v>-19.131901248999998</v>
      </c>
      <c r="CY25" s="865">
        <f t="shared" si="43"/>
        <v>11.731729394000002</v>
      </c>
      <c r="CZ25" s="856"/>
      <c r="DA25" s="864">
        <f>'1.PL (VND) '!CU26/$C$6</f>
        <v>0</v>
      </c>
      <c r="DB25" s="864">
        <f>'1.PL (VND) '!CV26/$C$6</f>
        <v>0</v>
      </c>
      <c r="DC25" s="864">
        <f>'1.PL (VND) '!CW26/$C$6</f>
        <v>0</v>
      </c>
      <c r="DD25" s="864">
        <f>'1.PL (VND) '!CX26/$C$6</f>
        <v>0</v>
      </c>
      <c r="DE25" s="856"/>
      <c r="DF25" s="865">
        <f t="shared" si="18"/>
        <v>-0.22702955599999999</v>
      </c>
      <c r="DG25" s="865">
        <f t="shared" si="18"/>
        <v>0.43323793999999999</v>
      </c>
      <c r="DH25" s="865">
        <f t="shared" si="18"/>
        <v>-19.131901248999998</v>
      </c>
      <c r="DI25" s="865">
        <f t="shared" si="18"/>
        <v>11.731729394000002</v>
      </c>
      <c r="DJ25" s="444"/>
    </row>
    <row r="26" spans="3:114" s="441" customFormat="1" ht="15.75" x14ac:dyDescent="0.25">
      <c r="C26" s="797" t="s">
        <v>631</v>
      </c>
      <c r="D26" s="438"/>
      <c r="E26" s="849">
        <f>'1.PL (VND) '!D27/$C$6</f>
        <v>0</v>
      </c>
      <c r="F26" s="849">
        <f>'1.PL (VND) '!E27/$C$6</f>
        <v>0</v>
      </c>
      <c r="G26" s="849">
        <f>'1.PL (VND) '!F27/$C$6</f>
        <v>0</v>
      </c>
      <c r="H26" s="849">
        <f>'1.PL (VND) '!G27/$C$6</f>
        <v>0</v>
      </c>
      <c r="I26" s="840"/>
      <c r="J26" s="849">
        <f>'1.PL (VND) '!I27/$C$6</f>
        <v>0</v>
      </c>
      <c r="K26" s="849">
        <f>'1.PL (VND) '!J27/$C$6</f>
        <v>0</v>
      </c>
      <c r="L26" s="849">
        <f>'1.PL (VND) '!K27/$C$6</f>
        <v>0</v>
      </c>
      <c r="M26" s="849">
        <f>'1.PL (VND) '!L27/$C$6</f>
        <v>0</v>
      </c>
      <c r="N26" s="840"/>
      <c r="O26" s="849">
        <f>'1.PL (VND) '!N27/$C$6</f>
        <v>0</v>
      </c>
      <c r="P26" s="849">
        <f>'1.PL (VND) '!O27/$C$6</f>
        <v>0</v>
      </c>
      <c r="Q26" s="849">
        <f>'1.PL (VND) '!P27/$C$6</f>
        <v>0</v>
      </c>
      <c r="R26" s="849">
        <f>'1.PL (VND) '!Q27/$C$6</f>
        <v>0</v>
      </c>
      <c r="S26" s="840"/>
      <c r="T26" s="849">
        <f>'1.PL (VND) '!S27/$C$6</f>
        <v>0</v>
      </c>
      <c r="U26" s="849">
        <f>'1.PL (VND) '!T27/$C$6</f>
        <v>0</v>
      </c>
      <c r="V26" s="849">
        <f>'1.PL (VND) '!U27/$C$6</f>
        <v>0</v>
      </c>
      <c r="W26" s="849">
        <f>'1.PL (VND) '!V27/$C$6</f>
        <v>0</v>
      </c>
      <c r="X26" s="840"/>
      <c r="Y26" s="849">
        <f>'1.PL (VND) '!X27/$C$6</f>
        <v>0</v>
      </c>
      <c r="Z26" s="849">
        <f>'1.PL (VND) '!Y27/$C$6</f>
        <v>0</v>
      </c>
      <c r="AA26" s="849">
        <f>'1.PL (VND) '!Z27/$C$6</f>
        <v>0</v>
      </c>
      <c r="AB26" s="849">
        <f>'1.PL (VND) '!AA27/$C$6</f>
        <v>0</v>
      </c>
      <c r="AC26" s="840"/>
      <c r="AD26" s="849">
        <f>'1.PL (VND) '!AC27/$C$6</f>
        <v>0</v>
      </c>
      <c r="AE26" s="849">
        <f>'1.PL (VND) '!AD27/$C$6</f>
        <v>0</v>
      </c>
      <c r="AF26" s="849">
        <f>'1.PL (VND) '!AE27/$C$6</f>
        <v>0</v>
      </c>
      <c r="AG26" s="849">
        <f>'1.PL (VND) '!AF27/$C$6</f>
        <v>0</v>
      </c>
      <c r="AH26" s="841"/>
      <c r="AI26" s="835">
        <f t="shared" si="16"/>
        <v>0</v>
      </c>
      <c r="AJ26" s="835">
        <f t="shared" si="16"/>
        <v>0</v>
      </c>
      <c r="AK26" s="835">
        <f t="shared" si="16"/>
        <v>0</v>
      </c>
      <c r="AL26" s="835">
        <f t="shared" si="17"/>
        <v>0</v>
      </c>
      <c r="AM26" s="842"/>
      <c r="AN26" s="849">
        <f>'1.PL (VND) '!AH27/$C$6</f>
        <v>0</v>
      </c>
      <c r="AO26" s="849">
        <f>'1.PL (VND) '!AI27/$C$6</f>
        <v>0</v>
      </c>
      <c r="AP26" s="849">
        <f>'1.PL (VND) '!AJ27/$C$6</f>
        <v>0</v>
      </c>
      <c r="AQ26" s="849">
        <f>'1.PL (VND) '!AK27/$C$6</f>
        <v>0</v>
      </c>
      <c r="AR26" s="840"/>
      <c r="AS26" s="849">
        <f>'1.PL (VND) '!AM27/$C$6</f>
        <v>0</v>
      </c>
      <c r="AT26" s="849">
        <f>'1.PL (VND) '!AN27/$C$6</f>
        <v>0</v>
      </c>
      <c r="AU26" s="849">
        <f>'1.PL (VND) '!AO27/$C$6</f>
        <v>0</v>
      </c>
      <c r="AV26" s="849">
        <f>'1.PL (VND) '!AP27/$C$6</f>
        <v>0</v>
      </c>
      <c r="AW26" s="840"/>
      <c r="AX26" s="849">
        <f>'1.PL (VND) '!AR27/$C$6</f>
        <v>0</v>
      </c>
      <c r="AY26" s="849">
        <f>'1.PL (VND) '!AS27/$C$6</f>
        <v>0</v>
      </c>
      <c r="AZ26" s="849">
        <f>'1.PL (VND) '!AT27/$C$6</f>
        <v>0</v>
      </c>
      <c r="BA26" s="849">
        <f>'1.PL (VND) '!AU27/$C$6</f>
        <v>0</v>
      </c>
      <c r="BB26" s="840"/>
      <c r="BC26" s="835">
        <f>'1.PL (VND) '!AW27/$C$6</f>
        <v>0</v>
      </c>
      <c r="BD26" s="835">
        <f>'1.PL (VND) '!AX27/$C$6</f>
        <v>0</v>
      </c>
      <c r="BE26" s="835">
        <f>'1.PL (VND) '!AY27/$C$6</f>
        <v>0</v>
      </c>
      <c r="BF26" s="835">
        <f>'1.PL (VND) '!AZ27/$C$6</f>
        <v>0</v>
      </c>
      <c r="BG26" s="840"/>
      <c r="BH26" s="835">
        <f>'1.PL (VND) '!BB27/$C$6</f>
        <v>0</v>
      </c>
      <c r="BI26" s="835">
        <f>'1.PL (VND) '!BC27/$C$6</f>
        <v>0</v>
      </c>
      <c r="BJ26" s="835">
        <f>'1.PL (VND) '!BD27/$C$6</f>
        <v>0</v>
      </c>
      <c r="BK26" s="835">
        <f>'1.PL (VND) '!BE27/$C$6</f>
        <v>0</v>
      </c>
      <c r="BL26" s="840"/>
      <c r="BM26" s="835">
        <f>'1.PL (VND) '!BG27/$C$6</f>
        <v>0</v>
      </c>
      <c r="BN26" s="835">
        <f>'1.PL (VND) '!BH27/$C$6</f>
        <v>0</v>
      </c>
      <c r="BO26" s="835">
        <f>'1.PL (VND) '!BI27/$C$6</f>
        <v>0</v>
      </c>
      <c r="BP26" s="835">
        <f>'1.PL (VND) '!BJ27/$C$6</f>
        <v>0</v>
      </c>
      <c r="BQ26" s="841"/>
      <c r="BR26" s="835">
        <f t="shared" si="19"/>
        <v>0</v>
      </c>
      <c r="BS26" s="835">
        <f t="shared" si="20"/>
        <v>0</v>
      </c>
      <c r="BT26" s="835">
        <f t="shared" si="21"/>
        <v>0</v>
      </c>
      <c r="BU26" s="835">
        <f t="shared" si="22"/>
        <v>0</v>
      </c>
      <c r="BV26" s="840"/>
      <c r="BW26" s="835">
        <f t="shared" si="23"/>
        <v>0</v>
      </c>
      <c r="BX26" s="835">
        <f t="shared" si="24"/>
        <v>0</v>
      </c>
      <c r="BY26" s="835">
        <f t="shared" si="25"/>
        <v>0</v>
      </c>
      <c r="BZ26" s="835">
        <f t="shared" si="26"/>
        <v>0</v>
      </c>
      <c r="CA26" s="840"/>
      <c r="CB26" s="835">
        <f t="shared" si="27"/>
        <v>0</v>
      </c>
      <c r="CC26" s="835">
        <f t="shared" si="28"/>
        <v>0</v>
      </c>
      <c r="CD26" s="835">
        <f t="shared" si="29"/>
        <v>0</v>
      </c>
      <c r="CE26" s="835">
        <f t="shared" si="30"/>
        <v>0</v>
      </c>
      <c r="CF26" s="840"/>
      <c r="CG26" s="835">
        <f t="shared" si="31"/>
        <v>0</v>
      </c>
      <c r="CH26" s="835">
        <f t="shared" si="32"/>
        <v>0</v>
      </c>
      <c r="CI26" s="835">
        <f t="shared" si="33"/>
        <v>0</v>
      </c>
      <c r="CJ26" s="835">
        <f t="shared" si="34"/>
        <v>0</v>
      </c>
      <c r="CK26" s="840"/>
      <c r="CL26" s="835">
        <f t="shared" si="35"/>
        <v>0</v>
      </c>
      <c r="CM26" s="835">
        <f t="shared" si="36"/>
        <v>0</v>
      </c>
      <c r="CN26" s="835">
        <f t="shared" si="37"/>
        <v>0</v>
      </c>
      <c r="CO26" s="835">
        <f t="shared" si="38"/>
        <v>0</v>
      </c>
      <c r="CP26" s="840"/>
      <c r="CQ26" s="835">
        <f t="shared" si="39"/>
        <v>0</v>
      </c>
      <c r="CR26" s="835">
        <f t="shared" si="40"/>
        <v>0</v>
      </c>
      <c r="CS26" s="835">
        <f t="shared" si="41"/>
        <v>0</v>
      </c>
      <c r="CT26" s="835">
        <f t="shared" si="42"/>
        <v>0</v>
      </c>
      <c r="CU26" s="842"/>
      <c r="CV26" s="835">
        <f t="shared" si="43"/>
        <v>0</v>
      </c>
      <c r="CW26" s="835">
        <f t="shared" si="43"/>
        <v>0</v>
      </c>
      <c r="CX26" s="835">
        <f t="shared" si="43"/>
        <v>0</v>
      </c>
      <c r="CY26" s="835">
        <f t="shared" si="43"/>
        <v>0</v>
      </c>
      <c r="CZ26" s="842"/>
      <c r="DA26" s="849">
        <f>'1.PL (VND) '!CU27/$C$6</f>
        <v>0</v>
      </c>
      <c r="DB26" s="849">
        <f>'1.PL (VND) '!CV27/$C$6</f>
        <v>0</v>
      </c>
      <c r="DC26" s="849">
        <f>'1.PL (VND) '!CW27/$C$6</f>
        <v>0</v>
      </c>
      <c r="DD26" s="849">
        <f>'1.PL (VND) '!CX27/$C$6</f>
        <v>0</v>
      </c>
      <c r="DE26" s="842"/>
      <c r="DF26" s="835">
        <f t="shared" si="18"/>
        <v>0</v>
      </c>
      <c r="DG26" s="835">
        <f t="shared" si="18"/>
        <v>0</v>
      </c>
      <c r="DH26" s="835">
        <f t="shared" si="18"/>
        <v>0</v>
      </c>
      <c r="DI26" s="835">
        <f t="shared" si="18"/>
        <v>0</v>
      </c>
      <c r="DJ26" s="444"/>
    </row>
    <row r="27" spans="3:114" s="441" customFormat="1" ht="15.75" x14ac:dyDescent="0.25">
      <c r="C27" s="438" t="s">
        <v>632</v>
      </c>
      <c r="D27" s="438"/>
      <c r="E27" s="835">
        <f>'1.PL (VND) '!D28/$C$6</f>
        <v>0</v>
      </c>
      <c r="F27" s="835">
        <f>'1.PL (VND) '!E28/$C$6</f>
        <v>0</v>
      </c>
      <c r="G27" s="835">
        <f>'1.PL (VND) '!F28/$C$6</f>
        <v>0</v>
      </c>
      <c r="H27" s="835">
        <f>'1.PL (VND) '!G28/$C$6</f>
        <v>0</v>
      </c>
      <c r="I27" s="840"/>
      <c r="J27" s="835">
        <f>'1.PL (VND) '!I28/$C$6</f>
        <v>0</v>
      </c>
      <c r="K27" s="835">
        <f>'1.PL (VND) '!J28/$C$6</f>
        <v>0</v>
      </c>
      <c r="L27" s="835">
        <f>'1.PL (VND) '!K28/$C$6</f>
        <v>0</v>
      </c>
      <c r="M27" s="835">
        <f>'1.PL (VND) '!L28/$C$6</f>
        <v>0</v>
      </c>
      <c r="N27" s="840"/>
      <c r="O27" s="835">
        <f>'1.PL (VND) '!N28/$C$6</f>
        <v>0</v>
      </c>
      <c r="P27" s="835">
        <f>'1.PL (VND) '!O28/$C$6</f>
        <v>0</v>
      </c>
      <c r="Q27" s="835">
        <f>'1.PL (VND) '!P28/$C$6</f>
        <v>0</v>
      </c>
      <c r="R27" s="835">
        <f>'1.PL (VND) '!Q28/$C$6</f>
        <v>0</v>
      </c>
      <c r="S27" s="840"/>
      <c r="T27" s="835">
        <f>'1.PL (VND) '!S28/$C$6</f>
        <v>0</v>
      </c>
      <c r="U27" s="835">
        <f>'1.PL (VND) '!T28/$C$6</f>
        <v>0</v>
      </c>
      <c r="V27" s="835">
        <f>'1.PL (VND) '!U28/$C$6</f>
        <v>0</v>
      </c>
      <c r="W27" s="835">
        <f>'1.PL (VND) '!V28/$C$6</f>
        <v>0</v>
      </c>
      <c r="X27" s="840"/>
      <c r="Y27" s="835">
        <f>'1.PL (VND) '!X28/$C$6</f>
        <v>0</v>
      </c>
      <c r="Z27" s="835">
        <f>'1.PL (VND) '!Y28/$C$6</f>
        <v>0</v>
      </c>
      <c r="AA27" s="835">
        <f>'1.PL (VND) '!Z28/$C$6</f>
        <v>0</v>
      </c>
      <c r="AB27" s="835">
        <f>'1.PL (VND) '!AA28/$C$6</f>
        <v>0</v>
      </c>
      <c r="AC27" s="840"/>
      <c r="AD27" s="835">
        <f>'1.PL (VND) '!AC28/$C$6</f>
        <v>0</v>
      </c>
      <c r="AE27" s="835">
        <f>'1.PL (VND) '!AD28/$C$6</f>
        <v>0</v>
      </c>
      <c r="AF27" s="835">
        <f>'1.PL (VND) '!AE28/$C$6</f>
        <v>0</v>
      </c>
      <c r="AG27" s="835">
        <f>'1.PL (VND) '!AF28/$C$6</f>
        <v>0</v>
      </c>
      <c r="AH27" s="841"/>
      <c r="AI27" s="835">
        <f>'1.PL (VND) '!AL28/'1.BC_Ra Soat (ty) '!$C$6</f>
        <v>0</v>
      </c>
      <c r="AJ27" s="835">
        <f>'1.PL (VND) '!AM28/'1.BC_Ra Soat (ty) '!$C$6</f>
        <v>0</v>
      </c>
      <c r="AK27" s="835">
        <f>'1.PL (VND) '!AN28/'1.BC_Ra Soat (ty) '!$C$6</f>
        <v>0</v>
      </c>
      <c r="AL27" s="835">
        <f t="shared" si="17"/>
        <v>0</v>
      </c>
      <c r="AM27" s="842"/>
      <c r="AN27" s="835">
        <f>'1.PL (VND) '!AH28/$C$6</f>
        <v>0</v>
      </c>
      <c r="AO27" s="835">
        <f>'1.PL (VND) '!AI28/$C$6</f>
        <v>0</v>
      </c>
      <c r="AP27" s="835">
        <f>'1.PL (VND) '!AJ28/$C$6</f>
        <v>0</v>
      </c>
      <c r="AQ27" s="835">
        <f>'1.PL (VND) '!AK28/$C$6</f>
        <v>0</v>
      </c>
      <c r="AR27" s="840"/>
      <c r="AS27" s="835">
        <f>'1.PL (VND) '!AM28/$C$6</f>
        <v>0</v>
      </c>
      <c r="AT27" s="835">
        <f>'1.PL (VND) '!AN28/$C$6</f>
        <v>0</v>
      </c>
      <c r="AU27" s="835">
        <f>'1.PL (VND) '!AO28/$C$6</f>
        <v>0</v>
      </c>
      <c r="AV27" s="835">
        <f>'1.PL (VND) '!AP28/$C$6</f>
        <v>0</v>
      </c>
      <c r="AW27" s="840"/>
      <c r="AX27" s="835">
        <f>'1.PL (VND) '!AR28/$C$6</f>
        <v>0</v>
      </c>
      <c r="AY27" s="835">
        <f>'1.PL (VND) '!AS28/$C$6</f>
        <v>0</v>
      </c>
      <c r="AZ27" s="835">
        <f>'1.PL (VND) '!AT28/$C$6</f>
        <v>0</v>
      </c>
      <c r="BA27" s="835">
        <f>'1.PL (VND) '!AU28/$C$6</f>
        <v>0</v>
      </c>
      <c r="BB27" s="840"/>
      <c r="BC27" s="835"/>
      <c r="BD27" s="835"/>
      <c r="BE27" s="835"/>
      <c r="BF27" s="835"/>
      <c r="BG27" s="840"/>
      <c r="BH27" s="835"/>
      <c r="BI27" s="835"/>
      <c r="BJ27" s="835"/>
      <c r="BK27" s="835"/>
      <c r="BL27" s="840"/>
      <c r="BM27" s="835">
        <f>'1.PL (VND) '!BG28/$C$6</f>
        <v>0</v>
      </c>
      <c r="BN27" s="835">
        <f>'1.PL (VND) '!BH28/$C$6</f>
        <v>0</v>
      </c>
      <c r="BO27" s="835">
        <f>'1.PL (VND) '!BI28/$C$6</f>
        <v>0</v>
      </c>
      <c r="BP27" s="835">
        <f>'1.PL (VND) '!BJ28/$C$6</f>
        <v>0</v>
      </c>
      <c r="BQ27" s="841"/>
      <c r="BR27" s="835">
        <f t="shared" si="19"/>
        <v>0</v>
      </c>
      <c r="BS27" s="835">
        <f t="shared" si="20"/>
        <v>0</v>
      </c>
      <c r="BT27" s="835">
        <f t="shared" si="21"/>
        <v>0</v>
      </c>
      <c r="BU27" s="835">
        <f t="shared" si="22"/>
        <v>0</v>
      </c>
      <c r="BV27" s="840"/>
      <c r="BW27" s="835">
        <f t="shared" si="23"/>
        <v>0</v>
      </c>
      <c r="BX27" s="835">
        <f t="shared" si="24"/>
        <v>0</v>
      </c>
      <c r="BY27" s="835">
        <f t="shared" si="25"/>
        <v>0</v>
      </c>
      <c r="BZ27" s="835">
        <f t="shared" si="26"/>
        <v>0</v>
      </c>
      <c r="CA27" s="840"/>
      <c r="CB27" s="835">
        <f t="shared" si="27"/>
        <v>0</v>
      </c>
      <c r="CC27" s="835">
        <f t="shared" si="28"/>
        <v>0</v>
      </c>
      <c r="CD27" s="835">
        <f t="shared" si="29"/>
        <v>0</v>
      </c>
      <c r="CE27" s="835">
        <f t="shared" si="30"/>
        <v>0</v>
      </c>
      <c r="CF27" s="840"/>
      <c r="CG27" s="835">
        <f t="shared" si="31"/>
        <v>0</v>
      </c>
      <c r="CH27" s="835">
        <f t="shared" si="32"/>
        <v>0</v>
      </c>
      <c r="CI27" s="835">
        <f t="shared" si="33"/>
        <v>0</v>
      </c>
      <c r="CJ27" s="835">
        <f t="shared" si="34"/>
        <v>0</v>
      </c>
      <c r="CK27" s="840"/>
      <c r="CL27" s="835">
        <f t="shared" si="35"/>
        <v>0</v>
      </c>
      <c r="CM27" s="835">
        <f t="shared" si="36"/>
        <v>0</v>
      </c>
      <c r="CN27" s="835">
        <f t="shared" si="37"/>
        <v>0</v>
      </c>
      <c r="CO27" s="835">
        <f t="shared" si="38"/>
        <v>0</v>
      </c>
      <c r="CP27" s="840"/>
      <c r="CQ27" s="835">
        <f t="shared" si="39"/>
        <v>0</v>
      </c>
      <c r="CR27" s="835">
        <f t="shared" si="40"/>
        <v>0</v>
      </c>
      <c r="CS27" s="835">
        <f t="shared" si="41"/>
        <v>0</v>
      </c>
      <c r="CT27" s="835">
        <f t="shared" si="42"/>
        <v>0</v>
      </c>
      <c r="CU27" s="842"/>
      <c r="CV27" s="835">
        <f t="shared" si="43"/>
        <v>0</v>
      </c>
      <c r="CW27" s="835">
        <f t="shared" si="43"/>
        <v>0</v>
      </c>
      <c r="CX27" s="835">
        <f t="shared" si="43"/>
        <v>0</v>
      </c>
      <c r="CY27" s="835">
        <f t="shared" si="43"/>
        <v>0</v>
      </c>
      <c r="CZ27" s="842"/>
      <c r="DA27" s="835">
        <f>'1.PL (VND) '!CU28/$C$6</f>
        <v>0</v>
      </c>
      <c r="DB27" s="835">
        <f>'1.PL (VND) '!CV28/$C$6</f>
        <v>0</v>
      </c>
      <c r="DC27" s="835">
        <f>'1.PL (VND) '!CW28/$C$6</f>
        <v>0</v>
      </c>
      <c r="DD27" s="835">
        <f>'1.PL (VND) '!CX28/$C$6</f>
        <v>0</v>
      </c>
      <c r="DE27" s="842"/>
      <c r="DF27" s="835">
        <f t="shared" si="18"/>
        <v>0</v>
      </c>
      <c r="DG27" s="835">
        <f t="shared" si="18"/>
        <v>0</v>
      </c>
      <c r="DH27" s="835">
        <f t="shared" si="18"/>
        <v>0</v>
      </c>
      <c r="DI27" s="439">
        <f t="shared" si="18"/>
        <v>0</v>
      </c>
      <c r="DJ27" s="440"/>
    </row>
    <row r="28" spans="3:114" s="213" customFormat="1" ht="15.75" x14ac:dyDescent="0.25">
      <c r="C28" s="287" t="s">
        <v>633</v>
      </c>
      <c r="D28" s="287"/>
      <c r="E28" s="288">
        <f>E11/E9</f>
        <v>5.2257379274866581E-2</v>
      </c>
      <c r="F28" s="288">
        <f t="shared" ref="F28:H28" si="44">F11/F9</f>
        <v>4.6407260673446533E-2</v>
      </c>
      <c r="G28" s="288">
        <f t="shared" si="44"/>
        <v>3.8980349624721147E-2</v>
      </c>
      <c r="H28" s="288">
        <f t="shared" si="44"/>
        <v>7.5637771993680825E-2</v>
      </c>
      <c r="I28" s="289"/>
      <c r="J28" s="288" t="e">
        <f>J11/J9</f>
        <v>#DIV/0!</v>
      </c>
      <c r="K28" s="288">
        <f t="shared" ref="K28:M28" si="45">K11/K9</f>
        <v>5.7531660677483068E-2</v>
      </c>
      <c r="L28" s="288">
        <f t="shared" si="45"/>
        <v>-9.0381564653287481E-3</v>
      </c>
      <c r="M28" s="288">
        <f t="shared" si="45"/>
        <v>0.44205277015034117</v>
      </c>
      <c r="N28" s="289"/>
      <c r="O28" s="288">
        <f>O11/O9</f>
        <v>9.6314460966886076E-2</v>
      </c>
      <c r="P28" s="288">
        <f t="shared" ref="P28:R28" si="46">P11/P9</f>
        <v>0.13427387801553226</v>
      </c>
      <c r="Q28" s="288">
        <f t="shared" si="46"/>
        <v>6.0256070984976116E-2</v>
      </c>
      <c r="R28" s="288">
        <f t="shared" si="46"/>
        <v>7.6508528851785577E-3</v>
      </c>
      <c r="S28" s="290"/>
      <c r="T28" s="288">
        <f>T11/T9</f>
        <v>1.7722835591612585E-2</v>
      </c>
      <c r="U28" s="288">
        <f t="shared" ref="U28:W28" si="47">U11/U9</f>
        <v>4.7814630440387064E-2</v>
      </c>
      <c r="V28" s="288">
        <f t="shared" si="47"/>
        <v>1.7378003566372025E-2</v>
      </c>
      <c r="W28" s="288">
        <f t="shared" si="47"/>
        <v>1.6340305894887018E-2</v>
      </c>
      <c r="X28" s="290"/>
      <c r="Y28" s="288" t="e">
        <f>Y11/Y9</f>
        <v>#DIV/0!</v>
      </c>
      <c r="Z28" s="288" t="e">
        <f t="shared" ref="Z28:AB28" si="48">Z11/Z9</f>
        <v>#DIV/0!</v>
      </c>
      <c r="AA28" s="288" t="e">
        <f t="shared" si="48"/>
        <v>#DIV/0!</v>
      </c>
      <c r="AB28" s="288" t="e">
        <f t="shared" si="48"/>
        <v>#DIV/0!</v>
      </c>
      <c r="AC28" s="289"/>
      <c r="AD28" s="288" t="e">
        <f>AD11/AD9</f>
        <v>#DIV/0!</v>
      </c>
      <c r="AE28" s="288" t="e">
        <f t="shared" ref="AE28:AG28" si="49">AE11/AE9</f>
        <v>#DIV/0!</v>
      </c>
      <c r="AF28" s="288" t="e">
        <f t="shared" si="49"/>
        <v>#DIV/0!</v>
      </c>
      <c r="AG28" s="288" t="e">
        <f t="shared" si="49"/>
        <v>#DIV/0!</v>
      </c>
      <c r="AH28" s="291"/>
      <c r="AI28" s="292">
        <f t="shared" ref="AI28:AL28" si="50">AI11/AI9</f>
        <v>5.7663286015398572E-2</v>
      </c>
      <c r="AJ28" s="292">
        <f t="shared" si="50"/>
        <v>5.7070205973867243E-2</v>
      </c>
      <c r="AK28" s="292">
        <f t="shared" si="50"/>
        <v>3.4052371187169639E-2</v>
      </c>
      <c r="AL28" s="292">
        <f t="shared" si="50"/>
        <v>0.10931357277651259</v>
      </c>
      <c r="AN28" s="288"/>
      <c r="AO28" s="288"/>
      <c r="AP28" s="288"/>
      <c r="AQ28" s="288"/>
      <c r="AR28" s="289"/>
      <c r="AS28" s="288"/>
      <c r="AT28" s="288"/>
      <c r="AU28" s="288"/>
      <c r="AV28" s="288"/>
      <c r="AW28" s="289"/>
      <c r="AX28" s="288"/>
      <c r="AY28" s="288"/>
      <c r="AZ28" s="288"/>
      <c r="BA28" s="288"/>
      <c r="BB28" s="289"/>
      <c r="BC28" s="288"/>
      <c r="BD28" s="288"/>
      <c r="BE28" s="288"/>
      <c r="BF28" s="288"/>
      <c r="BG28" s="289"/>
      <c r="BH28" s="288"/>
      <c r="BI28" s="288"/>
      <c r="BJ28" s="288"/>
      <c r="BK28" s="288"/>
      <c r="BL28" s="289"/>
      <c r="BM28" s="288"/>
      <c r="BN28" s="288"/>
      <c r="BO28" s="288"/>
      <c r="BP28" s="288"/>
      <c r="BQ28" s="291"/>
      <c r="BR28" s="288">
        <f>BR11/BR9</f>
        <v>5.2257379274866581E-2</v>
      </c>
      <c r="BS28" s="288">
        <f t="shared" ref="BS28:BU28" si="51">BS11/BS9</f>
        <v>4.6407260673446533E-2</v>
      </c>
      <c r="BT28" s="288">
        <f t="shared" si="51"/>
        <v>2.6599681924433485E-2</v>
      </c>
      <c r="BU28" s="288">
        <f t="shared" si="51"/>
        <v>7.320519399928134E-2</v>
      </c>
      <c r="BV28" s="289"/>
      <c r="BW28" s="288" t="e">
        <f t="shared" ref="BW28:BX28" si="52">BW11/BW9</f>
        <v>#DIV/0!</v>
      </c>
      <c r="BX28" s="288">
        <f t="shared" si="52"/>
        <v>5.7531660677483068E-2</v>
      </c>
      <c r="BY28" s="288">
        <f>BY11/BY9</f>
        <v>-9.0381564653287481E-3</v>
      </c>
      <c r="BZ28" s="288">
        <f>BZ11/BZ9</f>
        <v>0.44205277015034117</v>
      </c>
      <c r="CA28" s="289"/>
      <c r="CB28" s="288">
        <f t="shared" ref="CB28:CC28" si="53">CB11/CB9</f>
        <v>9.6314460966886076E-2</v>
      </c>
      <c r="CC28" s="288">
        <f t="shared" si="53"/>
        <v>0.13427387801553226</v>
      </c>
      <c r="CD28" s="288">
        <f>CD11/CD9</f>
        <v>6.0256070984976116E-2</v>
      </c>
      <c r="CE28" s="288">
        <f>CE11/CE9</f>
        <v>7.6508528851785577E-3</v>
      </c>
      <c r="CF28" s="289"/>
      <c r="CG28" s="288">
        <f t="shared" ref="CG28:CH28" si="54">CG11/CG9</f>
        <v>1.7722835591612585E-2</v>
      </c>
      <c r="CH28" s="288">
        <f t="shared" si="54"/>
        <v>4.7814630440387064E-2</v>
      </c>
      <c r="CI28" s="288">
        <f>CI11/CI9</f>
        <v>1.7378003566372025E-2</v>
      </c>
      <c r="CJ28" s="288">
        <f>CJ11/CJ9</f>
        <v>1.6340305894887018E-2</v>
      </c>
      <c r="CK28" s="289"/>
      <c r="CL28" s="288" t="e">
        <f t="shared" ref="CL28:CM28" si="55">CL11/CL9</f>
        <v>#DIV/0!</v>
      </c>
      <c r="CM28" s="288" t="e">
        <f t="shared" si="55"/>
        <v>#DIV/0!</v>
      </c>
      <c r="CN28" s="288" t="e">
        <f>CN11/CN9</f>
        <v>#DIV/0!</v>
      </c>
      <c r="CO28" s="288" t="e">
        <f>CO11/CO9</f>
        <v>#DIV/0!</v>
      </c>
      <c r="CP28" s="289"/>
      <c r="CQ28" s="288" t="e">
        <f t="shared" ref="CQ28:CS28" si="56">CQ11/CQ9</f>
        <v>#DIV/0!</v>
      </c>
      <c r="CR28" s="288" t="e">
        <f t="shared" si="56"/>
        <v>#DIV/0!</v>
      </c>
      <c r="CS28" s="288" t="e">
        <f t="shared" si="56"/>
        <v>#DIV/0!</v>
      </c>
      <c r="CT28" s="288" t="e">
        <f t="shared" ref="CT28" si="57">CT11/CT9</f>
        <v>#DIV/0!</v>
      </c>
      <c r="CV28" s="288">
        <f t="shared" ref="CV28:CX28" si="58">CV11/CV9</f>
        <v>5.7663286015398572E-2</v>
      </c>
      <c r="CW28" s="288">
        <f t="shared" si="58"/>
        <v>5.7070205973867243E-2</v>
      </c>
      <c r="CX28" s="288">
        <f t="shared" si="58"/>
        <v>2.5351384035551115E-2</v>
      </c>
      <c r="CY28" s="288">
        <f t="shared" ref="CY28" si="59">CY11/CY9</f>
        <v>0.10757616090725013</v>
      </c>
      <c r="DA28" s="288"/>
      <c r="DB28" s="288"/>
      <c r="DC28" s="288"/>
      <c r="DD28" s="288"/>
      <c r="DF28" s="288">
        <f t="shared" ref="DF28:DH28" si="60">DF11/DF9</f>
        <v>5.7663286015398572E-2</v>
      </c>
      <c r="DG28" s="288">
        <f t="shared" si="60"/>
        <v>5.7070205973867243E-2</v>
      </c>
      <c r="DH28" s="288">
        <f t="shared" si="60"/>
        <v>3.0237704808173494E-2</v>
      </c>
      <c r="DI28" s="288">
        <f t="shared" ref="DI28" si="61">DI11/DI9</f>
        <v>0.12495310360149374</v>
      </c>
      <c r="DJ28" s="267"/>
    </row>
    <row r="29" spans="3:114" s="213" customFormat="1" ht="15.75" x14ac:dyDescent="0.25">
      <c r="C29" s="287" t="s">
        <v>238</v>
      </c>
      <c r="D29" s="287"/>
      <c r="E29" s="288">
        <f>E25/E9</f>
        <v>2.3423136100757865E-4</v>
      </c>
      <c r="F29" s="288">
        <f t="shared" ref="F29:H29" si="62">F25/F9</f>
        <v>3.7844629673586895E-4</v>
      </c>
      <c r="G29" s="288">
        <f t="shared" si="62"/>
        <v>1.9110509432832684E-3</v>
      </c>
      <c r="H29" s="288">
        <f t="shared" si="62"/>
        <v>1.6768116503131248E-2</v>
      </c>
      <c r="I29" s="289"/>
      <c r="J29" s="288" t="e">
        <f>J25/J9</f>
        <v>#DIV/0!</v>
      </c>
      <c r="K29" s="288">
        <f t="shared" ref="K29:M29" si="63">K25/K9</f>
        <v>5.0474865888845317E-3</v>
      </c>
      <c r="L29" s="288">
        <f t="shared" si="63"/>
        <v>-7.564448768951304E-2</v>
      </c>
      <c r="M29" s="288">
        <f t="shared" si="63"/>
        <v>0.32611195819582756</v>
      </c>
      <c r="N29" s="289"/>
      <c r="O29" s="288">
        <f>O25/O9</f>
        <v>2.6972613948928359E-4</v>
      </c>
      <c r="P29" s="288">
        <f t="shared" ref="P29:R29" si="64">P25/P9</f>
        <v>1.2070979711891001E-3</v>
      </c>
      <c r="Q29" s="288">
        <f t="shared" si="64"/>
        <v>4.5536508050575121E-4</v>
      </c>
      <c r="R29" s="288">
        <f t="shared" si="64"/>
        <v>-5.8997505890878335E-2</v>
      </c>
      <c r="S29" s="290"/>
      <c r="T29" s="288">
        <f>T25/T9</f>
        <v>-1.4781114987583992E-2</v>
      </c>
      <c r="U29" s="288">
        <f t="shared" ref="U29:W29" si="65">U25/U9</f>
        <v>4.7641885140728006E-4</v>
      </c>
      <c r="V29" s="288">
        <f t="shared" si="65"/>
        <v>-4.2579956465605751E-2</v>
      </c>
      <c r="W29" s="288">
        <f t="shared" si="65"/>
        <v>-4.5920385303226084E-2</v>
      </c>
      <c r="X29" s="290"/>
      <c r="Y29" s="288" t="e">
        <f>Y25/Y9</f>
        <v>#DIV/0!</v>
      </c>
      <c r="Z29" s="288" t="e">
        <f t="shared" ref="Z29:AB29" si="66">Z25/Z9</f>
        <v>#DIV/0!</v>
      </c>
      <c r="AA29" s="288" t="e">
        <f t="shared" si="66"/>
        <v>#DIV/0!</v>
      </c>
      <c r="AB29" s="288" t="e">
        <f t="shared" si="66"/>
        <v>#DIV/0!</v>
      </c>
      <c r="AC29" s="289"/>
      <c r="AD29" s="288" t="e">
        <f>AD25/AD9</f>
        <v>#DIV/0!</v>
      </c>
      <c r="AE29" s="288" t="e">
        <f t="shared" ref="AE29:AG29" si="67">AE25/AE9</f>
        <v>#DIV/0!</v>
      </c>
      <c r="AF29" s="288" t="e">
        <f t="shared" si="67"/>
        <v>#DIV/0!</v>
      </c>
      <c r="AG29" s="288" t="e">
        <f t="shared" si="67"/>
        <v>#DIV/0!</v>
      </c>
      <c r="AH29" s="291"/>
      <c r="AI29" s="292">
        <f t="shared" ref="AI29:AL29" si="68">AI25/AI9</f>
        <v>-6.4302472073327099E-4</v>
      </c>
      <c r="AJ29" s="292">
        <f t="shared" si="68"/>
        <v>8.6370672087375262E-4</v>
      </c>
      <c r="AK29" s="292">
        <f t="shared" si="68"/>
        <v>-1.0572349532621025E-2</v>
      </c>
      <c r="AL29" s="292">
        <f t="shared" si="68"/>
        <v>4.2569888931933086E-2</v>
      </c>
      <c r="AN29" s="288"/>
      <c r="AO29" s="288"/>
      <c r="AP29" s="288"/>
      <c r="AQ29" s="288"/>
      <c r="AR29" s="289"/>
      <c r="AS29" s="288"/>
      <c r="AT29" s="288"/>
      <c r="AU29" s="288"/>
      <c r="AV29" s="288"/>
      <c r="AW29" s="289"/>
      <c r="AX29" s="288"/>
      <c r="AY29" s="288"/>
      <c r="AZ29" s="288"/>
      <c r="BA29" s="288"/>
      <c r="BB29" s="289"/>
      <c r="BC29" s="288"/>
      <c r="BD29" s="288"/>
      <c r="BE29" s="288"/>
      <c r="BF29" s="288"/>
      <c r="BG29" s="289"/>
      <c r="BH29" s="288"/>
      <c r="BI29" s="288"/>
      <c r="BJ29" s="288"/>
      <c r="BK29" s="288"/>
      <c r="BL29" s="289"/>
      <c r="BM29" s="288"/>
      <c r="BN29" s="288"/>
      <c r="BO29" s="288"/>
      <c r="BP29" s="288"/>
      <c r="BQ29" s="291"/>
      <c r="BR29" s="288">
        <f>BR25/BR9</f>
        <v>2.3423136100757865E-4</v>
      </c>
      <c r="BS29" s="288">
        <f t="shared" ref="BS29:BU29" si="69">BS25/BS9</f>
        <v>3.7844629673586895E-4</v>
      </c>
      <c r="BT29" s="288">
        <f t="shared" si="69"/>
        <v>-2.3442570566312545E-2</v>
      </c>
      <c r="BU29" s="288">
        <f t="shared" si="69"/>
        <v>6.2919276605954378E-3</v>
      </c>
      <c r="BV29" s="289"/>
      <c r="BW29" s="288" t="e">
        <f>BW25/BW9</f>
        <v>#DIV/0!</v>
      </c>
      <c r="BX29" s="288">
        <f t="shared" ref="BX29" si="70">BX25/BX9</f>
        <v>5.0474865888845317E-3</v>
      </c>
      <c r="BY29" s="288">
        <f>BY25/BY9</f>
        <v>-8.6266507085622404E-2</v>
      </c>
      <c r="BZ29" s="288">
        <f>BZ25/BZ9</f>
        <v>0.32611195819582756</v>
      </c>
      <c r="CA29" s="289"/>
      <c r="CB29" s="288">
        <f>CB25/CB9</f>
        <v>2.6972613948928359E-4</v>
      </c>
      <c r="CC29" s="288">
        <f t="shared" ref="CC29:CE29" si="71">CC25/CC9</f>
        <v>1.2070979711891001E-3</v>
      </c>
      <c r="CD29" s="288">
        <f t="shared" si="71"/>
        <v>4.5536508050575121E-4</v>
      </c>
      <c r="CE29" s="288">
        <f t="shared" si="71"/>
        <v>-0.14316725416108331</v>
      </c>
      <c r="CF29" s="289"/>
      <c r="CG29" s="288">
        <f>CG25/CG9</f>
        <v>-1.4781114987583992E-2</v>
      </c>
      <c r="CH29" s="288">
        <f t="shared" ref="CH29:CJ29" si="72">CH25/CH9</f>
        <v>4.7641885140728006E-4</v>
      </c>
      <c r="CI29" s="288">
        <f t="shared" si="72"/>
        <v>-7.0331896307945105E-2</v>
      </c>
      <c r="CJ29" s="288">
        <f t="shared" si="72"/>
        <v>-0.16192884623461748</v>
      </c>
      <c r="CK29" s="289"/>
      <c r="CL29" s="288" t="e">
        <f>CL25/CL9</f>
        <v>#DIV/0!</v>
      </c>
      <c r="CM29" s="288" t="e">
        <f t="shared" ref="CM29:CO29" si="73">CM25/CM9</f>
        <v>#DIV/0!</v>
      </c>
      <c r="CN29" s="288" t="e">
        <f t="shared" si="73"/>
        <v>#DIV/0!</v>
      </c>
      <c r="CO29" s="288" t="e">
        <f t="shared" si="73"/>
        <v>#DIV/0!</v>
      </c>
      <c r="CP29" s="289"/>
      <c r="CQ29" s="288" t="e">
        <f>CQ25/CQ9</f>
        <v>#DIV/0!</v>
      </c>
      <c r="CR29" s="288" t="e">
        <f t="shared" ref="CR29:CS29" si="74">CR25/CR9</f>
        <v>#DIV/0!</v>
      </c>
      <c r="CS29" s="288" t="e">
        <f t="shared" si="74"/>
        <v>#DIV/0!</v>
      </c>
      <c r="CT29" s="288" t="e">
        <f t="shared" ref="CT29" si="75">CT12/CT10</f>
        <v>#DIV/0!</v>
      </c>
      <c r="CV29" s="288">
        <f>CV25/CV9</f>
        <v>-6.4302472073327099E-4</v>
      </c>
      <c r="CW29" s="288">
        <f t="shared" ref="CW29:CX29" si="76">CW25/CW9</f>
        <v>8.6370672087375262E-4</v>
      </c>
      <c r="CX29" s="288">
        <f t="shared" si="76"/>
        <v>-3.1712139048731415E-2</v>
      </c>
      <c r="CY29" s="288">
        <f t="shared" ref="CY29" si="77">CY25/CY9</f>
        <v>1.8985443443281243E-2</v>
      </c>
      <c r="DA29" s="288"/>
      <c r="DB29" s="288"/>
      <c r="DC29" s="288"/>
      <c r="DD29" s="288"/>
      <c r="DF29" s="288">
        <f>DF25/DF9</f>
        <v>-6.4302472073327099E-4</v>
      </c>
      <c r="DG29" s="288">
        <f t="shared" ref="DG29:DH29" si="78">DG25/DG9</f>
        <v>8.6370672087375262E-4</v>
      </c>
      <c r="DH29" s="288">
        <f t="shared" si="78"/>
        <v>-3.7824455581856632E-2</v>
      </c>
      <c r="DI29" s="288">
        <f t="shared" ref="DI29" si="79">DI25/DI9</f>
        <v>2.2052191317126098E-2</v>
      </c>
      <c r="DJ29" s="267"/>
    </row>
    <row r="30" spans="3:114" s="213" customFormat="1" ht="15.75" x14ac:dyDescent="0.25">
      <c r="C30" s="287" t="s">
        <v>636</v>
      </c>
      <c r="D30" s="287"/>
      <c r="E30" s="288"/>
      <c r="F30" s="288">
        <f>(F7-E7)/E7</f>
        <v>0.32406661465584602</v>
      </c>
      <c r="G30" s="288">
        <f>(G7-F7)/F7</f>
        <v>0.17289373910188049</v>
      </c>
      <c r="H30" s="288">
        <f>(H7-G7)/G7</f>
        <v>4.1692993278175709E-2</v>
      </c>
      <c r="I30" s="289"/>
      <c r="J30" s="288"/>
      <c r="K30" s="288" t="e">
        <f>(K7-J7)/J7</f>
        <v>#DIV/0!</v>
      </c>
      <c r="L30" s="288">
        <f>(L7-K7)/K7</f>
        <v>0.68372804182797486</v>
      </c>
      <c r="M30" s="288">
        <f>(M7-L7)/L7</f>
        <v>6.9717846269913814E-2</v>
      </c>
      <c r="N30" s="289"/>
      <c r="O30" s="288"/>
      <c r="P30" s="288">
        <f>(P7-O7)/O7</f>
        <v>-7.7772364553238771E-2</v>
      </c>
      <c r="Q30" s="288">
        <f>(Q7-P7)/P7</f>
        <v>0.16554905761640937</v>
      </c>
      <c r="R30" s="288">
        <f>(R7-Q7)/Q7</f>
        <v>-8.122488783423161E-2</v>
      </c>
      <c r="S30" s="290"/>
      <c r="T30" s="288"/>
      <c r="U30" s="288">
        <f>(U7-T7)/T7</f>
        <v>1.1253722918448936</v>
      </c>
      <c r="V30" s="288">
        <f>(V7-U7)/U7</f>
        <v>3.3861344456632442E-2</v>
      </c>
      <c r="W30" s="288">
        <f>(W7-V7)/V7</f>
        <v>-5.2471983551864568E-2</v>
      </c>
      <c r="X30" s="290"/>
      <c r="Y30" s="288"/>
      <c r="Z30" s="288" t="e">
        <f>(Z7-Y7)/Y7</f>
        <v>#DIV/0!</v>
      </c>
      <c r="AA30" s="288" t="e">
        <f>(AA7-Z7)/Z7</f>
        <v>#DIV/0!</v>
      </c>
      <c r="AB30" s="288" t="e">
        <f>(AB7-AA7)/AA7</f>
        <v>#DIV/0!</v>
      </c>
      <c r="AC30" s="289"/>
      <c r="AD30" s="288"/>
      <c r="AE30" s="288" t="e">
        <f>(AE7-AD7)/AD7</f>
        <v>#DIV/0!</v>
      </c>
      <c r="AF30" s="288" t="e">
        <f>(AF7-AE7)/AE7</f>
        <v>#DIV/0!</v>
      </c>
      <c r="AG30" s="288" t="e">
        <f>(AG7-AF7)/AF7</f>
        <v>#DIV/0!</v>
      </c>
      <c r="AH30" s="291"/>
      <c r="AI30" s="292"/>
      <c r="AJ30" s="292">
        <f>(AJ7-AI7)/AI7</f>
        <v>0.42071005038445808</v>
      </c>
      <c r="AK30" s="292">
        <f>(AK7-AJ7)/AJ7</f>
        <v>0.20212020794091118</v>
      </c>
      <c r="AL30" s="292">
        <f>(AL7-AK7)/AK7</f>
        <v>2.4786063416319542E-2</v>
      </c>
      <c r="AN30" s="288"/>
      <c r="AO30" s="288"/>
      <c r="AP30" s="288"/>
      <c r="AQ30" s="288"/>
      <c r="AR30" s="289"/>
      <c r="AS30" s="288"/>
      <c r="AT30" s="288"/>
      <c r="AU30" s="288"/>
      <c r="AV30" s="288"/>
      <c r="AW30" s="289"/>
      <c r="AX30" s="288"/>
      <c r="AY30" s="288"/>
      <c r="AZ30" s="288"/>
      <c r="BA30" s="288"/>
      <c r="BB30" s="289"/>
      <c r="BC30" s="288"/>
      <c r="BD30" s="288"/>
      <c r="BE30" s="288"/>
      <c r="BF30" s="288"/>
      <c r="BG30" s="289"/>
      <c r="BH30" s="288"/>
      <c r="BI30" s="288"/>
      <c r="BJ30" s="288"/>
      <c r="BK30" s="288"/>
      <c r="BL30" s="289"/>
      <c r="BM30" s="288"/>
      <c r="BN30" s="288"/>
      <c r="BO30" s="288"/>
      <c r="BP30" s="288"/>
      <c r="BQ30" s="291"/>
      <c r="BR30" s="288"/>
      <c r="BS30" s="288">
        <f>(BS7-BR7)/BR7</f>
        <v>0.32406661465584602</v>
      </c>
      <c r="BT30" s="288">
        <f>(BT7-BS7)/BS7</f>
        <v>0.17289373910188049</v>
      </c>
      <c r="BU30" s="288">
        <f>(BU7-BT7)/BT7</f>
        <v>4.1692993278175709E-2</v>
      </c>
      <c r="BV30" s="289"/>
      <c r="BW30" s="288"/>
      <c r="BX30" s="288" t="e">
        <f>(BX7-BW7)/BW7</f>
        <v>#DIV/0!</v>
      </c>
      <c r="BY30" s="288">
        <f>(BY7-BX7)/BX7</f>
        <v>0.68372804182797486</v>
      </c>
      <c r="BZ30" s="288">
        <f>(BZ7-BY7)/BY7</f>
        <v>6.9717846269913814E-2</v>
      </c>
      <c r="CA30" s="289"/>
      <c r="CB30" s="288"/>
      <c r="CC30" s="288">
        <f>(CC7-CB7)/CB7</f>
        <v>-7.7772364553238771E-2</v>
      </c>
      <c r="CD30" s="288">
        <f>(CD7-CC7)/CC7</f>
        <v>0.16554905761640937</v>
      </c>
      <c r="CE30" s="288">
        <f>(CE7-CD7)/CD7</f>
        <v>-8.122488783423161E-2</v>
      </c>
      <c r="CF30" s="289"/>
      <c r="CG30" s="288"/>
      <c r="CH30" s="288">
        <f>(CH7-CG7)/CG7</f>
        <v>1.1253722918448936</v>
      </c>
      <c r="CI30" s="288">
        <f>(CI7-CH7)/CH7</f>
        <v>3.3861344456632442E-2</v>
      </c>
      <c r="CJ30" s="288">
        <f>(CJ7-CI7)/CI7</f>
        <v>-5.2471983551864568E-2</v>
      </c>
      <c r="CK30" s="289"/>
      <c r="CL30" s="288"/>
      <c r="CM30" s="288" t="e">
        <f>(CM7-CL7)/CL7</f>
        <v>#DIV/0!</v>
      </c>
      <c r="CN30" s="288" t="e">
        <f>(CN7-CM7)/CM7</f>
        <v>#DIV/0!</v>
      </c>
      <c r="CO30" s="288" t="e">
        <f>(CO7-CN7)/CN7</f>
        <v>#DIV/0!</v>
      </c>
      <c r="CP30" s="289"/>
      <c r="CQ30" s="288"/>
      <c r="CR30" s="288" t="e">
        <f>(CR7-CQ7)/CQ7</f>
        <v>#DIV/0!</v>
      </c>
      <c r="CS30" s="288" t="e">
        <f>(CS7-CR7)/CR7</f>
        <v>#DIV/0!</v>
      </c>
      <c r="CT30" s="288" t="e">
        <f t="shared" ref="CT30" si="80">CT13/CT11</f>
        <v>#DIV/0!</v>
      </c>
      <c r="CV30" s="288"/>
      <c r="CW30" s="288">
        <f>(CW7-CV7)/CV7</f>
        <v>0.42071005038445808</v>
      </c>
      <c r="CX30" s="288">
        <f>(CX7-CW7)/CW7</f>
        <v>0.20212020794091118</v>
      </c>
      <c r="CY30" s="288">
        <f>(CY7-CX7)/CX7</f>
        <v>2.4786063416319542E-2</v>
      </c>
      <c r="DA30" s="288"/>
      <c r="DB30" s="288"/>
      <c r="DC30" s="288"/>
      <c r="DD30" s="288"/>
      <c r="DF30" s="288"/>
      <c r="DG30" s="288">
        <f>(DG7-DF7)/DF7</f>
        <v>0.42071005038445808</v>
      </c>
      <c r="DH30" s="288">
        <f>(DH7-DG7)/DG7</f>
        <v>7.7608028174325494E-3</v>
      </c>
      <c r="DI30" s="288">
        <f>(DI7-DH7)/DH7</f>
        <v>5.2428595759324043E-2</v>
      </c>
      <c r="DJ30" s="267"/>
    </row>
    <row r="31" spans="3:114" s="213" customFormat="1" ht="15.75" x14ac:dyDescent="0.25">
      <c r="C31" s="254"/>
      <c r="D31" s="254"/>
      <c r="E31" s="293"/>
      <c r="F31" s="293"/>
      <c r="G31" s="293"/>
      <c r="H31" s="293"/>
      <c r="I31" s="161"/>
      <c r="J31" s="293"/>
      <c r="K31" s="293"/>
      <c r="L31" s="293"/>
      <c r="M31" s="293"/>
      <c r="N31" s="161"/>
      <c r="O31" s="293"/>
      <c r="P31" s="293"/>
      <c r="Q31" s="293"/>
      <c r="R31" s="293"/>
      <c r="S31" s="162"/>
      <c r="T31" s="293"/>
      <c r="U31" s="293"/>
      <c r="V31" s="293"/>
      <c r="W31" s="293"/>
      <c r="X31" s="162"/>
      <c r="Y31" s="293"/>
      <c r="Z31" s="293"/>
      <c r="AA31" s="293"/>
      <c r="AB31" s="293"/>
      <c r="AC31" s="161"/>
      <c r="AD31" s="293"/>
      <c r="AE31" s="293"/>
      <c r="AF31" s="293"/>
      <c r="AG31" s="293"/>
      <c r="AH31" s="161"/>
      <c r="AI31" s="294">
        <f t="shared" ref="AI31:AL32" si="81">AI10/AI$9</f>
        <v>0.94233671398460139</v>
      </c>
      <c r="AJ31" s="294">
        <f t="shared" si="81"/>
        <v>0.94292979402613275</v>
      </c>
      <c r="AK31" s="294">
        <f t="shared" si="81"/>
        <v>0.96594762881283047</v>
      </c>
      <c r="AL31" s="294">
        <f t="shared" si="81"/>
        <v>0.89068642722348745</v>
      </c>
      <c r="AN31" s="293"/>
      <c r="AO31" s="293"/>
      <c r="AP31" s="293"/>
      <c r="AQ31" s="293"/>
      <c r="AR31" s="161"/>
      <c r="AS31" s="293"/>
      <c r="AT31" s="293"/>
      <c r="AU31" s="293"/>
      <c r="AV31" s="293"/>
      <c r="AW31" s="161"/>
      <c r="AX31" s="293"/>
      <c r="AY31" s="293"/>
      <c r="AZ31" s="293"/>
      <c r="BA31" s="293"/>
      <c r="BB31" s="161"/>
      <c r="BC31" s="293"/>
      <c r="BD31" s="293"/>
      <c r="BE31" s="293"/>
      <c r="BF31" s="293"/>
      <c r="BG31" s="161"/>
      <c r="BH31" s="293"/>
      <c r="BI31" s="293"/>
      <c r="BJ31" s="293"/>
      <c r="BK31" s="293"/>
      <c r="BL31" s="161"/>
      <c r="BM31" s="293"/>
      <c r="BN31" s="293"/>
      <c r="BO31" s="293"/>
      <c r="BP31" s="293"/>
      <c r="BQ31" s="161"/>
      <c r="BR31" s="293"/>
      <c r="BS31" s="293"/>
      <c r="BT31" s="293"/>
      <c r="BU31" s="293"/>
      <c r="BV31" s="161"/>
      <c r="BW31" s="293"/>
      <c r="BX31" s="293"/>
      <c r="BY31" s="293"/>
      <c r="BZ31" s="293"/>
      <c r="CA31" s="161"/>
      <c r="CB31" s="293"/>
      <c r="CC31" s="293"/>
      <c r="CD31" s="293"/>
      <c r="CE31" s="293"/>
      <c r="CF31" s="161"/>
      <c r="CG31" s="293"/>
      <c r="CH31" s="293"/>
      <c r="CI31" s="293"/>
      <c r="CJ31" s="293"/>
      <c r="CK31" s="161"/>
      <c r="CL31" s="293"/>
      <c r="CM31" s="293"/>
      <c r="CN31" s="293"/>
      <c r="CO31" s="293"/>
      <c r="CP31" s="161"/>
      <c r="CQ31" s="293"/>
      <c r="CR31" s="293"/>
      <c r="CS31" s="293"/>
      <c r="CT31" s="293"/>
      <c r="CV31" s="293"/>
      <c r="CW31" s="293"/>
      <c r="CX31" s="293"/>
      <c r="CY31" s="293"/>
      <c r="DA31" s="293"/>
      <c r="DB31" s="293"/>
      <c r="DC31" s="293"/>
      <c r="DD31" s="293"/>
      <c r="DF31" s="293"/>
      <c r="DG31" s="293"/>
      <c r="DH31" s="293"/>
      <c r="DI31" s="293"/>
      <c r="DJ31" s="267"/>
    </row>
    <row r="32" spans="3:114" s="213" customFormat="1" ht="15.75" x14ac:dyDescent="0.25">
      <c r="C32" s="256" t="s">
        <v>4</v>
      </c>
      <c r="D32" s="257"/>
      <c r="E32" s="161"/>
      <c r="F32" s="161"/>
      <c r="G32" s="161"/>
      <c r="H32" s="161"/>
      <c r="I32" s="161"/>
      <c r="J32" s="161"/>
      <c r="K32" s="161"/>
      <c r="L32" s="161"/>
      <c r="M32" s="161"/>
      <c r="N32" s="161"/>
      <c r="O32" s="161"/>
      <c r="P32" s="161"/>
      <c r="Q32" s="161"/>
      <c r="R32" s="161"/>
      <c r="S32" s="162"/>
      <c r="T32" s="161"/>
      <c r="U32" s="161"/>
      <c r="V32" s="161"/>
      <c r="W32" s="161"/>
      <c r="X32" s="162"/>
      <c r="Y32" s="161"/>
      <c r="Z32" s="161"/>
      <c r="AA32" s="161"/>
      <c r="AB32" s="161"/>
      <c r="AC32" s="161"/>
      <c r="AD32" s="161"/>
      <c r="AE32" s="161"/>
      <c r="AF32" s="161"/>
      <c r="AG32" s="161"/>
      <c r="AH32" s="161"/>
      <c r="AI32" s="294">
        <f t="shared" si="81"/>
        <v>5.7663286015398572E-2</v>
      </c>
      <c r="AJ32" s="294">
        <f t="shared" si="81"/>
        <v>5.7070205973867243E-2</v>
      </c>
      <c r="AK32" s="294">
        <f t="shared" si="81"/>
        <v>3.4052371187169639E-2</v>
      </c>
      <c r="AL32" s="294">
        <f t="shared" si="81"/>
        <v>0.10931357277651259</v>
      </c>
      <c r="AN32" s="161"/>
      <c r="AO32" s="161"/>
      <c r="AP32" s="161"/>
      <c r="AQ32" s="161"/>
      <c r="AR32" s="161"/>
      <c r="AS32" s="161"/>
      <c r="AT32" s="161"/>
      <c r="AU32" s="161"/>
      <c r="AV32" s="161"/>
      <c r="AW32" s="161"/>
      <c r="AX32" s="161"/>
      <c r="AY32" s="161"/>
      <c r="AZ32" s="161"/>
      <c r="BA32" s="161"/>
      <c r="BB32" s="161"/>
      <c r="BC32" s="161"/>
      <c r="BD32" s="161"/>
      <c r="BE32" s="161"/>
      <c r="BF32" s="161"/>
      <c r="BG32" s="161"/>
      <c r="BH32" s="161"/>
      <c r="BI32" s="161"/>
      <c r="BJ32" s="161"/>
      <c r="BK32" s="161"/>
      <c r="BL32" s="161"/>
      <c r="BM32" s="161"/>
      <c r="BN32" s="161"/>
      <c r="BO32" s="161"/>
      <c r="BP32" s="161"/>
      <c r="BQ32" s="161"/>
      <c r="BR32" s="161"/>
      <c r="BS32" s="161"/>
      <c r="BT32" s="161"/>
      <c r="BU32" s="161"/>
      <c r="BV32" s="161"/>
      <c r="BW32" s="161"/>
      <c r="BX32" s="161"/>
      <c r="BY32" s="161"/>
      <c r="BZ32" s="161"/>
      <c r="CA32" s="161"/>
      <c r="CB32" s="161"/>
      <c r="CC32" s="161"/>
      <c r="CD32" s="161"/>
      <c r="CE32" s="161"/>
      <c r="CF32" s="161"/>
      <c r="CG32" s="161"/>
      <c r="CH32" s="161"/>
      <c r="CI32" s="161"/>
      <c r="CJ32" s="161"/>
      <c r="CK32" s="161"/>
      <c r="CL32" s="161"/>
      <c r="CM32" s="161"/>
      <c r="CN32" s="161"/>
      <c r="CO32" s="161"/>
      <c r="CP32" s="161"/>
      <c r="CQ32" s="161"/>
      <c r="CR32" s="161"/>
      <c r="CS32" s="161"/>
      <c r="CT32" s="161"/>
      <c r="CV32" s="161"/>
      <c r="CW32" s="161"/>
      <c r="CX32" s="161"/>
      <c r="CY32" s="161"/>
      <c r="DA32" s="161"/>
      <c r="DB32" s="161"/>
      <c r="DC32" s="161"/>
      <c r="DD32" s="161"/>
      <c r="DF32" s="161"/>
      <c r="DG32" s="161"/>
      <c r="DH32" s="161"/>
      <c r="DI32" s="161"/>
      <c r="DJ32" s="267"/>
    </row>
    <row r="33" spans="1:114" s="213" customFormat="1" ht="15.75" x14ac:dyDescent="0.25">
      <c r="C33" s="295"/>
      <c r="D33" s="296"/>
      <c r="E33" s="297"/>
      <c r="F33" s="297"/>
      <c r="G33" s="297"/>
      <c r="H33" s="297"/>
      <c r="I33" s="161"/>
      <c r="J33" s="297"/>
      <c r="K33" s="297"/>
      <c r="L33" s="297"/>
      <c r="M33" s="297"/>
      <c r="N33" s="161"/>
      <c r="O33" s="297"/>
      <c r="P33" s="297"/>
      <c r="Q33" s="297"/>
      <c r="R33" s="297"/>
      <c r="S33" s="162"/>
      <c r="T33" s="297"/>
      <c r="U33" s="297"/>
      <c r="V33" s="297"/>
      <c r="W33" s="297"/>
      <c r="X33" s="162"/>
      <c r="Y33" s="297"/>
      <c r="Z33" s="297"/>
      <c r="AA33" s="297"/>
      <c r="AB33" s="297"/>
      <c r="AC33" s="161"/>
      <c r="AD33" s="297"/>
      <c r="AE33" s="297"/>
      <c r="AF33" s="297"/>
      <c r="AG33" s="297"/>
      <c r="AH33" s="161"/>
      <c r="AI33" s="297"/>
      <c r="AJ33" s="297"/>
      <c r="AK33" s="297"/>
      <c r="AL33" s="297"/>
      <c r="AN33" s="297"/>
      <c r="AO33" s="297"/>
      <c r="AP33" s="297"/>
      <c r="AQ33" s="297"/>
      <c r="AR33" s="161"/>
      <c r="AS33" s="297"/>
      <c r="AT33" s="297"/>
      <c r="AU33" s="297"/>
      <c r="AV33" s="297"/>
      <c r="AW33" s="161"/>
      <c r="AX33" s="297"/>
      <c r="AY33" s="297"/>
      <c r="AZ33" s="297"/>
      <c r="BA33" s="297"/>
      <c r="BB33" s="161"/>
      <c r="BC33" s="297"/>
      <c r="BD33" s="297"/>
      <c r="BE33" s="297"/>
      <c r="BF33" s="297"/>
      <c r="BG33" s="161"/>
      <c r="BH33" s="297"/>
      <c r="BI33" s="297"/>
      <c r="BJ33" s="297"/>
      <c r="BK33" s="297"/>
      <c r="BL33" s="161"/>
      <c r="BM33" s="297"/>
      <c r="BN33" s="297"/>
      <c r="BO33" s="297"/>
      <c r="BP33" s="297"/>
      <c r="BQ33" s="161"/>
      <c r="BR33" s="297"/>
      <c r="BS33" s="297"/>
      <c r="BT33" s="297"/>
      <c r="BU33" s="297"/>
      <c r="BV33" s="161"/>
      <c r="BW33" s="297"/>
      <c r="BX33" s="297"/>
      <c r="BY33" s="297"/>
      <c r="BZ33" s="297"/>
      <c r="CA33" s="161"/>
      <c r="CB33" s="297"/>
      <c r="CC33" s="297"/>
      <c r="CD33" s="297"/>
      <c r="CE33" s="297"/>
      <c r="CF33" s="161"/>
      <c r="CG33" s="297"/>
      <c r="CH33" s="297"/>
      <c r="CI33" s="297"/>
      <c r="CJ33" s="297"/>
      <c r="CK33" s="161"/>
      <c r="CL33" s="297"/>
      <c r="CM33" s="297"/>
      <c r="CN33" s="297"/>
      <c r="CO33" s="297"/>
      <c r="CP33" s="161"/>
      <c r="CQ33" s="297"/>
      <c r="CR33" s="297"/>
      <c r="CS33" s="297"/>
      <c r="CT33" s="297"/>
      <c r="CV33" s="297"/>
      <c r="CW33" s="297"/>
      <c r="CX33" s="297"/>
      <c r="CY33" s="297"/>
      <c r="DA33" s="297"/>
      <c r="DB33" s="297"/>
      <c r="DC33" s="297"/>
      <c r="DD33" s="297"/>
      <c r="DF33" s="297"/>
      <c r="DG33" s="297"/>
      <c r="DH33" s="297"/>
      <c r="DI33" s="297"/>
      <c r="DJ33" s="267"/>
    </row>
    <row r="34" spans="1:114" s="459" customFormat="1" ht="15.75" x14ac:dyDescent="0.25">
      <c r="A34" s="459">
        <f>IF(SUM(J34:AK34)&lt;&gt;0,1,"hide")</f>
        <v>1</v>
      </c>
      <c r="C34" s="461" t="s">
        <v>578</v>
      </c>
      <c r="D34" s="462" t="s">
        <v>292</v>
      </c>
      <c r="E34" s="963">
        <f>'1.BS (VND)'!E8/$C$6</f>
        <v>175.34522013500001</v>
      </c>
      <c r="F34" s="963">
        <f>'1.BS (VND)'!F8/$C$6</f>
        <v>135.75356212099999</v>
      </c>
      <c r="G34" s="963">
        <f>'1.BS (VND)'!G8/$C$6</f>
        <v>141.180974615</v>
      </c>
      <c r="H34" s="963">
        <f>'1.BS (VND)'!H8/$C$6</f>
        <v>282.12240894899998</v>
      </c>
      <c r="I34" s="964"/>
      <c r="J34" s="963">
        <f>'1.BS (VND)'!J8/$C$6</f>
        <v>4.0594891510000002</v>
      </c>
      <c r="K34" s="963">
        <f>'1.BS (VND)'!K8/$C$6</f>
        <v>13.701001543</v>
      </c>
      <c r="L34" s="963">
        <f>'1.BS (VND)'!L8/$C$6</f>
        <v>34.984450561000003</v>
      </c>
      <c r="M34" s="963">
        <f>'1.BS (VND)'!M8/$C$6</f>
        <v>91.016523058999994</v>
      </c>
      <c r="N34" s="965"/>
      <c r="O34" s="963">
        <f>'1.BS (VND)'!O8/$C$6</f>
        <v>43.575171570999998</v>
      </c>
      <c r="P34" s="963">
        <f>'1.BS (VND)'!P8/$C$6</f>
        <v>21.116038273000001</v>
      </c>
      <c r="Q34" s="963">
        <f>'1.BS (VND)'!Q8/$C$6</f>
        <v>57.369669881</v>
      </c>
      <c r="R34" s="963">
        <f>'1.BS (VND)'!R8/$C$6</f>
        <v>49.668844116000002</v>
      </c>
      <c r="S34" s="965"/>
      <c r="T34" s="963">
        <f>'1.BS (VND)'!T8/$C$6</f>
        <v>21.489338773</v>
      </c>
      <c r="U34" s="963">
        <f>'1.BS (VND)'!U8/$C$6</f>
        <v>17.609121049999999</v>
      </c>
      <c r="V34" s="963">
        <f>'1.BS (VND)'!V8/$C$6</f>
        <v>21.098515573</v>
      </c>
      <c r="W34" s="963">
        <f>'1.BS (VND)'!W8/$C$6</f>
        <v>56.370294152</v>
      </c>
      <c r="X34" s="965"/>
      <c r="Y34" s="963">
        <f>'1.BS (VND)'!Y8/$C$6</f>
        <v>0</v>
      </c>
      <c r="Z34" s="963">
        <f>'1.BS (VND)'!Z8/$C$6</f>
        <v>0</v>
      </c>
      <c r="AA34" s="963">
        <f>'1.BS (VND)'!AA8/$C$6</f>
        <v>0</v>
      </c>
      <c r="AB34" s="963">
        <f>'1.BS (VND)'!AB8/$C$6</f>
        <v>0</v>
      </c>
      <c r="AC34" s="965"/>
      <c r="AD34" s="963">
        <f>'1.BS (VND)'!AD8/$C$6</f>
        <v>0</v>
      </c>
      <c r="AE34" s="963">
        <f>'1.BS (VND)'!AE8/$C$6</f>
        <v>0</v>
      </c>
      <c r="AF34" s="963">
        <f>'1.BS (VND)'!AF8/$C$6</f>
        <v>0</v>
      </c>
      <c r="AG34" s="963">
        <f>'1.BS (VND)'!AG8/$C$6</f>
        <v>0</v>
      </c>
      <c r="AH34" s="966"/>
      <c r="AI34" s="963">
        <f>SUMIF($E$5:$AG$5,AI$5,$E34:$AG34)</f>
        <v>244.46921963</v>
      </c>
      <c r="AJ34" s="963">
        <f t="shared" ref="AI34:AK49" si="82">SUMIF($E$5:$AG$5,AJ$5,$E34:$AG34)</f>
        <v>188.17972298699999</v>
      </c>
      <c r="AK34" s="963">
        <f t="shared" si="82"/>
        <v>254.63361062999996</v>
      </c>
      <c r="AL34" s="963">
        <f t="shared" ref="AL34:AL90" si="83">SUM(H34,M34,R34,AG34,W34,AB34)</f>
        <v>479.17807027599997</v>
      </c>
      <c r="AM34" s="964"/>
      <c r="AN34" s="963"/>
      <c r="AO34" s="963">
        <f>'1.BS (VND)'!AJ8/$C$6</f>
        <v>0</v>
      </c>
      <c r="AP34" s="963">
        <f>'1.BS (VND)'!AK8/$C$6</f>
        <v>0</v>
      </c>
      <c r="AQ34" s="963">
        <f>'1.BS (VND)'!AL8/$C$6</f>
        <v>-3.55</v>
      </c>
      <c r="AR34" s="964"/>
      <c r="AS34" s="963">
        <f>'1.BS (VND)'!AN8/$C$6</f>
        <v>0</v>
      </c>
      <c r="AT34" s="963">
        <f>'1.BS (VND)'!AO8/$C$6</f>
        <v>0</v>
      </c>
      <c r="AU34" s="963">
        <f>'1.BS (VND)'!AP8/$C$6</f>
        <v>-0.74154054899999999</v>
      </c>
      <c r="AV34" s="963">
        <f>'1.BS (VND)'!AQ8/$C$6</f>
        <v>0</v>
      </c>
      <c r="AW34" s="965"/>
      <c r="AX34" s="963">
        <f>'1.BS (VND)'!AS8/$C$6</f>
        <v>0</v>
      </c>
      <c r="AY34" s="963">
        <f>'1.BS (VND)'!AT8/$C$6</f>
        <v>0</v>
      </c>
      <c r="AZ34" s="963">
        <f>'1.BS (VND)'!AU8/$C$6</f>
        <v>0</v>
      </c>
      <c r="BA34" s="963">
        <f>'1.BS (VND)'!AV8/$C$6</f>
        <v>-4.95</v>
      </c>
      <c r="BB34" s="965"/>
      <c r="BC34" s="963">
        <f>'1.BS (VND)'!AX8/$C$6</f>
        <v>0</v>
      </c>
      <c r="BD34" s="963">
        <f>'1.BS (VND)'!AY8/$C$6</f>
        <v>0</v>
      </c>
      <c r="BE34" s="963">
        <f>'1.BS (VND)'!AZ8/$C$6</f>
        <v>0</v>
      </c>
      <c r="BF34" s="963">
        <f>'1.BS (VND)'!BA8/$C$6</f>
        <v>-5</v>
      </c>
      <c r="BG34" s="965"/>
      <c r="BH34" s="963">
        <f>'1.BS (VND)'!BC8/$C$6</f>
        <v>0</v>
      </c>
      <c r="BI34" s="963">
        <f>'1.BS (VND)'!BD8/$C$6</f>
        <v>0</v>
      </c>
      <c r="BJ34" s="963">
        <f>'1.BS (VND)'!BE8/$C$6</f>
        <v>0</v>
      </c>
      <c r="BK34" s="963">
        <f>'1.BS (VND)'!BF8/$C$6</f>
        <v>0</v>
      </c>
      <c r="BL34" s="965"/>
      <c r="BM34" s="963">
        <f>'1.BS (VND)'!BH8/$C$6</f>
        <v>0</v>
      </c>
      <c r="BN34" s="963">
        <f>'1.BS (VND)'!BI8/$C$6</f>
        <v>0</v>
      </c>
      <c r="BO34" s="963">
        <f>'1.BS (VND)'!BJ8/$C$6</f>
        <v>0</v>
      </c>
      <c r="BP34" s="963">
        <f>'1.BS (VND)'!BK8/$C$6</f>
        <v>0</v>
      </c>
      <c r="BQ34" s="966"/>
      <c r="BR34" s="963">
        <f t="shared" ref="BR34:BR65" si="84">E34+AN34</f>
        <v>175.34522013500001</v>
      </c>
      <c r="BS34" s="963">
        <f t="shared" ref="BS34:BS65" si="85">F34+AO34</f>
        <v>135.75356212099999</v>
      </c>
      <c r="BT34" s="963">
        <f t="shared" ref="BT34:BT65" si="86">G34+AP34</f>
        <v>141.180974615</v>
      </c>
      <c r="BU34" s="963">
        <f t="shared" ref="BU34:BU65" si="87">H34+AQ34</f>
        <v>278.57240894899996</v>
      </c>
      <c r="BV34" s="964"/>
      <c r="BW34" s="963">
        <f t="shared" ref="BW34:BW65" si="88">J34+AS34</f>
        <v>4.0594891510000002</v>
      </c>
      <c r="BX34" s="963">
        <f t="shared" ref="BX34:BX65" si="89">K34+AT34</f>
        <v>13.701001543</v>
      </c>
      <c r="BY34" s="963">
        <f t="shared" ref="BY34:BY65" si="90">L34+AU34</f>
        <v>34.242910012000003</v>
      </c>
      <c r="BZ34" s="963">
        <f t="shared" ref="BZ34:BZ65" si="91">M34+AV34</f>
        <v>91.016523058999994</v>
      </c>
      <c r="CA34" s="965"/>
      <c r="CB34" s="963">
        <f t="shared" ref="CB34:CB65" si="92">O34+AX34</f>
        <v>43.575171570999998</v>
      </c>
      <c r="CC34" s="963">
        <f t="shared" ref="CC34:CC65" si="93">P34+AY34</f>
        <v>21.116038273000001</v>
      </c>
      <c r="CD34" s="963">
        <f t="shared" ref="CD34:CD65" si="94">Q34+AZ34</f>
        <v>57.369669881</v>
      </c>
      <c r="CE34" s="963">
        <f t="shared" ref="CE34:CE65" si="95">R34+BA34</f>
        <v>44.718844116</v>
      </c>
      <c r="CF34" s="965"/>
      <c r="CG34" s="963">
        <f t="shared" ref="CG34:CG65" si="96">T34+BC34</f>
        <v>21.489338773</v>
      </c>
      <c r="CH34" s="963">
        <f t="shared" ref="CH34:CH65" si="97">U34+BD34</f>
        <v>17.609121049999999</v>
      </c>
      <c r="CI34" s="963">
        <f t="shared" ref="CI34:CI65" si="98">V34+BE34</f>
        <v>21.098515573</v>
      </c>
      <c r="CJ34" s="963">
        <f t="shared" ref="CJ34:CJ65" si="99">W34+BF34</f>
        <v>51.370294152</v>
      </c>
      <c r="CK34" s="965"/>
      <c r="CL34" s="963">
        <f t="shared" ref="CL34:CL65" si="100">Y34+BH34</f>
        <v>0</v>
      </c>
      <c r="CM34" s="963">
        <f t="shared" ref="CM34:CM65" si="101">Z34+BI34</f>
        <v>0</v>
      </c>
      <c r="CN34" s="963">
        <f t="shared" ref="CN34:CN65" si="102">AA34+BJ34</f>
        <v>0</v>
      </c>
      <c r="CO34" s="963">
        <f t="shared" ref="CO34:CO65" si="103">AB34+BK34</f>
        <v>0</v>
      </c>
      <c r="CP34" s="965"/>
      <c r="CQ34" s="963">
        <f t="shared" ref="CQ34:CQ65" si="104">AD34+BM34</f>
        <v>0</v>
      </c>
      <c r="CR34" s="963">
        <f t="shared" ref="CR34:CR65" si="105">AE34+BN34</f>
        <v>0</v>
      </c>
      <c r="CS34" s="963">
        <f t="shared" ref="CS34:CS65" si="106">AF34+BO34</f>
        <v>0</v>
      </c>
      <c r="CT34" s="963">
        <f t="shared" ref="CT34:CT65" si="107">AG34+BP34</f>
        <v>0</v>
      </c>
      <c r="CU34" s="964"/>
      <c r="CV34" s="963">
        <f>SUMIF($BR$5:$CT$5,CV$5,$BR34:$CT34)</f>
        <v>244.46921963</v>
      </c>
      <c r="CW34" s="963">
        <f>SUMIF($BR$5:$CT$5,CW$5,$BR34:$CT34)</f>
        <v>188.17972298699999</v>
      </c>
      <c r="CX34" s="963">
        <f t="shared" ref="CV34:CY53" si="108">SUMIF($BR$5:$CT$5,CX$5,$BR34:$CT34)</f>
        <v>253.89207008099999</v>
      </c>
      <c r="CY34" s="963">
        <f t="shared" si="108"/>
        <v>465.67807027599997</v>
      </c>
      <c r="CZ34" s="964"/>
      <c r="DA34" s="963">
        <f>'1.BS (VND)'!CV8/'1.BC_Ra Soat (ty) '!$C$6</f>
        <v>0</v>
      </c>
      <c r="DB34" s="963">
        <f>'1.BS (VND)'!CW8/'1.BC_Ra Soat (ty) '!$C$6</f>
        <v>0</v>
      </c>
      <c r="DC34" s="963">
        <f>'1.BS (VND)'!CX8/'1.BC_Ra Soat (ty) '!$C$6</f>
        <v>0</v>
      </c>
      <c r="DD34" s="963">
        <f>'1.BS (VND)'!CY8/'1.BC_Ra Soat (ty) '!$C$6</f>
        <v>0</v>
      </c>
      <c r="DE34" s="964"/>
      <c r="DF34" s="963">
        <f>CV34+DA34</f>
        <v>244.46921963</v>
      </c>
      <c r="DG34" s="963">
        <f>CW34+DB34</f>
        <v>188.17972298699999</v>
      </c>
      <c r="DH34" s="963">
        <f t="shared" ref="DG34:DI96" si="109">CX34+DC34</f>
        <v>253.89207008099999</v>
      </c>
      <c r="DI34" s="963">
        <f t="shared" si="109"/>
        <v>465.67807027599997</v>
      </c>
      <c r="DJ34" s="460"/>
    </row>
    <row r="35" spans="1:114" s="447" customFormat="1" ht="15.75" x14ac:dyDescent="0.25">
      <c r="A35" s="447">
        <f>IF(SUM(E35:DI35)&lt;&gt;0,1,"hide")</f>
        <v>1</v>
      </c>
      <c r="C35" s="450" t="s">
        <v>293</v>
      </c>
      <c r="D35" s="451" t="s">
        <v>294</v>
      </c>
      <c r="E35" s="849">
        <f>'1.BS (VND)'!E9/$C$6</f>
        <v>1.8635646859999999</v>
      </c>
      <c r="F35" s="849">
        <f>'1.BS (VND)'!F9/$C$6</f>
        <v>1.839270717</v>
      </c>
      <c r="G35" s="849">
        <f>'1.BS (VND)'!G9/$C$6</f>
        <v>10.212877174000001</v>
      </c>
      <c r="H35" s="849">
        <f>'1.BS (VND)'!H9/$C$6</f>
        <v>25.094023905</v>
      </c>
      <c r="I35" s="850"/>
      <c r="J35" s="849">
        <f>'1.BS (VND)'!J9/$C$6</f>
        <v>4.0564091510000004</v>
      </c>
      <c r="K35" s="849">
        <f>'1.BS (VND)'!K9/$C$6</f>
        <v>0.95982668500000001</v>
      </c>
      <c r="L35" s="849">
        <f>'1.BS (VND)'!L9/$C$6</f>
        <v>10.758610237999999</v>
      </c>
      <c r="M35" s="849">
        <f>'1.BS (VND)'!M9/$C$6</f>
        <v>16.482060872000002</v>
      </c>
      <c r="N35" s="850"/>
      <c r="O35" s="849">
        <f>'1.BS (VND)'!O9/$C$6</f>
        <v>0.25667594900000001</v>
      </c>
      <c r="P35" s="849">
        <f>'1.BS (VND)'!P9/$C$6</f>
        <v>0.49065459500000003</v>
      </c>
      <c r="Q35" s="849">
        <f>'1.BS (VND)'!Q9/$C$6</f>
        <v>11.130311158</v>
      </c>
      <c r="R35" s="849">
        <f>'1.BS (VND)'!R9/$C$6</f>
        <v>1.963401127</v>
      </c>
      <c r="S35" s="850"/>
      <c r="T35" s="849">
        <f>'1.BS (VND)'!T9/$C$6</f>
        <v>1.7489421999999999</v>
      </c>
      <c r="U35" s="849">
        <f>'1.BS (VND)'!U9/$C$6</f>
        <v>0.76002604399999996</v>
      </c>
      <c r="V35" s="849">
        <f>'1.BS (VND)'!V9/$C$6</f>
        <v>0.45498851400000001</v>
      </c>
      <c r="W35" s="849">
        <f>'1.BS (VND)'!W9/$C$6</f>
        <v>0.24786407399999999</v>
      </c>
      <c r="X35" s="850"/>
      <c r="Y35" s="849">
        <f>'1.BS (VND)'!Y9/$C$6</f>
        <v>0</v>
      </c>
      <c r="Z35" s="849">
        <f>'1.BS (VND)'!Z9/$C$6</f>
        <v>0</v>
      </c>
      <c r="AA35" s="849">
        <f>'1.BS (VND)'!AA9/$C$6</f>
        <v>0</v>
      </c>
      <c r="AB35" s="849">
        <f>'1.BS (VND)'!AB9/$C$6</f>
        <v>0</v>
      </c>
      <c r="AC35" s="850"/>
      <c r="AD35" s="849">
        <f>'1.BS (VND)'!AD9/$C$6</f>
        <v>0</v>
      </c>
      <c r="AE35" s="849">
        <f>'1.BS (VND)'!AE9/$C$6</f>
        <v>0</v>
      </c>
      <c r="AF35" s="849">
        <f>'1.BS (VND)'!AF9/$C$6</f>
        <v>0</v>
      </c>
      <c r="AG35" s="849">
        <f>'1.BS (VND)'!AG9/$C$6</f>
        <v>0</v>
      </c>
      <c r="AH35" s="851"/>
      <c r="AI35" s="849">
        <f t="shared" si="82"/>
        <v>7.9255919860000006</v>
      </c>
      <c r="AJ35" s="849">
        <f t="shared" si="82"/>
        <v>4.0497780409999997</v>
      </c>
      <c r="AK35" s="849">
        <f t="shared" si="82"/>
        <v>32.556787084</v>
      </c>
      <c r="AL35" s="849">
        <f t="shared" si="83"/>
        <v>43.787349978000002</v>
      </c>
      <c r="AM35" s="852"/>
      <c r="AN35" s="849">
        <f>'1.BS (VND)'!AI9/$C$6</f>
        <v>0</v>
      </c>
      <c r="AO35" s="849">
        <f>'1.BS (VND)'!AJ9/$C$6</f>
        <v>0</v>
      </c>
      <c r="AP35" s="849">
        <f>'1.BS (VND)'!AK9/$C$6</f>
        <v>0</v>
      </c>
      <c r="AQ35" s="849">
        <f>'1.BS (VND)'!AL9/$C$6</f>
        <v>0</v>
      </c>
      <c r="AR35" s="850"/>
      <c r="AS35" s="849">
        <f>'1.BS (VND)'!AN9/$C$6</f>
        <v>0</v>
      </c>
      <c r="AT35" s="849">
        <f>'1.BS (VND)'!AO9/$C$6</f>
        <v>0</v>
      </c>
      <c r="AU35" s="849">
        <f>'1.BS (VND)'!AP9/$C$6</f>
        <v>0</v>
      </c>
      <c r="AV35" s="849">
        <f>'1.BS (VND)'!AQ9/$C$6</f>
        <v>0</v>
      </c>
      <c r="AW35" s="850"/>
      <c r="AX35" s="849">
        <f>'1.BS (VND)'!AS9/$C$6</f>
        <v>0</v>
      </c>
      <c r="AY35" s="849">
        <f>'1.BS (VND)'!AT9/$C$6</f>
        <v>0</v>
      </c>
      <c r="AZ35" s="849">
        <f>'1.BS (VND)'!AU9/$C$6</f>
        <v>0</v>
      </c>
      <c r="BA35" s="849">
        <f>'1.BS (VND)'!AV9/$C$6</f>
        <v>0</v>
      </c>
      <c r="BB35" s="850"/>
      <c r="BC35" s="849">
        <f>'1.BS (VND)'!AX9/$C$6</f>
        <v>0</v>
      </c>
      <c r="BD35" s="849">
        <f>'1.BS (VND)'!AY9/$C$6</f>
        <v>0</v>
      </c>
      <c r="BE35" s="849">
        <f>'1.BS (VND)'!AZ9/$C$6</f>
        <v>0</v>
      </c>
      <c r="BF35" s="849">
        <f>'1.BS (VND)'!BA9/$C$6</f>
        <v>0</v>
      </c>
      <c r="BG35" s="850"/>
      <c r="BH35" s="849">
        <f>'1.BS (VND)'!BC9/$C$6</f>
        <v>0</v>
      </c>
      <c r="BI35" s="849">
        <f>'1.BS (VND)'!BD9/$C$6</f>
        <v>0</v>
      </c>
      <c r="BJ35" s="849">
        <f>'1.BS (VND)'!BE9/$C$6</f>
        <v>0</v>
      </c>
      <c r="BK35" s="849">
        <f>'1.BS (VND)'!BF9/$C$6</f>
        <v>0</v>
      </c>
      <c r="BL35" s="850"/>
      <c r="BM35" s="849">
        <f>'1.BS (VND)'!BH9/$C$6</f>
        <v>0</v>
      </c>
      <c r="BN35" s="849">
        <f>'1.BS (VND)'!BI9/$C$6</f>
        <v>0</v>
      </c>
      <c r="BO35" s="849">
        <f>'1.BS (VND)'!BJ9/$C$6</f>
        <v>0</v>
      </c>
      <c r="BP35" s="849">
        <f>'1.BS (VND)'!BK9/$C$6</f>
        <v>0</v>
      </c>
      <c r="BQ35" s="851"/>
      <c r="BR35" s="849">
        <f t="shared" si="84"/>
        <v>1.8635646859999999</v>
      </c>
      <c r="BS35" s="849">
        <f t="shared" si="85"/>
        <v>1.839270717</v>
      </c>
      <c r="BT35" s="849">
        <f t="shared" si="86"/>
        <v>10.212877174000001</v>
      </c>
      <c r="BU35" s="849">
        <f t="shared" si="87"/>
        <v>25.094023905</v>
      </c>
      <c r="BV35" s="850"/>
      <c r="BW35" s="849">
        <f t="shared" si="88"/>
        <v>4.0564091510000004</v>
      </c>
      <c r="BX35" s="849">
        <f t="shared" si="89"/>
        <v>0.95982668500000001</v>
      </c>
      <c r="BY35" s="849">
        <f t="shared" si="90"/>
        <v>10.758610237999999</v>
      </c>
      <c r="BZ35" s="849">
        <f t="shared" si="91"/>
        <v>16.482060872000002</v>
      </c>
      <c r="CA35" s="850"/>
      <c r="CB35" s="849">
        <f t="shared" si="92"/>
        <v>0.25667594900000001</v>
      </c>
      <c r="CC35" s="849">
        <f t="shared" si="93"/>
        <v>0.49065459500000003</v>
      </c>
      <c r="CD35" s="849">
        <f t="shared" si="94"/>
        <v>11.130311158</v>
      </c>
      <c r="CE35" s="849">
        <f t="shared" si="95"/>
        <v>1.963401127</v>
      </c>
      <c r="CF35" s="850"/>
      <c r="CG35" s="849">
        <f t="shared" si="96"/>
        <v>1.7489421999999999</v>
      </c>
      <c r="CH35" s="849">
        <f t="shared" si="97"/>
        <v>0.76002604399999996</v>
      </c>
      <c r="CI35" s="849">
        <f t="shared" si="98"/>
        <v>0.45498851400000001</v>
      </c>
      <c r="CJ35" s="849">
        <f t="shared" si="99"/>
        <v>0.24786407399999999</v>
      </c>
      <c r="CK35" s="850"/>
      <c r="CL35" s="849">
        <f t="shared" si="100"/>
        <v>0</v>
      </c>
      <c r="CM35" s="849">
        <f t="shared" si="101"/>
        <v>0</v>
      </c>
      <c r="CN35" s="849">
        <f t="shared" si="102"/>
        <v>0</v>
      </c>
      <c r="CO35" s="849">
        <f t="shared" si="103"/>
        <v>0</v>
      </c>
      <c r="CP35" s="850"/>
      <c r="CQ35" s="849">
        <f t="shared" si="104"/>
        <v>0</v>
      </c>
      <c r="CR35" s="849">
        <f t="shared" si="105"/>
        <v>0</v>
      </c>
      <c r="CS35" s="849">
        <f t="shared" si="106"/>
        <v>0</v>
      </c>
      <c r="CT35" s="849">
        <f t="shared" si="107"/>
        <v>0</v>
      </c>
      <c r="CU35" s="852"/>
      <c r="CV35" s="849">
        <f t="shared" si="108"/>
        <v>7.9255919860000006</v>
      </c>
      <c r="CW35" s="849">
        <f t="shared" si="108"/>
        <v>4.0497780409999997</v>
      </c>
      <c r="CX35" s="849">
        <f t="shared" si="108"/>
        <v>32.556787084</v>
      </c>
      <c r="CY35" s="849">
        <f t="shared" si="108"/>
        <v>43.787349978000002</v>
      </c>
      <c r="CZ35" s="852"/>
      <c r="DA35" s="849">
        <f>'1.BS (VND)'!CV9/'1.BC_Ra Soat (ty) '!$C$6</f>
        <v>0</v>
      </c>
      <c r="DB35" s="849">
        <f>'1.BS (VND)'!CW9/'1.BC_Ra Soat (ty) '!$C$6</f>
        <v>0</v>
      </c>
      <c r="DC35" s="849">
        <f>'1.BS (VND)'!CX9/'1.BC_Ra Soat (ty) '!$C$6</f>
        <v>0</v>
      </c>
      <c r="DD35" s="849">
        <f>'1.BS (VND)'!CY9/'1.BC_Ra Soat (ty) '!$C$6</f>
        <v>0</v>
      </c>
      <c r="DE35" s="852"/>
      <c r="DF35" s="849">
        <f t="shared" ref="DF35:DF96" si="110">CV35+DA35</f>
        <v>7.9255919860000006</v>
      </c>
      <c r="DG35" s="849">
        <f t="shared" si="109"/>
        <v>4.0497780409999997</v>
      </c>
      <c r="DH35" s="849">
        <f t="shared" si="109"/>
        <v>32.556787084</v>
      </c>
      <c r="DI35" s="849">
        <f t="shared" si="109"/>
        <v>43.787349978000002</v>
      </c>
      <c r="DJ35" s="444"/>
    </row>
    <row r="36" spans="1:114" s="441" customFormat="1" ht="15.75" x14ac:dyDescent="0.25">
      <c r="A36" s="447">
        <f t="shared" ref="A36:A99" si="111">IF(SUM(E36:DI36)&lt;&gt;0,1,"hide")</f>
        <v>1</v>
      </c>
      <c r="C36" s="452" t="s">
        <v>295</v>
      </c>
      <c r="D36" s="453" t="s">
        <v>296</v>
      </c>
      <c r="E36" s="835">
        <f>'1.BS (VND)'!E10/$C$6</f>
        <v>1.8635646859999999</v>
      </c>
      <c r="F36" s="835">
        <f>'1.BS (VND)'!F10/$C$6</f>
        <v>1.839270717</v>
      </c>
      <c r="G36" s="835">
        <f>'1.BS (VND)'!G10/$C$6</f>
        <v>10.212877174000001</v>
      </c>
      <c r="H36" s="835">
        <f>'1.BS (VND)'!H10/$C$6</f>
        <v>25.094023905</v>
      </c>
      <c r="I36" s="840"/>
      <c r="J36" s="835">
        <f>'1.BS (VND)'!J10/$C$6</f>
        <v>4.0564091510000004</v>
      </c>
      <c r="K36" s="835">
        <f>'1.BS (VND)'!K10/$C$6</f>
        <v>0.95982668500000001</v>
      </c>
      <c r="L36" s="835">
        <f>'1.BS (VND)'!L10/$C$6</f>
        <v>10.758610237999999</v>
      </c>
      <c r="M36" s="835">
        <f>'1.BS (VND)'!M10/$C$6</f>
        <v>16.482060872000002</v>
      </c>
      <c r="N36" s="840"/>
      <c r="O36" s="835">
        <f>'1.BS (VND)'!O10/$C$6</f>
        <v>0.25667594900000001</v>
      </c>
      <c r="P36" s="835">
        <f>'1.BS (VND)'!P10/$C$6</f>
        <v>0.49065459500000003</v>
      </c>
      <c r="Q36" s="835">
        <f>'1.BS (VND)'!Q10/$C$6</f>
        <v>11.130311158</v>
      </c>
      <c r="R36" s="835">
        <f>'1.BS (VND)'!R10/$C$6</f>
        <v>1.963401127</v>
      </c>
      <c r="S36" s="840"/>
      <c r="T36" s="835">
        <f>'1.BS (VND)'!T10/$C$6</f>
        <v>1.7489421999999999</v>
      </c>
      <c r="U36" s="835">
        <f>'1.BS (VND)'!U10/$C$6</f>
        <v>0.76002604399999996</v>
      </c>
      <c r="V36" s="835">
        <f>'1.BS (VND)'!V10/$C$6</f>
        <v>0.45498851400000001</v>
      </c>
      <c r="W36" s="835">
        <f>'1.BS (VND)'!W10/$C$6</f>
        <v>0.24786407399999999</v>
      </c>
      <c r="X36" s="840"/>
      <c r="Y36" s="835">
        <f>'1.BS (VND)'!Y10/$C$6</f>
        <v>0</v>
      </c>
      <c r="Z36" s="835">
        <f>'1.BS (VND)'!Z10/$C$6</f>
        <v>0</v>
      </c>
      <c r="AA36" s="835">
        <f>'1.BS (VND)'!AA10/$C$6</f>
        <v>0</v>
      </c>
      <c r="AB36" s="835">
        <f>'1.BS (VND)'!AB10/$C$6</f>
        <v>0</v>
      </c>
      <c r="AC36" s="840"/>
      <c r="AD36" s="835">
        <f>'1.BS (VND)'!AD10/$C$6</f>
        <v>0</v>
      </c>
      <c r="AE36" s="835">
        <f>'1.BS (VND)'!AE10/$C$6</f>
        <v>0</v>
      </c>
      <c r="AF36" s="835">
        <f>'1.BS (VND)'!AF10/$C$6</f>
        <v>0</v>
      </c>
      <c r="AG36" s="835">
        <f>'1.BS (VND)'!AG10/$C$6</f>
        <v>0</v>
      </c>
      <c r="AH36" s="841"/>
      <c r="AI36" s="835">
        <f t="shared" si="82"/>
        <v>7.9255919860000006</v>
      </c>
      <c r="AJ36" s="835">
        <f>SUMIF($E$5:$AG$5,AJ$5,$E36:$AG36)</f>
        <v>4.0497780409999997</v>
      </c>
      <c r="AK36" s="835">
        <f t="shared" si="82"/>
        <v>32.556787084</v>
      </c>
      <c r="AL36" s="835">
        <f t="shared" si="83"/>
        <v>43.787349978000002</v>
      </c>
      <c r="AM36" s="852"/>
      <c r="AN36" s="835">
        <f>'1.BS (VND)'!AI10/$C$6</f>
        <v>0</v>
      </c>
      <c r="AO36" s="835">
        <f>'1.BS (VND)'!AJ10/$C$6</f>
        <v>0</v>
      </c>
      <c r="AP36" s="835">
        <f>'1.BS (VND)'!AK10/$C$6</f>
        <v>0</v>
      </c>
      <c r="AQ36" s="835">
        <f>'1.BS (VND)'!AL10/$C$6</f>
        <v>0</v>
      </c>
      <c r="AR36" s="840"/>
      <c r="AS36" s="835">
        <f>'1.BS (VND)'!AN10/$C$6</f>
        <v>0</v>
      </c>
      <c r="AT36" s="835">
        <f>'1.BS (VND)'!AO10/$C$6</f>
        <v>0</v>
      </c>
      <c r="AU36" s="835">
        <f>'1.BS (VND)'!AP10/$C$6</f>
        <v>0</v>
      </c>
      <c r="AV36" s="835">
        <f>'1.BS (VND)'!AQ10/$C$6</f>
        <v>0</v>
      </c>
      <c r="AW36" s="840"/>
      <c r="AX36" s="835">
        <f>'1.BS (VND)'!AS10/$C$6</f>
        <v>0</v>
      </c>
      <c r="AY36" s="835">
        <f>'1.BS (VND)'!AT10/$C$6</f>
        <v>0</v>
      </c>
      <c r="AZ36" s="835">
        <f>'1.BS (VND)'!AU10/$C$6</f>
        <v>0</v>
      </c>
      <c r="BA36" s="835">
        <f>'1.BS (VND)'!AV10/$C$6</f>
        <v>0</v>
      </c>
      <c r="BB36" s="840"/>
      <c r="BC36" s="835">
        <f>'1.BS (VND)'!AX10/$C$6</f>
        <v>0</v>
      </c>
      <c r="BD36" s="835">
        <f>'1.BS (VND)'!AY10/$C$6</f>
        <v>0</v>
      </c>
      <c r="BE36" s="835">
        <f>'1.BS (VND)'!AZ10/$C$6</f>
        <v>0</v>
      </c>
      <c r="BF36" s="835">
        <f>'1.BS (VND)'!BA10/$C$6</f>
        <v>0</v>
      </c>
      <c r="BG36" s="840"/>
      <c r="BH36" s="835">
        <f>'1.BS (VND)'!BC10/$C$6</f>
        <v>0</v>
      </c>
      <c r="BI36" s="835">
        <f>'1.BS (VND)'!BD10/$C$6</f>
        <v>0</v>
      </c>
      <c r="BJ36" s="835">
        <f>'1.BS (VND)'!BE10/$C$6</f>
        <v>0</v>
      </c>
      <c r="BK36" s="835">
        <f>'1.BS (VND)'!BF10/$C$6</f>
        <v>0</v>
      </c>
      <c r="BL36" s="840"/>
      <c r="BM36" s="835">
        <f>'1.BS (VND)'!BH10/$C$6</f>
        <v>0</v>
      </c>
      <c r="BN36" s="835">
        <f>'1.BS (VND)'!BI10/$C$6</f>
        <v>0</v>
      </c>
      <c r="BO36" s="835">
        <f>'1.BS (VND)'!BJ10/$C$6</f>
        <v>0</v>
      </c>
      <c r="BP36" s="835">
        <f>'1.BS (VND)'!BK10/$C$6</f>
        <v>0</v>
      </c>
      <c r="BQ36" s="841"/>
      <c r="BR36" s="835">
        <f t="shared" si="84"/>
        <v>1.8635646859999999</v>
      </c>
      <c r="BS36" s="835">
        <f t="shared" si="85"/>
        <v>1.839270717</v>
      </c>
      <c r="BT36" s="835">
        <f t="shared" si="86"/>
        <v>10.212877174000001</v>
      </c>
      <c r="BU36" s="835">
        <f t="shared" si="87"/>
        <v>25.094023905</v>
      </c>
      <c r="BV36" s="840"/>
      <c r="BW36" s="835">
        <f t="shared" si="88"/>
        <v>4.0564091510000004</v>
      </c>
      <c r="BX36" s="835">
        <f t="shared" si="89"/>
        <v>0.95982668500000001</v>
      </c>
      <c r="BY36" s="835">
        <f t="shared" si="90"/>
        <v>10.758610237999999</v>
      </c>
      <c r="BZ36" s="835">
        <f t="shared" si="91"/>
        <v>16.482060872000002</v>
      </c>
      <c r="CA36" s="840"/>
      <c r="CB36" s="835">
        <f t="shared" si="92"/>
        <v>0.25667594900000001</v>
      </c>
      <c r="CC36" s="835">
        <f t="shared" si="93"/>
        <v>0.49065459500000003</v>
      </c>
      <c r="CD36" s="835">
        <f t="shared" si="94"/>
        <v>11.130311158</v>
      </c>
      <c r="CE36" s="835">
        <f t="shared" si="95"/>
        <v>1.963401127</v>
      </c>
      <c r="CF36" s="840"/>
      <c r="CG36" s="835">
        <f t="shared" si="96"/>
        <v>1.7489421999999999</v>
      </c>
      <c r="CH36" s="835">
        <f t="shared" si="97"/>
        <v>0.76002604399999996</v>
      </c>
      <c r="CI36" s="835">
        <f t="shared" si="98"/>
        <v>0.45498851400000001</v>
      </c>
      <c r="CJ36" s="835">
        <f t="shared" si="99"/>
        <v>0.24786407399999999</v>
      </c>
      <c r="CK36" s="840"/>
      <c r="CL36" s="835">
        <f t="shared" si="100"/>
        <v>0</v>
      </c>
      <c r="CM36" s="835">
        <f t="shared" si="101"/>
        <v>0</v>
      </c>
      <c r="CN36" s="835">
        <f t="shared" si="102"/>
        <v>0</v>
      </c>
      <c r="CO36" s="835">
        <f t="shared" si="103"/>
        <v>0</v>
      </c>
      <c r="CP36" s="840"/>
      <c r="CQ36" s="835">
        <f t="shared" si="104"/>
        <v>0</v>
      </c>
      <c r="CR36" s="835">
        <f t="shared" si="105"/>
        <v>0</v>
      </c>
      <c r="CS36" s="835">
        <f t="shared" si="106"/>
        <v>0</v>
      </c>
      <c r="CT36" s="835">
        <f t="shared" si="107"/>
        <v>0</v>
      </c>
      <c r="CU36" s="842"/>
      <c r="CV36" s="835">
        <f t="shared" si="108"/>
        <v>7.9255919860000006</v>
      </c>
      <c r="CW36" s="835">
        <f t="shared" si="108"/>
        <v>4.0497780409999997</v>
      </c>
      <c r="CX36" s="835">
        <f t="shared" si="108"/>
        <v>32.556787084</v>
      </c>
      <c r="CY36" s="835">
        <f t="shared" si="108"/>
        <v>43.787349978000002</v>
      </c>
      <c r="CZ36" s="842"/>
      <c r="DA36" s="835">
        <f>'1.BS (VND)'!CV10/'1.BC_Ra Soat (ty) '!$C$6</f>
        <v>0</v>
      </c>
      <c r="DB36" s="835">
        <f>'1.BS (VND)'!CW10/'1.BC_Ra Soat (ty) '!$C$6</f>
        <v>0</v>
      </c>
      <c r="DC36" s="835">
        <f>'1.BS (VND)'!CX10/'1.BC_Ra Soat (ty) '!$C$6</f>
        <v>0</v>
      </c>
      <c r="DD36" s="835">
        <f>'1.BS (VND)'!CY10/'1.BC_Ra Soat (ty) '!$C$6</f>
        <v>0</v>
      </c>
      <c r="DE36" s="842"/>
      <c r="DF36" s="835">
        <f t="shared" si="110"/>
        <v>7.9255919860000006</v>
      </c>
      <c r="DG36" s="835">
        <f t="shared" si="109"/>
        <v>4.0497780409999997</v>
      </c>
      <c r="DH36" s="835">
        <f t="shared" si="109"/>
        <v>32.556787084</v>
      </c>
      <c r="DI36" s="835">
        <f t="shared" si="109"/>
        <v>43.787349978000002</v>
      </c>
      <c r="DJ36" s="444"/>
    </row>
    <row r="37" spans="1:114" s="441" customFormat="1" ht="15.75" hidden="1" x14ac:dyDescent="0.25">
      <c r="A37" s="447" t="str">
        <f t="shared" si="111"/>
        <v>hide</v>
      </c>
      <c r="C37" s="452" t="s">
        <v>297</v>
      </c>
      <c r="D37" s="453" t="s">
        <v>298</v>
      </c>
      <c r="E37" s="835">
        <f>'1.BS (VND)'!E11/$C$6</f>
        <v>0</v>
      </c>
      <c r="F37" s="835">
        <f>'1.BS (VND)'!F11/$C$6</f>
        <v>0</v>
      </c>
      <c r="G37" s="835">
        <f>'1.BS (VND)'!G11/$C$6</f>
        <v>0</v>
      </c>
      <c r="H37" s="835">
        <f>'1.BS (VND)'!H11/$C$6</f>
        <v>0</v>
      </c>
      <c r="I37" s="840"/>
      <c r="J37" s="835">
        <f>'1.BS (VND)'!J11/$C$6</f>
        <v>0</v>
      </c>
      <c r="K37" s="835">
        <f>'1.BS (VND)'!K11/$C$6</f>
        <v>0</v>
      </c>
      <c r="L37" s="835">
        <f>'1.BS (VND)'!L11/$C$6</f>
        <v>0</v>
      </c>
      <c r="M37" s="835">
        <f>'1.BS (VND)'!M11/$C$6</f>
        <v>0</v>
      </c>
      <c r="N37" s="840"/>
      <c r="O37" s="835">
        <f>'1.BS (VND)'!O11/$C$6</f>
        <v>0</v>
      </c>
      <c r="P37" s="835">
        <f>'1.BS (VND)'!P11/$C$6</f>
        <v>0</v>
      </c>
      <c r="Q37" s="835">
        <f>'1.BS (VND)'!Q11/$C$6</f>
        <v>0</v>
      </c>
      <c r="R37" s="835">
        <f>'1.BS (VND)'!R11/$C$6</f>
        <v>0</v>
      </c>
      <c r="S37" s="840"/>
      <c r="T37" s="835">
        <f>'1.BS (VND)'!T11/$C$6</f>
        <v>0</v>
      </c>
      <c r="U37" s="835">
        <f>'1.BS (VND)'!U11/$C$6</f>
        <v>0</v>
      </c>
      <c r="V37" s="835">
        <f>'1.BS (VND)'!V11/$C$6</f>
        <v>0</v>
      </c>
      <c r="W37" s="835">
        <f>'1.BS (VND)'!W11/$C$6</f>
        <v>0</v>
      </c>
      <c r="X37" s="840"/>
      <c r="Y37" s="835">
        <f>'1.BS (VND)'!Y11/$C$6</f>
        <v>0</v>
      </c>
      <c r="Z37" s="835">
        <f>'1.BS (VND)'!Z11/$C$6</f>
        <v>0</v>
      </c>
      <c r="AA37" s="835">
        <f>'1.BS (VND)'!AA11/$C$6</f>
        <v>0</v>
      </c>
      <c r="AB37" s="835">
        <f>'1.BS (VND)'!AB11/$C$6</f>
        <v>0</v>
      </c>
      <c r="AC37" s="840"/>
      <c r="AD37" s="835">
        <f>'1.BS (VND)'!AD11/$C$6</f>
        <v>0</v>
      </c>
      <c r="AE37" s="835">
        <f>'1.BS (VND)'!AE11/$C$6</f>
        <v>0</v>
      </c>
      <c r="AF37" s="835">
        <f>'1.BS (VND)'!AF11/$C$6</f>
        <v>0</v>
      </c>
      <c r="AG37" s="835">
        <f>'1.BS (VND)'!AG11/$C$6</f>
        <v>0</v>
      </c>
      <c r="AH37" s="841"/>
      <c r="AI37" s="835">
        <f t="shared" si="82"/>
        <v>0</v>
      </c>
      <c r="AJ37" s="835">
        <f t="shared" si="82"/>
        <v>0</v>
      </c>
      <c r="AK37" s="835">
        <f t="shared" si="82"/>
        <v>0</v>
      </c>
      <c r="AL37" s="835">
        <f t="shared" si="83"/>
        <v>0</v>
      </c>
      <c r="AM37" s="852"/>
      <c r="AN37" s="835">
        <f>'1.BS (VND)'!AI11/$C$6</f>
        <v>0</v>
      </c>
      <c r="AO37" s="835">
        <f>'1.BS (VND)'!AJ11/$C$6</f>
        <v>0</v>
      </c>
      <c r="AP37" s="835">
        <f>'1.BS (VND)'!AK11/$C$6</f>
        <v>0</v>
      </c>
      <c r="AQ37" s="835">
        <f>'1.BS (VND)'!AL11/$C$6</f>
        <v>0</v>
      </c>
      <c r="AR37" s="840"/>
      <c r="AS37" s="835">
        <f>'1.BS (VND)'!AN11/$C$6</f>
        <v>0</v>
      </c>
      <c r="AT37" s="835">
        <f>'1.BS (VND)'!AO11/$C$6</f>
        <v>0</v>
      </c>
      <c r="AU37" s="835">
        <f>'1.BS (VND)'!AP11/$C$6</f>
        <v>0</v>
      </c>
      <c r="AV37" s="835">
        <f>'1.BS (VND)'!AQ11/$C$6</f>
        <v>0</v>
      </c>
      <c r="AW37" s="840"/>
      <c r="AX37" s="835">
        <f>'1.BS (VND)'!AS11/$C$6</f>
        <v>0</v>
      </c>
      <c r="AY37" s="835">
        <f>'1.BS (VND)'!AT11/$C$6</f>
        <v>0</v>
      </c>
      <c r="AZ37" s="835">
        <f>'1.BS (VND)'!AU11/$C$6</f>
        <v>0</v>
      </c>
      <c r="BA37" s="835">
        <f>'1.BS (VND)'!AV11/$C$6</f>
        <v>0</v>
      </c>
      <c r="BB37" s="840"/>
      <c r="BC37" s="835">
        <f>'1.BS (VND)'!AX11/$C$6</f>
        <v>0</v>
      </c>
      <c r="BD37" s="835">
        <f>'1.BS (VND)'!AY11/$C$6</f>
        <v>0</v>
      </c>
      <c r="BE37" s="835">
        <f>'1.BS (VND)'!AZ11/$C$6</f>
        <v>0</v>
      </c>
      <c r="BF37" s="835">
        <f>'1.BS (VND)'!BA11/$C$6</f>
        <v>0</v>
      </c>
      <c r="BG37" s="840"/>
      <c r="BH37" s="835">
        <f>'1.BS (VND)'!BC11/$C$6</f>
        <v>0</v>
      </c>
      <c r="BI37" s="835">
        <f>'1.BS (VND)'!BD11/$C$6</f>
        <v>0</v>
      </c>
      <c r="BJ37" s="835">
        <f>'1.BS (VND)'!BE11/$C$6</f>
        <v>0</v>
      </c>
      <c r="BK37" s="835">
        <f>'1.BS (VND)'!BF11/$C$6</f>
        <v>0</v>
      </c>
      <c r="BL37" s="840"/>
      <c r="BM37" s="835">
        <f>'1.BS (VND)'!BH11/$C$6</f>
        <v>0</v>
      </c>
      <c r="BN37" s="835">
        <f>'1.BS (VND)'!BI11/$C$6</f>
        <v>0</v>
      </c>
      <c r="BO37" s="835">
        <f>'1.BS (VND)'!BJ11/$C$6</f>
        <v>0</v>
      </c>
      <c r="BP37" s="835">
        <f>'1.BS (VND)'!BK11/$C$6</f>
        <v>0</v>
      </c>
      <c r="BQ37" s="841"/>
      <c r="BR37" s="835">
        <f t="shared" si="84"/>
        <v>0</v>
      </c>
      <c r="BS37" s="835">
        <f t="shared" si="85"/>
        <v>0</v>
      </c>
      <c r="BT37" s="835">
        <f t="shared" si="86"/>
        <v>0</v>
      </c>
      <c r="BU37" s="835">
        <f t="shared" si="87"/>
        <v>0</v>
      </c>
      <c r="BV37" s="840"/>
      <c r="BW37" s="835">
        <f t="shared" si="88"/>
        <v>0</v>
      </c>
      <c r="BX37" s="835">
        <f t="shared" si="89"/>
        <v>0</v>
      </c>
      <c r="BY37" s="835">
        <f t="shared" si="90"/>
        <v>0</v>
      </c>
      <c r="BZ37" s="835">
        <f t="shared" si="91"/>
        <v>0</v>
      </c>
      <c r="CA37" s="840"/>
      <c r="CB37" s="835">
        <f t="shared" si="92"/>
        <v>0</v>
      </c>
      <c r="CC37" s="835">
        <f t="shared" si="93"/>
        <v>0</v>
      </c>
      <c r="CD37" s="835">
        <f t="shared" si="94"/>
        <v>0</v>
      </c>
      <c r="CE37" s="835">
        <f t="shared" si="95"/>
        <v>0</v>
      </c>
      <c r="CF37" s="840"/>
      <c r="CG37" s="835">
        <f t="shared" si="96"/>
        <v>0</v>
      </c>
      <c r="CH37" s="835">
        <f t="shared" si="97"/>
        <v>0</v>
      </c>
      <c r="CI37" s="835">
        <f t="shared" si="98"/>
        <v>0</v>
      </c>
      <c r="CJ37" s="835">
        <f t="shared" si="99"/>
        <v>0</v>
      </c>
      <c r="CK37" s="840"/>
      <c r="CL37" s="835">
        <f t="shared" si="100"/>
        <v>0</v>
      </c>
      <c r="CM37" s="835">
        <f t="shared" si="101"/>
        <v>0</v>
      </c>
      <c r="CN37" s="835">
        <f t="shared" si="102"/>
        <v>0</v>
      </c>
      <c r="CO37" s="835">
        <f t="shared" si="103"/>
        <v>0</v>
      </c>
      <c r="CP37" s="840"/>
      <c r="CQ37" s="835">
        <f t="shared" si="104"/>
        <v>0</v>
      </c>
      <c r="CR37" s="835">
        <f t="shared" si="105"/>
        <v>0</v>
      </c>
      <c r="CS37" s="835">
        <f t="shared" si="106"/>
        <v>0</v>
      </c>
      <c r="CT37" s="835">
        <f t="shared" si="107"/>
        <v>0</v>
      </c>
      <c r="CU37" s="842"/>
      <c r="CV37" s="835">
        <f t="shared" si="108"/>
        <v>0</v>
      </c>
      <c r="CW37" s="835">
        <f t="shared" si="108"/>
        <v>0</v>
      </c>
      <c r="CX37" s="835">
        <f t="shared" si="108"/>
        <v>0</v>
      </c>
      <c r="CY37" s="835">
        <f t="shared" si="108"/>
        <v>0</v>
      </c>
      <c r="CZ37" s="842"/>
      <c r="DA37" s="835">
        <f>'1.BS (VND)'!CV11/'1.BC_Ra Soat (ty) '!$C$6</f>
        <v>0</v>
      </c>
      <c r="DB37" s="835">
        <f>'1.BS (VND)'!CW11/'1.BC_Ra Soat (ty) '!$C$6</f>
        <v>0</v>
      </c>
      <c r="DC37" s="835">
        <f>'1.BS (VND)'!CX11/'1.BC_Ra Soat (ty) '!$C$6</f>
        <v>0</v>
      </c>
      <c r="DD37" s="835">
        <f>'1.BS (VND)'!CY11/'1.BC_Ra Soat (ty) '!$C$6</f>
        <v>0</v>
      </c>
      <c r="DE37" s="842"/>
      <c r="DF37" s="835">
        <f t="shared" si="110"/>
        <v>0</v>
      </c>
      <c r="DG37" s="835">
        <f t="shared" si="109"/>
        <v>0</v>
      </c>
      <c r="DH37" s="835">
        <f t="shared" si="109"/>
        <v>0</v>
      </c>
      <c r="DI37" s="835">
        <f t="shared" si="109"/>
        <v>0</v>
      </c>
      <c r="DJ37" s="444"/>
    </row>
    <row r="38" spans="1:114" s="447" customFormat="1" ht="15.75" hidden="1" x14ac:dyDescent="0.25">
      <c r="A38" s="447" t="str">
        <f t="shared" si="111"/>
        <v>hide</v>
      </c>
      <c r="C38" s="450" t="s">
        <v>299</v>
      </c>
      <c r="D38" s="451" t="s">
        <v>300</v>
      </c>
      <c r="E38" s="849">
        <f>'1.BS (VND)'!E12/$C$6</f>
        <v>0</v>
      </c>
      <c r="F38" s="849">
        <f>'1.BS (VND)'!F12/$C$6</f>
        <v>0</v>
      </c>
      <c r="G38" s="849">
        <f>'1.BS (VND)'!G12/$C$6</f>
        <v>0</v>
      </c>
      <c r="H38" s="849">
        <f>'1.BS (VND)'!H12/$C$6</f>
        <v>0</v>
      </c>
      <c r="I38" s="850"/>
      <c r="J38" s="849">
        <f>'1.BS (VND)'!J12/$C$6</f>
        <v>0</v>
      </c>
      <c r="K38" s="849">
        <f>'1.BS (VND)'!K12/$C$6</f>
        <v>0</v>
      </c>
      <c r="L38" s="849">
        <f>'1.BS (VND)'!L12/$C$6</f>
        <v>0</v>
      </c>
      <c r="M38" s="849">
        <f>'1.BS (VND)'!M12/$C$6</f>
        <v>0</v>
      </c>
      <c r="N38" s="850"/>
      <c r="O38" s="849">
        <f>'1.BS (VND)'!O12/$C$6</f>
        <v>0</v>
      </c>
      <c r="P38" s="849">
        <f>'1.BS (VND)'!P12/$C$6</f>
        <v>0</v>
      </c>
      <c r="Q38" s="849">
        <f>'1.BS (VND)'!Q12/$C$6</f>
        <v>0</v>
      </c>
      <c r="R38" s="849">
        <f>'1.BS (VND)'!R12/$C$6</f>
        <v>0</v>
      </c>
      <c r="S38" s="850"/>
      <c r="T38" s="849">
        <f>'1.BS (VND)'!T12/$C$6</f>
        <v>0</v>
      </c>
      <c r="U38" s="849">
        <f>'1.BS (VND)'!U12/$C$6</f>
        <v>0</v>
      </c>
      <c r="V38" s="849">
        <f>'1.BS (VND)'!V12/$C$6</f>
        <v>0</v>
      </c>
      <c r="W38" s="849">
        <f>'1.BS (VND)'!W12/$C$6</f>
        <v>0</v>
      </c>
      <c r="X38" s="850"/>
      <c r="Y38" s="849">
        <f>'1.BS (VND)'!Y12/$C$6</f>
        <v>0</v>
      </c>
      <c r="Z38" s="849">
        <f>'1.BS (VND)'!Z12/$C$6</f>
        <v>0</v>
      </c>
      <c r="AA38" s="849">
        <f>'1.BS (VND)'!AA12/$C$6</f>
        <v>0</v>
      </c>
      <c r="AB38" s="849">
        <f>'1.BS (VND)'!AB12/$C$6</f>
        <v>0</v>
      </c>
      <c r="AC38" s="850"/>
      <c r="AD38" s="849">
        <f>'1.BS (VND)'!AD12/$C$6</f>
        <v>0</v>
      </c>
      <c r="AE38" s="849">
        <f>'1.BS (VND)'!AE12/$C$6</f>
        <v>0</v>
      </c>
      <c r="AF38" s="849">
        <f>'1.BS (VND)'!AF12/$C$6</f>
        <v>0</v>
      </c>
      <c r="AG38" s="849">
        <f>'1.BS (VND)'!AG12/$C$6</f>
        <v>0</v>
      </c>
      <c r="AH38" s="851"/>
      <c r="AI38" s="849">
        <f t="shared" si="82"/>
        <v>0</v>
      </c>
      <c r="AJ38" s="849">
        <f t="shared" si="82"/>
        <v>0</v>
      </c>
      <c r="AK38" s="849">
        <f t="shared" si="82"/>
        <v>0</v>
      </c>
      <c r="AL38" s="849">
        <f t="shared" si="83"/>
        <v>0</v>
      </c>
      <c r="AM38" s="852"/>
      <c r="AN38" s="849">
        <f>'1.BS (VND)'!AI12/$C$6</f>
        <v>0</v>
      </c>
      <c r="AO38" s="849">
        <f>'1.BS (VND)'!AJ12/$C$6</f>
        <v>0</v>
      </c>
      <c r="AP38" s="849">
        <f>'1.BS (VND)'!AK12/$C$6</f>
        <v>0</v>
      </c>
      <c r="AQ38" s="849">
        <f>'1.BS (VND)'!AL12/$C$6</f>
        <v>0</v>
      </c>
      <c r="AR38" s="850"/>
      <c r="AS38" s="849">
        <f>'1.BS (VND)'!AN12/$C$6</f>
        <v>0</v>
      </c>
      <c r="AT38" s="849">
        <f>'1.BS (VND)'!AO12/$C$6</f>
        <v>0</v>
      </c>
      <c r="AU38" s="849">
        <f>'1.BS (VND)'!AP12/$C$6</f>
        <v>0</v>
      </c>
      <c r="AV38" s="849">
        <f>'1.BS (VND)'!AQ12/$C$6</f>
        <v>0</v>
      </c>
      <c r="AW38" s="850"/>
      <c r="AX38" s="849">
        <f>'1.BS (VND)'!AS12/$C$6</f>
        <v>0</v>
      </c>
      <c r="AY38" s="849">
        <f>'1.BS (VND)'!AT12/$C$6</f>
        <v>0</v>
      </c>
      <c r="AZ38" s="849">
        <f>'1.BS (VND)'!AU12/$C$6</f>
        <v>0</v>
      </c>
      <c r="BA38" s="849">
        <f>'1.BS (VND)'!AV12/$C$6</f>
        <v>0</v>
      </c>
      <c r="BB38" s="850"/>
      <c r="BC38" s="849">
        <f>'1.BS (VND)'!AX12/$C$6</f>
        <v>0</v>
      </c>
      <c r="BD38" s="849">
        <f>'1.BS (VND)'!AY12/$C$6</f>
        <v>0</v>
      </c>
      <c r="BE38" s="849">
        <f>'1.BS (VND)'!AZ12/$C$6</f>
        <v>0</v>
      </c>
      <c r="BF38" s="849">
        <f>'1.BS (VND)'!BA12/$C$6</f>
        <v>0</v>
      </c>
      <c r="BG38" s="850"/>
      <c r="BH38" s="849">
        <f>'1.BS (VND)'!BC12/$C$6</f>
        <v>0</v>
      </c>
      <c r="BI38" s="849">
        <f>'1.BS (VND)'!BD12/$C$6</f>
        <v>0</v>
      </c>
      <c r="BJ38" s="849">
        <f>'1.BS (VND)'!BE12/$C$6</f>
        <v>0</v>
      </c>
      <c r="BK38" s="849">
        <f>'1.BS (VND)'!BF12/$C$6</f>
        <v>0</v>
      </c>
      <c r="BL38" s="850"/>
      <c r="BM38" s="849">
        <f>'1.BS (VND)'!BH12/$C$6</f>
        <v>0</v>
      </c>
      <c r="BN38" s="849">
        <f>'1.BS (VND)'!BI12/$C$6</f>
        <v>0</v>
      </c>
      <c r="BO38" s="849">
        <f>'1.BS (VND)'!BJ12/$C$6</f>
        <v>0</v>
      </c>
      <c r="BP38" s="849">
        <f>'1.BS (VND)'!BK12/$C$6</f>
        <v>0</v>
      </c>
      <c r="BQ38" s="851"/>
      <c r="BR38" s="849">
        <f t="shared" si="84"/>
        <v>0</v>
      </c>
      <c r="BS38" s="849">
        <f t="shared" si="85"/>
        <v>0</v>
      </c>
      <c r="BT38" s="849">
        <f t="shared" si="86"/>
        <v>0</v>
      </c>
      <c r="BU38" s="849">
        <f t="shared" si="87"/>
        <v>0</v>
      </c>
      <c r="BV38" s="850"/>
      <c r="BW38" s="849">
        <f t="shared" si="88"/>
        <v>0</v>
      </c>
      <c r="BX38" s="849">
        <f t="shared" si="89"/>
        <v>0</v>
      </c>
      <c r="BY38" s="849">
        <f t="shared" si="90"/>
        <v>0</v>
      </c>
      <c r="BZ38" s="849">
        <f t="shared" si="91"/>
        <v>0</v>
      </c>
      <c r="CA38" s="850"/>
      <c r="CB38" s="849">
        <f t="shared" si="92"/>
        <v>0</v>
      </c>
      <c r="CC38" s="849">
        <f t="shared" si="93"/>
        <v>0</v>
      </c>
      <c r="CD38" s="849">
        <f t="shared" si="94"/>
        <v>0</v>
      </c>
      <c r="CE38" s="849">
        <f t="shared" si="95"/>
        <v>0</v>
      </c>
      <c r="CF38" s="850"/>
      <c r="CG38" s="849">
        <f t="shared" si="96"/>
        <v>0</v>
      </c>
      <c r="CH38" s="849">
        <f t="shared" si="97"/>
        <v>0</v>
      </c>
      <c r="CI38" s="849">
        <f t="shared" si="98"/>
        <v>0</v>
      </c>
      <c r="CJ38" s="849">
        <f t="shared" si="99"/>
        <v>0</v>
      </c>
      <c r="CK38" s="850"/>
      <c r="CL38" s="849">
        <f t="shared" si="100"/>
        <v>0</v>
      </c>
      <c r="CM38" s="849">
        <f t="shared" si="101"/>
        <v>0</v>
      </c>
      <c r="CN38" s="849">
        <f t="shared" si="102"/>
        <v>0</v>
      </c>
      <c r="CO38" s="849">
        <f t="shared" si="103"/>
        <v>0</v>
      </c>
      <c r="CP38" s="850"/>
      <c r="CQ38" s="849">
        <f t="shared" si="104"/>
        <v>0</v>
      </c>
      <c r="CR38" s="849">
        <f t="shared" si="105"/>
        <v>0</v>
      </c>
      <c r="CS38" s="849">
        <f t="shared" si="106"/>
        <v>0</v>
      </c>
      <c r="CT38" s="849">
        <f t="shared" si="107"/>
        <v>0</v>
      </c>
      <c r="CU38" s="852"/>
      <c r="CV38" s="849">
        <f t="shared" si="108"/>
        <v>0</v>
      </c>
      <c r="CW38" s="849">
        <f t="shared" si="108"/>
        <v>0</v>
      </c>
      <c r="CX38" s="849">
        <f t="shared" si="108"/>
        <v>0</v>
      </c>
      <c r="CY38" s="849">
        <f t="shared" si="108"/>
        <v>0</v>
      </c>
      <c r="CZ38" s="852"/>
      <c r="DA38" s="849">
        <f>'1.BS (VND)'!CV12/'1.BC_Ra Soat (ty) '!$C$6</f>
        <v>0</v>
      </c>
      <c r="DB38" s="849">
        <f>'1.BS (VND)'!CW12/'1.BC_Ra Soat (ty) '!$C$6</f>
        <v>0</v>
      </c>
      <c r="DC38" s="849">
        <f>'1.BS (VND)'!CX12/'1.BC_Ra Soat (ty) '!$C$6</f>
        <v>0</v>
      </c>
      <c r="DD38" s="849">
        <f>'1.BS (VND)'!CY12/'1.BC_Ra Soat (ty) '!$C$6</f>
        <v>0</v>
      </c>
      <c r="DE38" s="852"/>
      <c r="DF38" s="849">
        <f t="shared" si="110"/>
        <v>0</v>
      </c>
      <c r="DG38" s="849">
        <f t="shared" si="109"/>
        <v>0</v>
      </c>
      <c r="DH38" s="849">
        <f t="shared" si="109"/>
        <v>0</v>
      </c>
      <c r="DI38" s="849">
        <f t="shared" si="109"/>
        <v>0</v>
      </c>
      <c r="DJ38" s="444"/>
    </row>
    <row r="39" spans="1:114" s="441" customFormat="1" ht="15.75" x14ac:dyDescent="0.25">
      <c r="A39" s="447">
        <f t="shared" si="111"/>
        <v>1</v>
      </c>
      <c r="C39" s="452" t="s">
        <v>301</v>
      </c>
      <c r="D39" s="453" t="s">
        <v>302</v>
      </c>
      <c r="E39" s="835">
        <f>'1.BS (VND)'!E13/$C$6</f>
        <v>0</v>
      </c>
      <c r="F39" s="835">
        <f>'1.BS (VND)'!F13/$C$6</f>
        <v>0</v>
      </c>
      <c r="G39" s="835">
        <f>'1.BS (VND)'!G13/$C$6</f>
        <v>0</v>
      </c>
      <c r="H39" s="835">
        <f>'1.BS (VND)'!H13/$C$6</f>
        <v>0</v>
      </c>
      <c r="I39" s="840"/>
      <c r="J39" s="835">
        <f>'1.BS (VND)'!J13/$C$6</f>
        <v>0</v>
      </c>
      <c r="K39" s="835">
        <f>'1.BS (VND)'!K13/$C$6</f>
        <v>0</v>
      </c>
      <c r="L39" s="835">
        <f>'1.BS (VND)'!L13/$C$6</f>
        <v>0</v>
      </c>
      <c r="M39" s="835">
        <f>'1.BS (VND)'!M13/$C$6</f>
        <v>0</v>
      </c>
      <c r="N39" s="840"/>
      <c r="O39" s="835">
        <f>'1.BS (VND)'!O13/$C$6</f>
        <v>0</v>
      </c>
      <c r="P39" s="835">
        <f>'1.BS (VND)'!P13/$C$6</f>
        <v>0</v>
      </c>
      <c r="Q39" s="835">
        <f>'1.BS (VND)'!Q13/$C$6</f>
        <v>0</v>
      </c>
      <c r="R39" s="835">
        <f>'1.BS (VND)'!R13/$C$6</f>
        <v>0</v>
      </c>
      <c r="S39" s="840"/>
      <c r="T39" s="835">
        <f>'1.BS (VND)'!T13/$C$6</f>
        <v>0</v>
      </c>
      <c r="U39" s="835">
        <f>'1.BS (VND)'!U13/$C$6</f>
        <v>0</v>
      </c>
      <c r="V39" s="835">
        <f>'1.BS (VND)'!V13/$C$6</f>
        <v>0</v>
      </c>
      <c r="W39" s="835">
        <f>'1.BS (VND)'!W13/$C$6</f>
        <v>0</v>
      </c>
      <c r="X39" s="840"/>
      <c r="Y39" s="835">
        <f>'1.BS (VND)'!Y13/$C$6</f>
        <v>0</v>
      </c>
      <c r="Z39" s="835">
        <f>'1.BS (VND)'!Z13/$C$6</f>
        <v>0</v>
      </c>
      <c r="AA39" s="835">
        <f>'1.BS (VND)'!AA13/$C$6</f>
        <v>0</v>
      </c>
      <c r="AB39" s="835">
        <f>'1.BS (VND)'!AB13/$C$6</f>
        <v>0</v>
      </c>
      <c r="AC39" s="840"/>
      <c r="AD39" s="835">
        <f>'1.BS (VND)'!AD13/$C$6</f>
        <v>0</v>
      </c>
      <c r="AE39" s="835">
        <f>'1.BS (VND)'!AE13/$C$6</f>
        <v>0</v>
      </c>
      <c r="AF39" s="835">
        <f>'1.BS (VND)'!AF13/$C$6</f>
        <v>0</v>
      </c>
      <c r="AG39" s="835">
        <f>'1.BS (VND)'!AG13/$C$6</f>
        <v>0</v>
      </c>
      <c r="AH39" s="841"/>
      <c r="AI39" s="835">
        <f t="shared" si="82"/>
        <v>0</v>
      </c>
      <c r="AJ39" s="835">
        <f t="shared" si="82"/>
        <v>0</v>
      </c>
      <c r="AK39" s="835">
        <f t="shared" si="82"/>
        <v>0</v>
      </c>
      <c r="AL39" s="835">
        <f t="shared" si="83"/>
        <v>0</v>
      </c>
      <c r="AM39" s="852"/>
      <c r="AN39" s="835">
        <v>3</v>
      </c>
      <c r="AO39" s="835">
        <f>'1.BS (VND)'!AJ13/$C$6</f>
        <v>0</v>
      </c>
      <c r="AP39" s="835">
        <f>'1.BS (VND)'!AK13/$C$6</f>
        <v>0</v>
      </c>
      <c r="AQ39" s="835">
        <f>'1.BS (VND)'!AL13/$C$6</f>
        <v>0</v>
      </c>
      <c r="AR39" s="840"/>
      <c r="AS39" s="835">
        <f>'1.BS (VND)'!AN13/$C$6</f>
        <v>0</v>
      </c>
      <c r="AT39" s="835">
        <f>'1.BS (VND)'!AO13/$C$6</f>
        <v>0</v>
      </c>
      <c r="AU39" s="835">
        <f>'1.BS (VND)'!AP13/$C$6</f>
        <v>0</v>
      </c>
      <c r="AV39" s="835">
        <f>'1.BS (VND)'!AQ13/$C$6</f>
        <v>0</v>
      </c>
      <c r="AW39" s="840"/>
      <c r="AX39" s="835">
        <f>'1.BS (VND)'!AS13/$C$6</f>
        <v>0</v>
      </c>
      <c r="AY39" s="835">
        <f>'1.BS (VND)'!AT13/$C$6</f>
        <v>0</v>
      </c>
      <c r="AZ39" s="835">
        <f>'1.BS (VND)'!AU13/$C$6</f>
        <v>0</v>
      </c>
      <c r="BA39" s="835">
        <f>'1.BS (VND)'!AV13/$C$6</f>
        <v>0</v>
      </c>
      <c r="BB39" s="840"/>
      <c r="BC39" s="835">
        <f>'1.BS (VND)'!AX13/$C$6</f>
        <v>0</v>
      </c>
      <c r="BD39" s="835">
        <f>'1.BS (VND)'!AY13/$C$6</f>
        <v>0</v>
      </c>
      <c r="BE39" s="835">
        <f>'1.BS (VND)'!AZ13/$C$6</f>
        <v>0</v>
      </c>
      <c r="BF39" s="835">
        <f>'1.BS (VND)'!BA13/$C$6</f>
        <v>0</v>
      </c>
      <c r="BG39" s="840"/>
      <c r="BH39" s="835">
        <f>'1.BS (VND)'!BC13/$C$6</f>
        <v>0</v>
      </c>
      <c r="BI39" s="835">
        <f>'1.BS (VND)'!BD13/$C$6</f>
        <v>0</v>
      </c>
      <c r="BJ39" s="835">
        <f>'1.BS (VND)'!BE13/$C$6</f>
        <v>0</v>
      </c>
      <c r="BK39" s="835">
        <f>'1.BS (VND)'!BF13/$C$6</f>
        <v>0</v>
      </c>
      <c r="BL39" s="840"/>
      <c r="BM39" s="835">
        <f>'1.BS (VND)'!BH13/$C$6</f>
        <v>0</v>
      </c>
      <c r="BN39" s="835">
        <f>'1.BS (VND)'!BI13/$C$6</f>
        <v>0</v>
      </c>
      <c r="BO39" s="835">
        <f>'1.BS (VND)'!BJ13/$C$6</f>
        <v>0</v>
      </c>
      <c r="BP39" s="835">
        <f>'1.BS (VND)'!BK13/$C$6</f>
        <v>0</v>
      </c>
      <c r="BQ39" s="841"/>
      <c r="BR39" s="835">
        <f t="shared" si="84"/>
        <v>3</v>
      </c>
      <c r="BS39" s="835">
        <f t="shared" si="85"/>
        <v>0</v>
      </c>
      <c r="BT39" s="835">
        <f t="shared" si="86"/>
        <v>0</v>
      </c>
      <c r="BU39" s="835">
        <f t="shared" si="87"/>
        <v>0</v>
      </c>
      <c r="BV39" s="840"/>
      <c r="BW39" s="835">
        <f t="shared" si="88"/>
        <v>0</v>
      </c>
      <c r="BX39" s="835">
        <f t="shared" si="89"/>
        <v>0</v>
      </c>
      <c r="BY39" s="835">
        <f t="shared" si="90"/>
        <v>0</v>
      </c>
      <c r="BZ39" s="835">
        <f t="shared" si="91"/>
        <v>0</v>
      </c>
      <c r="CA39" s="840"/>
      <c r="CB39" s="835">
        <f t="shared" si="92"/>
        <v>0</v>
      </c>
      <c r="CC39" s="835">
        <f t="shared" si="93"/>
        <v>0</v>
      </c>
      <c r="CD39" s="835">
        <f t="shared" si="94"/>
        <v>0</v>
      </c>
      <c r="CE39" s="835">
        <f t="shared" si="95"/>
        <v>0</v>
      </c>
      <c r="CF39" s="840"/>
      <c r="CG39" s="835">
        <f t="shared" si="96"/>
        <v>0</v>
      </c>
      <c r="CH39" s="835">
        <f t="shared" si="97"/>
        <v>0</v>
      </c>
      <c r="CI39" s="835">
        <f t="shared" si="98"/>
        <v>0</v>
      </c>
      <c r="CJ39" s="835">
        <f t="shared" si="99"/>
        <v>0</v>
      </c>
      <c r="CK39" s="840"/>
      <c r="CL39" s="835">
        <f t="shared" si="100"/>
        <v>0</v>
      </c>
      <c r="CM39" s="835">
        <f t="shared" si="101"/>
        <v>0</v>
      </c>
      <c r="CN39" s="835">
        <f t="shared" si="102"/>
        <v>0</v>
      </c>
      <c r="CO39" s="835">
        <f t="shared" si="103"/>
        <v>0</v>
      </c>
      <c r="CP39" s="840"/>
      <c r="CQ39" s="835">
        <f t="shared" si="104"/>
        <v>0</v>
      </c>
      <c r="CR39" s="835">
        <f t="shared" si="105"/>
        <v>0</v>
      </c>
      <c r="CS39" s="835">
        <f t="shared" si="106"/>
        <v>0</v>
      </c>
      <c r="CT39" s="835">
        <f t="shared" si="107"/>
        <v>0</v>
      </c>
      <c r="CU39" s="842"/>
      <c r="CV39" s="835">
        <f t="shared" si="108"/>
        <v>3</v>
      </c>
      <c r="CW39" s="835">
        <f t="shared" si="108"/>
        <v>0</v>
      </c>
      <c r="CX39" s="835">
        <f t="shared" si="108"/>
        <v>0</v>
      </c>
      <c r="CY39" s="835">
        <f t="shared" si="108"/>
        <v>0</v>
      </c>
      <c r="CZ39" s="842"/>
      <c r="DA39" s="835">
        <f>'1.BS (VND)'!CV13/'1.BC_Ra Soat (ty) '!$C$6</f>
        <v>0</v>
      </c>
      <c r="DB39" s="835">
        <f>'1.BS (VND)'!CW13/'1.BC_Ra Soat (ty) '!$C$6</f>
        <v>0</v>
      </c>
      <c r="DC39" s="835">
        <f>'1.BS (VND)'!CX13/'1.BC_Ra Soat (ty) '!$C$6</f>
        <v>0</v>
      </c>
      <c r="DD39" s="835">
        <f>'1.BS (VND)'!CY13/'1.BC_Ra Soat (ty) '!$C$6</f>
        <v>0</v>
      </c>
      <c r="DE39" s="842"/>
      <c r="DF39" s="835">
        <f t="shared" si="110"/>
        <v>3</v>
      </c>
      <c r="DG39" s="835">
        <f t="shared" si="109"/>
        <v>0</v>
      </c>
      <c r="DH39" s="835">
        <f t="shared" si="109"/>
        <v>0</v>
      </c>
      <c r="DI39" s="835">
        <f t="shared" si="109"/>
        <v>0</v>
      </c>
      <c r="DJ39" s="444"/>
    </row>
    <row r="40" spans="1:114" s="441" customFormat="1" ht="15.75" hidden="1" x14ac:dyDescent="0.25">
      <c r="A40" s="447" t="str">
        <f t="shared" si="111"/>
        <v>hide</v>
      </c>
      <c r="C40" s="452" t="s">
        <v>303</v>
      </c>
      <c r="D40" s="453" t="s">
        <v>304</v>
      </c>
      <c r="E40" s="835">
        <f>'1.BS (VND)'!E14/$C$6</f>
        <v>0</v>
      </c>
      <c r="F40" s="835">
        <f>'1.BS (VND)'!F14/$C$6</f>
        <v>0</v>
      </c>
      <c r="G40" s="835">
        <f>'1.BS (VND)'!G14/$C$6</f>
        <v>0</v>
      </c>
      <c r="H40" s="835">
        <f>'1.BS (VND)'!H14/$C$6</f>
        <v>0</v>
      </c>
      <c r="I40" s="840"/>
      <c r="J40" s="835">
        <f>'1.BS (VND)'!J14/$C$6</f>
        <v>0</v>
      </c>
      <c r="K40" s="835">
        <f>'1.BS (VND)'!K14/$C$6</f>
        <v>0</v>
      </c>
      <c r="L40" s="835">
        <f>'1.BS (VND)'!L14/$C$6</f>
        <v>0</v>
      </c>
      <c r="M40" s="835">
        <f>'1.BS (VND)'!M14/$C$6</f>
        <v>0</v>
      </c>
      <c r="N40" s="840"/>
      <c r="O40" s="835">
        <f>'1.BS (VND)'!O14/$C$6</f>
        <v>0</v>
      </c>
      <c r="P40" s="835">
        <f>'1.BS (VND)'!P14/$C$6</f>
        <v>0</v>
      </c>
      <c r="Q40" s="835">
        <f>'1.BS (VND)'!Q14/$C$6</f>
        <v>0</v>
      </c>
      <c r="R40" s="835">
        <f>'1.BS (VND)'!R14/$C$6</f>
        <v>0</v>
      </c>
      <c r="S40" s="840"/>
      <c r="T40" s="835">
        <f>'1.BS (VND)'!T14/$C$6</f>
        <v>0</v>
      </c>
      <c r="U40" s="835">
        <f>'1.BS (VND)'!U14/$C$6</f>
        <v>0</v>
      </c>
      <c r="V40" s="835">
        <f>'1.BS (VND)'!V14/$C$6</f>
        <v>0</v>
      </c>
      <c r="W40" s="835">
        <f>'1.BS (VND)'!W14/$C$6</f>
        <v>0</v>
      </c>
      <c r="X40" s="840"/>
      <c r="Y40" s="835">
        <f>'1.BS (VND)'!Y14/$C$6</f>
        <v>0</v>
      </c>
      <c r="Z40" s="835">
        <f>'1.BS (VND)'!Z14/$C$6</f>
        <v>0</v>
      </c>
      <c r="AA40" s="835">
        <f>'1.BS (VND)'!AA14/$C$6</f>
        <v>0</v>
      </c>
      <c r="AB40" s="835">
        <f>'1.BS (VND)'!AB14/$C$6</f>
        <v>0</v>
      </c>
      <c r="AC40" s="840"/>
      <c r="AD40" s="835">
        <f>'1.BS (VND)'!AD14/$C$6</f>
        <v>0</v>
      </c>
      <c r="AE40" s="835">
        <f>'1.BS (VND)'!AE14/$C$6</f>
        <v>0</v>
      </c>
      <c r="AF40" s="835">
        <f>'1.BS (VND)'!AF14/$C$6</f>
        <v>0</v>
      </c>
      <c r="AG40" s="835">
        <f>'1.BS (VND)'!AG14/$C$6</f>
        <v>0</v>
      </c>
      <c r="AH40" s="841"/>
      <c r="AI40" s="835">
        <f t="shared" si="82"/>
        <v>0</v>
      </c>
      <c r="AJ40" s="835">
        <f t="shared" si="82"/>
        <v>0</v>
      </c>
      <c r="AK40" s="835">
        <f t="shared" si="82"/>
        <v>0</v>
      </c>
      <c r="AL40" s="835">
        <f t="shared" si="83"/>
        <v>0</v>
      </c>
      <c r="AM40" s="842"/>
      <c r="AN40" s="835">
        <f>'1.BS (VND)'!AI14/$C$6</f>
        <v>0</v>
      </c>
      <c r="AO40" s="835">
        <f>'1.BS (VND)'!AJ14/$C$6</f>
        <v>0</v>
      </c>
      <c r="AP40" s="835">
        <f>'1.BS (VND)'!AK14/$C$6</f>
        <v>0</v>
      </c>
      <c r="AQ40" s="835">
        <f>'1.BS (VND)'!AL14/$C$6</f>
        <v>0</v>
      </c>
      <c r="AR40" s="840"/>
      <c r="AS40" s="835">
        <f>'1.BS (VND)'!AN14/$C$6</f>
        <v>0</v>
      </c>
      <c r="AT40" s="835">
        <f>'1.BS (VND)'!AO14/$C$6</f>
        <v>0</v>
      </c>
      <c r="AU40" s="835">
        <f>'1.BS (VND)'!AP14/$C$6</f>
        <v>0</v>
      </c>
      <c r="AV40" s="835">
        <f>'1.BS (VND)'!AQ14/$C$6</f>
        <v>0</v>
      </c>
      <c r="AW40" s="840"/>
      <c r="AX40" s="835">
        <f>'1.BS (VND)'!AS14/$C$6</f>
        <v>0</v>
      </c>
      <c r="AY40" s="835">
        <f>'1.BS (VND)'!AT14/$C$6</f>
        <v>0</v>
      </c>
      <c r="AZ40" s="835">
        <f>'1.BS (VND)'!AU14/$C$6</f>
        <v>0</v>
      </c>
      <c r="BA40" s="835">
        <f>'1.BS (VND)'!AV14/$C$6</f>
        <v>0</v>
      </c>
      <c r="BB40" s="840"/>
      <c r="BC40" s="835">
        <f>'1.BS (VND)'!AX14/$C$6</f>
        <v>0</v>
      </c>
      <c r="BD40" s="835">
        <f>'1.BS (VND)'!AY14/$C$6</f>
        <v>0</v>
      </c>
      <c r="BE40" s="835">
        <f>'1.BS (VND)'!AZ14/$C$6</f>
        <v>0</v>
      </c>
      <c r="BF40" s="835">
        <f>'1.BS (VND)'!BA14/$C$6</f>
        <v>0</v>
      </c>
      <c r="BG40" s="840"/>
      <c r="BH40" s="835">
        <f>'1.BS (VND)'!BC14/$C$6</f>
        <v>0</v>
      </c>
      <c r="BI40" s="835">
        <f>'1.BS (VND)'!BD14/$C$6</f>
        <v>0</v>
      </c>
      <c r="BJ40" s="835">
        <f>'1.BS (VND)'!BE14/$C$6</f>
        <v>0</v>
      </c>
      <c r="BK40" s="835">
        <f>'1.BS (VND)'!BF14/$C$6</f>
        <v>0</v>
      </c>
      <c r="BL40" s="840"/>
      <c r="BM40" s="835">
        <f>'1.BS (VND)'!BH14/$C$6</f>
        <v>0</v>
      </c>
      <c r="BN40" s="835">
        <f>'1.BS (VND)'!BI14/$C$6</f>
        <v>0</v>
      </c>
      <c r="BO40" s="835">
        <f>'1.BS (VND)'!BJ14/$C$6</f>
        <v>0</v>
      </c>
      <c r="BP40" s="835">
        <f>'1.BS (VND)'!BK14/$C$6</f>
        <v>0</v>
      </c>
      <c r="BQ40" s="841"/>
      <c r="BR40" s="835">
        <f t="shared" si="84"/>
        <v>0</v>
      </c>
      <c r="BS40" s="835">
        <f t="shared" si="85"/>
        <v>0</v>
      </c>
      <c r="BT40" s="835">
        <f t="shared" si="86"/>
        <v>0</v>
      </c>
      <c r="BU40" s="835">
        <f t="shared" si="87"/>
        <v>0</v>
      </c>
      <c r="BV40" s="840"/>
      <c r="BW40" s="835">
        <f t="shared" si="88"/>
        <v>0</v>
      </c>
      <c r="BX40" s="835">
        <f t="shared" si="89"/>
        <v>0</v>
      </c>
      <c r="BY40" s="835">
        <f t="shared" si="90"/>
        <v>0</v>
      </c>
      <c r="BZ40" s="835">
        <f t="shared" si="91"/>
        <v>0</v>
      </c>
      <c r="CA40" s="840"/>
      <c r="CB40" s="835">
        <f t="shared" si="92"/>
        <v>0</v>
      </c>
      <c r="CC40" s="835">
        <f t="shared" si="93"/>
        <v>0</v>
      </c>
      <c r="CD40" s="835">
        <f t="shared" si="94"/>
        <v>0</v>
      </c>
      <c r="CE40" s="835">
        <f t="shared" si="95"/>
        <v>0</v>
      </c>
      <c r="CF40" s="840"/>
      <c r="CG40" s="835">
        <f t="shared" si="96"/>
        <v>0</v>
      </c>
      <c r="CH40" s="835">
        <f t="shared" si="97"/>
        <v>0</v>
      </c>
      <c r="CI40" s="835">
        <f t="shared" si="98"/>
        <v>0</v>
      </c>
      <c r="CJ40" s="835">
        <f t="shared" si="99"/>
        <v>0</v>
      </c>
      <c r="CK40" s="840"/>
      <c r="CL40" s="835">
        <f t="shared" si="100"/>
        <v>0</v>
      </c>
      <c r="CM40" s="835">
        <f t="shared" si="101"/>
        <v>0</v>
      </c>
      <c r="CN40" s="835">
        <f t="shared" si="102"/>
        <v>0</v>
      </c>
      <c r="CO40" s="835">
        <f t="shared" si="103"/>
        <v>0</v>
      </c>
      <c r="CP40" s="840"/>
      <c r="CQ40" s="835">
        <f t="shared" si="104"/>
        <v>0</v>
      </c>
      <c r="CR40" s="835">
        <f t="shared" si="105"/>
        <v>0</v>
      </c>
      <c r="CS40" s="835">
        <f t="shared" si="106"/>
        <v>0</v>
      </c>
      <c r="CT40" s="835">
        <f t="shared" si="107"/>
        <v>0</v>
      </c>
      <c r="CU40" s="842"/>
      <c r="CV40" s="835">
        <f t="shared" si="108"/>
        <v>0</v>
      </c>
      <c r="CW40" s="835">
        <f t="shared" si="108"/>
        <v>0</v>
      </c>
      <c r="CX40" s="835">
        <f t="shared" si="108"/>
        <v>0</v>
      </c>
      <c r="CY40" s="835">
        <f t="shared" si="108"/>
        <v>0</v>
      </c>
      <c r="CZ40" s="842"/>
      <c r="DA40" s="835">
        <f>'1.BS (VND)'!CV14/'1.BC_Ra Soat (ty) '!$C$6</f>
        <v>0</v>
      </c>
      <c r="DB40" s="835">
        <f>'1.BS (VND)'!CW14/'1.BC_Ra Soat (ty) '!$C$6</f>
        <v>0</v>
      </c>
      <c r="DC40" s="835">
        <f>'1.BS (VND)'!CX14/'1.BC_Ra Soat (ty) '!$C$6</f>
        <v>0</v>
      </c>
      <c r="DD40" s="835">
        <f>'1.BS (VND)'!CY14/'1.BC_Ra Soat (ty) '!$C$6</f>
        <v>0</v>
      </c>
      <c r="DE40" s="842"/>
      <c r="DF40" s="835">
        <f t="shared" si="110"/>
        <v>0</v>
      </c>
      <c r="DG40" s="835">
        <f t="shared" si="109"/>
        <v>0</v>
      </c>
      <c r="DH40" s="835">
        <f t="shared" si="109"/>
        <v>0</v>
      </c>
      <c r="DI40" s="835">
        <f t="shared" si="109"/>
        <v>0</v>
      </c>
    </row>
    <row r="41" spans="1:114" s="441" customFormat="1" ht="1.1499999999999999" hidden="1" customHeight="1" x14ac:dyDescent="0.25">
      <c r="A41" s="447" t="str">
        <f t="shared" si="111"/>
        <v>hide</v>
      </c>
      <c r="C41" s="452" t="s">
        <v>305</v>
      </c>
      <c r="D41" s="453" t="s">
        <v>306</v>
      </c>
      <c r="E41" s="835">
        <f>'1.BS (VND)'!E15/$C$6</f>
        <v>0</v>
      </c>
      <c r="F41" s="835">
        <f>'1.BS (VND)'!F15/$C$6</f>
        <v>0</v>
      </c>
      <c r="G41" s="835">
        <f>'1.BS (VND)'!G15/$C$6</f>
        <v>0</v>
      </c>
      <c r="H41" s="835">
        <f>'1.BS (VND)'!H15/$C$6</f>
        <v>0</v>
      </c>
      <c r="I41" s="840"/>
      <c r="J41" s="835">
        <f>'1.BS (VND)'!J15/$C$6</f>
        <v>0</v>
      </c>
      <c r="K41" s="835">
        <f>'1.BS (VND)'!K15/$C$6</f>
        <v>0</v>
      </c>
      <c r="L41" s="835">
        <f>'1.BS (VND)'!L15/$C$6</f>
        <v>0</v>
      </c>
      <c r="M41" s="835">
        <f>'1.BS (VND)'!M15/$C$6</f>
        <v>0</v>
      </c>
      <c r="N41" s="840"/>
      <c r="O41" s="835">
        <f>'1.BS (VND)'!O15/$C$6</f>
        <v>0</v>
      </c>
      <c r="P41" s="835">
        <f>'1.BS (VND)'!P15/$C$6</f>
        <v>0</v>
      </c>
      <c r="Q41" s="835">
        <f>'1.BS (VND)'!Q15/$C$6</f>
        <v>0</v>
      </c>
      <c r="R41" s="835">
        <f>'1.BS (VND)'!R15/$C$6</f>
        <v>0</v>
      </c>
      <c r="S41" s="840"/>
      <c r="T41" s="835">
        <f>'1.BS (VND)'!T15/$C$6</f>
        <v>0</v>
      </c>
      <c r="U41" s="835">
        <f>'1.BS (VND)'!U15/$C$6</f>
        <v>0</v>
      </c>
      <c r="V41" s="835">
        <f>'1.BS (VND)'!V15/$C$6</f>
        <v>0</v>
      </c>
      <c r="W41" s="835">
        <f>'1.BS (VND)'!W15/$C$6</f>
        <v>0</v>
      </c>
      <c r="X41" s="840"/>
      <c r="Y41" s="835">
        <f>'1.BS (VND)'!Y15/$C$6</f>
        <v>0</v>
      </c>
      <c r="Z41" s="835">
        <f>'1.BS (VND)'!Z15/$C$6</f>
        <v>0</v>
      </c>
      <c r="AA41" s="835">
        <f>'1.BS (VND)'!AA15/$C$6</f>
        <v>0</v>
      </c>
      <c r="AB41" s="835">
        <f>'1.BS (VND)'!AB15/$C$6</f>
        <v>0</v>
      </c>
      <c r="AC41" s="840"/>
      <c r="AD41" s="835">
        <f>'1.BS (VND)'!AD15/$C$6</f>
        <v>0</v>
      </c>
      <c r="AE41" s="835">
        <f>'1.BS (VND)'!AE15/$C$6</f>
        <v>0</v>
      </c>
      <c r="AF41" s="835">
        <f>'1.BS (VND)'!AF15/$C$6</f>
        <v>0</v>
      </c>
      <c r="AG41" s="835">
        <f>'1.BS (VND)'!AG15/$C$6</f>
        <v>0</v>
      </c>
      <c r="AH41" s="841"/>
      <c r="AI41" s="835">
        <f t="shared" si="82"/>
        <v>0</v>
      </c>
      <c r="AJ41" s="835">
        <f t="shared" si="82"/>
        <v>0</v>
      </c>
      <c r="AK41" s="835">
        <f t="shared" si="82"/>
        <v>0</v>
      </c>
      <c r="AL41" s="835">
        <f t="shared" si="83"/>
        <v>0</v>
      </c>
      <c r="AM41" s="842"/>
      <c r="AN41" s="835">
        <f>'1.BS (VND)'!AI15/$C$6</f>
        <v>0</v>
      </c>
      <c r="AO41" s="835">
        <f>'1.BS (VND)'!AJ15/$C$6</f>
        <v>0</v>
      </c>
      <c r="AP41" s="835">
        <f>'1.BS (VND)'!AK15/$C$6</f>
        <v>0</v>
      </c>
      <c r="AQ41" s="835">
        <f>'1.BS (VND)'!AL15/$C$6</f>
        <v>0</v>
      </c>
      <c r="AR41" s="840"/>
      <c r="AS41" s="835">
        <f>'1.BS (VND)'!AN15/$C$6</f>
        <v>0</v>
      </c>
      <c r="AT41" s="835">
        <f>'1.BS (VND)'!AO15/$C$6</f>
        <v>0</v>
      </c>
      <c r="AU41" s="835">
        <f>'1.BS (VND)'!AP15/$C$6</f>
        <v>0</v>
      </c>
      <c r="AV41" s="835">
        <f>'1.BS (VND)'!AQ15/$C$6</f>
        <v>0</v>
      </c>
      <c r="AW41" s="840"/>
      <c r="AX41" s="835">
        <f>'1.BS (VND)'!AS15/$C$6</f>
        <v>0</v>
      </c>
      <c r="AY41" s="835">
        <f>'1.BS (VND)'!AT15/$C$6</f>
        <v>0</v>
      </c>
      <c r="AZ41" s="835">
        <f>'1.BS (VND)'!AU15/$C$6</f>
        <v>0</v>
      </c>
      <c r="BA41" s="835">
        <f>'1.BS (VND)'!AV15/$C$6</f>
        <v>0</v>
      </c>
      <c r="BB41" s="840"/>
      <c r="BC41" s="835">
        <f>'1.BS (VND)'!AX15/$C$6</f>
        <v>0</v>
      </c>
      <c r="BD41" s="835">
        <f>'1.BS (VND)'!AY15/$C$6</f>
        <v>0</v>
      </c>
      <c r="BE41" s="835">
        <f>'1.BS (VND)'!AZ15/$C$6</f>
        <v>0</v>
      </c>
      <c r="BF41" s="835">
        <f>'1.BS (VND)'!BA15/$C$6</f>
        <v>0</v>
      </c>
      <c r="BG41" s="840"/>
      <c r="BH41" s="835">
        <f>'1.BS (VND)'!BC15/$C$6</f>
        <v>0</v>
      </c>
      <c r="BI41" s="835">
        <f>'1.BS (VND)'!BD15/$C$6</f>
        <v>0</v>
      </c>
      <c r="BJ41" s="835">
        <f>'1.BS (VND)'!BE15/$C$6</f>
        <v>0</v>
      </c>
      <c r="BK41" s="835">
        <f>'1.BS (VND)'!BF15/$C$6</f>
        <v>0</v>
      </c>
      <c r="BL41" s="840"/>
      <c r="BM41" s="835">
        <f>'1.BS (VND)'!BH15/$C$6</f>
        <v>0</v>
      </c>
      <c r="BN41" s="835">
        <f>'1.BS (VND)'!BI15/$C$6</f>
        <v>0</v>
      </c>
      <c r="BO41" s="835">
        <f>'1.BS (VND)'!BJ15/$C$6</f>
        <v>0</v>
      </c>
      <c r="BP41" s="835">
        <f>'1.BS (VND)'!BK15/$C$6</f>
        <v>0</v>
      </c>
      <c r="BQ41" s="841"/>
      <c r="BR41" s="835">
        <f t="shared" si="84"/>
        <v>0</v>
      </c>
      <c r="BS41" s="835">
        <f t="shared" si="85"/>
        <v>0</v>
      </c>
      <c r="BT41" s="835">
        <f t="shared" si="86"/>
        <v>0</v>
      </c>
      <c r="BU41" s="835">
        <f t="shared" si="87"/>
        <v>0</v>
      </c>
      <c r="BV41" s="840"/>
      <c r="BW41" s="835">
        <f t="shared" si="88"/>
        <v>0</v>
      </c>
      <c r="BX41" s="835">
        <f t="shared" si="89"/>
        <v>0</v>
      </c>
      <c r="BY41" s="835">
        <f t="shared" si="90"/>
        <v>0</v>
      </c>
      <c r="BZ41" s="835">
        <f t="shared" si="91"/>
        <v>0</v>
      </c>
      <c r="CA41" s="840"/>
      <c r="CB41" s="835">
        <f t="shared" si="92"/>
        <v>0</v>
      </c>
      <c r="CC41" s="835">
        <f t="shared" si="93"/>
        <v>0</v>
      </c>
      <c r="CD41" s="835">
        <f t="shared" si="94"/>
        <v>0</v>
      </c>
      <c r="CE41" s="835">
        <f t="shared" si="95"/>
        <v>0</v>
      </c>
      <c r="CF41" s="840"/>
      <c r="CG41" s="835">
        <f t="shared" si="96"/>
        <v>0</v>
      </c>
      <c r="CH41" s="835">
        <f t="shared" si="97"/>
        <v>0</v>
      </c>
      <c r="CI41" s="835">
        <f t="shared" si="98"/>
        <v>0</v>
      </c>
      <c r="CJ41" s="835">
        <f t="shared" si="99"/>
        <v>0</v>
      </c>
      <c r="CK41" s="840"/>
      <c r="CL41" s="835">
        <f t="shared" si="100"/>
        <v>0</v>
      </c>
      <c r="CM41" s="835">
        <f t="shared" si="101"/>
        <v>0</v>
      </c>
      <c r="CN41" s="835">
        <f t="shared" si="102"/>
        <v>0</v>
      </c>
      <c r="CO41" s="835">
        <f t="shared" si="103"/>
        <v>0</v>
      </c>
      <c r="CP41" s="840"/>
      <c r="CQ41" s="835">
        <f t="shared" si="104"/>
        <v>0</v>
      </c>
      <c r="CR41" s="835">
        <f t="shared" si="105"/>
        <v>0</v>
      </c>
      <c r="CS41" s="835">
        <f t="shared" si="106"/>
        <v>0</v>
      </c>
      <c r="CT41" s="835">
        <f t="shared" si="107"/>
        <v>0</v>
      </c>
      <c r="CU41" s="842"/>
      <c r="CV41" s="835">
        <f t="shared" si="108"/>
        <v>0</v>
      </c>
      <c r="CW41" s="835">
        <f t="shared" si="108"/>
        <v>0</v>
      </c>
      <c r="CX41" s="835">
        <f t="shared" si="108"/>
        <v>0</v>
      </c>
      <c r="CY41" s="835">
        <f t="shared" si="108"/>
        <v>0</v>
      </c>
      <c r="CZ41" s="842"/>
      <c r="DA41" s="835">
        <f>'1.BS (VND)'!CV15/'1.BC_Ra Soat (ty) '!$C$6</f>
        <v>0</v>
      </c>
      <c r="DB41" s="835">
        <f>'1.BS (VND)'!CW15/'1.BC_Ra Soat (ty) '!$C$6</f>
        <v>0</v>
      </c>
      <c r="DC41" s="835">
        <f>'1.BS (VND)'!CX15/'1.BC_Ra Soat (ty) '!$C$6</f>
        <v>0</v>
      </c>
      <c r="DD41" s="835">
        <f>'1.BS (VND)'!CY15/'1.BC_Ra Soat (ty) '!$C$6</f>
        <v>0</v>
      </c>
      <c r="DE41" s="842"/>
      <c r="DF41" s="835">
        <f t="shared" si="110"/>
        <v>0</v>
      </c>
      <c r="DG41" s="835">
        <f t="shared" si="109"/>
        <v>0</v>
      </c>
      <c r="DH41" s="835">
        <f t="shared" si="109"/>
        <v>0</v>
      </c>
      <c r="DI41" s="835">
        <f t="shared" si="109"/>
        <v>0</v>
      </c>
    </row>
    <row r="42" spans="1:114" s="447" customFormat="1" ht="15.75" x14ac:dyDescent="0.25">
      <c r="A42" s="447">
        <f t="shared" si="111"/>
        <v>1</v>
      </c>
      <c r="C42" s="450" t="s">
        <v>307</v>
      </c>
      <c r="D42" s="451" t="s">
        <v>308</v>
      </c>
      <c r="E42" s="849">
        <f>'1.BS (VND)'!E16/$C$6</f>
        <v>97.498763941000007</v>
      </c>
      <c r="F42" s="849">
        <f>'1.BS (VND)'!F16/$C$6</f>
        <v>33.835444195999997</v>
      </c>
      <c r="G42" s="849">
        <f>'1.BS (VND)'!G16/$C$6</f>
        <v>36.647695915</v>
      </c>
      <c r="H42" s="849">
        <f>'1.BS (VND)'!H16/$C$6</f>
        <v>157.23492576199999</v>
      </c>
      <c r="I42" s="850"/>
      <c r="J42" s="849">
        <f>'1.BS (VND)'!J16/$C$6</f>
        <v>2.7999999999999998E-4</v>
      </c>
      <c r="K42" s="849">
        <f>'1.BS (VND)'!K16/$C$6</f>
        <v>7.8416034720000001</v>
      </c>
      <c r="L42" s="849">
        <f>'1.BS (VND)'!L16/$C$6</f>
        <v>13.003454123999999</v>
      </c>
      <c r="M42" s="849">
        <f>'1.BS (VND)'!M16/$C$6</f>
        <v>50.668668330000003</v>
      </c>
      <c r="N42" s="850"/>
      <c r="O42" s="849">
        <f>'1.BS (VND)'!O16/$C$6</f>
        <v>42.594784969000003</v>
      </c>
      <c r="P42" s="849">
        <f>'1.BS (VND)'!P16/$C$6</f>
        <v>14.981552601000001</v>
      </c>
      <c r="Q42" s="849">
        <f>'1.BS (VND)'!Q16/$C$6</f>
        <v>29.281648145999998</v>
      </c>
      <c r="R42" s="849">
        <f>'1.BS (VND)'!R16/$C$6</f>
        <v>33.772683962999999</v>
      </c>
      <c r="S42" s="850"/>
      <c r="T42" s="849">
        <f>'1.BS (VND)'!T16/$C$6</f>
        <v>19.088145880999999</v>
      </c>
      <c r="U42" s="849">
        <f>'1.BS (VND)'!U16/$C$6</f>
        <v>13.200431074999999</v>
      </c>
      <c r="V42" s="849">
        <f>'1.BS (VND)'!V16/$C$6</f>
        <v>14.547999516000001</v>
      </c>
      <c r="W42" s="849">
        <f>'1.BS (VND)'!W16/$C$6</f>
        <v>50.012927699999999</v>
      </c>
      <c r="X42" s="850"/>
      <c r="Y42" s="849">
        <f>'1.BS (VND)'!Y16/$C$6</f>
        <v>0</v>
      </c>
      <c r="Z42" s="849">
        <f>'1.BS (VND)'!Z16/$C$6</f>
        <v>0</v>
      </c>
      <c r="AA42" s="849">
        <f>'1.BS (VND)'!AA16/$C$6</f>
        <v>0</v>
      </c>
      <c r="AB42" s="849">
        <f>'1.BS (VND)'!AB16/$C$6</f>
        <v>0</v>
      </c>
      <c r="AC42" s="850"/>
      <c r="AD42" s="849">
        <f>'1.BS (VND)'!AD16/$C$6</f>
        <v>0</v>
      </c>
      <c r="AE42" s="849">
        <f>'1.BS (VND)'!AE16/$C$6</f>
        <v>0</v>
      </c>
      <c r="AF42" s="849">
        <f>'1.BS (VND)'!AF16/$C$6</f>
        <v>0</v>
      </c>
      <c r="AG42" s="849">
        <f>'1.BS (VND)'!AG16/$C$6</f>
        <v>0</v>
      </c>
      <c r="AH42" s="851"/>
      <c r="AI42" s="849">
        <f t="shared" si="82"/>
        <v>159.18197479100002</v>
      </c>
      <c r="AJ42" s="849">
        <f t="shared" si="82"/>
        <v>69.859031344000002</v>
      </c>
      <c r="AK42" s="849">
        <f t="shared" si="82"/>
        <v>93.480797701</v>
      </c>
      <c r="AL42" s="849">
        <f t="shared" si="83"/>
        <v>291.68920575499999</v>
      </c>
      <c r="AM42" s="852"/>
      <c r="AN42" s="849">
        <f>'1.BS (VND)'!AI16/$C$6</f>
        <v>0</v>
      </c>
      <c r="AO42" s="849">
        <f>'1.BS (VND)'!AJ16/$C$6</f>
        <v>0</v>
      </c>
      <c r="AP42" s="849">
        <f>'1.BS (VND)'!AK16/$C$6</f>
        <v>0</v>
      </c>
      <c r="AQ42" s="849">
        <f>'1.BS (VND)'!AL16/$C$6</f>
        <v>-3.55</v>
      </c>
      <c r="AR42" s="850"/>
      <c r="AS42" s="849">
        <f>'1.BS (VND)'!AN16/$C$6</f>
        <v>0</v>
      </c>
      <c r="AT42" s="849">
        <f>'1.BS (VND)'!AO16/$C$6</f>
        <v>0</v>
      </c>
      <c r="AU42" s="849">
        <f>'1.BS (VND)'!AP16/$C$6</f>
        <v>0</v>
      </c>
      <c r="AV42" s="849">
        <f>'1.BS (VND)'!AQ16/$C$6</f>
        <v>0</v>
      </c>
      <c r="AW42" s="850"/>
      <c r="AX42" s="849">
        <f>'1.BS (VND)'!AS16/$C$6</f>
        <v>0</v>
      </c>
      <c r="AY42" s="849">
        <f>'1.BS (VND)'!AT16/$C$6</f>
        <v>0</v>
      </c>
      <c r="AZ42" s="849">
        <f>'1.BS (VND)'!AU16/$C$6</f>
        <v>0</v>
      </c>
      <c r="BA42" s="849">
        <f>'1.BS (VND)'!AV16/$C$6</f>
        <v>-4.95</v>
      </c>
      <c r="BB42" s="850"/>
      <c r="BC42" s="849">
        <f>'1.BS (VND)'!AX16/$C$6</f>
        <v>0</v>
      </c>
      <c r="BD42" s="849">
        <f>'1.BS (VND)'!AY16/$C$6</f>
        <v>0</v>
      </c>
      <c r="BE42" s="849">
        <f>'1.BS (VND)'!AZ16/$C$6</f>
        <v>0</v>
      </c>
      <c r="BF42" s="849">
        <f>'1.BS (VND)'!BA16/$C$6</f>
        <v>-5</v>
      </c>
      <c r="BG42" s="850"/>
      <c r="BH42" s="849">
        <f>'1.BS (VND)'!BC16/$C$6</f>
        <v>0</v>
      </c>
      <c r="BI42" s="849">
        <f>'1.BS (VND)'!BD16/$C$6</f>
        <v>0</v>
      </c>
      <c r="BJ42" s="849">
        <f>'1.BS (VND)'!BE16/$C$6</f>
        <v>0</v>
      </c>
      <c r="BK42" s="849">
        <f>'1.BS (VND)'!BF16/$C$6</f>
        <v>0</v>
      </c>
      <c r="BL42" s="850"/>
      <c r="BM42" s="849">
        <f>'1.BS (VND)'!BH16/$C$6</f>
        <v>0</v>
      </c>
      <c r="BN42" s="849">
        <f>'1.BS (VND)'!BI16/$C$6</f>
        <v>0</v>
      </c>
      <c r="BO42" s="849">
        <f>'1.BS (VND)'!BJ16/$C$6</f>
        <v>0</v>
      </c>
      <c r="BP42" s="849">
        <f>'1.BS (VND)'!BK16/$C$6</f>
        <v>0</v>
      </c>
      <c r="BQ42" s="851"/>
      <c r="BR42" s="849">
        <f t="shared" si="84"/>
        <v>97.498763941000007</v>
      </c>
      <c r="BS42" s="849">
        <f t="shared" si="85"/>
        <v>33.835444195999997</v>
      </c>
      <c r="BT42" s="849">
        <f t="shared" si="86"/>
        <v>36.647695915</v>
      </c>
      <c r="BU42" s="849">
        <f t="shared" si="87"/>
        <v>153.68492576199998</v>
      </c>
      <c r="BV42" s="850"/>
      <c r="BW42" s="849">
        <f t="shared" si="88"/>
        <v>2.7999999999999998E-4</v>
      </c>
      <c r="BX42" s="849">
        <f t="shared" si="89"/>
        <v>7.8416034720000001</v>
      </c>
      <c r="BY42" s="849">
        <f t="shared" si="90"/>
        <v>13.003454123999999</v>
      </c>
      <c r="BZ42" s="849">
        <f t="shared" si="91"/>
        <v>50.668668330000003</v>
      </c>
      <c r="CA42" s="850"/>
      <c r="CB42" s="849">
        <f t="shared" si="92"/>
        <v>42.594784969000003</v>
      </c>
      <c r="CC42" s="849">
        <f t="shared" si="93"/>
        <v>14.981552601000001</v>
      </c>
      <c r="CD42" s="849">
        <f t="shared" si="94"/>
        <v>29.281648145999998</v>
      </c>
      <c r="CE42" s="849">
        <f t="shared" si="95"/>
        <v>28.822683962999999</v>
      </c>
      <c r="CF42" s="850"/>
      <c r="CG42" s="849">
        <f t="shared" si="96"/>
        <v>19.088145880999999</v>
      </c>
      <c r="CH42" s="849">
        <f t="shared" si="97"/>
        <v>13.200431074999999</v>
      </c>
      <c r="CI42" s="849">
        <f t="shared" si="98"/>
        <v>14.547999516000001</v>
      </c>
      <c r="CJ42" s="849">
        <f t="shared" si="99"/>
        <v>45.012927699999999</v>
      </c>
      <c r="CK42" s="850"/>
      <c r="CL42" s="849">
        <f t="shared" si="100"/>
        <v>0</v>
      </c>
      <c r="CM42" s="849">
        <f t="shared" si="101"/>
        <v>0</v>
      </c>
      <c r="CN42" s="849">
        <f t="shared" si="102"/>
        <v>0</v>
      </c>
      <c r="CO42" s="849">
        <f t="shared" si="103"/>
        <v>0</v>
      </c>
      <c r="CP42" s="850"/>
      <c r="CQ42" s="849">
        <f t="shared" si="104"/>
        <v>0</v>
      </c>
      <c r="CR42" s="849">
        <f t="shared" si="105"/>
        <v>0</v>
      </c>
      <c r="CS42" s="849">
        <f t="shared" si="106"/>
        <v>0</v>
      </c>
      <c r="CT42" s="849">
        <f t="shared" si="107"/>
        <v>0</v>
      </c>
      <c r="CU42" s="852"/>
      <c r="CV42" s="849">
        <f t="shared" si="108"/>
        <v>159.18197479100002</v>
      </c>
      <c r="CW42" s="849">
        <f t="shared" si="108"/>
        <v>69.859031344000002</v>
      </c>
      <c r="CX42" s="849">
        <f t="shared" si="108"/>
        <v>93.480797701</v>
      </c>
      <c r="CY42" s="849">
        <f t="shared" si="108"/>
        <v>278.18920575499999</v>
      </c>
      <c r="CZ42" s="852"/>
      <c r="DA42" s="849">
        <f>'1.BS (VND)'!CV16/'1.BC_Ra Soat (ty) '!$C$6</f>
        <v>0</v>
      </c>
      <c r="DB42" s="849">
        <f>'1.BS (VND)'!CW16/'1.BC_Ra Soat (ty) '!$C$6</f>
        <v>0</v>
      </c>
      <c r="DC42" s="849">
        <f>'1.BS (VND)'!CX16/'1.BC_Ra Soat (ty) '!$C$6</f>
        <v>0</v>
      </c>
      <c r="DD42" s="849">
        <f>'1.BS (VND)'!CY16/'1.BC_Ra Soat (ty) '!$C$6</f>
        <v>0</v>
      </c>
      <c r="DE42" s="852"/>
      <c r="DF42" s="849">
        <f t="shared" si="110"/>
        <v>159.18197479100002</v>
      </c>
      <c r="DG42" s="849">
        <f t="shared" si="109"/>
        <v>69.859031344000002</v>
      </c>
      <c r="DH42" s="849">
        <f t="shared" si="109"/>
        <v>93.480797701</v>
      </c>
      <c r="DI42" s="849">
        <f t="shared" si="109"/>
        <v>278.18920575499999</v>
      </c>
      <c r="DJ42" s="444"/>
    </row>
    <row r="43" spans="1:114" s="441" customFormat="1" ht="15.75" x14ac:dyDescent="0.25">
      <c r="A43" s="447">
        <f t="shared" si="111"/>
        <v>1</v>
      </c>
      <c r="C43" s="452" t="s">
        <v>309</v>
      </c>
      <c r="D43" s="453" t="s">
        <v>310</v>
      </c>
      <c r="E43" s="835">
        <f>'1.BS (VND)'!E17/$C$6</f>
        <v>84.240636025000001</v>
      </c>
      <c r="F43" s="835">
        <f>'1.BS (VND)'!F17/$C$6</f>
        <v>29.286683581999998</v>
      </c>
      <c r="G43" s="835">
        <f>'1.BS (VND)'!G17/$C$6</f>
        <v>29.62534161</v>
      </c>
      <c r="H43" s="835">
        <f>'1.BS (VND)'!H17/$C$6</f>
        <v>101.83346009500001</v>
      </c>
      <c r="I43" s="840"/>
      <c r="J43" s="835">
        <f>'1.BS (VND)'!J17/$C$6</f>
        <v>0</v>
      </c>
      <c r="K43" s="835">
        <f>'1.BS (VND)'!K17/$C$6</f>
        <v>5.268045366</v>
      </c>
      <c r="L43" s="835">
        <f>'1.BS (VND)'!L17/$C$6</f>
        <v>11.812757296999999</v>
      </c>
      <c r="M43" s="835">
        <f>'1.BS (VND)'!M17/$C$6</f>
        <v>48.957714647000003</v>
      </c>
      <c r="N43" s="840"/>
      <c r="O43" s="835">
        <f>'1.BS (VND)'!O17/$C$6</f>
        <v>36.968498261999997</v>
      </c>
      <c r="P43" s="835">
        <f>'1.BS (VND)'!P17/$C$6</f>
        <v>14.799733171</v>
      </c>
      <c r="Q43" s="835">
        <f>'1.BS (VND)'!Q17/$C$6</f>
        <v>29.280642157999999</v>
      </c>
      <c r="R43" s="835">
        <f>'1.BS (VND)'!R17/$C$6</f>
        <v>33.77267458</v>
      </c>
      <c r="S43" s="840"/>
      <c r="T43" s="835">
        <f>'1.BS (VND)'!T17/$C$6</f>
        <v>17.621052183</v>
      </c>
      <c r="U43" s="835">
        <f>'1.BS (VND)'!U17/$C$6</f>
        <v>13.082433252</v>
      </c>
      <c r="V43" s="835">
        <f>'1.BS (VND)'!V17/$C$6</f>
        <v>14.491580087000001</v>
      </c>
      <c r="W43" s="835">
        <f>'1.BS (VND)'!W17/$C$6</f>
        <v>33.234622688000002</v>
      </c>
      <c r="X43" s="840"/>
      <c r="Y43" s="835">
        <f>'1.BS (VND)'!Y17/$C$6</f>
        <v>0</v>
      </c>
      <c r="Z43" s="835">
        <f>'1.BS (VND)'!Z17/$C$6</f>
        <v>0</v>
      </c>
      <c r="AA43" s="835">
        <f>'1.BS (VND)'!AA17/$C$6</f>
        <v>0</v>
      </c>
      <c r="AB43" s="835">
        <f>'1.BS (VND)'!AB17/$C$6</f>
        <v>0</v>
      </c>
      <c r="AC43" s="840"/>
      <c r="AD43" s="835">
        <f>'1.BS (VND)'!AD17/$C$6</f>
        <v>0</v>
      </c>
      <c r="AE43" s="835">
        <f>'1.BS (VND)'!AE17/$C$6</f>
        <v>0</v>
      </c>
      <c r="AF43" s="835">
        <f>'1.BS (VND)'!AF17/$C$6</f>
        <v>0</v>
      </c>
      <c r="AG43" s="835">
        <f>'1.BS (VND)'!AG17/$C$6</f>
        <v>0</v>
      </c>
      <c r="AH43" s="841"/>
      <c r="AI43" s="835">
        <f t="shared" si="82"/>
        <v>138.83018647</v>
      </c>
      <c r="AJ43" s="835">
        <f t="shared" si="82"/>
        <v>62.436895370999999</v>
      </c>
      <c r="AK43" s="835">
        <f t="shared" si="82"/>
        <v>85.210321151999992</v>
      </c>
      <c r="AL43" s="835">
        <f t="shared" si="83"/>
        <v>217.79847201000001</v>
      </c>
      <c r="AM43" s="852"/>
      <c r="AN43" s="835">
        <f>'1.BS (VND)'!AI17/$C$6</f>
        <v>0</v>
      </c>
      <c r="AO43" s="835">
        <f>'1.BS (VND)'!AJ17/$C$6</f>
        <v>0</v>
      </c>
      <c r="AP43" s="835">
        <f>'1.BS (VND)'!AK17/$C$6</f>
        <v>0</v>
      </c>
      <c r="AQ43" s="835">
        <f>'1.BS (VND)'!AL17/$C$6</f>
        <v>0</v>
      </c>
      <c r="AR43" s="840"/>
      <c r="AS43" s="835">
        <f>'1.BS (VND)'!AN17/$C$6</f>
        <v>0</v>
      </c>
      <c r="AT43" s="835">
        <f>'1.BS (VND)'!AO17/$C$6</f>
        <v>0</v>
      </c>
      <c r="AU43" s="835">
        <f>'1.BS (VND)'!AP17/$C$6</f>
        <v>0</v>
      </c>
      <c r="AV43" s="835">
        <f>'1.BS (VND)'!AQ17/$C$6</f>
        <v>0</v>
      </c>
      <c r="AW43" s="840"/>
      <c r="AX43" s="835">
        <f>'1.BS (VND)'!AS17/$C$6</f>
        <v>0</v>
      </c>
      <c r="AY43" s="835">
        <f>'1.BS (VND)'!AT17/$C$6</f>
        <v>0</v>
      </c>
      <c r="AZ43" s="835">
        <f>'1.BS (VND)'!AU17/$C$6</f>
        <v>0</v>
      </c>
      <c r="BA43" s="835">
        <f>'1.BS (VND)'!AV17/$C$6</f>
        <v>0</v>
      </c>
      <c r="BB43" s="840"/>
      <c r="BC43" s="835">
        <f>'1.BS (VND)'!AX17/$C$6</f>
        <v>0</v>
      </c>
      <c r="BD43" s="835">
        <f>'1.BS (VND)'!AY17/$C$6</f>
        <v>0</v>
      </c>
      <c r="BE43" s="835">
        <f>'1.BS (VND)'!AZ17/$C$6</f>
        <v>0</v>
      </c>
      <c r="BF43" s="835">
        <f>'1.BS (VND)'!BA17/$C$6</f>
        <v>0</v>
      </c>
      <c r="BG43" s="840"/>
      <c r="BH43" s="835">
        <f>'1.BS (VND)'!BC17/$C$6</f>
        <v>0</v>
      </c>
      <c r="BI43" s="835">
        <f>'1.BS (VND)'!BD17/$C$6</f>
        <v>0</v>
      </c>
      <c r="BJ43" s="835">
        <f>'1.BS (VND)'!BE17/$C$6</f>
        <v>0</v>
      </c>
      <c r="BK43" s="835">
        <f>'1.BS (VND)'!BF17/$C$6</f>
        <v>0</v>
      </c>
      <c r="BL43" s="840"/>
      <c r="BM43" s="835">
        <f>'1.BS (VND)'!BH17/$C$6</f>
        <v>0</v>
      </c>
      <c r="BN43" s="835">
        <f>'1.BS (VND)'!BI17/$C$6</f>
        <v>0</v>
      </c>
      <c r="BO43" s="835">
        <f>'1.BS (VND)'!BJ17/$C$6</f>
        <v>0</v>
      </c>
      <c r="BP43" s="835">
        <f>'1.BS (VND)'!BK17/$C$6</f>
        <v>0</v>
      </c>
      <c r="BQ43" s="841"/>
      <c r="BR43" s="835">
        <f t="shared" si="84"/>
        <v>84.240636025000001</v>
      </c>
      <c r="BS43" s="835">
        <f t="shared" si="85"/>
        <v>29.286683581999998</v>
      </c>
      <c r="BT43" s="835">
        <f t="shared" si="86"/>
        <v>29.62534161</v>
      </c>
      <c r="BU43" s="835">
        <f t="shared" si="87"/>
        <v>101.83346009500001</v>
      </c>
      <c r="BV43" s="840"/>
      <c r="BW43" s="835">
        <f t="shared" si="88"/>
        <v>0</v>
      </c>
      <c r="BX43" s="835">
        <f t="shared" si="89"/>
        <v>5.268045366</v>
      </c>
      <c r="BY43" s="835">
        <f t="shared" si="90"/>
        <v>11.812757296999999</v>
      </c>
      <c r="BZ43" s="835">
        <f t="shared" si="91"/>
        <v>48.957714647000003</v>
      </c>
      <c r="CA43" s="840"/>
      <c r="CB43" s="835">
        <f t="shared" si="92"/>
        <v>36.968498261999997</v>
      </c>
      <c r="CC43" s="835">
        <f t="shared" si="93"/>
        <v>14.799733171</v>
      </c>
      <c r="CD43" s="835">
        <f t="shared" si="94"/>
        <v>29.280642157999999</v>
      </c>
      <c r="CE43" s="835">
        <f t="shared" si="95"/>
        <v>33.77267458</v>
      </c>
      <c r="CF43" s="840"/>
      <c r="CG43" s="835">
        <f t="shared" si="96"/>
        <v>17.621052183</v>
      </c>
      <c r="CH43" s="835">
        <f t="shared" si="97"/>
        <v>13.082433252</v>
      </c>
      <c r="CI43" s="835">
        <f t="shared" si="98"/>
        <v>14.491580087000001</v>
      </c>
      <c r="CJ43" s="835">
        <f t="shared" si="99"/>
        <v>33.234622688000002</v>
      </c>
      <c r="CK43" s="840"/>
      <c r="CL43" s="835">
        <f t="shared" si="100"/>
        <v>0</v>
      </c>
      <c r="CM43" s="835">
        <f t="shared" si="101"/>
        <v>0</v>
      </c>
      <c r="CN43" s="835">
        <f t="shared" si="102"/>
        <v>0</v>
      </c>
      <c r="CO43" s="835">
        <f t="shared" si="103"/>
        <v>0</v>
      </c>
      <c r="CP43" s="840"/>
      <c r="CQ43" s="835">
        <f t="shared" si="104"/>
        <v>0</v>
      </c>
      <c r="CR43" s="835">
        <f t="shared" si="105"/>
        <v>0</v>
      </c>
      <c r="CS43" s="835">
        <f t="shared" si="106"/>
        <v>0</v>
      </c>
      <c r="CT43" s="835">
        <f t="shared" si="107"/>
        <v>0</v>
      </c>
      <c r="CU43" s="842"/>
      <c r="CV43" s="835">
        <f t="shared" si="108"/>
        <v>138.83018647</v>
      </c>
      <c r="CW43" s="835">
        <f t="shared" si="108"/>
        <v>62.436895370999999</v>
      </c>
      <c r="CX43" s="835">
        <f t="shared" si="108"/>
        <v>85.210321151999992</v>
      </c>
      <c r="CY43" s="835">
        <f t="shared" si="108"/>
        <v>217.79847201000001</v>
      </c>
      <c r="CZ43" s="842"/>
      <c r="DA43" s="835">
        <f>'1.BS (VND)'!CV17/'1.BC_Ra Soat (ty) '!$C$6</f>
        <v>0</v>
      </c>
      <c r="DB43" s="835">
        <f>'1.BS (VND)'!CW17/'1.BC_Ra Soat (ty) '!$C$6</f>
        <v>0</v>
      </c>
      <c r="DC43" s="835">
        <f>'1.BS (VND)'!CX17/'1.BC_Ra Soat (ty) '!$C$6</f>
        <v>0</v>
      </c>
      <c r="DD43" s="835">
        <f>'1.BS (VND)'!CY17/'1.BC_Ra Soat (ty) '!$C$6</f>
        <v>0</v>
      </c>
      <c r="DE43" s="842"/>
      <c r="DF43" s="835">
        <f t="shared" si="110"/>
        <v>138.83018647</v>
      </c>
      <c r="DG43" s="835">
        <f t="shared" si="109"/>
        <v>62.436895370999999</v>
      </c>
      <c r="DH43" s="835">
        <f t="shared" si="109"/>
        <v>85.210321151999992</v>
      </c>
      <c r="DI43" s="835">
        <f t="shared" si="109"/>
        <v>217.79847201000001</v>
      </c>
      <c r="DJ43" s="444"/>
    </row>
    <row r="44" spans="1:114" s="441" customFormat="1" ht="15.75" x14ac:dyDescent="0.25">
      <c r="A44" s="447">
        <f t="shared" si="111"/>
        <v>1</v>
      </c>
      <c r="C44" s="452" t="s">
        <v>311</v>
      </c>
      <c r="D44" s="453" t="s">
        <v>312</v>
      </c>
      <c r="E44" s="835">
        <f>'1.BS (VND)'!E18/$C$6</f>
        <v>12.787684560000001</v>
      </c>
      <c r="F44" s="835">
        <f>'1.BS (VND)'!F18/$C$6</f>
        <v>2.4536629670000001</v>
      </c>
      <c r="G44" s="835">
        <f>'1.BS (VND)'!G18/$C$6</f>
        <v>4.2971204089999997</v>
      </c>
      <c r="H44" s="835">
        <f>'1.BS (VND)'!H18/$C$6</f>
        <v>51.552067612999998</v>
      </c>
      <c r="I44" s="840"/>
      <c r="J44" s="835">
        <f>'1.BS (VND)'!J18/$C$6</f>
        <v>0</v>
      </c>
      <c r="K44" s="835">
        <f>'1.BS (VND)'!K18/$C$6</f>
        <v>1.9701341059999999</v>
      </c>
      <c r="L44" s="835">
        <f>'1.BS (VND)'!L18/$C$6</f>
        <v>0</v>
      </c>
      <c r="M44" s="835">
        <f>'1.BS (VND)'!M18/$C$6</f>
        <v>0.55061328300000001</v>
      </c>
      <c r="N44" s="840"/>
      <c r="O44" s="835">
        <f>'1.BS (VND)'!O18/$C$6</f>
        <v>5.6262867070000002</v>
      </c>
      <c r="P44" s="835">
        <f>'1.BS (VND)'!P18/$C$6</f>
        <v>0</v>
      </c>
      <c r="Q44" s="835">
        <f>'1.BS (VND)'!Q18/$C$6</f>
        <v>0</v>
      </c>
      <c r="R44" s="835">
        <f>'1.BS (VND)'!R18/$C$6</f>
        <v>0</v>
      </c>
      <c r="S44" s="840"/>
      <c r="T44" s="835">
        <f>'1.BS (VND)'!T18/$C$6</f>
        <v>1.467093698</v>
      </c>
      <c r="U44" s="835">
        <f>'1.BS (VND)'!U18/$C$6</f>
        <v>0.11722312999999999</v>
      </c>
      <c r="V44" s="835">
        <f>'1.BS (VND)'!V18/$C$6</f>
        <v>5.5644736E-2</v>
      </c>
      <c r="W44" s="835">
        <f>'1.BS (VND)'!W18/$C$6</f>
        <v>16.777440319</v>
      </c>
      <c r="X44" s="840"/>
      <c r="Y44" s="835">
        <f>'1.BS (VND)'!Y18/$C$6</f>
        <v>0</v>
      </c>
      <c r="Z44" s="835">
        <f>'1.BS (VND)'!Z18/$C$6</f>
        <v>0</v>
      </c>
      <c r="AA44" s="835">
        <f>'1.BS (VND)'!AA18/$C$6</f>
        <v>0</v>
      </c>
      <c r="AB44" s="835">
        <f>'1.BS (VND)'!AB18/$C$6</f>
        <v>0</v>
      </c>
      <c r="AC44" s="840"/>
      <c r="AD44" s="835">
        <f>'1.BS (VND)'!AD18/$C$6</f>
        <v>0</v>
      </c>
      <c r="AE44" s="835">
        <f>'1.BS (VND)'!AE18/$C$6</f>
        <v>0</v>
      </c>
      <c r="AF44" s="835">
        <f>'1.BS (VND)'!AF18/$C$6</f>
        <v>0</v>
      </c>
      <c r="AG44" s="835">
        <f>'1.BS (VND)'!AG18/$C$6</f>
        <v>0</v>
      </c>
      <c r="AH44" s="841"/>
      <c r="AI44" s="835">
        <f t="shared" si="82"/>
        <v>19.881064965</v>
      </c>
      <c r="AJ44" s="835">
        <f t="shared" si="82"/>
        <v>4.5410202030000004</v>
      </c>
      <c r="AK44" s="835">
        <f t="shared" si="82"/>
        <v>4.3527651449999993</v>
      </c>
      <c r="AL44" s="835">
        <f t="shared" si="83"/>
        <v>68.880121215000003</v>
      </c>
      <c r="AM44" s="852"/>
      <c r="AN44" s="835">
        <f>'1.BS (VND)'!AI18/$C$6</f>
        <v>0</v>
      </c>
      <c r="AO44" s="835">
        <f>'1.BS (VND)'!AJ18/$C$6</f>
        <v>0</v>
      </c>
      <c r="AP44" s="835">
        <f>'1.BS (VND)'!AK18/$C$6</f>
        <v>0</v>
      </c>
      <c r="AQ44" s="835">
        <f>'1.BS (VND)'!AL18/$C$6</f>
        <v>0</v>
      </c>
      <c r="AR44" s="840"/>
      <c r="AS44" s="835">
        <f>'1.BS (VND)'!AN18/$C$6</f>
        <v>0</v>
      </c>
      <c r="AT44" s="835">
        <f>'1.BS (VND)'!AO18/$C$6</f>
        <v>0</v>
      </c>
      <c r="AU44" s="835">
        <f>'1.BS (VND)'!AP18/$C$6</f>
        <v>0</v>
      </c>
      <c r="AV44" s="835">
        <f>'1.BS (VND)'!AQ18/$C$6</f>
        <v>0</v>
      </c>
      <c r="AW44" s="840"/>
      <c r="AX44" s="835">
        <f>'1.BS (VND)'!AS18/$C$6</f>
        <v>0</v>
      </c>
      <c r="AY44" s="835">
        <f>'1.BS (VND)'!AT18/$C$6</f>
        <v>0</v>
      </c>
      <c r="AZ44" s="835">
        <f>'1.BS (VND)'!AU18/$C$6</f>
        <v>0</v>
      </c>
      <c r="BA44" s="835">
        <f>'1.BS (VND)'!AV18/$C$6</f>
        <v>0</v>
      </c>
      <c r="BB44" s="840"/>
      <c r="BC44" s="835">
        <f>'1.BS (VND)'!AX18/$C$6</f>
        <v>0</v>
      </c>
      <c r="BD44" s="835">
        <f>'1.BS (VND)'!AY18/$C$6</f>
        <v>0</v>
      </c>
      <c r="BE44" s="835">
        <f>'1.BS (VND)'!AZ18/$C$6</f>
        <v>0</v>
      </c>
      <c r="BF44" s="835">
        <f>'1.BS (VND)'!BA18/$C$6</f>
        <v>0</v>
      </c>
      <c r="BG44" s="840"/>
      <c r="BH44" s="835">
        <f>'1.BS (VND)'!BC18/$C$6</f>
        <v>0</v>
      </c>
      <c r="BI44" s="835">
        <f>'1.BS (VND)'!BD18/$C$6</f>
        <v>0</v>
      </c>
      <c r="BJ44" s="835">
        <f>'1.BS (VND)'!BE18/$C$6</f>
        <v>0</v>
      </c>
      <c r="BK44" s="835">
        <f>'1.BS (VND)'!BF18/$C$6</f>
        <v>0</v>
      </c>
      <c r="BL44" s="840"/>
      <c r="BM44" s="835">
        <f>'1.BS (VND)'!BH18/$C$6</f>
        <v>0</v>
      </c>
      <c r="BN44" s="835">
        <f>'1.BS (VND)'!BI18/$C$6</f>
        <v>0</v>
      </c>
      <c r="BO44" s="835">
        <f>'1.BS (VND)'!BJ18/$C$6</f>
        <v>0</v>
      </c>
      <c r="BP44" s="835">
        <f>'1.BS (VND)'!BK18/$C$6</f>
        <v>0</v>
      </c>
      <c r="BQ44" s="841"/>
      <c r="BR44" s="835">
        <f t="shared" si="84"/>
        <v>12.787684560000001</v>
      </c>
      <c r="BS44" s="835">
        <f t="shared" si="85"/>
        <v>2.4536629670000001</v>
      </c>
      <c r="BT44" s="835">
        <f t="shared" si="86"/>
        <v>4.2971204089999997</v>
      </c>
      <c r="BU44" s="835">
        <f t="shared" si="87"/>
        <v>51.552067612999998</v>
      </c>
      <c r="BV44" s="840"/>
      <c r="BW44" s="835">
        <f t="shared" si="88"/>
        <v>0</v>
      </c>
      <c r="BX44" s="835">
        <f t="shared" si="89"/>
        <v>1.9701341059999999</v>
      </c>
      <c r="BY44" s="835">
        <f t="shared" si="90"/>
        <v>0</v>
      </c>
      <c r="BZ44" s="835">
        <f t="shared" si="91"/>
        <v>0.55061328300000001</v>
      </c>
      <c r="CA44" s="840"/>
      <c r="CB44" s="835">
        <f t="shared" si="92"/>
        <v>5.6262867070000002</v>
      </c>
      <c r="CC44" s="835">
        <f t="shared" si="93"/>
        <v>0</v>
      </c>
      <c r="CD44" s="835">
        <f t="shared" si="94"/>
        <v>0</v>
      </c>
      <c r="CE44" s="835">
        <f t="shared" si="95"/>
        <v>0</v>
      </c>
      <c r="CF44" s="840"/>
      <c r="CG44" s="835">
        <f t="shared" si="96"/>
        <v>1.467093698</v>
      </c>
      <c r="CH44" s="835">
        <f t="shared" si="97"/>
        <v>0.11722312999999999</v>
      </c>
      <c r="CI44" s="835">
        <f t="shared" si="98"/>
        <v>5.5644736E-2</v>
      </c>
      <c r="CJ44" s="835">
        <f t="shared" si="99"/>
        <v>16.777440319</v>
      </c>
      <c r="CK44" s="840"/>
      <c r="CL44" s="835">
        <f t="shared" si="100"/>
        <v>0</v>
      </c>
      <c r="CM44" s="835">
        <f t="shared" si="101"/>
        <v>0</v>
      </c>
      <c r="CN44" s="835">
        <f t="shared" si="102"/>
        <v>0</v>
      </c>
      <c r="CO44" s="835">
        <f t="shared" si="103"/>
        <v>0</v>
      </c>
      <c r="CP44" s="840"/>
      <c r="CQ44" s="835">
        <f t="shared" si="104"/>
        <v>0</v>
      </c>
      <c r="CR44" s="835">
        <f t="shared" si="105"/>
        <v>0</v>
      </c>
      <c r="CS44" s="835">
        <f t="shared" si="106"/>
        <v>0</v>
      </c>
      <c r="CT44" s="835">
        <f t="shared" si="107"/>
        <v>0</v>
      </c>
      <c r="CU44" s="842"/>
      <c r="CV44" s="835">
        <f t="shared" si="108"/>
        <v>19.881064965</v>
      </c>
      <c r="CW44" s="835">
        <f t="shared" si="108"/>
        <v>4.5410202030000004</v>
      </c>
      <c r="CX44" s="835">
        <f t="shared" si="108"/>
        <v>4.3527651449999993</v>
      </c>
      <c r="CY44" s="835">
        <f t="shared" si="108"/>
        <v>68.880121215000003</v>
      </c>
      <c r="CZ44" s="842"/>
      <c r="DA44" s="835">
        <f>'1.BS (VND)'!CV18/'1.BC_Ra Soat (ty) '!$C$6</f>
        <v>0</v>
      </c>
      <c r="DB44" s="835">
        <f>'1.BS (VND)'!CW18/'1.BC_Ra Soat (ty) '!$C$6</f>
        <v>0</v>
      </c>
      <c r="DC44" s="835">
        <f>'1.BS (VND)'!CX18/'1.BC_Ra Soat (ty) '!$C$6</f>
        <v>0</v>
      </c>
      <c r="DD44" s="835">
        <f>'1.BS (VND)'!CY18/'1.BC_Ra Soat (ty) '!$C$6</f>
        <v>0</v>
      </c>
      <c r="DE44" s="842"/>
      <c r="DF44" s="835">
        <f t="shared" si="110"/>
        <v>19.881064965</v>
      </c>
      <c r="DG44" s="835">
        <f t="shared" si="109"/>
        <v>4.5410202030000004</v>
      </c>
      <c r="DH44" s="835">
        <f t="shared" si="109"/>
        <v>4.3527651449999993</v>
      </c>
      <c r="DI44" s="835">
        <f t="shared" si="109"/>
        <v>68.880121215000003</v>
      </c>
      <c r="DJ44" s="444"/>
    </row>
    <row r="45" spans="1:114" s="441" customFormat="1" ht="15.75" x14ac:dyDescent="0.25">
      <c r="A45" s="447">
        <f t="shared" si="111"/>
        <v>1</v>
      </c>
      <c r="C45" s="452" t="s">
        <v>313</v>
      </c>
      <c r="D45" s="453" t="s">
        <v>314</v>
      </c>
      <c r="E45" s="835">
        <f>'1.BS (VND)'!E19/$C$6</f>
        <v>0</v>
      </c>
      <c r="F45" s="835">
        <f>'1.BS (VND)'!F19/$C$6</f>
        <v>0</v>
      </c>
      <c r="G45" s="835">
        <f>'1.BS (VND)'!G19/$C$6</f>
        <v>2.7252338960000002</v>
      </c>
      <c r="H45" s="835">
        <f>'1.BS (VND)'!H19/$C$6</f>
        <v>3.8493980539999999</v>
      </c>
      <c r="I45" s="840"/>
      <c r="J45" s="835">
        <f>'1.BS (VND)'!J19/$C$6</f>
        <v>0</v>
      </c>
      <c r="K45" s="835">
        <f>'1.BS (VND)'!K19/$C$6</f>
        <v>0</v>
      </c>
      <c r="L45" s="835">
        <f>'1.BS (VND)'!L19/$C$6</f>
        <v>0</v>
      </c>
      <c r="M45" s="835">
        <f>'1.BS (VND)'!M19/$C$6</f>
        <v>1.1603403999999999</v>
      </c>
      <c r="N45" s="840"/>
      <c r="O45" s="835">
        <f>'1.BS (VND)'!O19/$C$6</f>
        <v>0</v>
      </c>
      <c r="P45" s="835">
        <f>'1.BS (VND)'!P19/$C$6</f>
        <v>0</v>
      </c>
      <c r="Q45" s="835">
        <f>'1.BS (VND)'!Q19/$C$6</f>
        <v>0</v>
      </c>
      <c r="R45" s="835">
        <f>'1.BS (VND)'!R19/$C$6</f>
        <v>0</v>
      </c>
      <c r="S45" s="840"/>
      <c r="T45" s="835">
        <f>'1.BS (VND)'!T19/$C$6</f>
        <v>0</v>
      </c>
      <c r="U45" s="835">
        <f>'1.BS (VND)'!U19/$C$6</f>
        <v>0</v>
      </c>
      <c r="V45" s="835">
        <f>'1.BS (VND)'!V19/$C$6</f>
        <v>0</v>
      </c>
      <c r="W45" s="835">
        <f>'1.BS (VND)'!W19/$C$6</f>
        <v>0</v>
      </c>
      <c r="X45" s="840"/>
      <c r="Y45" s="835">
        <f>'1.BS (VND)'!Y19/$C$6</f>
        <v>0</v>
      </c>
      <c r="Z45" s="835">
        <f>'1.BS (VND)'!Z19/$C$6</f>
        <v>0</v>
      </c>
      <c r="AA45" s="835">
        <f>'1.BS (VND)'!AA19/$C$6</f>
        <v>0</v>
      </c>
      <c r="AB45" s="835">
        <f>'1.BS (VND)'!AB19/$C$6</f>
        <v>0</v>
      </c>
      <c r="AC45" s="840"/>
      <c r="AD45" s="835">
        <f>'1.BS (VND)'!AD19/$C$6</f>
        <v>0</v>
      </c>
      <c r="AE45" s="835">
        <f>'1.BS (VND)'!AE19/$C$6</f>
        <v>0</v>
      </c>
      <c r="AF45" s="835">
        <f>'1.BS (VND)'!AF19/$C$6</f>
        <v>0</v>
      </c>
      <c r="AG45" s="835">
        <f>'1.BS (VND)'!AG19/$C$6</f>
        <v>0</v>
      </c>
      <c r="AH45" s="841"/>
      <c r="AI45" s="835">
        <f t="shared" si="82"/>
        <v>0</v>
      </c>
      <c r="AJ45" s="835">
        <f t="shared" si="82"/>
        <v>0</v>
      </c>
      <c r="AK45" s="835">
        <f t="shared" si="82"/>
        <v>2.7252338960000002</v>
      </c>
      <c r="AL45" s="835">
        <f t="shared" si="83"/>
        <v>5.0097384539999998</v>
      </c>
      <c r="AM45" s="842"/>
      <c r="AN45" s="835">
        <f>'1.BS (VND)'!AI19/$C$6</f>
        <v>0</v>
      </c>
      <c r="AO45" s="835">
        <f>'1.BS (VND)'!AJ19/$C$6</f>
        <v>0</v>
      </c>
      <c r="AP45" s="835">
        <f>'1.BS (VND)'!AK19/$C$6</f>
        <v>0</v>
      </c>
      <c r="AQ45" s="835">
        <f>'1.BS (VND)'!AL19/$C$6</f>
        <v>0</v>
      </c>
      <c r="AR45" s="840"/>
      <c r="AS45" s="835">
        <f>'1.BS (VND)'!AN19/$C$6</f>
        <v>0</v>
      </c>
      <c r="AT45" s="835">
        <f>'1.BS (VND)'!AO19/$C$6</f>
        <v>0</v>
      </c>
      <c r="AU45" s="835">
        <f>'1.BS (VND)'!AP19/$C$6</f>
        <v>0</v>
      </c>
      <c r="AV45" s="835">
        <f>'1.BS (VND)'!AQ19/$C$6</f>
        <v>0</v>
      </c>
      <c r="AW45" s="840"/>
      <c r="AX45" s="835">
        <f>'1.BS (VND)'!AS19/$C$6</f>
        <v>0</v>
      </c>
      <c r="AY45" s="835">
        <f>'1.BS (VND)'!AT19/$C$6</f>
        <v>0</v>
      </c>
      <c r="AZ45" s="835">
        <f>'1.BS (VND)'!AU19/$C$6</f>
        <v>0</v>
      </c>
      <c r="BA45" s="835">
        <f>'1.BS (VND)'!AV19/$C$6</f>
        <v>0</v>
      </c>
      <c r="BB45" s="840"/>
      <c r="BC45" s="835">
        <f>'1.BS (VND)'!AX19/$C$6</f>
        <v>0</v>
      </c>
      <c r="BD45" s="835">
        <f>'1.BS (VND)'!AY19/$C$6</f>
        <v>0</v>
      </c>
      <c r="BE45" s="835">
        <f>'1.BS (VND)'!AZ19/$C$6</f>
        <v>0</v>
      </c>
      <c r="BF45" s="835">
        <f>'1.BS (VND)'!BA19/$C$6</f>
        <v>0</v>
      </c>
      <c r="BG45" s="840"/>
      <c r="BH45" s="835">
        <f>'1.BS (VND)'!BC19/$C$6</f>
        <v>0</v>
      </c>
      <c r="BI45" s="835">
        <f>'1.BS (VND)'!BD19/$C$6</f>
        <v>0</v>
      </c>
      <c r="BJ45" s="835">
        <f>'1.BS (VND)'!BE19/$C$6</f>
        <v>0</v>
      </c>
      <c r="BK45" s="835">
        <f>'1.BS (VND)'!BF19/$C$6</f>
        <v>0</v>
      </c>
      <c r="BL45" s="840"/>
      <c r="BM45" s="835">
        <f>'1.BS (VND)'!BH19/$C$6</f>
        <v>0</v>
      </c>
      <c r="BN45" s="835">
        <f>'1.BS (VND)'!BI19/$C$6</f>
        <v>0</v>
      </c>
      <c r="BO45" s="835">
        <f>'1.BS (VND)'!BJ19/$C$6</f>
        <v>0</v>
      </c>
      <c r="BP45" s="835">
        <f>'1.BS (VND)'!BK19/$C$6</f>
        <v>0</v>
      </c>
      <c r="BQ45" s="841"/>
      <c r="BR45" s="835">
        <f t="shared" si="84"/>
        <v>0</v>
      </c>
      <c r="BS45" s="835">
        <f t="shared" si="85"/>
        <v>0</v>
      </c>
      <c r="BT45" s="835">
        <f t="shared" si="86"/>
        <v>2.7252338960000002</v>
      </c>
      <c r="BU45" s="835">
        <f t="shared" si="87"/>
        <v>3.8493980539999999</v>
      </c>
      <c r="BV45" s="840"/>
      <c r="BW45" s="835">
        <f t="shared" si="88"/>
        <v>0</v>
      </c>
      <c r="BX45" s="835">
        <f t="shared" si="89"/>
        <v>0</v>
      </c>
      <c r="BY45" s="835">
        <f t="shared" si="90"/>
        <v>0</v>
      </c>
      <c r="BZ45" s="835">
        <f t="shared" si="91"/>
        <v>1.1603403999999999</v>
      </c>
      <c r="CA45" s="840"/>
      <c r="CB45" s="835">
        <f t="shared" si="92"/>
        <v>0</v>
      </c>
      <c r="CC45" s="835">
        <f t="shared" si="93"/>
        <v>0</v>
      </c>
      <c r="CD45" s="835">
        <f t="shared" si="94"/>
        <v>0</v>
      </c>
      <c r="CE45" s="835">
        <f t="shared" si="95"/>
        <v>0</v>
      </c>
      <c r="CF45" s="840"/>
      <c r="CG45" s="835">
        <f t="shared" si="96"/>
        <v>0</v>
      </c>
      <c r="CH45" s="835">
        <f t="shared" si="97"/>
        <v>0</v>
      </c>
      <c r="CI45" s="835">
        <f t="shared" si="98"/>
        <v>0</v>
      </c>
      <c r="CJ45" s="835">
        <f t="shared" si="99"/>
        <v>0</v>
      </c>
      <c r="CK45" s="840"/>
      <c r="CL45" s="835">
        <f t="shared" si="100"/>
        <v>0</v>
      </c>
      <c r="CM45" s="835">
        <f t="shared" si="101"/>
        <v>0</v>
      </c>
      <c r="CN45" s="835">
        <f t="shared" si="102"/>
        <v>0</v>
      </c>
      <c r="CO45" s="835">
        <f t="shared" si="103"/>
        <v>0</v>
      </c>
      <c r="CP45" s="840"/>
      <c r="CQ45" s="835">
        <f t="shared" si="104"/>
        <v>0</v>
      </c>
      <c r="CR45" s="835">
        <f t="shared" si="105"/>
        <v>0</v>
      </c>
      <c r="CS45" s="835">
        <f t="shared" si="106"/>
        <v>0</v>
      </c>
      <c r="CT45" s="835">
        <f t="shared" si="107"/>
        <v>0</v>
      </c>
      <c r="CU45" s="842"/>
      <c r="CV45" s="835">
        <f t="shared" si="108"/>
        <v>0</v>
      </c>
      <c r="CW45" s="835">
        <f t="shared" si="108"/>
        <v>0</v>
      </c>
      <c r="CX45" s="835">
        <f t="shared" si="108"/>
        <v>2.7252338960000002</v>
      </c>
      <c r="CY45" s="835">
        <f t="shared" si="108"/>
        <v>5.0097384539999998</v>
      </c>
      <c r="CZ45" s="842"/>
      <c r="DA45" s="835">
        <f>'1.BS (VND)'!CV19/'1.BC_Ra Soat (ty) '!$C$6</f>
        <v>0</v>
      </c>
      <c r="DB45" s="835">
        <f>'1.BS (VND)'!CW19/'1.BC_Ra Soat (ty) '!$C$6</f>
        <v>0</v>
      </c>
      <c r="DC45" s="835">
        <f>'1.BS (VND)'!CX19/'1.BC_Ra Soat (ty) '!$C$6</f>
        <v>0</v>
      </c>
      <c r="DD45" s="835">
        <f>'1.BS (VND)'!CY19/'1.BC_Ra Soat (ty) '!$C$6</f>
        <v>0</v>
      </c>
      <c r="DE45" s="842"/>
      <c r="DF45" s="835">
        <f t="shared" si="110"/>
        <v>0</v>
      </c>
      <c r="DG45" s="835">
        <f t="shared" si="109"/>
        <v>0</v>
      </c>
      <c r="DH45" s="835">
        <f t="shared" si="109"/>
        <v>2.7252338960000002</v>
      </c>
      <c r="DI45" s="835">
        <f t="shared" si="109"/>
        <v>5.0097384539999998</v>
      </c>
    </row>
    <row r="46" spans="1:114" s="441" customFormat="1" ht="15.75" hidden="1" x14ac:dyDescent="0.25">
      <c r="A46" s="447" t="str">
        <f t="shared" si="111"/>
        <v>hide</v>
      </c>
      <c r="C46" s="452" t="s">
        <v>315</v>
      </c>
      <c r="D46" s="453" t="s">
        <v>316</v>
      </c>
      <c r="E46" s="835">
        <f>'1.BS (VND)'!E20/$C$6</f>
        <v>0</v>
      </c>
      <c r="F46" s="835">
        <f>'1.BS (VND)'!F20/$C$6</f>
        <v>0</v>
      </c>
      <c r="G46" s="835">
        <f>'1.BS (VND)'!G20/$C$6</f>
        <v>0</v>
      </c>
      <c r="H46" s="835">
        <f>'1.BS (VND)'!H20/$C$6</f>
        <v>0</v>
      </c>
      <c r="I46" s="840"/>
      <c r="J46" s="835">
        <f>'1.BS (VND)'!J20/$C$6</f>
        <v>0</v>
      </c>
      <c r="K46" s="835">
        <f>'1.BS (VND)'!K20/$C$6</f>
        <v>0</v>
      </c>
      <c r="L46" s="835">
        <f>'1.BS (VND)'!L20/$C$6</f>
        <v>0</v>
      </c>
      <c r="M46" s="835">
        <f>'1.BS (VND)'!M20/$C$6</f>
        <v>0</v>
      </c>
      <c r="N46" s="840"/>
      <c r="O46" s="835">
        <f>'1.BS (VND)'!O20/$C$6</f>
        <v>0</v>
      </c>
      <c r="P46" s="835">
        <f>'1.BS (VND)'!P20/$C$6</f>
        <v>0</v>
      </c>
      <c r="Q46" s="835">
        <f>'1.BS (VND)'!Q20/$C$6</f>
        <v>0</v>
      </c>
      <c r="R46" s="835">
        <f>'1.BS (VND)'!R20/$C$6</f>
        <v>0</v>
      </c>
      <c r="S46" s="840"/>
      <c r="T46" s="835">
        <f>'1.BS (VND)'!T20/$C$6</f>
        <v>0</v>
      </c>
      <c r="U46" s="835">
        <f>'1.BS (VND)'!U20/$C$6</f>
        <v>0</v>
      </c>
      <c r="V46" s="835">
        <f>'1.BS (VND)'!V20/$C$6</f>
        <v>0</v>
      </c>
      <c r="W46" s="835">
        <f>'1.BS (VND)'!W20/$C$6</f>
        <v>0</v>
      </c>
      <c r="X46" s="840"/>
      <c r="Y46" s="835">
        <f>'1.BS (VND)'!Y20/$C$6</f>
        <v>0</v>
      </c>
      <c r="Z46" s="835">
        <f>'1.BS (VND)'!Z20/$C$6</f>
        <v>0</v>
      </c>
      <c r="AA46" s="835">
        <f>'1.BS (VND)'!AA20/$C$6</f>
        <v>0</v>
      </c>
      <c r="AB46" s="835">
        <f>'1.BS (VND)'!AB20/$C$6</f>
        <v>0</v>
      </c>
      <c r="AC46" s="840"/>
      <c r="AD46" s="835">
        <f>'1.BS (VND)'!AD20/$C$6</f>
        <v>0</v>
      </c>
      <c r="AE46" s="835">
        <f>'1.BS (VND)'!AE20/$C$6</f>
        <v>0</v>
      </c>
      <c r="AF46" s="835">
        <f>'1.BS (VND)'!AF20/$C$6</f>
        <v>0</v>
      </c>
      <c r="AG46" s="835">
        <f>'1.BS (VND)'!AG20/$C$6</f>
        <v>0</v>
      </c>
      <c r="AH46" s="841"/>
      <c r="AI46" s="835">
        <f t="shared" si="82"/>
        <v>0</v>
      </c>
      <c r="AJ46" s="835">
        <f t="shared" si="82"/>
        <v>0</v>
      </c>
      <c r="AK46" s="835">
        <f t="shared" si="82"/>
        <v>0</v>
      </c>
      <c r="AL46" s="835">
        <f t="shared" si="83"/>
        <v>0</v>
      </c>
      <c r="AM46" s="842"/>
      <c r="AN46" s="835">
        <f>'1.BS (VND)'!AI20/$C$6</f>
        <v>0</v>
      </c>
      <c r="AO46" s="835">
        <f>'1.BS (VND)'!AJ20/$C$6</f>
        <v>0</v>
      </c>
      <c r="AP46" s="835">
        <f>'1.BS (VND)'!AK20/$C$6</f>
        <v>0</v>
      </c>
      <c r="AQ46" s="835">
        <f>'1.BS (VND)'!AL20/$C$6</f>
        <v>0</v>
      </c>
      <c r="AR46" s="840"/>
      <c r="AS46" s="835">
        <f>'1.BS (VND)'!AN20/$C$6</f>
        <v>0</v>
      </c>
      <c r="AT46" s="835">
        <f>'1.BS (VND)'!AO20/$C$6</f>
        <v>0</v>
      </c>
      <c r="AU46" s="835">
        <f>'1.BS (VND)'!AP20/$C$6</f>
        <v>0</v>
      </c>
      <c r="AV46" s="835">
        <f>'1.BS (VND)'!AQ20/$C$6</f>
        <v>0</v>
      </c>
      <c r="AW46" s="840"/>
      <c r="AX46" s="835">
        <f>'1.BS (VND)'!AS20/$C$6</f>
        <v>0</v>
      </c>
      <c r="AY46" s="835">
        <f>'1.BS (VND)'!AT20/$C$6</f>
        <v>0</v>
      </c>
      <c r="AZ46" s="835">
        <f>'1.BS (VND)'!AU20/$C$6</f>
        <v>0</v>
      </c>
      <c r="BA46" s="835">
        <f>'1.BS (VND)'!AV20/$C$6</f>
        <v>0</v>
      </c>
      <c r="BB46" s="840"/>
      <c r="BC46" s="835">
        <f>'1.BS (VND)'!AX20/$C$6</f>
        <v>0</v>
      </c>
      <c r="BD46" s="835">
        <f>'1.BS (VND)'!AY20/$C$6</f>
        <v>0</v>
      </c>
      <c r="BE46" s="835">
        <f>'1.BS (VND)'!AZ20/$C$6</f>
        <v>0</v>
      </c>
      <c r="BF46" s="835">
        <f>'1.BS (VND)'!BA20/$C$6</f>
        <v>0</v>
      </c>
      <c r="BG46" s="840"/>
      <c r="BH46" s="835">
        <f>'1.BS (VND)'!BC20/$C$6</f>
        <v>0</v>
      </c>
      <c r="BI46" s="835">
        <f>'1.BS (VND)'!BD20/$C$6</f>
        <v>0</v>
      </c>
      <c r="BJ46" s="835">
        <f>'1.BS (VND)'!BE20/$C$6</f>
        <v>0</v>
      </c>
      <c r="BK46" s="835">
        <f>'1.BS (VND)'!BF20/$C$6</f>
        <v>0</v>
      </c>
      <c r="BL46" s="840"/>
      <c r="BM46" s="835">
        <f>'1.BS (VND)'!BH20/$C$6</f>
        <v>0</v>
      </c>
      <c r="BN46" s="835">
        <f>'1.BS (VND)'!BI20/$C$6</f>
        <v>0</v>
      </c>
      <c r="BO46" s="835">
        <f>'1.BS (VND)'!BJ20/$C$6</f>
        <v>0</v>
      </c>
      <c r="BP46" s="835">
        <f>'1.BS (VND)'!BK20/$C$6</f>
        <v>0</v>
      </c>
      <c r="BQ46" s="841"/>
      <c r="BR46" s="835">
        <f t="shared" si="84"/>
        <v>0</v>
      </c>
      <c r="BS46" s="835">
        <f t="shared" si="85"/>
        <v>0</v>
      </c>
      <c r="BT46" s="835">
        <f t="shared" si="86"/>
        <v>0</v>
      </c>
      <c r="BU46" s="835">
        <f t="shared" si="87"/>
        <v>0</v>
      </c>
      <c r="BV46" s="840"/>
      <c r="BW46" s="835">
        <f t="shared" si="88"/>
        <v>0</v>
      </c>
      <c r="BX46" s="835">
        <f t="shared" si="89"/>
        <v>0</v>
      </c>
      <c r="BY46" s="835">
        <f t="shared" si="90"/>
        <v>0</v>
      </c>
      <c r="BZ46" s="835">
        <f t="shared" si="91"/>
        <v>0</v>
      </c>
      <c r="CA46" s="840"/>
      <c r="CB46" s="835">
        <f t="shared" si="92"/>
        <v>0</v>
      </c>
      <c r="CC46" s="835">
        <f t="shared" si="93"/>
        <v>0</v>
      </c>
      <c r="CD46" s="835">
        <f t="shared" si="94"/>
        <v>0</v>
      </c>
      <c r="CE46" s="835">
        <f t="shared" si="95"/>
        <v>0</v>
      </c>
      <c r="CF46" s="840"/>
      <c r="CG46" s="835">
        <f t="shared" si="96"/>
        <v>0</v>
      </c>
      <c r="CH46" s="835">
        <f t="shared" si="97"/>
        <v>0</v>
      </c>
      <c r="CI46" s="835">
        <f t="shared" si="98"/>
        <v>0</v>
      </c>
      <c r="CJ46" s="835">
        <f t="shared" si="99"/>
        <v>0</v>
      </c>
      <c r="CK46" s="840"/>
      <c r="CL46" s="835">
        <f t="shared" si="100"/>
        <v>0</v>
      </c>
      <c r="CM46" s="835">
        <f t="shared" si="101"/>
        <v>0</v>
      </c>
      <c r="CN46" s="835">
        <f t="shared" si="102"/>
        <v>0</v>
      </c>
      <c r="CO46" s="835">
        <f t="shared" si="103"/>
        <v>0</v>
      </c>
      <c r="CP46" s="840"/>
      <c r="CQ46" s="835">
        <f t="shared" si="104"/>
        <v>0</v>
      </c>
      <c r="CR46" s="835">
        <f t="shared" si="105"/>
        <v>0</v>
      </c>
      <c r="CS46" s="835">
        <f t="shared" si="106"/>
        <v>0</v>
      </c>
      <c r="CT46" s="835">
        <f t="shared" si="107"/>
        <v>0</v>
      </c>
      <c r="CU46" s="842"/>
      <c r="CV46" s="835">
        <f t="shared" si="108"/>
        <v>0</v>
      </c>
      <c r="CW46" s="835">
        <f t="shared" si="108"/>
        <v>0</v>
      </c>
      <c r="CX46" s="835">
        <f t="shared" si="108"/>
        <v>0</v>
      </c>
      <c r="CY46" s="835">
        <f t="shared" si="108"/>
        <v>0</v>
      </c>
      <c r="CZ46" s="842"/>
      <c r="DA46" s="835">
        <f>'1.BS (VND)'!CV20/'1.BC_Ra Soat (ty) '!$C$6</f>
        <v>0</v>
      </c>
      <c r="DB46" s="835">
        <f>'1.BS (VND)'!CW20/'1.BC_Ra Soat (ty) '!$C$6</f>
        <v>0</v>
      </c>
      <c r="DC46" s="835">
        <f>'1.BS (VND)'!CX20/'1.BC_Ra Soat (ty) '!$C$6</f>
        <v>0</v>
      </c>
      <c r="DD46" s="835">
        <f>'1.BS (VND)'!CY20/'1.BC_Ra Soat (ty) '!$C$6</f>
        <v>0</v>
      </c>
      <c r="DE46" s="842"/>
      <c r="DF46" s="835">
        <f t="shared" si="110"/>
        <v>0</v>
      </c>
      <c r="DG46" s="835">
        <f t="shared" si="109"/>
        <v>0</v>
      </c>
      <c r="DH46" s="835">
        <f t="shared" si="109"/>
        <v>0</v>
      </c>
      <c r="DI46" s="835">
        <f t="shared" si="109"/>
        <v>0</v>
      </c>
    </row>
    <row r="47" spans="1:114" s="441" customFormat="1" ht="15.75" hidden="1" x14ac:dyDescent="0.25">
      <c r="A47" s="447" t="str">
        <f t="shared" si="111"/>
        <v>hide</v>
      </c>
      <c r="C47" s="452" t="s">
        <v>317</v>
      </c>
      <c r="D47" s="453" t="s">
        <v>318</v>
      </c>
      <c r="E47" s="835">
        <f>'1.BS (VND)'!E21/$C$6</f>
        <v>0</v>
      </c>
      <c r="F47" s="835">
        <f>'1.BS (VND)'!F21/$C$6</f>
        <v>0</v>
      </c>
      <c r="G47" s="835">
        <f>'1.BS (VND)'!G21/$C$6</f>
        <v>0</v>
      </c>
      <c r="H47" s="835">
        <f>'1.BS (VND)'!H21/$C$6</f>
        <v>0</v>
      </c>
      <c r="I47" s="840"/>
      <c r="J47" s="835">
        <f>'1.BS (VND)'!J21/$C$6</f>
        <v>0</v>
      </c>
      <c r="K47" s="835">
        <f>'1.BS (VND)'!K21/$C$6</f>
        <v>0</v>
      </c>
      <c r="L47" s="835">
        <f>'1.BS (VND)'!L21/$C$6</f>
        <v>0</v>
      </c>
      <c r="M47" s="835">
        <f>'1.BS (VND)'!M21/$C$6</f>
        <v>0</v>
      </c>
      <c r="N47" s="840"/>
      <c r="O47" s="835">
        <f>'1.BS (VND)'!O21/$C$6</f>
        <v>0</v>
      </c>
      <c r="P47" s="835">
        <f>'1.BS (VND)'!P21/$C$6</f>
        <v>0</v>
      </c>
      <c r="Q47" s="835">
        <f>'1.BS (VND)'!Q21/$C$6</f>
        <v>0</v>
      </c>
      <c r="R47" s="835">
        <f>'1.BS (VND)'!R21/$C$6</f>
        <v>0</v>
      </c>
      <c r="S47" s="840"/>
      <c r="T47" s="835">
        <f>'1.BS (VND)'!T21/$C$6</f>
        <v>0</v>
      </c>
      <c r="U47" s="835">
        <f>'1.BS (VND)'!U21/$C$6</f>
        <v>0</v>
      </c>
      <c r="V47" s="835">
        <f>'1.BS (VND)'!V21/$C$6</f>
        <v>0</v>
      </c>
      <c r="W47" s="835">
        <f>'1.BS (VND)'!W21/$C$6</f>
        <v>0</v>
      </c>
      <c r="X47" s="840"/>
      <c r="Y47" s="835">
        <f>'1.BS (VND)'!Y21/$C$6</f>
        <v>0</v>
      </c>
      <c r="Z47" s="835">
        <f>'1.BS (VND)'!Z21/$C$6</f>
        <v>0</v>
      </c>
      <c r="AA47" s="835">
        <f>'1.BS (VND)'!AA21/$C$6</f>
        <v>0</v>
      </c>
      <c r="AB47" s="835">
        <f>'1.BS (VND)'!AB21/$C$6</f>
        <v>0</v>
      </c>
      <c r="AC47" s="840"/>
      <c r="AD47" s="835">
        <f>'1.BS (VND)'!AD21/$C$6</f>
        <v>0</v>
      </c>
      <c r="AE47" s="835">
        <f>'1.BS (VND)'!AE21/$C$6</f>
        <v>0</v>
      </c>
      <c r="AF47" s="835">
        <f>'1.BS (VND)'!AF21/$C$6</f>
        <v>0</v>
      </c>
      <c r="AG47" s="835">
        <f>'1.BS (VND)'!AG21/$C$6</f>
        <v>0</v>
      </c>
      <c r="AH47" s="841"/>
      <c r="AI47" s="835">
        <f t="shared" si="82"/>
        <v>0</v>
      </c>
      <c r="AJ47" s="835">
        <f t="shared" si="82"/>
        <v>0</v>
      </c>
      <c r="AK47" s="835">
        <f t="shared" si="82"/>
        <v>0</v>
      </c>
      <c r="AL47" s="835">
        <f t="shared" si="83"/>
        <v>0</v>
      </c>
      <c r="AM47" s="842"/>
      <c r="AN47" s="835">
        <f>'1.BS (VND)'!AI21/$C$6</f>
        <v>0</v>
      </c>
      <c r="AO47" s="835">
        <f>'1.BS (VND)'!AJ21/$C$6</f>
        <v>0</v>
      </c>
      <c r="AP47" s="835">
        <f>'1.BS (VND)'!AK21/$C$6</f>
        <v>0</v>
      </c>
      <c r="AQ47" s="835">
        <f>'1.BS (VND)'!AL21/$C$6</f>
        <v>0</v>
      </c>
      <c r="AR47" s="840"/>
      <c r="AS47" s="835">
        <f>'1.BS (VND)'!AN21/$C$6</f>
        <v>0</v>
      </c>
      <c r="AT47" s="835">
        <f>'1.BS (VND)'!AO21/$C$6</f>
        <v>0</v>
      </c>
      <c r="AU47" s="835">
        <f>'1.BS (VND)'!AP21/$C$6</f>
        <v>0</v>
      </c>
      <c r="AV47" s="835">
        <f>'1.BS (VND)'!AQ21/$C$6</f>
        <v>0</v>
      </c>
      <c r="AW47" s="840"/>
      <c r="AX47" s="835">
        <f>'1.BS (VND)'!AS21/$C$6</f>
        <v>0</v>
      </c>
      <c r="AY47" s="835">
        <f>'1.BS (VND)'!AT21/$C$6</f>
        <v>0</v>
      </c>
      <c r="AZ47" s="835">
        <f>'1.BS (VND)'!AU21/$C$6</f>
        <v>0</v>
      </c>
      <c r="BA47" s="835">
        <f>'1.BS (VND)'!AV21/$C$6</f>
        <v>0</v>
      </c>
      <c r="BB47" s="840"/>
      <c r="BC47" s="835">
        <f>'1.BS (VND)'!AX21/$C$6</f>
        <v>0</v>
      </c>
      <c r="BD47" s="835">
        <f>'1.BS (VND)'!AY21/$C$6</f>
        <v>0</v>
      </c>
      <c r="BE47" s="835">
        <f>'1.BS (VND)'!AZ21/$C$6</f>
        <v>0</v>
      </c>
      <c r="BF47" s="835">
        <f>'1.BS (VND)'!BA21/$C$6</f>
        <v>0</v>
      </c>
      <c r="BG47" s="840"/>
      <c r="BH47" s="835">
        <f>'1.BS (VND)'!BC21/$C$6</f>
        <v>0</v>
      </c>
      <c r="BI47" s="835">
        <f>'1.BS (VND)'!BD21/$C$6</f>
        <v>0</v>
      </c>
      <c r="BJ47" s="835">
        <f>'1.BS (VND)'!BE21/$C$6</f>
        <v>0</v>
      </c>
      <c r="BK47" s="835">
        <f>'1.BS (VND)'!BF21/$C$6</f>
        <v>0</v>
      </c>
      <c r="BL47" s="840"/>
      <c r="BM47" s="835">
        <f>'1.BS (VND)'!BH21/$C$6</f>
        <v>0</v>
      </c>
      <c r="BN47" s="835">
        <f>'1.BS (VND)'!BI21/$C$6</f>
        <v>0</v>
      </c>
      <c r="BO47" s="835">
        <f>'1.BS (VND)'!BJ21/$C$6</f>
        <v>0</v>
      </c>
      <c r="BP47" s="835">
        <f>'1.BS (VND)'!BK21/$C$6</f>
        <v>0</v>
      </c>
      <c r="BQ47" s="841"/>
      <c r="BR47" s="835">
        <f t="shared" si="84"/>
        <v>0</v>
      </c>
      <c r="BS47" s="835">
        <f t="shared" si="85"/>
        <v>0</v>
      </c>
      <c r="BT47" s="835">
        <f t="shared" si="86"/>
        <v>0</v>
      </c>
      <c r="BU47" s="835">
        <f t="shared" si="87"/>
        <v>0</v>
      </c>
      <c r="BV47" s="840"/>
      <c r="BW47" s="835">
        <f t="shared" si="88"/>
        <v>0</v>
      </c>
      <c r="BX47" s="835">
        <f t="shared" si="89"/>
        <v>0</v>
      </c>
      <c r="BY47" s="835">
        <f t="shared" si="90"/>
        <v>0</v>
      </c>
      <c r="BZ47" s="835">
        <f t="shared" si="91"/>
        <v>0</v>
      </c>
      <c r="CA47" s="840"/>
      <c r="CB47" s="835">
        <f t="shared" si="92"/>
        <v>0</v>
      </c>
      <c r="CC47" s="835">
        <f t="shared" si="93"/>
        <v>0</v>
      </c>
      <c r="CD47" s="835">
        <f t="shared" si="94"/>
        <v>0</v>
      </c>
      <c r="CE47" s="835">
        <f t="shared" si="95"/>
        <v>0</v>
      </c>
      <c r="CF47" s="840"/>
      <c r="CG47" s="835">
        <f t="shared" si="96"/>
        <v>0</v>
      </c>
      <c r="CH47" s="835">
        <f t="shared" si="97"/>
        <v>0</v>
      </c>
      <c r="CI47" s="835">
        <f t="shared" si="98"/>
        <v>0</v>
      </c>
      <c r="CJ47" s="835">
        <f t="shared" si="99"/>
        <v>0</v>
      </c>
      <c r="CK47" s="840"/>
      <c r="CL47" s="835">
        <f t="shared" si="100"/>
        <v>0</v>
      </c>
      <c r="CM47" s="835">
        <f t="shared" si="101"/>
        <v>0</v>
      </c>
      <c r="CN47" s="835">
        <f t="shared" si="102"/>
        <v>0</v>
      </c>
      <c r="CO47" s="835">
        <f t="shared" si="103"/>
        <v>0</v>
      </c>
      <c r="CP47" s="840"/>
      <c r="CQ47" s="835">
        <f t="shared" si="104"/>
        <v>0</v>
      </c>
      <c r="CR47" s="835">
        <f t="shared" si="105"/>
        <v>0</v>
      </c>
      <c r="CS47" s="835">
        <f t="shared" si="106"/>
        <v>0</v>
      </c>
      <c r="CT47" s="835">
        <f t="shared" si="107"/>
        <v>0</v>
      </c>
      <c r="CU47" s="842"/>
      <c r="CV47" s="835">
        <f t="shared" si="108"/>
        <v>0</v>
      </c>
      <c r="CW47" s="835">
        <f t="shared" si="108"/>
        <v>0</v>
      </c>
      <c r="CX47" s="835">
        <f t="shared" si="108"/>
        <v>0</v>
      </c>
      <c r="CY47" s="835">
        <f t="shared" si="108"/>
        <v>0</v>
      </c>
      <c r="CZ47" s="842"/>
      <c r="DA47" s="835">
        <f>'1.BS (VND)'!CV21/'1.BC_Ra Soat (ty) '!$C$6</f>
        <v>0</v>
      </c>
      <c r="DB47" s="835">
        <f>'1.BS (VND)'!CW21/'1.BC_Ra Soat (ty) '!$C$6</f>
        <v>0</v>
      </c>
      <c r="DC47" s="835">
        <f>'1.BS (VND)'!CX21/'1.BC_Ra Soat (ty) '!$C$6</f>
        <v>0</v>
      </c>
      <c r="DD47" s="835">
        <f>'1.BS (VND)'!CY21/'1.BC_Ra Soat (ty) '!$C$6</f>
        <v>0</v>
      </c>
      <c r="DE47" s="842"/>
      <c r="DF47" s="835">
        <f t="shared" si="110"/>
        <v>0</v>
      </c>
      <c r="DG47" s="835">
        <f t="shared" si="109"/>
        <v>0</v>
      </c>
      <c r="DH47" s="835">
        <f t="shared" si="109"/>
        <v>0</v>
      </c>
      <c r="DI47" s="835">
        <f t="shared" si="109"/>
        <v>0</v>
      </c>
    </row>
    <row r="48" spans="1:114" s="441" customFormat="1" ht="15.75" x14ac:dyDescent="0.25">
      <c r="A48" s="447">
        <f t="shared" si="111"/>
        <v>1</v>
      </c>
      <c r="C48" s="452" t="s">
        <v>319</v>
      </c>
      <c r="D48" s="453" t="s">
        <v>320</v>
      </c>
      <c r="E48" s="835">
        <f>'1.BS (VND)'!E22/$C$6</f>
        <v>0.47044335599999998</v>
      </c>
      <c r="F48" s="835">
        <f>'1.BS (VND)'!F22/$C$6</f>
        <v>2.0950976469999998</v>
      </c>
      <c r="G48" s="835">
        <f>'1.BS (VND)'!G22/$C$6</f>
        <v>0</v>
      </c>
      <c r="H48" s="835">
        <f>'1.BS (VND)'!H22/$C$6</f>
        <v>0</v>
      </c>
      <c r="I48" s="840"/>
      <c r="J48" s="835">
        <f>'1.BS (VND)'!J22/$C$6</f>
        <v>2.7999999999999998E-4</v>
      </c>
      <c r="K48" s="835">
        <f>'1.BS (VND)'!K22/$C$6</f>
        <v>0.60342399999999996</v>
      </c>
      <c r="L48" s="835">
        <f>'1.BS (VND)'!L22/$C$6</f>
        <v>1.190696827</v>
      </c>
      <c r="M48" s="835">
        <f>'1.BS (VND)'!M22/$C$6</f>
        <v>0</v>
      </c>
      <c r="N48" s="840"/>
      <c r="O48" s="835">
        <f>'1.BS (VND)'!O22/$C$6</f>
        <v>0</v>
      </c>
      <c r="P48" s="835">
        <f>'1.BS (VND)'!P22/$C$6</f>
        <v>0.18181943</v>
      </c>
      <c r="Q48" s="835">
        <f>'1.BS (VND)'!Q22/$C$6</f>
        <v>1.005988E-3</v>
      </c>
      <c r="R48" s="835">
        <f>'1.BS (VND)'!R22/$C$6</f>
        <v>9.3829999999999998E-6</v>
      </c>
      <c r="S48" s="840"/>
      <c r="T48" s="835">
        <f>'1.BS (VND)'!T22/$C$6</f>
        <v>0</v>
      </c>
      <c r="U48" s="835">
        <f>'1.BS (VND)'!U22/$C$6</f>
        <v>7.7469300000000002E-4</v>
      </c>
      <c r="V48" s="835">
        <f>'1.BS (VND)'!V22/$C$6</f>
        <v>7.7469300000000002E-4</v>
      </c>
      <c r="W48" s="835">
        <f>'1.BS (VND)'!W22/$C$6</f>
        <v>8.6469300000000004E-4</v>
      </c>
      <c r="X48" s="840"/>
      <c r="Y48" s="835">
        <f>'1.BS (VND)'!Y22/$C$6</f>
        <v>0</v>
      </c>
      <c r="Z48" s="835">
        <f>'1.BS (VND)'!Z22/$C$6</f>
        <v>0</v>
      </c>
      <c r="AA48" s="835">
        <f>'1.BS (VND)'!AA22/$C$6</f>
        <v>0</v>
      </c>
      <c r="AB48" s="835">
        <f>'1.BS (VND)'!AB22/$C$6</f>
        <v>0</v>
      </c>
      <c r="AC48" s="840"/>
      <c r="AD48" s="835">
        <f>'1.BS (VND)'!AD22/$C$6</f>
        <v>0</v>
      </c>
      <c r="AE48" s="835">
        <f>'1.BS (VND)'!AE22/$C$6</f>
        <v>0</v>
      </c>
      <c r="AF48" s="835">
        <f>'1.BS (VND)'!AF22/$C$6</f>
        <v>0</v>
      </c>
      <c r="AG48" s="835">
        <f>'1.BS (VND)'!AG22/$C$6</f>
        <v>0</v>
      </c>
      <c r="AH48" s="841"/>
      <c r="AI48" s="835">
        <f t="shared" si="82"/>
        <v>0.47072335599999998</v>
      </c>
      <c r="AJ48" s="835">
        <f t="shared" si="82"/>
        <v>2.8811157699999996</v>
      </c>
      <c r="AK48" s="835">
        <f t="shared" si="82"/>
        <v>1.1924775080000001</v>
      </c>
      <c r="AL48" s="835">
        <f t="shared" si="83"/>
        <v>8.74076E-4</v>
      </c>
      <c r="AM48" s="852"/>
      <c r="AN48" s="835">
        <f>'1.BS (VND)'!AI22/$C$6</f>
        <v>0</v>
      </c>
      <c r="AO48" s="835">
        <f>'1.BS (VND)'!AJ22/$C$6</f>
        <v>0</v>
      </c>
      <c r="AP48" s="835">
        <f>'1.BS (VND)'!AK22/$C$6</f>
        <v>0</v>
      </c>
      <c r="AQ48" s="835">
        <f>'1.BS (VND)'!AL22/$C$6</f>
        <v>0</v>
      </c>
      <c r="AR48" s="840"/>
      <c r="AS48" s="835">
        <f>'1.BS (VND)'!AN22/$C$6</f>
        <v>0</v>
      </c>
      <c r="AT48" s="835">
        <f>'1.BS (VND)'!AO22/$C$6</f>
        <v>0</v>
      </c>
      <c r="AU48" s="835">
        <f>'1.BS (VND)'!AP22/$C$6</f>
        <v>0</v>
      </c>
      <c r="AV48" s="835">
        <f>'1.BS (VND)'!AQ22/$C$6</f>
        <v>0</v>
      </c>
      <c r="AW48" s="840"/>
      <c r="AX48" s="835">
        <f>'1.BS (VND)'!AS22/$C$6</f>
        <v>0</v>
      </c>
      <c r="AY48" s="835">
        <f>'1.BS (VND)'!AT22/$C$6</f>
        <v>0</v>
      </c>
      <c r="AZ48" s="835">
        <f>'1.BS (VND)'!AU22/$C$6</f>
        <v>0</v>
      </c>
      <c r="BA48" s="835">
        <f>'1.BS (VND)'!AV22/$C$6</f>
        <v>0</v>
      </c>
      <c r="BB48" s="840"/>
      <c r="BC48" s="835">
        <f>'1.BS (VND)'!AX22/$C$6</f>
        <v>0</v>
      </c>
      <c r="BD48" s="835">
        <f>'1.BS (VND)'!AY22/$C$6</f>
        <v>0</v>
      </c>
      <c r="BE48" s="835">
        <f>'1.BS (VND)'!AZ22/$C$6</f>
        <v>0</v>
      </c>
      <c r="BF48" s="835">
        <f>'1.BS (VND)'!BA22/$C$6</f>
        <v>0</v>
      </c>
      <c r="BG48" s="840"/>
      <c r="BH48" s="835">
        <f>'1.BS (VND)'!BC22/$C$6</f>
        <v>0</v>
      </c>
      <c r="BI48" s="835">
        <f>'1.BS (VND)'!BD22/$C$6</f>
        <v>0</v>
      </c>
      <c r="BJ48" s="835">
        <f>'1.BS (VND)'!BE22/$C$6</f>
        <v>0</v>
      </c>
      <c r="BK48" s="835">
        <f>'1.BS (VND)'!BF22/$C$6</f>
        <v>0</v>
      </c>
      <c r="BL48" s="840"/>
      <c r="BM48" s="835">
        <f>'1.BS (VND)'!BH22/$C$6</f>
        <v>0</v>
      </c>
      <c r="BN48" s="835">
        <f>'1.BS (VND)'!BI22/$C$6</f>
        <v>0</v>
      </c>
      <c r="BO48" s="835">
        <f>'1.BS (VND)'!BJ22/$C$6</f>
        <v>0</v>
      </c>
      <c r="BP48" s="835">
        <f>'1.BS (VND)'!BK22/$C$6</f>
        <v>0</v>
      </c>
      <c r="BQ48" s="841"/>
      <c r="BR48" s="835">
        <f t="shared" si="84"/>
        <v>0.47044335599999998</v>
      </c>
      <c r="BS48" s="835">
        <f t="shared" si="85"/>
        <v>2.0950976469999998</v>
      </c>
      <c r="BT48" s="835">
        <f t="shared" si="86"/>
        <v>0</v>
      </c>
      <c r="BU48" s="835">
        <f t="shared" si="87"/>
        <v>0</v>
      </c>
      <c r="BV48" s="840"/>
      <c r="BW48" s="835">
        <f t="shared" si="88"/>
        <v>2.7999999999999998E-4</v>
      </c>
      <c r="BX48" s="835">
        <f t="shared" si="89"/>
        <v>0.60342399999999996</v>
      </c>
      <c r="BY48" s="835">
        <f t="shared" si="90"/>
        <v>1.190696827</v>
      </c>
      <c r="BZ48" s="835">
        <f t="shared" si="91"/>
        <v>0</v>
      </c>
      <c r="CA48" s="840"/>
      <c r="CB48" s="835">
        <f t="shared" si="92"/>
        <v>0</v>
      </c>
      <c r="CC48" s="835">
        <f t="shared" si="93"/>
        <v>0.18181943</v>
      </c>
      <c r="CD48" s="835">
        <f t="shared" si="94"/>
        <v>1.005988E-3</v>
      </c>
      <c r="CE48" s="835">
        <f t="shared" si="95"/>
        <v>9.3829999999999998E-6</v>
      </c>
      <c r="CF48" s="840"/>
      <c r="CG48" s="835">
        <f t="shared" si="96"/>
        <v>0</v>
      </c>
      <c r="CH48" s="835">
        <f t="shared" si="97"/>
        <v>7.7469300000000002E-4</v>
      </c>
      <c r="CI48" s="835">
        <f t="shared" si="98"/>
        <v>7.7469300000000002E-4</v>
      </c>
      <c r="CJ48" s="835">
        <f t="shared" si="99"/>
        <v>8.6469300000000004E-4</v>
      </c>
      <c r="CK48" s="840"/>
      <c r="CL48" s="835">
        <f t="shared" si="100"/>
        <v>0</v>
      </c>
      <c r="CM48" s="835">
        <f t="shared" si="101"/>
        <v>0</v>
      </c>
      <c r="CN48" s="835">
        <f t="shared" si="102"/>
        <v>0</v>
      </c>
      <c r="CO48" s="835">
        <f t="shared" si="103"/>
        <v>0</v>
      </c>
      <c r="CP48" s="840"/>
      <c r="CQ48" s="835">
        <f t="shared" si="104"/>
        <v>0</v>
      </c>
      <c r="CR48" s="835">
        <f t="shared" si="105"/>
        <v>0</v>
      </c>
      <c r="CS48" s="835">
        <f t="shared" si="106"/>
        <v>0</v>
      </c>
      <c r="CT48" s="835">
        <f t="shared" si="107"/>
        <v>0</v>
      </c>
      <c r="CU48" s="842"/>
      <c r="CV48" s="835">
        <f t="shared" si="108"/>
        <v>0.47072335599999998</v>
      </c>
      <c r="CW48" s="835">
        <f t="shared" si="108"/>
        <v>2.8811157699999996</v>
      </c>
      <c r="CX48" s="835">
        <f t="shared" si="108"/>
        <v>1.1924775080000001</v>
      </c>
      <c r="CY48" s="835">
        <f t="shared" si="108"/>
        <v>8.74076E-4</v>
      </c>
      <c r="CZ48" s="842"/>
      <c r="DA48" s="835">
        <f>'1.BS (VND)'!CV22/'1.BC_Ra Soat (ty) '!$C$6</f>
        <v>0</v>
      </c>
      <c r="DB48" s="835">
        <f>'1.BS (VND)'!CW22/'1.BC_Ra Soat (ty) '!$C$6</f>
        <v>0</v>
      </c>
      <c r="DC48" s="835">
        <f>'1.BS (VND)'!CX22/'1.BC_Ra Soat (ty) '!$C$6</f>
        <v>0</v>
      </c>
      <c r="DD48" s="835">
        <f>'1.BS (VND)'!CY22/'1.BC_Ra Soat (ty) '!$C$6</f>
        <v>0</v>
      </c>
      <c r="DE48" s="842"/>
      <c r="DF48" s="835">
        <f t="shared" si="110"/>
        <v>0.47072335599999998</v>
      </c>
      <c r="DG48" s="835">
        <f t="shared" si="109"/>
        <v>2.8811157699999996</v>
      </c>
      <c r="DH48" s="835">
        <f t="shared" si="109"/>
        <v>1.1924775080000001</v>
      </c>
      <c r="DI48" s="835">
        <f t="shared" si="109"/>
        <v>8.74076E-4</v>
      </c>
      <c r="DJ48" s="444"/>
    </row>
    <row r="49" spans="1:114" s="441" customFormat="1" ht="15.75" x14ac:dyDescent="0.25">
      <c r="A49" s="447">
        <f t="shared" si="111"/>
        <v>1</v>
      </c>
      <c r="C49" s="452" t="s">
        <v>321</v>
      </c>
      <c r="D49" s="453" t="s">
        <v>322</v>
      </c>
      <c r="E49" s="835">
        <f>'1.BS (VND)'!E23/$C$6</f>
        <v>0</v>
      </c>
      <c r="F49" s="835">
        <f>'1.BS (VND)'!F23/$C$6</f>
        <v>0</v>
      </c>
      <c r="G49" s="835">
        <f>'1.BS (VND)'!G23/$C$6</f>
        <v>0</v>
      </c>
      <c r="H49" s="835">
        <f>'1.BS (VND)'!H23/$C$6</f>
        <v>0</v>
      </c>
      <c r="I49" s="840"/>
      <c r="J49" s="835">
        <f>'1.BS (VND)'!J23/$C$6</f>
        <v>0</v>
      </c>
      <c r="K49" s="835">
        <f>'1.BS (VND)'!K23/$C$6</f>
        <v>0</v>
      </c>
      <c r="L49" s="835">
        <f>'1.BS (VND)'!L23/$C$6</f>
        <v>0</v>
      </c>
      <c r="M49" s="835">
        <f>'1.BS (VND)'!M23/$C$6</f>
        <v>0</v>
      </c>
      <c r="N49" s="840"/>
      <c r="O49" s="835">
        <f>'1.BS (VND)'!O23/$C$6</f>
        <v>0</v>
      </c>
      <c r="P49" s="835">
        <f>'1.BS (VND)'!P23/$C$6</f>
        <v>0</v>
      </c>
      <c r="Q49" s="835">
        <f>'1.BS (VND)'!Q23/$C$6</f>
        <v>0</v>
      </c>
      <c r="R49" s="835">
        <f>'1.BS (VND)'!R23/$C$6</f>
        <v>0</v>
      </c>
      <c r="S49" s="840"/>
      <c r="T49" s="835">
        <f>'1.BS (VND)'!T23/$C$6</f>
        <v>0</v>
      </c>
      <c r="U49" s="835">
        <f>'1.BS (VND)'!U23/$C$6</f>
        <v>0</v>
      </c>
      <c r="V49" s="835">
        <f>'1.BS (VND)'!V23/$C$6</f>
        <v>0</v>
      </c>
      <c r="W49" s="835">
        <f>'1.BS (VND)'!W23/$C$6</f>
        <v>0</v>
      </c>
      <c r="X49" s="840"/>
      <c r="Y49" s="835">
        <f>'1.BS (VND)'!Y23/$C$6</f>
        <v>0</v>
      </c>
      <c r="Z49" s="835">
        <f>'1.BS (VND)'!Z23/$C$6</f>
        <v>0</v>
      </c>
      <c r="AA49" s="835">
        <f>'1.BS (VND)'!AA23/$C$6</f>
        <v>0</v>
      </c>
      <c r="AB49" s="835">
        <f>'1.BS (VND)'!AB23/$C$6</f>
        <v>0</v>
      </c>
      <c r="AC49" s="840"/>
      <c r="AD49" s="835">
        <f>'1.BS (VND)'!AD23/$C$6</f>
        <v>0</v>
      </c>
      <c r="AE49" s="835">
        <f>'1.BS (VND)'!AE23/$C$6</f>
        <v>0</v>
      </c>
      <c r="AF49" s="835">
        <f>'1.BS (VND)'!AF23/$C$6</f>
        <v>0</v>
      </c>
      <c r="AG49" s="835">
        <f>'1.BS (VND)'!AG23/$C$6</f>
        <v>0</v>
      </c>
      <c r="AH49" s="841"/>
      <c r="AI49" s="835">
        <f t="shared" si="82"/>
        <v>0</v>
      </c>
      <c r="AJ49" s="835">
        <f t="shared" si="82"/>
        <v>0</v>
      </c>
      <c r="AK49" s="835">
        <f t="shared" si="82"/>
        <v>0</v>
      </c>
      <c r="AL49" s="835">
        <f t="shared" si="83"/>
        <v>0</v>
      </c>
      <c r="AM49" s="842"/>
      <c r="AN49" s="835">
        <f>'1.BS (VND)'!AI23/$C$6</f>
        <v>0</v>
      </c>
      <c r="AO49" s="835">
        <f>'1.BS (VND)'!AJ23/$C$6</f>
        <v>0</v>
      </c>
      <c r="AP49" s="835">
        <f>'1.BS (VND)'!AK23/$C$6</f>
        <v>0</v>
      </c>
      <c r="AQ49" s="835">
        <f>'1.BS (VND)'!AL23/$C$6</f>
        <v>-3.55</v>
      </c>
      <c r="AR49" s="840"/>
      <c r="AS49" s="835">
        <f>'1.BS (VND)'!AN23/$C$6</f>
        <v>0</v>
      </c>
      <c r="AT49" s="835">
        <f>'1.BS (VND)'!AO23/$C$6</f>
        <v>0</v>
      </c>
      <c r="AU49" s="835">
        <f>'1.BS (VND)'!AP23/$C$6</f>
        <v>0</v>
      </c>
      <c r="AV49" s="835">
        <f>'1.BS (VND)'!AQ23/$C$6</f>
        <v>0</v>
      </c>
      <c r="AW49" s="840"/>
      <c r="AX49" s="835">
        <f>'1.BS (VND)'!AS23/$C$6</f>
        <v>0</v>
      </c>
      <c r="AY49" s="835">
        <f>'1.BS (VND)'!AT23/$C$6</f>
        <v>0</v>
      </c>
      <c r="AZ49" s="835">
        <f>'1.BS (VND)'!AU23/$C$6</f>
        <v>0</v>
      </c>
      <c r="BA49" s="835">
        <f>'1.BS (VND)'!AV23/$C$6</f>
        <v>-4.95</v>
      </c>
      <c r="BB49" s="840"/>
      <c r="BC49" s="835">
        <f>'1.BS (VND)'!AX23/$C$6</f>
        <v>0</v>
      </c>
      <c r="BD49" s="835">
        <f>'1.BS (VND)'!AY23/$C$6</f>
        <v>0</v>
      </c>
      <c r="BE49" s="835">
        <f>'1.BS (VND)'!AZ23/$C$6</f>
        <v>0</v>
      </c>
      <c r="BF49" s="835">
        <f>'1.BS (VND)'!BA23/$C$6</f>
        <v>-5</v>
      </c>
      <c r="BG49" s="840"/>
      <c r="BH49" s="835">
        <f>'1.BS (VND)'!BC23/$C$6</f>
        <v>0</v>
      </c>
      <c r="BI49" s="835">
        <f>'1.BS (VND)'!BD23/$C$6</f>
        <v>0</v>
      </c>
      <c r="BJ49" s="835">
        <f>'1.BS (VND)'!BE23/$C$6</f>
        <v>0</v>
      </c>
      <c r="BK49" s="835">
        <f>'1.BS (VND)'!BF23/$C$6</f>
        <v>0</v>
      </c>
      <c r="BL49" s="840"/>
      <c r="BM49" s="835">
        <f>'1.BS (VND)'!BH23/$C$6</f>
        <v>0</v>
      </c>
      <c r="BN49" s="835">
        <f>'1.BS (VND)'!BI23/$C$6</f>
        <v>0</v>
      </c>
      <c r="BO49" s="835">
        <f>'1.BS (VND)'!BJ23/$C$6</f>
        <v>0</v>
      </c>
      <c r="BP49" s="835">
        <f>'1.BS (VND)'!BK23/$C$6</f>
        <v>0</v>
      </c>
      <c r="BQ49" s="841"/>
      <c r="BR49" s="835">
        <f t="shared" si="84"/>
        <v>0</v>
      </c>
      <c r="BS49" s="835">
        <f t="shared" si="85"/>
        <v>0</v>
      </c>
      <c r="BT49" s="835">
        <f t="shared" si="86"/>
        <v>0</v>
      </c>
      <c r="BU49" s="835">
        <f t="shared" si="87"/>
        <v>-3.55</v>
      </c>
      <c r="BV49" s="840"/>
      <c r="BW49" s="835">
        <f t="shared" si="88"/>
        <v>0</v>
      </c>
      <c r="BX49" s="835">
        <f t="shared" si="89"/>
        <v>0</v>
      </c>
      <c r="BY49" s="835">
        <f t="shared" si="90"/>
        <v>0</v>
      </c>
      <c r="BZ49" s="835">
        <f t="shared" si="91"/>
        <v>0</v>
      </c>
      <c r="CA49" s="840"/>
      <c r="CB49" s="835">
        <f t="shared" si="92"/>
        <v>0</v>
      </c>
      <c r="CC49" s="835">
        <f t="shared" si="93"/>
        <v>0</v>
      </c>
      <c r="CD49" s="835">
        <f t="shared" si="94"/>
        <v>0</v>
      </c>
      <c r="CE49" s="835">
        <f t="shared" si="95"/>
        <v>-4.95</v>
      </c>
      <c r="CF49" s="840"/>
      <c r="CG49" s="835">
        <f t="shared" si="96"/>
        <v>0</v>
      </c>
      <c r="CH49" s="835">
        <f t="shared" si="97"/>
        <v>0</v>
      </c>
      <c r="CI49" s="835">
        <f t="shared" si="98"/>
        <v>0</v>
      </c>
      <c r="CJ49" s="835">
        <f t="shared" si="99"/>
        <v>-5</v>
      </c>
      <c r="CK49" s="840"/>
      <c r="CL49" s="835">
        <f t="shared" si="100"/>
        <v>0</v>
      </c>
      <c r="CM49" s="835">
        <f t="shared" si="101"/>
        <v>0</v>
      </c>
      <c r="CN49" s="835">
        <f t="shared" si="102"/>
        <v>0</v>
      </c>
      <c r="CO49" s="835">
        <f t="shared" si="103"/>
        <v>0</v>
      </c>
      <c r="CP49" s="840"/>
      <c r="CQ49" s="835">
        <f t="shared" si="104"/>
        <v>0</v>
      </c>
      <c r="CR49" s="835">
        <f t="shared" si="105"/>
        <v>0</v>
      </c>
      <c r="CS49" s="835">
        <f t="shared" si="106"/>
        <v>0</v>
      </c>
      <c r="CT49" s="835">
        <f t="shared" si="107"/>
        <v>0</v>
      </c>
      <c r="CU49" s="842"/>
      <c r="CV49" s="835">
        <f t="shared" si="108"/>
        <v>0</v>
      </c>
      <c r="CW49" s="835">
        <f t="shared" si="108"/>
        <v>0</v>
      </c>
      <c r="CX49" s="835">
        <f t="shared" si="108"/>
        <v>0</v>
      </c>
      <c r="CY49" s="835">
        <f t="shared" si="108"/>
        <v>-13.5</v>
      </c>
      <c r="CZ49" s="842"/>
      <c r="DA49" s="835">
        <f>'1.BS (VND)'!CV23/'1.BC_Ra Soat (ty) '!$C$6</f>
        <v>0</v>
      </c>
      <c r="DB49" s="835">
        <f>'1.BS (VND)'!CW23/'1.BC_Ra Soat (ty) '!$C$6</f>
        <v>0</v>
      </c>
      <c r="DC49" s="835">
        <f>'1.BS (VND)'!CX23/'1.BC_Ra Soat (ty) '!$C$6</f>
        <v>0</v>
      </c>
      <c r="DD49" s="835">
        <f>'1.BS (VND)'!CY23/'1.BC_Ra Soat (ty) '!$C$6</f>
        <v>0</v>
      </c>
      <c r="DE49" s="842"/>
      <c r="DF49" s="835">
        <f t="shared" si="110"/>
        <v>0</v>
      </c>
      <c r="DG49" s="835">
        <f t="shared" si="109"/>
        <v>0</v>
      </c>
      <c r="DH49" s="835">
        <f t="shared" si="109"/>
        <v>0</v>
      </c>
      <c r="DI49" s="835">
        <f t="shared" si="109"/>
        <v>-13.5</v>
      </c>
    </row>
    <row r="50" spans="1:114" s="441" customFormat="1" ht="15.75" hidden="1" x14ac:dyDescent="0.25">
      <c r="A50" s="447" t="str">
        <f t="shared" si="111"/>
        <v>hide</v>
      </c>
      <c r="C50" s="452" t="s">
        <v>323</v>
      </c>
      <c r="D50" s="453" t="s">
        <v>324</v>
      </c>
      <c r="E50" s="835">
        <f>'1.BS (VND)'!E24/$C$6</f>
        <v>0</v>
      </c>
      <c r="F50" s="835">
        <f>'1.BS (VND)'!F24/$C$6</f>
        <v>0</v>
      </c>
      <c r="G50" s="835">
        <f>'1.BS (VND)'!G24/$C$6</f>
        <v>0</v>
      </c>
      <c r="H50" s="835">
        <f>'1.BS (VND)'!H24/$C$6</f>
        <v>0</v>
      </c>
      <c r="I50" s="840"/>
      <c r="J50" s="835">
        <f>'1.BS (VND)'!J24/$C$6</f>
        <v>0</v>
      </c>
      <c r="K50" s="835">
        <f>'1.BS (VND)'!K24/$C$6</f>
        <v>0</v>
      </c>
      <c r="L50" s="835">
        <f>'1.BS (VND)'!L24/$C$6</f>
        <v>0</v>
      </c>
      <c r="M50" s="835">
        <f>'1.BS (VND)'!M24/$C$6</f>
        <v>0</v>
      </c>
      <c r="N50" s="840"/>
      <c r="O50" s="835">
        <f>'1.BS (VND)'!O24/$C$6</f>
        <v>0</v>
      </c>
      <c r="P50" s="835">
        <f>'1.BS (VND)'!P24/$C$6</f>
        <v>0</v>
      </c>
      <c r="Q50" s="835">
        <f>'1.BS (VND)'!Q24/$C$6</f>
        <v>0</v>
      </c>
      <c r="R50" s="835">
        <f>'1.BS (VND)'!R24/$C$6</f>
        <v>0</v>
      </c>
      <c r="S50" s="840"/>
      <c r="T50" s="835">
        <f>'1.BS (VND)'!T24/$C$6</f>
        <v>0</v>
      </c>
      <c r="U50" s="835">
        <f>'1.BS (VND)'!U24/$C$6</f>
        <v>0</v>
      </c>
      <c r="V50" s="835">
        <f>'1.BS (VND)'!V24/$C$6</f>
        <v>0</v>
      </c>
      <c r="W50" s="835">
        <f>'1.BS (VND)'!W24/$C$6</f>
        <v>0</v>
      </c>
      <c r="X50" s="840"/>
      <c r="Y50" s="835">
        <f>'1.BS (VND)'!Y24/$C$6</f>
        <v>0</v>
      </c>
      <c r="Z50" s="835">
        <f>'1.BS (VND)'!Z24/$C$6</f>
        <v>0</v>
      </c>
      <c r="AA50" s="835">
        <f>'1.BS (VND)'!AA24/$C$6</f>
        <v>0</v>
      </c>
      <c r="AB50" s="835">
        <f>'1.BS (VND)'!AB24/$C$6</f>
        <v>0</v>
      </c>
      <c r="AC50" s="840"/>
      <c r="AD50" s="835">
        <f>'1.BS (VND)'!AD24/$C$6</f>
        <v>0</v>
      </c>
      <c r="AE50" s="835">
        <f>'1.BS (VND)'!AE24/$C$6</f>
        <v>0</v>
      </c>
      <c r="AF50" s="835">
        <f>'1.BS (VND)'!AF24/$C$6</f>
        <v>0</v>
      </c>
      <c r="AG50" s="835">
        <f>'1.BS (VND)'!AG24/$C$6</f>
        <v>0</v>
      </c>
      <c r="AH50" s="841"/>
      <c r="AI50" s="835">
        <f t="shared" ref="AI50:AK113" si="112">SUMIF($E$5:$AG$5,AI$5,$E50:$AG50)</f>
        <v>0</v>
      </c>
      <c r="AJ50" s="835">
        <f t="shared" si="112"/>
        <v>0</v>
      </c>
      <c r="AK50" s="835">
        <f t="shared" si="112"/>
        <v>0</v>
      </c>
      <c r="AL50" s="835">
        <f t="shared" si="83"/>
        <v>0</v>
      </c>
      <c r="AM50" s="842"/>
      <c r="AN50" s="835">
        <f>'1.BS (VND)'!AI24/$C$6</f>
        <v>0</v>
      </c>
      <c r="AO50" s="835">
        <f>'1.BS (VND)'!AJ24/$C$6</f>
        <v>0</v>
      </c>
      <c r="AP50" s="835">
        <f>'1.BS (VND)'!AK24/$C$6</f>
        <v>0</v>
      </c>
      <c r="AQ50" s="835">
        <f>'1.BS (VND)'!AL24/$C$6</f>
        <v>0</v>
      </c>
      <c r="AR50" s="840"/>
      <c r="AS50" s="835">
        <f>'1.BS (VND)'!AN24/$C$6</f>
        <v>0</v>
      </c>
      <c r="AT50" s="835">
        <f>'1.BS (VND)'!AO24/$C$6</f>
        <v>0</v>
      </c>
      <c r="AU50" s="835">
        <f>'1.BS (VND)'!AP24/$C$6</f>
        <v>0</v>
      </c>
      <c r="AV50" s="835">
        <f>'1.BS (VND)'!AQ24/$C$6</f>
        <v>0</v>
      </c>
      <c r="AW50" s="840"/>
      <c r="AX50" s="835">
        <f>'1.BS (VND)'!AS24/$C$6</f>
        <v>0</v>
      </c>
      <c r="AY50" s="835">
        <f>'1.BS (VND)'!AT24/$C$6</f>
        <v>0</v>
      </c>
      <c r="AZ50" s="835">
        <f>'1.BS (VND)'!AU24/$C$6</f>
        <v>0</v>
      </c>
      <c r="BA50" s="835">
        <f>'1.BS (VND)'!AV24/$C$6</f>
        <v>0</v>
      </c>
      <c r="BB50" s="840"/>
      <c r="BC50" s="835">
        <f>'1.BS (VND)'!AX24/$C$6</f>
        <v>0</v>
      </c>
      <c r="BD50" s="835">
        <f>'1.BS (VND)'!AY24/$C$6</f>
        <v>0</v>
      </c>
      <c r="BE50" s="835">
        <f>'1.BS (VND)'!AZ24/$C$6</f>
        <v>0</v>
      </c>
      <c r="BF50" s="835">
        <f>'1.BS (VND)'!BA24/$C$6</f>
        <v>0</v>
      </c>
      <c r="BG50" s="840"/>
      <c r="BH50" s="835">
        <f>'1.BS (VND)'!BC24/$C$6</f>
        <v>0</v>
      </c>
      <c r="BI50" s="835">
        <f>'1.BS (VND)'!BD24/$C$6</f>
        <v>0</v>
      </c>
      <c r="BJ50" s="835">
        <f>'1.BS (VND)'!BE24/$C$6</f>
        <v>0</v>
      </c>
      <c r="BK50" s="835">
        <f>'1.BS (VND)'!BF24/$C$6</f>
        <v>0</v>
      </c>
      <c r="BL50" s="840"/>
      <c r="BM50" s="835">
        <f>'1.BS (VND)'!BH24/$C$6</f>
        <v>0</v>
      </c>
      <c r="BN50" s="835">
        <f>'1.BS (VND)'!BI24/$C$6</f>
        <v>0</v>
      </c>
      <c r="BO50" s="835">
        <f>'1.BS (VND)'!BJ24/$C$6</f>
        <v>0</v>
      </c>
      <c r="BP50" s="835">
        <f>'1.BS (VND)'!BK24/$C$6</f>
        <v>0</v>
      </c>
      <c r="BQ50" s="841"/>
      <c r="BR50" s="835">
        <f t="shared" si="84"/>
        <v>0</v>
      </c>
      <c r="BS50" s="835">
        <f t="shared" si="85"/>
        <v>0</v>
      </c>
      <c r="BT50" s="835">
        <f t="shared" si="86"/>
        <v>0</v>
      </c>
      <c r="BU50" s="835">
        <f t="shared" si="87"/>
        <v>0</v>
      </c>
      <c r="BV50" s="840"/>
      <c r="BW50" s="835">
        <f t="shared" si="88"/>
        <v>0</v>
      </c>
      <c r="BX50" s="835">
        <f t="shared" si="89"/>
        <v>0</v>
      </c>
      <c r="BY50" s="835">
        <f t="shared" si="90"/>
        <v>0</v>
      </c>
      <c r="BZ50" s="835">
        <f t="shared" si="91"/>
        <v>0</v>
      </c>
      <c r="CA50" s="840"/>
      <c r="CB50" s="835">
        <f t="shared" si="92"/>
        <v>0</v>
      </c>
      <c r="CC50" s="835">
        <f t="shared" si="93"/>
        <v>0</v>
      </c>
      <c r="CD50" s="835">
        <f t="shared" si="94"/>
        <v>0</v>
      </c>
      <c r="CE50" s="835">
        <f t="shared" si="95"/>
        <v>0</v>
      </c>
      <c r="CF50" s="840"/>
      <c r="CG50" s="835">
        <f t="shared" si="96"/>
        <v>0</v>
      </c>
      <c r="CH50" s="835">
        <f t="shared" si="97"/>
        <v>0</v>
      </c>
      <c r="CI50" s="835">
        <f t="shared" si="98"/>
        <v>0</v>
      </c>
      <c r="CJ50" s="835">
        <f t="shared" si="99"/>
        <v>0</v>
      </c>
      <c r="CK50" s="840"/>
      <c r="CL50" s="835">
        <f t="shared" si="100"/>
        <v>0</v>
      </c>
      <c r="CM50" s="835">
        <f t="shared" si="101"/>
        <v>0</v>
      </c>
      <c r="CN50" s="835">
        <f t="shared" si="102"/>
        <v>0</v>
      </c>
      <c r="CO50" s="835">
        <f t="shared" si="103"/>
        <v>0</v>
      </c>
      <c r="CP50" s="840"/>
      <c r="CQ50" s="835">
        <f t="shared" si="104"/>
        <v>0</v>
      </c>
      <c r="CR50" s="835">
        <f t="shared" si="105"/>
        <v>0</v>
      </c>
      <c r="CS50" s="835">
        <f t="shared" si="106"/>
        <v>0</v>
      </c>
      <c r="CT50" s="835">
        <f t="shared" si="107"/>
        <v>0</v>
      </c>
      <c r="CU50" s="842"/>
      <c r="CV50" s="835">
        <f t="shared" si="108"/>
        <v>0</v>
      </c>
      <c r="CW50" s="835">
        <f t="shared" si="108"/>
        <v>0</v>
      </c>
      <c r="CX50" s="835">
        <f t="shared" si="108"/>
        <v>0</v>
      </c>
      <c r="CY50" s="835">
        <f t="shared" si="108"/>
        <v>0</v>
      </c>
      <c r="CZ50" s="842"/>
      <c r="DA50" s="835">
        <f>'1.BS (VND)'!CV24/'1.BC_Ra Soat (ty) '!$C$6</f>
        <v>0</v>
      </c>
      <c r="DB50" s="835">
        <f>'1.BS (VND)'!CW24/'1.BC_Ra Soat (ty) '!$C$6</f>
        <v>0</v>
      </c>
      <c r="DC50" s="835">
        <f>'1.BS (VND)'!CX24/'1.BC_Ra Soat (ty) '!$C$6</f>
        <v>0</v>
      </c>
      <c r="DD50" s="835">
        <f>'1.BS (VND)'!CY24/'1.BC_Ra Soat (ty) '!$C$6</f>
        <v>0</v>
      </c>
      <c r="DE50" s="842"/>
      <c r="DF50" s="835">
        <f t="shared" si="110"/>
        <v>0</v>
      </c>
      <c r="DG50" s="835">
        <f t="shared" si="109"/>
        <v>0</v>
      </c>
      <c r="DH50" s="835">
        <f t="shared" si="109"/>
        <v>0</v>
      </c>
      <c r="DI50" s="835">
        <f t="shared" si="109"/>
        <v>0</v>
      </c>
    </row>
    <row r="51" spans="1:114" s="447" customFormat="1" ht="15.75" x14ac:dyDescent="0.25">
      <c r="A51" s="447">
        <f t="shared" si="111"/>
        <v>1</v>
      </c>
      <c r="C51" s="450" t="s">
        <v>325</v>
      </c>
      <c r="D51" s="451" t="s">
        <v>326</v>
      </c>
      <c r="E51" s="849">
        <f>'1.BS (VND)'!E25/$C$6</f>
        <v>71.470435597999995</v>
      </c>
      <c r="F51" s="849">
        <f>'1.BS (VND)'!F25/$C$6</f>
        <v>94.021665814000002</v>
      </c>
      <c r="G51" s="849">
        <f>'1.BS (VND)'!G25/$C$6</f>
        <v>87.198075833000004</v>
      </c>
      <c r="H51" s="849">
        <f>'1.BS (VND)'!H25/$C$6</f>
        <v>93.350460760999994</v>
      </c>
      <c r="I51" s="850"/>
      <c r="J51" s="849">
        <f>'1.BS (VND)'!J25/$C$6</f>
        <v>0</v>
      </c>
      <c r="K51" s="849">
        <f>'1.BS (VND)'!K25/$C$6</f>
        <v>2.53623047</v>
      </c>
      <c r="L51" s="849">
        <f>'1.BS (VND)'!L25/$C$6</f>
        <v>7.52476389</v>
      </c>
      <c r="M51" s="849">
        <f>'1.BS (VND)'!M25/$C$6</f>
        <v>20.812400135000001</v>
      </c>
      <c r="N51" s="850"/>
      <c r="O51" s="849">
        <f>'1.BS (VND)'!O25/$C$6</f>
        <v>0.167223177</v>
      </c>
      <c r="P51" s="849">
        <f>'1.BS (VND)'!P25/$C$6</f>
        <v>4.768423243</v>
      </c>
      <c r="Q51" s="849">
        <f>'1.BS (VND)'!Q25/$C$6</f>
        <v>15.355885287</v>
      </c>
      <c r="R51" s="849">
        <f>'1.BS (VND)'!R25/$C$6</f>
        <v>12.734286994</v>
      </c>
      <c r="S51" s="850"/>
      <c r="T51" s="849">
        <f>'1.BS (VND)'!T25/$C$6</f>
        <v>0.62630794199999995</v>
      </c>
      <c r="U51" s="849">
        <f>'1.BS (VND)'!U25/$C$6</f>
        <v>2.3379587509999999</v>
      </c>
      <c r="V51" s="849">
        <f>'1.BS (VND)'!V25/$C$6</f>
        <v>4.6762684139999999</v>
      </c>
      <c r="W51" s="849">
        <f>'1.BS (VND)'!W25/$C$6</f>
        <v>4.7437299829999997</v>
      </c>
      <c r="X51" s="850"/>
      <c r="Y51" s="849">
        <f>'1.BS (VND)'!Y25/$C$6</f>
        <v>0</v>
      </c>
      <c r="Z51" s="849">
        <f>'1.BS (VND)'!Z25/$C$6</f>
        <v>0</v>
      </c>
      <c r="AA51" s="849">
        <f>'1.BS (VND)'!AA25/$C$6</f>
        <v>0</v>
      </c>
      <c r="AB51" s="849">
        <f>'1.BS (VND)'!AB25/$C$6</f>
        <v>0</v>
      </c>
      <c r="AC51" s="850"/>
      <c r="AD51" s="849">
        <f>'1.BS (VND)'!AD25/$C$6</f>
        <v>0</v>
      </c>
      <c r="AE51" s="849">
        <f>'1.BS (VND)'!AE25/$C$6</f>
        <v>0</v>
      </c>
      <c r="AF51" s="849">
        <f>'1.BS (VND)'!AF25/$C$6</f>
        <v>0</v>
      </c>
      <c r="AG51" s="849">
        <f>'1.BS (VND)'!AG25/$C$6</f>
        <v>0</v>
      </c>
      <c r="AH51" s="851"/>
      <c r="AI51" s="849">
        <f t="shared" si="112"/>
        <v>72.263966716999988</v>
      </c>
      <c r="AJ51" s="849">
        <f t="shared" si="112"/>
        <v>103.66427827800001</v>
      </c>
      <c r="AK51" s="849">
        <f t="shared" si="112"/>
        <v>114.75499342400001</v>
      </c>
      <c r="AL51" s="849">
        <f t="shared" si="83"/>
        <v>131.64087787299999</v>
      </c>
      <c r="AM51" s="852"/>
      <c r="AN51" s="849">
        <f>'1.BS (VND)'!AI25/$C$6</f>
        <v>0</v>
      </c>
      <c r="AO51" s="849">
        <f>'1.BS (VND)'!AJ25/$C$6</f>
        <v>0</v>
      </c>
      <c r="AP51" s="849">
        <f>'1.BS (VND)'!AK25/$C$6</f>
        <v>0</v>
      </c>
      <c r="AQ51" s="849">
        <f>'1.BS (VND)'!AL25/$C$6</f>
        <v>0</v>
      </c>
      <c r="AR51" s="850"/>
      <c r="AS51" s="849">
        <f>'1.BS (VND)'!AN25/$C$6</f>
        <v>0</v>
      </c>
      <c r="AT51" s="849">
        <f>'1.BS (VND)'!AO25/$C$6</f>
        <v>0</v>
      </c>
      <c r="AU51" s="849">
        <f>'1.BS (VND)'!AP25/$C$6</f>
        <v>0</v>
      </c>
      <c r="AV51" s="849">
        <f>'1.BS (VND)'!AQ25/$C$6</f>
        <v>0</v>
      </c>
      <c r="AW51" s="850"/>
      <c r="AX51" s="849">
        <f>'1.BS (VND)'!AS25/$C$6</f>
        <v>0</v>
      </c>
      <c r="AY51" s="849">
        <f>'1.BS (VND)'!AT25/$C$6</f>
        <v>0</v>
      </c>
      <c r="AZ51" s="849">
        <f>'1.BS (VND)'!AU25/$C$6</f>
        <v>0</v>
      </c>
      <c r="BA51" s="849">
        <f>'1.BS (VND)'!AV25/$C$6</f>
        <v>0</v>
      </c>
      <c r="BB51" s="850"/>
      <c r="BC51" s="849">
        <f>'1.BS (VND)'!AX25/$C$6</f>
        <v>0</v>
      </c>
      <c r="BD51" s="849">
        <f>'1.BS (VND)'!AY25/$C$6</f>
        <v>0</v>
      </c>
      <c r="BE51" s="849">
        <f>'1.BS (VND)'!AZ25/$C$6</f>
        <v>0</v>
      </c>
      <c r="BF51" s="849">
        <f>'1.BS (VND)'!BA25/$C$6</f>
        <v>0</v>
      </c>
      <c r="BG51" s="850"/>
      <c r="BH51" s="849">
        <f>'1.BS (VND)'!BC25/$C$6</f>
        <v>0</v>
      </c>
      <c r="BI51" s="849">
        <f>'1.BS (VND)'!BD25/$C$6</f>
        <v>0</v>
      </c>
      <c r="BJ51" s="849">
        <f>'1.BS (VND)'!BE25/$C$6</f>
        <v>0</v>
      </c>
      <c r="BK51" s="849">
        <f>'1.BS (VND)'!BF25/$C$6</f>
        <v>0</v>
      </c>
      <c r="BL51" s="850"/>
      <c r="BM51" s="849">
        <f>'1.BS (VND)'!BH25/$C$6</f>
        <v>0</v>
      </c>
      <c r="BN51" s="849">
        <f>'1.BS (VND)'!BI25/$C$6</f>
        <v>0</v>
      </c>
      <c r="BO51" s="849">
        <f>'1.BS (VND)'!BJ25/$C$6</f>
        <v>0</v>
      </c>
      <c r="BP51" s="849">
        <f>'1.BS (VND)'!BK25/$C$6</f>
        <v>0</v>
      </c>
      <c r="BQ51" s="851"/>
      <c r="BR51" s="849">
        <f t="shared" si="84"/>
        <v>71.470435597999995</v>
      </c>
      <c r="BS51" s="849">
        <f t="shared" si="85"/>
        <v>94.021665814000002</v>
      </c>
      <c r="BT51" s="849">
        <f t="shared" si="86"/>
        <v>87.198075833000004</v>
      </c>
      <c r="BU51" s="849">
        <f t="shared" si="87"/>
        <v>93.350460760999994</v>
      </c>
      <c r="BV51" s="850"/>
      <c r="BW51" s="849">
        <f t="shared" si="88"/>
        <v>0</v>
      </c>
      <c r="BX51" s="849">
        <f t="shared" si="89"/>
        <v>2.53623047</v>
      </c>
      <c r="BY51" s="849">
        <f t="shared" si="90"/>
        <v>7.52476389</v>
      </c>
      <c r="BZ51" s="849">
        <f t="shared" si="91"/>
        <v>20.812400135000001</v>
      </c>
      <c r="CA51" s="850"/>
      <c r="CB51" s="849">
        <f t="shared" si="92"/>
        <v>0.167223177</v>
      </c>
      <c r="CC51" s="849">
        <f t="shared" si="93"/>
        <v>4.768423243</v>
      </c>
      <c r="CD51" s="849">
        <f t="shared" si="94"/>
        <v>15.355885287</v>
      </c>
      <c r="CE51" s="849">
        <f t="shared" si="95"/>
        <v>12.734286994</v>
      </c>
      <c r="CF51" s="850"/>
      <c r="CG51" s="849">
        <f t="shared" si="96"/>
        <v>0.62630794199999995</v>
      </c>
      <c r="CH51" s="849">
        <f t="shared" si="97"/>
        <v>2.3379587509999999</v>
      </c>
      <c r="CI51" s="849">
        <f t="shared" si="98"/>
        <v>4.6762684139999999</v>
      </c>
      <c r="CJ51" s="849">
        <f t="shared" si="99"/>
        <v>4.7437299829999997</v>
      </c>
      <c r="CK51" s="850"/>
      <c r="CL51" s="849">
        <f t="shared" si="100"/>
        <v>0</v>
      </c>
      <c r="CM51" s="849">
        <f t="shared" si="101"/>
        <v>0</v>
      </c>
      <c r="CN51" s="849">
        <f t="shared" si="102"/>
        <v>0</v>
      </c>
      <c r="CO51" s="849">
        <f t="shared" si="103"/>
        <v>0</v>
      </c>
      <c r="CP51" s="850"/>
      <c r="CQ51" s="849">
        <f t="shared" si="104"/>
        <v>0</v>
      </c>
      <c r="CR51" s="849">
        <f t="shared" si="105"/>
        <v>0</v>
      </c>
      <c r="CS51" s="849">
        <f t="shared" si="106"/>
        <v>0</v>
      </c>
      <c r="CT51" s="849">
        <f t="shared" si="107"/>
        <v>0</v>
      </c>
      <c r="CU51" s="852"/>
      <c r="CV51" s="849">
        <f t="shared" si="108"/>
        <v>72.263966716999988</v>
      </c>
      <c r="CW51" s="849">
        <f t="shared" si="108"/>
        <v>103.66427827800001</v>
      </c>
      <c r="CX51" s="849">
        <f t="shared" si="108"/>
        <v>114.75499342400001</v>
      </c>
      <c r="CY51" s="849">
        <f t="shared" si="108"/>
        <v>131.64087787299999</v>
      </c>
      <c r="CZ51" s="852"/>
      <c r="DA51" s="849">
        <f>'1.BS (VND)'!CV25/'1.BC_Ra Soat (ty) '!$C$6</f>
        <v>0</v>
      </c>
      <c r="DB51" s="849">
        <f>'1.BS (VND)'!CW25/'1.BC_Ra Soat (ty) '!$C$6</f>
        <v>0</v>
      </c>
      <c r="DC51" s="849">
        <f>'1.BS (VND)'!CX25/'1.BC_Ra Soat (ty) '!$C$6</f>
        <v>0</v>
      </c>
      <c r="DD51" s="849">
        <f>'1.BS (VND)'!CY25/'1.BC_Ra Soat (ty) '!$C$6</f>
        <v>0</v>
      </c>
      <c r="DE51" s="852"/>
      <c r="DF51" s="849">
        <f t="shared" si="110"/>
        <v>72.263966716999988</v>
      </c>
      <c r="DG51" s="849">
        <f t="shared" si="109"/>
        <v>103.66427827800001</v>
      </c>
      <c r="DH51" s="849">
        <f t="shared" si="109"/>
        <v>114.75499342400001</v>
      </c>
      <c r="DI51" s="849">
        <f t="shared" si="109"/>
        <v>131.64087787299999</v>
      </c>
      <c r="DJ51" s="444"/>
    </row>
    <row r="52" spans="1:114" s="441" customFormat="1" ht="15.75" x14ac:dyDescent="0.25">
      <c r="A52" s="447">
        <f t="shared" si="111"/>
        <v>1</v>
      </c>
      <c r="C52" s="452" t="s">
        <v>327</v>
      </c>
      <c r="D52" s="453" t="s">
        <v>328</v>
      </c>
      <c r="E52" s="835">
        <f>'1.BS (VND)'!E26/$C$6</f>
        <v>71.470435597999995</v>
      </c>
      <c r="F52" s="835">
        <f>'1.BS (VND)'!F26/$C$6</f>
        <v>94.021665814000002</v>
      </c>
      <c r="G52" s="835">
        <f>'1.BS (VND)'!G26/$C$6</f>
        <v>87.198075833000004</v>
      </c>
      <c r="H52" s="835">
        <f>'1.BS (VND)'!H26/$C$6</f>
        <v>93.350460760999994</v>
      </c>
      <c r="I52" s="840"/>
      <c r="J52" s="835">
        <f>'1.BS (VND)'!J26/$C$6</f>
        <v>0</v>
      </c>
      <c r="K52" s="835">
        <f>'1.BS (VND)'!K26/$C$6</f>
        <v>2.53623047</v>
      </c>
      <c r="L52" s="835">
        <f>'1.BS (VND)'!L26/$C$6</f>
        <v>7.52476389</v>
      </c>
      <c r="M52" s="835">
        <f>'1.BS (VND)'!M26/$C$6</f>
        <v>20.812400135000001</v>
      </c>
      <c r="N52" s="840"/>
      <c r="O52" s="835">
        <f>'1.BS (VND)'!O26/$C$6</f>
        <v>0.167223177</v>
      </c>
      <c r="P52" s="835">
        <f>'1.BS (VND)'!P26/$C$6</f>
        <v>4.768423243</v>
      </c>
      <c r="Q52" s="835">
        <f>'1.BS (VND)'!Q26/$C$6</f>
        <v>15.355885287</v>
      </c>
      <c r="R52" s="835">
        <f>'1.BS (VND)'!R26/$C$6</f>
        <v>12.734286994</v>
      </c>
      <c r="S52" s="840"/>
      <c r="T52" s="835">
        <f>'1.BS (VND)'!T26/$C$6</f>
        <v>0.62630794199999995</v>
      </c>
      <c r="U52" s="835">
        <f>'1.BS (VND)'!U26/$C$6</f>
        <v>2.3379587509999999</v>
      </c>
      <c r="V52" s="835">
        <f>'1.BS (VND)'!V26/$C$6</f>
        <v>4.6762684139999999</v>
      </c>
      <c r="W52" s="835">
        <f>'1.BS (VND)'!W26/$C$6</f>
        <v>4.7437299829999997</v>
      </c>
      <c r="X52" s="840"/>
      <c r="Y52" s="835">
        <f>'1.BS (VND)'!Y26/$C$6</f>
        <v>0</v>
      </c>
      <c r="Z52" s="835">
        <f>'1.BS (VND)'!Z26/$C$6</f>
        <v>0</v>
      </c>
      <c r="AA52" s="835">
        <f>'1.BS (VND)'!AA26/$C$6</f>
        <v>0</v>
      </c>
      <c r="AB52" s="835">
        <f>'1.BS (VND)'!AB26/$C$6</f>
        <v>0</v>
      </c>
      <c r="AC52" s="840"/>
      <c r="AD52" s="835">
        <f>'1.BS (VND)'!AD26/$C$6</f>
        <v>0</v>
      </c>
      <c r="AE52" s="835">
        <f>'1.BS (VND)'!AE26/$C$6</f>
        <v>0</v>
      </c>
      <c r="AF52" s="835">
        <f>'1.BS (VND)'!AF26/$C$6</f>
        <v>0</v>
      </c>
      <c r="AG52" s="835">
        <f>'1.BS (VND)'!AG26/$C$6</f>
        <v>0</v>
      </c>
      <c r="AH52" s="841"/>
      <c r="AI52" s="835">
        <f t="shared" si="112"/>
        <v>72.263966716999988</v>
      </c>
      <c r="AJ52" s="835">
        <f t="shared" si="112"/>
        <v>103.66427827800001</v>
      </c>
      <c r="AK52" s="835">
        <f t="shared" si="112"/>
        <v>114.75499342400001</v>
      </c>
      <c r="AL52" s="835">
        <f t="shared" si="83"/>
        <v>131.64087787299999</v>
      </c>
      <c r="AM52" s="852"/>
      <c r="AN52" s="835">
        <f>'1.BS (VND)'!AI26/$C$6</f>
        <v>0</v>
      </c>
      <c r="AO52" s="835">
        <f>'1.BS (VND)'!AJ26/$C$6</f>
        <v>0</v>
      </c>
      <c r="AP52" s="835">
        <f>'1.BS (VND)'!AK26/$C$6</f>
        <v>0</v>
      </c>
      <c r="AQ52" s="835">
        <f>'1.BS (VND)'!AL26/$C$6</f>
        <v>0</v>
      </c>
      <c r="AR52" s="840"/>
      <c r="AS52" s="835">
        <f>'1.BS (VND)'!AN26/$C$6</f>
        <v>0</v>
      </c>
      <c r="AT52" s="835">
        <f>'1.BS (VND)'!AO26/$C$6</f>
        <v>0</v>
      </c>
      <c r="AU52" s="835">
        <f>'1.BS (VND)'!AP26/$C$6</f>
        <v>0</v>
      </c>
      <c r="AV52" s="835">
        <f>'1.BS (VND)'!AQ26/$C$6</f>
        <v>0</v>
      </c>
      <c r="AW52" s="840"/>
      <c r="AX52" s="835">
        <f>'1.BS (VND)'!AS26/$C$6</f>
        <v>0</v>
      </c>
      <c r="AY52" s="835">
        <f>'1.BS (VND)'!AT26/$C$6</f>
        <v>0</v>
      </c>
      <c r="AZ52" s="835">
        <f>'1.BS (VND)'!AU26/$C$6</f>
        <v>0</v>
      </c>
      <c r="BA52" s="835">
        <f>'1.BS (VND)'!AV26/$C$6</f>
        <v>0</v>
      </c>
      <c r="BB52" s="840"/>
      <c r="BC52" s="835">
        <f>'1.BS (VND)'!AX26/$C$6</f>
        <v>0</v>
      </c>
      <c r="BD52" s="835">
        <f>'1.BS (VND)'!AY26/$C$6</f>
        <v>0</v>
      </c>
      <c r="BE52" s="835">
        <f>'1.BS (VND)'!AZ26/$C$6</f>
        <v>0</v>
      </c>
      <c r="BF52" s="835">
        <f>'1.BS (VND)'!BA26/$C$6</f>
        <v>0</v>
      </c>
      <c r="BG52" s="840"/>
      <c r="BH52" s="835">
        <f>'1.BS (VND)'!BC26/$C$6</f>
        <v>0</v>
      </c>
      <c r="BI52" s="835">
        <f>'1.BS (VND)'!BD26/$C$6</f>
        <v>0</v>
      </c>
      <c r="BJ52" s="835">
        <f>'1.BS (VND)'!BE26/$C$6</f>
        <v>0</v>
      </c>
      <c r="BK52" s="835">
        <f>'1.BS (VND)'!BF26/$C$6</f>
        <v>0</v>
      </c>
      <c r="BL52" s="840"/>
      <c r="BM52" s="835">
        <f>'1.BS (VND)'!BH26/$C$6</f>
        <v>0</v>
      </c>
      <c r="BN52" s="835">
        <f>'1.BS (VND)'!BI26/$C$6</f>
        <v>0</v>
      </c>
      <c r="BO52" s="835">
        <f>'1.BS (VND)'!BJ26/$C$6</f>
        <v>0</v>
      </c>
      <c r="BP52" s="835">
        <f>'1.BS (VND)'!BK26/$C$6</f>
        <v>0</v>
      </c>
      <c r="BQ52" s="841"/>
      <c r="BR52" s="835">
        <f t="shared" si="84"/>
        <v>71.470435597999995</v>
      </c>
      <c r="BS52" s="835">
        <f t="shared" si="85"/>
        <v>94.021665814000002</v>
      </c>
      <c r="BT52" s="835">
        <f t="shared" si="86"/>
        <v>87.198075833000004</v>
      </c>
      <c r="BU52" s="835">
        <f t="shared" si="87"/>
        <v>93.350460760999994</v>
      </c>
      <c r="BV52" s="840"/>
      <c r="BW52" s="835">
        <f t="shared" si="88"/>
        <v>0</v>
      </c>
      <c r="BX52" s="835">
        <f t="shared" si="89"/>
        <v>2.53623047</v>
      </c>
      <c r="BY52" s="835">
        <f t="shared" si="90"/>
        <v>7.52476389</v>
      </c>
      <c r="BZ52" s="835">
        <f t="shared" si="91"/>
        <v>20.812400135000001</v>
      </c>
      <c r="CA52" s="840"/>
      <c r="CB52" s="835">
        <f t="shared" si="92"/>
        <v>0.167223177</v>
      </c>
      <c r="CC52" s="835">
        <f t="shared" si="93"/>
        <v>4.768423243</v>
      </c>
      <c r="CD52" s="835">
        <f t="shared" si="94"/>
        <v>15.355885287</v>
      </c>
      <c r="CE52" s="835">
        <f t="shared" si="95"/>
        <v>12.734286994</v>
      </c>
      <c r="CF52" s="840"/>
      <c r="CG52" s="835">
        <f t="shared" si="96"/>
        <v>0.62630794199999995</v>
      </c>
      <c r="CH52" s="835">
        <f t="shared" si="97"/>
        <v>2.3379587509999999</v>
      </c>
      <c r="CI52" s="835">
        <f t="shared" si="98"/>
        <v>4.6762684139999999</v>
      </c>
      <c r="CJ52" s="835">
        <f t="shared" si="99"/>
        <v>4.7437299829999997</v>
      </c>
      <c r="CK52" s="840"/>
      <c r="CL52" s="835">
        <f t="shared" si="100"/>
        <v>0</v>
      </c>
      <c r="CM52" s="835">
        <f t="shared" si="101"/>
        <v>0</v>
      </c>
      <c r="CN52" s="835">
        <f t="shared" si="102"/>
        <v>0</v>
      </c>
      <c r="CO52" s="835">
        <f t="shared" si="103"/>
        <v>0</v>
      </c>
      <c r="CP52" s="840"/>
      <c r="CQ52" s="835">
        <f t="shared" si="104"/>
        <v>0</v>
      </c>
      <c r="CR52" s="835">
        <f t="shared" si="105"/>
        <v>0</v>
      </c>
      <c r="CS52" s="835">
        <f t="shared" si="106"/>
        <v>0</v>
      </c>
      <c r="CT52" s="835">
        <f t="shared" si="107"/>
        <v>0</v>
      </c>
      <c r="CU52" s="842"/>
      <c r="CV52" s="835">
        <f t="shared" si="108"/>
        <v>72.263966716999988</v>
      </c>
      <c r="CW52" s="835">
        <f t="shared" si="108"/>
        <v>103.66427827800001</v>
      </c>
      <c r="CX52" s="835">
        <f t="shared" si="108"/>
        <v>114.75499342400001</v>
      </c>
      <c r="CY52" s="835">
        <f t="shared" si="108"/>
        <v>131.64087787299999</v>
      </c>
      <c r="CZ52" s="842"/>
      <c r="DA52" s="835">
        <f>'1.BS (VND)'!CV26/'1.BC_Ra Soat (ty) '!$C$6</f>
        <v>0</v>
      </c>
      <c r="DB52" s="835">
        <f>'1.BS (VND)'!CW26/'1.BC_Ra Soat (ty) '!$C$6</f>
        <v>0</v>
      </c>
      <c r="DC52" s="835">
        <f>'1.BS (VND)'!CX26/'1.BC_Ra Soat (ty) '!$C$6</f>
        <v>0</v>
      </c>
      <c r="DD52" s="835">
        <f>'1.BS (VND)'!CY26/'1.BC_Ra Soat (ty) '!$C$6</f>
        <v>0</v>
      </c>
      <c r="DE52" s="842"/>
      <c r="DF52" s="835">
        <f t="shared" si="110"/>
        <v>72.263966716999988</v>
      </c>
      <c r="DG52" s="835">
        <f t="shared" si="109"/>
        <v>103.66427827800001</v>
      </c>
      <c r="DH52" s="835">
        <f t="shared" si="109"/>
        <v>114.75499342400001</v>
      </c>
      <c r="DI52" s="835">
        <f t="shared" si="109"/>
        <v>131.64087787299999</v>
      </c>
      <c r="DJ52" s="444"/>
    </row>
    <row r="53" spans="1:114" s="441" customFormat="1" ht="15.75" hidden="1" x14ac:dyDescent="0.25">
      <c r="A53" s="447" t="str">
        <f t="shared" si="111"/>
        <v>hide</v>
      </c>
      <c r="C53" s="452" t="s">
        <v>329</v>
      </c>
      <c r="D53" s="453" t="s">
        <v>330</v>
      </c>
      <c r="E53" s="835">
        <f>'1.BS (VND)'!E27/$C$6</f>
        <v>0</v>
      </c>
      <c r="F53" s="835">
        <f>'1.BS (VND)'!F27/$C$6</f>
        <v>0</v>
      </c>
      <c r="G53" s="835">
        <f>'1.BS (VND)'!G27/$C$6</f>
        <v>0</v>
      </c>
      <c r="H53" s="835">
        <f>'1.BS (VND)'!H27/$C$6</f>
        <v>0</v>
      </c>
      <c r="I53" s="840"/>
      <c r="J53" s="835">
        <f>'1.BS (VND)'!J27/$C$6</f>
        <v>0</v>
      </c>
      <c r="K53" s="835">
        <f>'1.BS (VND)'!K27/$C$6</f>
        <v>0</v>
      </c>
      <c r="L53" s="835">
        <f>'1.BS (VND)'!L27/$C$6</f>
        <v>0</v>
      </c>
      <c r="M53" s="835">
        <f>'1.BS (VND)'!M27/$C$6</f>
        <v>0</v>
      </c>
      <c r="N53" s="840"/>
      <c r="O53" s="835">
        <f>'1.BS (VND)'!O27/$C$6</f>
        <v>0</v>
      </c>
      <c r="P53" s="835">
        <f>'1.BS (VND)'!P27/$C$6</f>
        <v>0</v>
      </c>
      <c r="Q53" s="835">
        <f>'1.BS (VND)'!Q27/$C$6</f>
        <v>0</v>
      </c>
      <c r="R53" s="835">
        <f>'1.BS (VND)'!R27/$C$6</f>
        <v>0</v>
      </c>
      <c r="S53" s="840"/>
      <c r="T53" s="835">
        <f>'1.BS (VND)'!T27/$C$6</f>
        <v>0</v>
      </c>
      <c r="U53" s="835">
        <f>'1.BS (VND)'!U27/$C$6</f>
        <v>0</v>
      </c>
      <c r="V53" s="835">
        <f>'1.BS (VND)'!V27/$C$6</f>
        <v>0</v>
      </c>
      <c r="W53" s="835">
        <f>'1.BS (VND)'!W27/$C$6</f>
        <v>0</v>
      </c>
      <c r="X53" s="840"/>
      <c r="Y53" s="835">
        <f>'1.BS (VND)'!Y27/$C$6</f>
        <v>0</v>
      </c>
      <c r="Z53" s="835">
        <f>'1.BS (VND)'!Z27/$C$6</f>
        <v>0</v>
      </c>
      <c r="AA53" s="835">
        <f>'1.BS (VND)'!AA27/$C$6</f>
        <v>0</v>
      </c>
      <c r="AB53" s="835">
        <f>'1.BS (VND)'!AB27/$C$6</f>
        <v>0</v>
      </c>
      <c r="AC53" s="840"/>
      <c r="AD53" s="835">
        <f>'1.BS (VND)'!AD27/$C$6</f>
        <v>0</v>
      </c>
      <c r="AE53" s="835">
        <f>'1.BS (VND)'!AE27/$C$6</f>
        <v>0</v>
      </c>
      <c r="AF53" s="835">
        <f>'1.BS (VND)'!AF27/$C$6</f>
        <v>0</v>
      </c>
      <c r="AG53" s="835">
        <f>'1.BS (VND)'!AG27/$C$6</f>
        <v>0</v>
      </c>
      <c r="AH53" s="841"/>
      <c r="AI53" s="835">
        <f t="shared" si="112"/>
        <v>0</v>
      </c>
      <c r="AJ53" s="835">
        <f t="shared" si="112"/>
        <v>0</v>
      </c>
      <c r="AK53" s="835">
        <f t="shared" si="112"/>
        <v>0</v>
      </c>
      <c r="AL53" s="835">
        <f t="shared" si="83"/>
        <v>0</v>
      </c>
      <c r="AM53" s="852"/>
      <c r="AN53" s="835">
        <f>'1.BS (VND)'!AI27/$C$6</f>
        <v>0</v>
      </c>
      <c r="AO53" s="835">
        <f>'1.BS (VND)'!AJ27/$C$6</f>
        <v>0</v>
      </c>
      <c r="AP53" s="835">
        <f>'1.BS (VND)'!AK27/$C$6</f>
        <v>0</v>
      </c>
      <c r="AQ53" s="835">
        <f>'1.BS (VND)'!AL27/$C$6</f>
        <v>0</v>
      </c>
      <c r="AR53" s="840"/>
      <c r="AS53" s="835">
        <f>'1.BS (VND)'!AN27/$C$6</f>
        <v>0</v>
      </c>
      <c r="AT53" s="835">
        <f>'1.BS (VND)'!AO27/$C$6</f>
        <v>0</v>
      </c>
      <c r="AU53" s="835">
        <f>'1.BS (VND)'!AP27/$C$6</f>
        <v>0</v>
      </c>
      <c r="AV53" s="835">
        <f>'1.BS (VND)'!AQ27/$C$6</f>
        <v>0</v>
      </c>
      <c r="AW53" s="840"/>
      <c r="AX53" s="835">
        <f>'1.BS (VND)'!AS27/$C$6</f>
        <v>0</v>
      </c>
      <c r="AY53" s="835">
        <f>'1.BS (VND)'!AT27/$C$6</f>
        <v>0</v>
      </c>
      <c r="AZ53" s="835">
        <f>'1.BS (VND)'!AU27/$C$6</f>
        <v>0</v>
      </c>
      <c r="BA53" s="835">
        <f>'1.BS (VND)'!AV27/$C$6</f>
        <v>0</v>
      </c>
      <c r="BB53" s="840"/>
      <c r="BC53" s="835">
        <f>'1.BS (VND)'!AX27/$C$6</f>
        <v>0</v>
      </c>
      <c r="BD53" s="835">
        <f>'1.BS (VND)'!AY27/$C$6</f>
        <v>0</v>
      </c>
      <c r="BE53" s="835">
        <f>'1.BS (VND)'!AZ27/$C$6</f>
        <v>0</v>
      </c>
      <c r="BF53" s="835">
        <f>'1.BS (VND)'!BA27/$C$6</f>
        <v>0</v>
      </c>
      <c r="BG53" s="840"/>
      <c r="BH53" s="835">
        <f>'1.BS (VND)'!BC27/$C$6</f>
        <v>0</v>
      </c>
      <c r="BI53" s="835">
        <f>'1.BS (VND)'!BD27/$C$6</f>
        <v>0</v>
      </c>
      <c r="BJ53" s="835">
        <f>'1.BS (VND)'!BE27/$C$6</f>
        <v>0</v>
      </c>
      <c r="BK53" s="835">
        <f>'1.BS (VND)'!BF27/$C$6</f>
        <v>0</v>
      </c>
      <c r="BL53" s="840"/>
      <c r="BM53" s="835">
        <f>'1.BS (VND)'!BH27/$C$6</f>
        <v>0</v>
      </c>
      <c r="BN53" s="835">
        <f>'1.BS (VND)'!BI27/$C$6</f>
        <v>0</v>
      </c>
      <c r="BO53" s="835">
        <f>'1.BS (VND)'!BJ27/$C$6</f>
        <v>0</v>
      </c>
      <c r="BP53" s="835">
        <f>'1.BS (VND)'!BK27/$C$6</f>
        <v>0</v>
      </c>
      <c r="BQ53" s="841"/>
      <c r="BR53" s="835">
        <f t="shared" si="84"/>
        <v>0</v>
      </c>
      <c r="BS53" s="835">
        <f t="shared" si="85"/>
        <v>0</v>
      </c>
      <c r="BT53" s="835">
        <f t="shared" si="86"/>
        <v>0</v>
      </c>
      <c r="BU53" s="835">
        <f t="shared" si="87"/>
        <v>0</v>
      </c>
      <c r="BV53" s="840"/>
      <c r="BW53" s="835">
        <f t="shared" si="88"/>
        <v>0</v>
      </c>
      <c r="BX53" s="835">
        <f t="shared" si="89"/>
        <v>0</v>
      </c>
      <c r="BY53" s="835">
        <f t="shared" si="90"/>
        <v>0</v>
      </c>
      <c r="BZ53" s="835">
        <f t="shared" si="91"/>
        <v>0</v>
      </c>
      <c r="CA53" s="840"/>
      <c r="CB53" s="835">
        <f t="shared" si="92"/>
        <v>0</v>
      </c>
      <c r="CC53" s="835">
        <f t="shared" si="93"/>
        <v>0</v>
      </c>
      <c r="CD53" s="835">
        <f t="shared" si="94"/>
        <v>0</v>
      </c>
      <c r="CE53" s="835">
        <f t="shared" si="95"/>
        <v>0</v>
      </c>
      <c r="CF53" s="840"/>
      <c r="CG53" s="835">
        <f t="shared" si="96"/>
        <v>0</v>
      </c>
      <c r="CH53" s="835">
        <f t="shared" si="97"/>
        <v>0</v>
      </c>
      <c r="CI53" s="835">
        <f t="shared" si="98"/>
        <v>0</v>
      </c>
      <c r="CJ53" s="835">
        <f t="shared" si="99"/>
        <v>0</v>
      </c>
      <c r="CK53" s="840"/>
      <c r="CL53" s="835">
        <f t="shared" si="100"/>
        <v>0</v>
      </c>
      <c r="CM53" s="835">
        <f t="shared" si="101"/>
        <v>0</v>
      </c>
      <c r="CN53" s="835">
        <f t="shared" si="102"/>
        <v>0</v>
      </c>
      <c r="CO53" s="835">
        <f t="shared" si="103"/>
        <v>0</v>
      </c>
      <c r="CP53" s="840"/>
      <c r="CQ53" s="835">
        <f t="shared" si="104"/>
        <v>0</v>
      </c>
      <c r="CR53" s="835">
        <f t="shared" si="105"/>
        <v>0</v>
      </c>
      <c r="CS53" s="835">
        <f t="shared" si="106"/>
        <v>0</v>
      </c>
      <c r="CT53" s="835">
        <f t="shared" si="107"/>
        <v>0</v>
      </c>
      <c r="CU53" s="842"/>
      <c r="CV53" s="835">
        <f t="shared" si="108"/>
        <v>0</v>
      </c>
      <c r="CW53" s="835">
        <f t="shared" si="108"/>
        <v>0</v>
      </c>
      <c r="CX53" s="835">
        <f t="shared" si="108"/>
        <v>0</v>
      </c>
      <c r="CY53" s="835">
        <f t="shared" si="108"/>
        <v>0</v>
      </c>
      <c r="CZ53" s="842"/>
      <c r="DA53" s="835">
        <f>'1.BS (VND)'!CV27/'1.BC_Ra Soat (ty) '!$C$6</f>
        <v>0</v>
      </c>
      <c r="DB53" s="835">
        <f>'1.BS (VND)'!CW27/'1.BC_Ra Soat (ty) '!$C$6</f>
        <v>0</v>
      </c>
      <c r="DC53" s="835">
        <f>'1.BS (VND)'!CX27/'1.BC_Ra Soat (ty) '!$C$6</f>
        <v>0</v>
      </c>
      <c r="DD53" s="835">
        <f>'1.BS (VND)'!CY27/'1.BC_Ra Soat (ty) '!$C$6</f>
        <v>0</v>
      </c>
      <c r="DE53" s="842"/>
      <c r="DF53" s="835">
        <f t="shared" si="110"/>
        <v>0</v>
      </c>
      <c r="DG53" s="835">
        <f t="shared" si="109"/>
        <v>0</v>
      </c>
      <c r="DH53" s="835">
        <f t="shared" si="109"/>
        <v>0</v>
      </c>
      <c r="DI53" s="835">
        <f t="shared" si="109"/>
        <v>0</v>
      </c>
    </row>
    <row r="54" spans="1:114" s="447" customFormat="1" ht="15.75" x14ac:dyDescent="0.25">
      <c r="A54" s="447">
        <f t="shared" si="111"/>
        <v>1</v>
      </c>
      <c r="C54" s="450" t="s">
        <v>331</v>
      </c>
      <c r="D54" s="451" t="s">
        <v>332</v>
      </c>
      <c r="E54" s="849">
        <f>'1.BS (VND)'!E28/$C$6</f>
        <v>4.5124559099999999</v>
      </c>
      <c r="F54" s="849">
        <f>'1.BS (VND)'!F28/$C$6</f>
        <v>6.0571813939999997</v>
      </c>
      <c r="G54" s="849">
        <f>'1.BS (VND)'!G28/$C$6</f>
        <v>7.1223256929999996</v>
      </c>
      <c r="H54" s="849">
        <f>'1.BS (VND)'!H28/$C$6</f>
        <v>6.4429985209999998</v>
      </c>
      <c r="I54" s="850"/>
      <c r="J54" s="849">
        <f>'1.BS (VND)'!J28/$C$6</f>
        <v>2.8E-3</v>
      </c>
      <c r="K54" s="849">
        <f>'1.BS (VND)'!K28/$C$6</f>
        <v>2.3633409159999998</v>
      </c>
      <c r="L54" s="849">
        <f>'1.BS (VND)'!L28/$C$6</f>
        <v>3.6976223090000002</v>
      </c>
      <c r="M54" s="849">
        <f>'1.BS (VND)'!M28/$C$6</f>
        <v>3.053393722</v>
      </c>
      <c r="N54" s="850"/>
      <c r="O54" s="849">
        <f>'1.BS (VND)'!O28/$C$6</f>
        <v>0.55648747600000004</v>
      </c>
      <c r="P54" s="849">
        <f>'1.BS (VND)'!P28/$C$6</f>
        <v>0.875407834</v>
      </c>
      <c r="Q54" s="849">
        <f>'1.BS (VND)'!Q28/$C$6</f>
        <v>1.6018252900000001</v>
      </c>
      <c r="R54" s="849">
        <f>'1.BS (VND)'!R28/$C$6</f>
        <v>1.198472032</v>
      </c>
      <c r="S54" s="850"/>
      <c r="T54" s="849">
        <f>'1.BS (VND)'!T28/$C$6</f>
        <v>2.5942750000000001E-2</v>
      </c>
      <c r="U54" s="849">
        <f>'1.BS (VND)'!U28/$C$6</f>
        <v>1.31070518</v>
      </c>
      <c r="V54" s="849">
        <f>'1.BS (VND)'!V28/$C$6</f>
        <v>1.4192591290000001</v>
      </c>
      <c r="W54" s="849">
        <f>'1.BS (VND)'!W28/$C$6</f>
        <v>1.365772395</v>
      </c>
      <c r="X54" s="850"/>
      <c r="Y54" s="849">
        <f>'1.BS (VND)'!Y28/$C$6</f>
        <v>0</v>
      </c>
      <c r="Z54" s="849">
        <f>'1.BS (VND)'!Z28/$C$6</f>
        <v>0</v>
      </c>
      <c r="AA54" s="849">
        <f>'1.BS (VND)'!AA28/$C$6</f>
        <v>0</v>
      </c>
      <c r="AB54" s="849">
        <f>'1.BS (VND)'!AB28/$C$6</f>
        <v>0</v>
      </c>
      <c r="AC54" s="850"/>
      <c r="AD54" s="849">
        <f>'1.BS (VND)'!AD28/$C$6</f>
        <v>0</v>
      </c>
      <c r="AE54" s="849">
        <f>'1.BS (VND)'!AE28/$C$6</f>
        <v>0</v>
      </c>
      <c r="AF54" s="849">
        <f>'1.BS (VND)'!AF28/$C$6</f>
        <v>0</v>
      </c>
      <c r="AG54" s="849">
        <f>'1.BS (VND)'!AG28/$C$6</f>
        <v>0</v>
      </c>
      <c r="AH54" s="851"/>
      <c r="AI54" s="849">
        <f t="shared" si="112"/>
        <v>5.0976861359999992</v>
      </c>
      <c r="AJ54" s="849">
        <f t="shared" si="112"/>
        <v>10.606635323999999</v>
      </c>
      <c r="AK54" s="849">
        <f t="shared" si="112"/>
        <v>13.841032421000001</v>
      </c>
      <c r="AL54" s="849">
        <f t="shared" si="83"/>
        <v>12.060636669999999</v>
      </c>
      <c r="AM54" s="852"/>
      <c r="AN54" s="849">
        <f>'1.BS (VND)'!AI28/$C$6</f>
        <v>0</v>
      </c>
      <c r="AO54" s="849">
        <f>'1.BS (VND)'!AJ28/$C$6</f>
        <v>0</v>
      </c>
      <c r="AP54" s="849">
        <f>'1.BS (VND)'!AK28/$C$6</f>
        <v>0</v>
      </c>
      <c r="AQ54" s="849">
        <f>'1.BS (VND)'!AL28/$C$6</f>
        <v>0</v>
      </c>
      <c r="AR54" s="850"/>
      <c r="AS54" s="849">
        <f>'1.BS (VND)'!AN28/$C$6</f>
        <v>0</v>
      </c>
      <c r="AT54" s="849">
        <f>'1.BS (VND)'!AO28/$C$6</f>
        <v>0</v>
      </c>
      <c r="AU54" s="849">
        <f>'1.BS (VND)'!AP28/$C$6</f>
        <v>-0.74154054899999999</v>
      </c>
      <c r="AV54" s="849">
        <f>'1.BS (VND)'!AQ28/$C$6</f>
        <v>0</v>
      </c>
      <c r="AW54" s="850"/>
      <c r="AX54" s="849">
        <f>'1.BS (VND)'!AS28/$C$6</f>
        <v>0</v>
      </c>
      <c r="AY54" s="849">
        <f>'1.BS (VND)'!AT28/$C$6</f>
        <v>0</v>
      </c>
      <c r="AZ54" s="849">
        <f>'1.BS (VND)'!AU28/$C$6</f>
        <v>0</v>
      </c>
      <c r="BA54" s="849">
        <f>'1.BS (VND)'!AV28/$C$6</f>
        <v>0</v>
      </c>
      <c r="BB54" s="850"/>
      <c r="BC54" s="849">
        <f>'1.BS (VND)'!AX28/$C$6</f>
        <v>0</v>
      </c>
      <c r="BD54" s="849">
        <f>'1.BS (VND)'!AY28/$C$6</f>
        <v>0</v>
      </c>
      <c r="BE54" s="849">
        <f>'1.BS (VND)'!AZ28/$C$6</f>
        <v>0</v>
      </c>
      <c r="BF54" s="849">
        <f>'1.BS (VND)'!BA28/$C$6</f>
        <v>0</v>
      </c>
      <c r="BG54" s="850"/>
      <c r="BH54" s="849">
        <f>'1.BS (VND)'!BC28/$C$6</f>
        <v>0</v>
      </c>
      <c r="BI54" s="849">
        <f>'1.BS (VND)'!BD28/$C$6</f>
        <v>0</v>
      </c>
      <c r="BJ54" s="849">
        <f>'1.BS (VND)'!BE28/$C$6</f>
        <v>0</v>
      </c>
      <c r="BK54" s="849">
        <f>'1.BS (VND)'!BF28/$C$6</f>
        <v>0</v>
      </c>
      <c r="BL54" s="850"/>
      <c r="BM54" s="849">
        <f>'1.BS (VND)'!BH28/$C$6</f>
        <v>0</v>
      </c>
      <c r="BN54" s="849">
        <f>'1.BS (VND)'!BI28/$C$6</f>
        <v>0</v>
      </c>
      <c r="BO54" s="849">
        <f>'1.BS (VND)'!BJ28/$C$6</f>
        <v>0</v>
      </c>
      <c r="BP54" s="849">
        <f>'1.BS (VND)'!BK28/$C$6</f>
        <v>0</v>
      </c>
      <c r="BQ54" s="851"/>
      <c r="BR54" s="849">
        <f t="shared" si="84"/>
        <v>4.5124559099999999</v>
      </c>
      <c r="BS54" s="849">
        <f t="shared" si="85"/>
        <v>6.0571813939999997</v>
      </c>
      <c r="BT54" s="849">
        <f t="shared" si="86"/>
        <v>7.1223256929999996</v>
      </c>
      <c r="BU54" s="849">
        <f t="shared" si="87"/>
        <v>6.4429985209999998</v>
      </c>
      <c r="BV54" s="850"/>
      <c r="BW54" s="849">
        <f t="shared" si="88"/>
        <v>2.8E-3</v>
      </c>
      <c r="BX54" s="849">
        <f t="shared" si="89"/>
        <v>2.3633409159999998</v>
      </c>
      <c r="BY54" s="849">
        <f t="shared" si="90"/>
        <v>2.95608176</v>
      </c>
      <c r="BZ54" s="849">
        <f t="shared" si="91"/>
        <v>3.053393722</v>
      </c>
      <c r="CA54" s="850"/>
      <c r="CB54" s="849">
        <f t="shared" si="92"/>
        <v>0.55648747600000004</v>
      </c>
      <c r="CC54" s="849">
        <f t="shared" si="93"/>
        <v>0.875407834</v>
      </c>
      <c r="CD54" s="849">
        <f t="shared" si="94"/>
        <v>1.6018252900000001</v>
      </c>
      <c r="CE54" s="849">
        <f t="shared" si="95"/>
        <v>1.198472032</v>
      </c>
      <c r="CF54" s="850"/>
      <c r="CG54" s="849">
        <f t="shared" si="96"/>
        <v>2.5942750000000001E-2</v>
      </c>
      <c r="CH54" s="849">
        <f t="shared" si="97"/>
        <v>1.31070518</v>
      </c>
      <c r="CI54" s="849">
        <f t="shared" si="98"/>
        <v>1.4192591290000001</v>
      </c>
      <c r="CJ54" s="849">
        <f t="shared" si="99"/>
        <v>1.365772395</v>
      </c>
      <c r="CK54" s="850"/>
      <c r="CL54" s="849">
        <f t="shared" si="100"/>
        <v>0</v>
      </c>
      <c r="CM54" s="849">
        <f t="shared" si="101"/>
        <v>0</v>
      </c>
      <c r="CN54" s="849">
        <f t="shared" si="102"/>
        <v>0</v>
      </c>
      <c r="CO54" s="849">
        <f t="shared" si="103"/>
        <v>0</v>
      </c>
      <c r="CP54" s="850"/>
      <c r="CQ54" s="849">
        <f t="shared" si="104"/>
        <v>0</v>
      </c>
      <c r="CR54" s="849">
        <f t="shared" si="105"/>
        <v>0</v>
      </c>
      <c r="CS54" s="849">
        <f t="shared" si="106"/>
        <v>0</v>
      </c>
      <c r="CT54" s="849">
        <f t="shared" si="107"/>
        <v>0</v>
      </c>
      <c r="CU54" s="852"/>
      <c r="CV54" s="849">
        <f t="shared" ref="CV54:CY73" si="113">SUMIF($BR$5:$CT$5,CV$5,$BR54:$CT54)</f>
        <v>5.0976861359999992</v>
      </c>
      <c r="CW54" s="849">
        <f t="shared" si="113"/>
        <v>10.606635323999999</v>
      </c>
      <c r="CX54" s="849">
        <f t="shared" si="113"/>
        <v>13.099491872000002</v>
      </c>
      <c r="CY54" s="849">
        <f t="shared" si="113"/>
        <v>12.060636669999999</v>
      </c>
      <c r="CZ54" s="852"/>
      <c r="DA54" s="849">
        <f>'1.BS (VND)'!CV28/'1.BC_Ra Soat (ty) '!$C$6</f>
        <v>0</v>
      </c>
      <c r="DB54" s="849">
        <f>'1.BS (VND)'!CW28/'1.BC_Ra Soat (ty) '!$C$6</f>
        <v>0</v>
      </c>
      <c r="DC54" s="849">
        <f>'1.BS (VND)'!CX28/'1.BC_Ra Soat (ty) '!$C$6</f>
        <v>0</v>
      </c>
      <c r="DD54" s="849">
        <f>'1.BS (VND)'!CY28/'1.BC_Ra Soat (ty) '!$C$6</f>
        <v>0</v>
      </c>
      <c r="DE54" s="852"/>
      <c r="DF54" s="849">
        <f t="shared" si="110"/>
        <v>5.0976861359999992</v>
      </c>
      <c r="DG54" s="849">
        <f t="shared" si="109"/>
        <v>10.606635323999999</v>
      </c>
      <c r="DH54" s="849">
        <f t="shared" si="109"/>
        <v>13.099491872000002</v>
      </c>
      <c r="DI54" s="849">
        <f t="shared" si="109"/>
        <v>12.060636669999999</v>
      </c>
      <c r="DJ54" s="444"/>
    </row>
    <row r="55" spans="1:114" s="441" customFormat="1" ht="15.75" hidden="1" x14ac:dyDescent="0.25">
      <c r="A55" s="447">
        <f t="shared" si="111"/>
        <v>1</v>
      </c>
      <c r="C55" s="452" t="s">
        <v>333</v>
      </c>
      <c r="D55" s="453" t="s">
        <v>334</v>
      </c>
      <c r="E55" s="835">
        <f>'1.BS (VND)'!E29/$C$6</f>
        <v>0</v>
      </c>
      <c r="F55" s="835">
        <f>'1.BS (VND)'!F29/$C$6</f>
        <v>0</v>
      </c>
      <c r="G55" s="835">
        <f>'1.BS (VND)'!G29/$C$6</f>
        <v>0</v>
      </c>
      <c r="H55" s="835">
        <f>'1.BS (VND)'!H29/$C$6</f>
        <v>0</v>
      </c>
      <c r="I55" s="840"/>
      <c r="J55" s="835">
        <f>'1.BS (VND)'!J29/$C$6</f>
        <v>0</v>
      </c>
      <c r="K55" s="835">
        <f>'1.BS (VND)'!K29/$C$6</f>
        <v>0</v>
      </c>
      <c r="L55" s="835">
        <f>'1.BS (VND)'!L29/$C$6</f>
        <v>0</v>
      </c>
      <c r="M55" s="835">
        <f>'1.BS (VND)'!M29/$C$6</f>
        <v>0</v>
      </c>
      <c r="N55" s="840"/>
      <c r="O55" s="835">
        <f>'1.BS (VND)'!O29/$C$6</f>
        <v>0</v>
      </c>
      <c r="P55" s="835">
        <f>'1.BS (VND)'!P29/$C$6</f>
        <v>0</v>
      </c>
      <c r="Q55" s="835">
        <f>'1.BS (VND)'!Q29/$C$6</f>
        <v>0</v>
      </c>
      <c r="R55" s="835">
        <f>'1.BS (VND)'!R29/$C$6</f>
        <v>0</v>
      </c>
      <c r="S55" s="840"/>
      <c r="T55" s="835">
        <f>'1.BS (VND)'!T29/$C$6</f>
        <v>0</v>
      </c>
      <c r="U55" s="835">
        <f>'1.BS (VND)'!U29/$C$6</f>
        <v>0</v>
      </c>
      <c r="V55" s="835">
        <f>'1.BS (VND)'!V29/$C$6</f>
        <v>0</v>
      </c>
      <c r="W55" s="835">
        <f>'1.BS (VND)'!W29/$C$6</f>
        <v>0</v>
      </c>
      <c r="X55" s="840"/>
      <c r="Y55" s="835">
        <f>'1.BS (VND)'!Y29/$C$6</f>
        <v>0</v>
      </c>
      <c r="Z55" s="835">
        <f>'1.BS (VND)'!Z29/$C$6</f>
        <v>0</v>
      </c>
      <c r="AA55" s="835">
        <f>'1.BS (VND)'!AA29/$C$6</f>
        <v>0</v>
      </c>
      <c r="AB55" s="835">
        <f>'1.BS (VND)'!AB29/$C$6</f>
        <v>0</v>
      </c>
      <c r="AC55" s="840"/>
      <c r="AD55" s="835">
        <f>'1.BS (VND)'!AD29/$C$6</f>
        <v>0</v>
      </c>
      <c r="AE55" s="835">
        <f>'1.BS (VND)'!AE29/$C$6</f>
        <v>0</v>
      </c>
      <c r="AF55" s="835">
        <f>'1.BS (VND)'!AF29/$C$6</f>
        <v>0</v>
      </c>
      <c r="AG55" s="835">
        <f>'1.BS (VND)'!AG29/$C$6</f>
        <v>0</v>
      </c>
      <c r="AH55" s="841"/>
      <c r="AI55" s="835">
        <f t="shared" si="112"/>
        <v>0</v>
      </c>
      <c r="AJ55" s="835">
        <f t="shared" si="112"/>
        <v>0</v>
      </c>
      <c r="AK55" s="835">
        <f t="shared" si="112"/>
        <v>0</v>
      </c>
      <c r="AL55" s="835">
        <f t="shared" si="83"/>
        <v>0</v>
      </c>
      <c r="AM55" s="852"/>
      <c r="AN55" s="835">
        <f>'1.BS (VND)'!AI29/$C$6</f>
        <v>0</v>
      </c>
      <c r="AO55" s="835">
        <f>'1.BS (VND)'!AJ29/$C$6</f>
        <v>0</v>
      </c>
      <c r="AP55" s="835">
        <f>'1.BS (VND)'!AK29/$C$6</f>
        <v>0</v>
      </c>
      <c r="AQ55" s="835">
        <f>'1.BS (VND)'!AL29/$C$6</f>
        <v>0</v>
      </c>
      <c r="AR55" s="840"/>
      <c r="AS55" s="835">
        <f>'1.BS (VND)'!AN29/$C$6</f>
        <v>0</v>
      </c>
      <c r="AT55" s="835">
        <f>'1.BS (VND)'!AO29/$C$6</f>
        <v>0</v>
      </c>
      <c r="AU55" s="835">
        <f>'1.BS (VND)'!AP29/$C$6</f>
        <v>-0.74154054899999999</v>
      </c>
      <c r="AV55" s="835">
        <f>'1.BS (VND)'!AQ29/$C$6</f>
        <v>0</v>
      </c>
      <c r="AW55" s="840"/>
      <c r="AX55" s="835">
        <f>'1.BS (VND)'!AS29/$C$6</f>
        <v>0</v>
      </c>
      <c r="AY55" s="835">
        <f>'1.BS (VND)'!AT29/$C$6</f>
        <v>0</v>
      </c>
      <c r="AZ55" s="835">
        <f>'1.BS (VND)'!AU29/$C$6</f>
        <v>0</v>
      </c>
      <c r="BA55" s="835">
        <f>'1.BS (VND)'!AV29/$C$6</f>
        <v>0</v>
      </c>
      <c r="BB55" s="840"/>
      <c r="BC55" s="835">
        <f>'1.BS (VND)'!AX29/$C$6</f>
        <v>0</v>
      </c>
      <c r="BD55" s="835">
        <f>'1.BS (VND)'!AY29/$C$6</f>
        <v>0</v>
      </c>
      <c r="BE55" s="835">
        <f>'1.BS (VND)'!AZ29/$C$6</f>
        <v>0</v>
      </c>
      <c r="BF55" s="835">
        <f>'1.BS (VND)'!BA29/$C$6</f>
        <v>0</v>
      </c>
      <c r="BG55" s="840"/>
      <c r="BH55" s="835">
        <f>'1.BS (VND)'!BC29/$C$6</f>
        <v>0</v>
      </c>
      <c r="BI55" s="835">
        <f>'1.BS (VND)'!BD29/$C$6</f>
        <v>0</v>
      </c>
      <c r="BJ55" s="835">
        <f>'1.BS (VND)'!BE29/$C$6</f>
        <v>0</v>
      </c>
      <c r="BK55" s="835">
        <f>'1.BS (VND)'!BF29/$C$6</f>
        <v>0</v>
      </c>
      <c r="BL55" s="840"/>
      <c r="BM55" s="835">
        <f>'1.BS (VND)'!BH29/$C$6</f>
        <v>0</v>
      </c>
      <c r="BN55" s="835">
        <f>'1.BS (VND)'!BI29/$C$6</f>
        <v>0</v>
      </c>
      <c r="BO55" s="835">
        <f>'1.BS (VND)'!BJ29/$C$6</f>
        <v>0</v>
      </c>
      <c r="BP55" s="835">
        <f>'1.BS (VND)'!BK29/$C$6</f>
        <v>0</v>
      </c>
      <c r="BQ55" s="841"/>
      <c r="BR55" s="835">
        <f t="shared" si="84"/>
        <v>0</v>
      </c>
      <c r="BS55" s="835">
        <f t="shared" si="85"/>
        <v>0</v>
      </c>
      <c r="BT55" s="835">
        <f t="shared" si="86"/>
        <v>0</v>
      </c>
      <c r="BU55" s="835">
        <f t="shared" si="87"/>
        <v>0</v>
      </c>
      <c r="BV55" s="840"/>
      <c r="BW55" s="835">
        <f t="shared" si="88"/>
        <v>0</v>
      </c>
      <c r="BX55" s="835">
        <f t="shared" si="89"/>
        <v>0</v>
      </c>
      <c r="BY55" s="835">
        <f t="shared" si="90"/>
        <v>-0.74154054899999999</v>
      </c>
      <c r="BZ55" s="835">
        <f t="shared" si="91"/>
        <v>0</v>
      </c>
      <c r="CA55" s="840"/>
      <c r="CB55" s="835">
        <f t="shared" si="92"/>
        <v>0</v>
      </c>
      <c r="CC55" s="835">
        <f t="shared" si="93"/>
        <v>0</v>
      </c>
      <c r="CD55" s="835">
        <f t="shared" si="94"/>
        <v>0</v>
      </c>
      <c r="CE55" s="835">
        <f t="shared" si="95"/>
        <v>0</v>
      </c>
      <c r="CF55" s="840"/>
      <c r="CG55" s="835">
        <f t="shared" si="96"/>
        <v>0</v>
      </c>
      <c r="CH55" s="835">
        <f t="shared" si="97"/>
        <v>0</v>
      </c>
      <c r="CI55" s="835">
        <f t="shared" si="98"/>
        <v>0</v>
      </c>
      <c r="CJ55" s="835">
        <f t="shared" si="99"/>
        <v>0</v>
      </c>
      <c r="CK55" s="840"/>
      <c r="CL55" s="835">
        <f t="shared" si="100"/>
        <v>0</v>
      </c>
      <c r="CM55" s="835">
        <f t="shared" si="101"/>
        <v>0</v>
      </c>
      <c r="CN55" s="835">
        <f t="shared" si="102"/>
        <v>0</v>
      </c>
      <c r="CO55" s="835">
        <f t="shared" si="103"/>
        <v>0</v>
      </c>
      <c r="CP55" s="840"/>
      <c r="CQ55" s="835">
        <f t="shared" si="104"/>
        <v>0</v>
      </c>
      <c r="CR55" s="835">
        <f t="shared" si="105"/>
        <v>0</v>
      </c>
      <c r="CS55" s="835">
        <f t="shared" si="106"/>
        <v>0</v>
      </c>
      <c r="CT55" s="835">
        <f t="shared" si="107"/>
        <v>0</v>
      </c>
      <c r="CU55" s="842"/>
      <c r="CV55" s="835">
        <f t="shared" si="113"/>
        <v>0</v>
      </c>
      <c r="CW55" s="835">
        <f t="shared" si="113"/>
        <v>0</v>
      </c>
      <c r="CX55" s="835">
        <f t="shared" si="113"/>
        <v>-0.74154054899999999</v>
      </c>
      <c r="CY55" s="835">
        <f t="shared" si="113"/>
        <v>0</v>
      </c>
      <c r="CZ55" s="842"/>
      <c r="DA55" s="835">
        <f>'1.BS (VND)'!CV29/'1.BC_Ra Soat (ty) '!$C$6</f>
        <v>0</v>
      </c>
      <c r="DB55" s="835">
        <f>'1.BS (VND)'!CW29/'1.BC_Ra Soat (ty) '!$C$6</f>
        <v>0</v>
      </c>
      <c r="DC55" s="835">
        <f>'1.BS (VND)'!CX29/'1.BC_Ra Soat (ty) '!$C$6</f>
        <v>0</v>
      </c>
      <c r="DD55" s="835">
        <f>'1.BS (VND)'!CY29/'1.BC_Ra Soat (ty) '!$C$6</f>
        <v>0</v>
      </c>
      <c r="DE55" s="842"/>
      <c r="DF55" s="835">
        <f t="shared" si="110"/>
        <v>0</v>
      </c>
      <c r="DG55" s="835">
        <f t="shared" si="109"/>
        <v>0</v>
      </c>
      <c r="DH55" s="835">
        <f t="shared" si="109"/>
        <v>-0.74154054899999999</v>
      </c>
      <c r="DI55" s="835">
        <f t="shared" si="109"/>
        <v>0</v>
      </c>
      <c r="DJ55" s="444"/>
    </row>
    <row r="56" spans="1:114" s="441" customFormat="1" ht="15.75" x14ac:dyDescent="0.25">
      <c r="A56" s="447">
        <f t="shared" si="111"/>
        <v>1</v>
      </c>
      <c r="C56" s="452" t="s">
        <v>335</v>
      </c>
      <c r="D56" s="453" t="s">
        <v>336</v>
      </c>
      <c r="E56" s="835">
        <f>'1.BS (VND)'!E30/$C$6</f>
        <v>6.9442509999999999E-2</v>
      </c>
      <c r="F56" s="835">
        <f>'1.BS (VND)'!F30/$C$6</f>
        <v>0</v>
      </c>
      <c r="G56" s="835">
        <f>'1.BS (VND)'!G30/$C$6</f>
        <v>0.90722602699999999</v>
      </c>
      <c r="H56" s="835">
        <f>'1.BS (VND)'!H30/$C$6</f>
        <v>4.002E-6</v>
      </c>
      <c r="I56" s="840"/>
      <c r="J56" s="835">
        <f>'1.BS (VND)'!J30/$C$6</f>
        <v>0</v>
      </c>
      <c r="K56" s="835">
        <f>'1.BS (VND)'!K30/$C$6</f>
        <v>1.3266313949999999</v>
      </c>
      <c r="L56" s="835">
        <f>'1.BS (VND)'!L30/$C$6</f>
        <v>2.6559127880000002</v>
      </c>
      <c r="M56" s="835">
        <f>'1.BS (VND)'!M30/$C$6</f>
        <v>2.011684201</v>
      </c>
      <c r="N56" s="840"/>
      <c r="O56" s="835">
        <f>'1.BS (VND)'!O30/$C$6</f>
        <v>0.50507071599999998</v>
      </c>
      <c r="P56" s="835">
        <f>'1.BS (VND)'!P30/$C$6</f>
        <v>3.9883241E-2</v>
      </c>
      <c r="Q56" s="835">
        <f>'1.BS (VND)'!Q30/$C$6</f>
        <v>0.40885084799999999</v>
      </c>
      <c r="R56" s="835">
        <f>'1.BS (VND)'!R30/$C$6</f>
        <v>4.2330288000000001E-2</v>
      </c>
      <c r="S56" s="840"/>
      <c r="T56" s="835">
        <f>'1.BS (VND)'!T30/$C$6</f>
        <v>2.5942750000000001E-2</v>
      </c>
      <c r="U56" s="835">
        <f>'1.BS (VND)'!U30/$C$6</f>
        <v>4.8349831000000003E-2</v>
      </c>
      <c r="V56" s="835">
        <f>'1.BS (VND)'!V30/$C$6</f>
        <v>0.15690377999999999</v>
      </c>
      <c r="W56" s="835">
        <f>'1.BS (VND)'!W30/$C$6</f>
        <v>0.103417046</v>
      </c>
      <c r="X56" s="840"/>
      <c r="Y56" s="835">
        <f>'1.BS (VND)'!Y30/$C$6</f>
        <v>0</v>
      </c>
      <c r="Z56" s="835">
        <f>'1.BS (VND)'!Z30/$C$6</f>
        <v>0</v>
      </c>
      <c r="AA56" s="835">
        <f>'1.BS (VND)'!AA30/$C$6</f>
        <v>0</v>
      </c>
      <c r="AB56" s="835">
        <f>'1.BS (VND)'!AB30/$C$6</f>
        <v>0</v>
      </c>
      <c r="AC56" s="840"/>
      <c r="AD56" s="835">
        <f>'1.BS (VND)'!AD30/$C$6</f>
        <v>0</v>
      </c>
      <c r="AE56" s="835">
        <f>'1.BS (VND)'!AE30/$C$6</f>
        <v>0</v>
      </c>
      <c r="AF56" s="835">
        <f>'1.BS (VND)'!AF30/$C$6</f>
        <v>0</v>
      </c>
      <c r="AG56" s="835">
        <f>'1.BS (VND)'!AG30/$C$6</f>
        <v>0</v>
      </c>
      <c r="AH56" s="841"/>
      <c r="AI56" s="835">
        <f t="shared" si="112"/>
        <v>0.600455976</v>
      </c>
      <c r="AJ56" s="835">
        <f t="shared" si="112"/>
        <v>1.4148644669999999</v>
      </c>
      <c r="AK56" s="835">
        <f t="shared" si="112"/>
        <v>4.1288934430000008</v>
      </c>
      <c r="AL56" s="835">
        <f t="shared" si="83"/>
        <v>2.157435537</v>
      </c>
      <c r="AM56" s="852"/>
      <c r="AN56" s="835">
        <f>'1.BS (VND)'!AI30/$C$6</f>
        <v>0</v>
      </c>
      <c r="AO56" s="835">
        <f>'1.BS (VND)'!AJ30/$C$6</f>
        <v>0</v>
      </c>
      <c r="AP56" s="835">
        <f>'1.BS (VND)'!AK30/$C$6</f>
        <v>0</v>
      </c>
      <c r="AQ56" s="835">
        <f>'1.BS (VND)'!AL30/$C$6</f>
        <v>0</v>
      </c>
      <c r="AR56" s="840"/>
      <c r="AS56" s="835">
        <f>'1.BS (VND)'!AN30/$C$6</f>
        <v>0</v>
      </c>
      <c r="AT56" s="835">
        <f>'1.BS (VND)'!AO30/$C$6</f>
        <v>0</v>
      </c>
      <c r="AU56" s="835">
        <f>'1.BS (VND)'!AP30/$C$6</f>
        <v>0</v>
      </c>
      <c r="AV56" s="835">
        <f>'1.BS (VND)'!AQ30/$C$6</f>
        <v>0</v>
      </c>
      <c r="AW56" s="840"/>
      <c r="AX56" s="835">
        <f>'1.BS (VND)'!AS30/$C$6</f>
        <v>0</v>
      </c>
      <c r="AY56" s="835">
        <f>'1.BS (VND)'!AT30/$C$6</f>
        <v>0</v>
      </c>
      <c r="AZ56" s="835">
        <f>'1.BS (VND)'!AU30/$C$6</f>
        <v>0</v>
      </c>
      <c r="BA56" s="835">
        <f>'1.BS (VND)'!AV30/$C$6</f>
        <v>0</v>
      </c>
      <c r="BB56" s="840"/>
      <c r="BC56" s="835">
        <f>'1.BS (VND)'!AX30/$C$6</f>
        <v>0</v>
      </c>
      <c r="BD56" s="835">
        <f>'1.BS (VND)'!AY30/$C$6</f>
        <v>0</v>
      </c>
      <c r="BE56" s="835">
        <f>'1.BS (VND)'!AZ30/$C$6</f>
        <v>0</v>
      </c>
      <c r="BF56" s="835">
        <f>'1.BS (VND)'!BA30/$C$6</f>
        <v>0</v>
      </c>
      <c r="BG56" s="840"/>
      <c r="BH56" s="835">
        <f>'1.BS (VND)'!BC30/$C$6</f>
        <v>0</v>
      </c>
      <c r="BI56" s="835">
        <f>'1.BS (VND)'!BD30/$C$6</f>
        <v>0</v>
      </c>
      <c r="BJ56" s="835">
        <f>'1.BS (VND)'!BE30/$C$6</f>
        <v>0</v>
      </c>
      <c r="BK56" s="835">
        <f>'1.BS (VND)'!BF30/$C$6</f>
        <v>0</v>
      </c>
      <c r="BL56" s="840"/>
      <c r="BM56" s="835">
        <f>'1.BS (VND)'!BH30/$C$6</f>
        <v>0</v>
      </c>
      <c r="BN56" s="835">
        <f>'1.BS (VND)'!BI30/$C$6</f>
        <v>0</v>
      </c>
      <c r="BO56" s="835">
        <f>'1.BS (VND)'!BJ30/$C$6</f>
        <v>0</v>
      </c>
      <c r="BP56" s="835">
        <f>'1.BS (VND)'!BK30/$C$6</f>
        <v>0</v>
      </c>
      <c r="BQ56" s="841"/>
      <c r="BR56" s="835">
        <f t="shared" si="84"/>
        <v>6.9442509999999999E-2</v>
      </c>
      <c r="BS56" s="835">
        <f t="shared" si="85"/>
        <v>0</v>
      </c>
      <c r="BT56" s="835">
        <f t="shared" si="86"/>
        <v>0.90722602699999999</v>
      </c>
      <c r="BU56" s="835">
        <f t="shared" si="87"/>
        <v>4.002E-6</v>
      </c>
      <c r="BV56" s="840"/>
      <c r="BW56" s="835">
        <f t="shared" si="88"/>
        <v>0</v>
      </c>
      <c r="BX56" s="835">
        <f t="shared" si="89"/>
        <v>1.3266313949999999</v>
      </c>
      <c r="BY56" s="835">
        <f t="shared" si="90"/>
        <v>2.6559127880000002</v>
      </c>
      <c r="BZ56" s="835">
        <f t="shared" si="91"/>
        <v>2.011684201</v>
      </c>
      <c r="CA56" s="840"/>
      <c r="CB56" s="835">
        <f t="shared" si="92"/>
        <v>0.50507071599999998</v>
      </c>
      <c r="CC56" s="835">
        <f t="shared" si="93"/>
        <v>3.9883241E-2</v>
      </c>
      <c r="CD56" s="835">
        <f t="shared" si="94"/>
        <v>0.40885084799999999</v>
      </c>
      <c r="CE56" s="835">
        <f t="shared" si="95"/>
        <v>4.2330288000000001E-2</v>
      </c>
      <c r="CF56" s="840"/>
      <c r="CG56" s="835">
        <f t="shared" si="96"/>
        <v>2.5942750000000001E-2</v>
      </c>
      <c r="CH56" s="835">
        <f t="shared" si="97"/>
        <v>4.8349831000000003E-2</v>
      </c>
      <c r="CI56" s="835">
        <f t="shared" si="98"/>
        <v>0.15690377999999999</v>
      </c>
      <c r="CJ56" s="835">
        <f t="shared" si="99"/>
        <v>0.103417046</v>
      </c>
      <c r="CK56" s="840"/>
      <c r="CL56" s="835">
        <f t="shared" si="100"/>
        <v>0</v>
      </c>
      <c r="CM56" s="835">
        <f t="shared" si="101"/>
        <v>0</v>
      </c>
      <c r="CN56" s="835">
        <f t="shared" si="102"/>
        <v>0</v>
      </c>
      <c r="CO56" s="835">
        <f t="shared" si="103"/>
        <v>0</v>
      </c>
      <c r="CP56" s="840"/>
      <c r="CQ56" s="835">
        <f t="shared" si="104"/>
        <v>0</v>
      </c>
      <c r="CR56" s="835">
        <f t="shared" si="105"/>
        <v>0</v>
      </c>
      <c r="CS56" s="835">
        <f t="shared" si="106"/>
        <v>0</v>
      </c>
      <c r="CT56" s="835">
        <f t="shared" si="107"/>
        <v>0</v>
      </c>
      <c r="CU56" s="842"/>
      <c r="CV56" s="835">
        <f t="shared" si="113"/>
        <v>0.600455976</v>
      </c>
      <c r="CW56" s="835">
        <f t="shared" si="113"/>
        <v>1.4148644669999999</v>
      </c>
      <c r="CX56" s="835">
        <f t="shared" si="113"/>
        <v>4.1288934430000008</v>
      </c>
      <c r="CY56" s="835">
        <f t="shared" si="113"/>
        <v>2.157435537</v>
      </c>
      <c r="CZ56" s="842"/>
      <c r="DA56" s="835">
        <f>'1.BS (VND)'!CV30/'1.BC_Ra Soat (ty) '!$C$6</f>
        <v>0</v>
      </c>
      <c r="DB56" s="835">
        <f>'1.BS (VND)'!CW30/'1.BC_Ra Soat (ty) '!$C$6</f>
        <v>0</v>
      </c>
      <c r="DC56" s="835">
        <f>'1.BS (VND)'!CX30/'1.BC_Ra Soat (ty) '!$C$6</f>
        <v>0</v>
      </c>
      <c r="DD56" s="835">
        <f>'1.BS (VND)'!CY30/'1.BC_Ra Soat (ty) '!$C$6</f>
        <v>0</v>
      </c>
      <c r="DE56" s="842"/>
      <c r="DF56" s="835">
        <f t="shared" si="110"/>
        <v>0.600455976</v>
      </c>
      <c r="DG56" s="835">
        <f t="shared" si="109"/>
        <v>1.4148644669999999</v>
      </c>
      <c r="DH56" s="835">
        <f t="shared" si="109"/>
        <v>4.1288934430000008</v>
      </c>
      <c r="DI56" s="835">
        <f t="shared" si="109"/>
        <v>2.157435537</v>
      </c>
      <c r="DJ56" s="444"/>
    </row>
    <row r="57" spans="1:114" s="441" customFormat="1" ht="15.75" hidden="1" x14ac:dyDescent="0.25">
      <c r="A57" s="447" t="str">
        <f t="shared" si="111"/>
        <v>hide</v>
      </c>
      <c r="C57" s="452" t="s">
        <v>337</v>
      </c>
      <c r="D57" s="453" t="s">
        <v>338</v>
      </c>
      <c r="E57" s="835">
        <f>'1.BS (VND)'!E31/$C$6</f>
        <v>0</v>
      </c>
      <c r="F57" s="835">
        <f>'1.BS (VND)'!F31/$C$6</f>
        <v>0</v>
      </c>
      <c r="G57" s="835">
        <f>'1.BS (VND)'!G31/$C$6</f>
        <v>0</v>
      </c>
      <c r="H57" s="835">
        <f>'1.BS (VND)'!H31/$C$6</f>
        <v>0</v>
      </c>
      <c r="I57" s="840"/>
      <c r="J57" s="835">
        <f>'1.BS (VND)'!J31/$C$6</f>
        <v>0</v>
      </c>
      <c r="K57" s="835">
        <f>'1.BS (VND)'!K31/$C$6</f>
        <v>0</v>
      </c>
      <c r="L57" s="835">
        <f>'1.BS (VND)'!L31/$C$6</f>
        <v>0</v>
      </c>
      <c r="M57" s="835">
        <f>'1.BS (VND)'!M31/$C$6</f>
        <v>0</v>
      </c>
      <c r="N57" s="840"/>
      <c r="O57" s="835">
        <f>'1.BS (VND)'!O31/$C$6</f>
        <v>0</v>
      </c>
      <c r="P57" s="835">
        <f>'1.BS (VND)'!P31/$C$6</f>
        <v>0</v>
      </c>
      <c r="Q57" s="835">
        <f>'1.BS (VND)'!Q31/$C$6</f>
        <v>0</v>
      </c>
      <c r="R57" s="835">
        <f>'1.BS (VND)'!R31/$C$6</f>
        <v>0</v>
      </c>
      <c r="S57" s="840"/>
      <c r="T57" s="835">
        <f>'1.BS (VND)'!T31/$C$6</f>
        <v>0</v>
      </c>
      <c r="U57" s="835">
        <f>'1.BS (VND)'!U31/$C$6</f>
        <v>0</v>
      </c>
      <c r="V57" s="835">
        <f>'1.BS (VND)'!V31/$C$6</f>
        <v>0</v>
      </c>
      <c r="W57" s="835">
        <f>'1.BS (VND)'!W31/$C$6</f>
        <v>0</v>
      </c>
      <c r="X57" s="840"/>
      <c r="Y57" s="835">
        <f>'1.BS (VND)'!Y31/$C$6</f>
        <v>0</v>
      </c>
      <c r="Z57" s="835">
        <f>'1.BS (VND)'!Z31/$C$6</f>
        <v>0</v>
      </c>
      <c r="AA57" s="835">
        <f>'1.BS (VND)'!AA31/$C$6</f>
        <v>0</v>
      </c>
      <c r="AB57" s="835">
        <f>'1.BS (VND)'!AB31/$C$6</f>
        <v>0</v>
      </c>
      <c r="AC57" s="840"/>
      <c r="AD57" s="835">
        <f>'1.BS (VND)'!AD31/$C$6</f>
        <v>0</v>
      </c>
      <c r="AE57" s="835">
        <f>'1.BS (VND)'!AE31/$C$6</f>
        <v>0</v>
      </c>
      <c r="AF57" s="835">
        <f>'1.BS (VND)'!AF31/$C$6</f>
        <v>0</v>
      </c>
      <c r="AG57" s="835">
        <f>'1.BS (VND)'!AG31/$C$6</f>
        <v>0</v>
      </c>
      <c r="AH57" s="841"/>
      <c r="AI57" s="835">
        <f t="shared" si="112"/>
        <v>0</v>
      </c>
      <c r="AJ57" s="835">
        <f t="shared" si="112"/>
        <v>0</v>
      </c>
      <c r="AK57" s="835">
        <f t="shared" si="112"/>
        <v>0</v>
      </c>
      <c r="AL57" s="835">
        <f t="shared" si="83"/>
        <v>0</v>
      </c>
      <c r="AM57" s="852"/>
      <c r="AN57" s="835">
        <f>'1.BS (VND)'!AI31/$C$6</f>
        <v>0</v>
      </c>
      <c r="AO57" s="835">
        <f>'1.BS (VND)'!AJ31/$C$6</f>
        <v>0</v>
      </c>
      <c r="AP57" s="835">
        <f>'1.BS (VND)'!AK31/$C$6</f>
        <v>0</v>
      </c>
      <c r="AQ57" s="835">
        <f>'1.BS (VND)'!AL31/$C$6</f>
        <v>0</v>
      </c>
      <c r="AR57" s="840"/>
      <c r="AS57" s="835">
        <f>'1.BS (VND)'!AN31/$C$6</f>
        <v>0</v>
      </c>
      <c r="AT57" s="835">
        <f>'1.BS (VND)'!AO31/$C$6</f>
        <v>0</v>
      </c>
      <c r="AU57" s="835">
        <f>'1.BS (VND)'!AP31/$C$6</f>
        <v>0</v>
      </c>
      <c r="AV57" s="835">
        <f>'1.BS (VND)'!AQ31/$C$6</f>
        <v>0</v>
      </c>
      <c r="AW57" s="840"/>
      <c r="AX57" s="835">
        <f>'1.BS (VND)'!AS31/$C$6</f>
        <v>0</v>
      </c>
      <c r="AY57" s="835">
        <f>'1.BS (VND)'!AT31/$C$6</f>
        <v>0</v>
      </c>
      <c r="AZ57" s="835">
        <f>'1.BS (VND)'!AU31/$C$6</f>
        <v>0</v>
      </c>
      <c r="BA57" s="835">
        <f>'1.BS (VND)'!AV31/$C$6</f>
        <v>0</v>
      </c>
      <c r="BB57" s="840"/>
      <c r="BC57" s="835">
        <f>'1.BS (VND)'!AX31/$C$6</f>
        <v>0</v>
      </c>
      <c r="BD57" s="835">
        <f>'1.BS (VND)'!AY31/$C$6</f>
        <v>0</v>
      </c>
      <c r="BE57" s="835">
        <f>'1.BS (VND)'!AZ31/$C$6</f>
        <v>0</v>
      </c>
      <c r="BF57" s="835">
        <f>'1.BS (VND)'!BA31/$C$6</f>
        <v>0</v>
      </c>
      <c r="BG57" s="840"/>
      <c r="BH57" s="835">
        <f>'1.BS (VND)'!BC31/$C$6</f>
        <v>0</v>
      </c>
      <c r="BI57" s="835">
        <f>'1.BS (VND)'!BD31/$C$6</f>
        <v>0</v>
      </c>
      <c r="BJ57" s="835">
        <f>'1.BS (VND)'!BE31/$C$6</f>
        <v>0</v>
      </c>
      <c r="BK57" s="835">
        <f>'1.BS (VND)'!BF31/$C$6</f>
        <v>0</v>
      </c>
      <c r="BL57" s="840"/>
      <c r="BM57" s="835">
        <f>'1.BS (VND)'!BH31/$C$6</f>
        <v>0</v>
      </c>
      <c r="BN57" s="835">
        <f>'1.BS (VND)'!BI31/$C$6</f>
        <v>0</v>
      </c>
      <c r="BO57" s="835">
        <f>'1.BS (VND)'!BJ31/$C$6</f>
        <v>0</v>
      </c>
      <c r="BP57" s="835">
        <f>'1.BS (VND)'!BK31/$C$6</f>
        <v>0</v>
      </c>
      <c r="BQ57" s="841"/>
      <c r="BR57" s="835">
        <f t="shared" si="84"/>
        <v>0</v>
      </c>
      <c r="BS57" s="835">
        <f t="shared" si="85"/>
        <v>0</v>
      </c>
      <c r="BT57" s="835">
        <f t="shared" si="86"/>
        <v>0</v>
      </c>
      <c r="BU57" s="835">
        <f t="shared" si="87"/>
        <v>0</v>
      </c>
      <c r="BV57" s="840"/>
      <c r="BW57" s="835">
        <f t="shared" si="88"/>
        <v>0</v>
      </c>
      <c r="BX57" s="835">
        <f t="shared" si="89"/>
        <v>0</v>
      </c>
      <c r="BY57" s="835">
        <f t="shared" si="90"/>
        <v>0</v>
      </c>
      <c r="BZ57" s="835">
        <f t="shared" si="91"/>
        <v>0</v>
      </c>
      <c r="CA57" s="840"/>
      <c r="CB57" s="835">
        <f t="shared" si="92"/>
        <v>0</v>
      </c>
      <c r="CC57" s="835">
        <f t="shared" si="93"/>
        <v>0</v>
      </c>
      <c r="CD57" s="835">
        <f t="shared" si="94"/>
        <v>0</v>
      </c>
      <c r="CE57" s="835">
        <f t="shared" si="95"/>
        <v>0</v>
      </c>
      <c r="CF57" s="840"/>
      <c r="CG57" s="835">
        <f t="shared" si="96"/>
        <v>0</v>
      </c>
      <c r="CH57" s="835">
        <f t="shared" si="97"/>
        <v>0</v>
      </c>
      <c r="CI57" s="835">
        <f t="shared" si="98"/>
        <v>0</v>
      </c>
      <c r="CJ57" s="835">
        <f t="shared" si="99"/>
        <v>0</v>
      </c>
      <c r="CK57" s="840"/>
      <c r="CL57" s="835">
        <f t="shared" si="100"/>
        <v>0</v>
      </c>
      <c r="CM57" s="835">
        <f t="shared" si="101"/>
        <v>0</v>
      </c>
      <c r="CN57" s="835">
        <f t="shared" si="102"/>
        <v>0</v>
      </c>
      <c r="CO57" s="835">
        <f t="shared" si="103"/>
        <v>0</v>
      </c>
      <c r="CP57" s="840"/>
      <c r="CQ57" s="835">
        <f t="shared" si="104"/>
        <v>0</v>
      </c>
      <c r="CR57" s="835">
        <f t="shared" si="105"/>
        <v>0</v>
      </c>
      <c r="CS57" s="835">
        <f t="shared" si="106"/>
        <v>0</v>
      </c>
      <c r="CT57" s="835">
        <f t="shared" si="107"/>
        <v>0</v>
      </c>
      <c r="CU57" s="842"/>
      <c r="CV57" s="835">
        <f t="shared" si="113"/>
        <v>0</v>
      </c>
      <c r="CW57" s="835">
        <f t="shared" si="113"/>
        <v>0</v>
      </c>
      <c r="CX57" s="835">
        <f t="shared" si="113"/>
        <v>0</v>
      </c>
      <c r="CY57" s="835">
        <f t="shared" si="113"/>
        <v>0</v>
      </c>
      <c r="CZ57" s="842"/>
      <c r="DA57" s="835">
        <f>'1.BS (VND)'!CV31/'1.BC_Ra Soat (ty) '!$C$6</f>
        <v>0</v>
      </c>
      <c r="DB57" s="835">
        <f>'1.BS (VND)'!CW31/'1.BC_Ra Soat (ty) '!$C$6</f>
        <v>0</v>
      </c>
      <c r="DC57" s="835">
        <f>'1.BS (VND)'!CX31/'1.BC_Ra Soat (ty) '!$C$6</f>
        <v>0</v>
      </c>
      <c r="DD57" s="835">
        <f>'1.BS (VND)'!CY31/'1.BC_Ra Soat (ty) '!$C$6</f>
        <v>0</v>
      </c>
      <c r="DE57" s="842"/>
      <c r="DF57" s="835">
        <f t="shared" si="110"/>
        <v>0</v>
      </c>
      <c r="DG57" s="835">
        <f t="shared" si="109"/>
        <v>0</v>
      </c>
      <c r="DH57" s="835">
        <f t="shared" si="109"/>
        <v>0</v>
      </c>
      <c r="DI57" s="835">
        <f t="shared" si="109"/>
        <v>0</v>
      </c>
      <c r="DJ57" s="444"/>
    </row>
    <row r="58" spans="1:114" s="441" customFormat="1" ht="15.75" hidden="1" x14ac:dyDescent="0.25">
      <c r="A58" s="447" t="str">
        <f t="shared" si="111"/>
        <v>hide</v>
      </c>
      <c r="C58" s="452" t="s">
        <v>339</v>
      </c>
      <c r="D58" s="453" t="s">
        <v>340</v>
      </c>
      <c r="E58" s="835">
        <f>'1.BS (VND)'!E32/$C$6</f>
        <v>0</v>
      </c>
      <c r="F58" s="835">
        <f>'1.BS (VND)'!F32/$C$6</f>
        <v>0</v>
      </c>
      <c r="G58" s="835">
        <f>'1.BS (VND)'!G32/$C$6</f>
        <v>0</v>
      </c>
      <c r="H58" s="835">
        <f>'1.BS (VND)'!H32/$C$6</f>
        <v>0</v>
      </c>
      <c r="I58" s="967"/>
      <c r="J58" s="835">
        <f>'1.BS (VND)'!J32/$C$6</f>
        <v>0</v>
      </c>
      <c r="K58" s="835">
        <f>'1.BS (VND)'!K32/$C$6</f>
        <v>0</v>
      </c>
      <c r="L58" s="835">
        <f>'1.BS (VND)'!L32/$C$6</f>
        <v>0</v>
      </c>
      <c r="M58" s="835">
        <f>'1.BS (VND)'!M32/$C$6</f>
        <v>0</v>
      </c>
      <c r="N58" s="840"/>
      <c r="O58" s="835">
        <f>'1.BS (VND)'!O32/$C$6</f>
        <v>0</v>
      </c>
      <c r="P58" s="835">
        <f>'1.BS (VND)'!P32/$C$6</f>
        <v>0</v>
      </c>
      <c r="Q58" s="835">
        <f>'1.BS (VND)'!Q32/$C$6</f>
        <v>0</v>
      </c>
      <c r="R58" s="835">
        <f>'1.BS (VND)'!R32/$C$6</f>
        <v>0</v>
      </c>
      <c r="S58" s="840"/>
      <c r="T58" s="835">
        <f>'1.BS (VND)'!T32/$C$6</f>
        <v>0</v>
      </c>
      <c r="U58" s="835">
        <f>'1.BS (VND)'!U32/$C$6</f>
        <v>0</v>
      </c>
      <c r="V58" s="835">
        <f>'1.BS (VND)'!V32/$C$6</f>
        <v>0</v>
      </c>
      <c r="W58" s="835">
        <f>'1.BS (VND)'!W32/$C$6</f>
        <v>0</v>
      </c>
      <c r="X58" s="840"/>
      <c r="Y58" s="835">
        <f>'1.BS (VND)'!Y32/$C$6</f>
        <v>0</v>
      </c>
      <c r="Z58" s="835">
        <f>'1.BS (VND)'!Z32/$C$6</f>
        <v>0</v>
      </c>
      <c r="AA58" s="835">
        <f>'1.BS (VND)'!AA32/$C$6</f>
        <v>0</v>
      </c>
      <c r="AB58" s="835">
        <f>'1.BS (VND)'!AB32/$C$6</f>
        <v>0</v>
      </c>
      <c r="AC58" s="840"/>
      <c r="AD58" s="835">
        <f>'1.BS (VND)'!AD32/$C$6</f>
        <v>0</v>
      </c>
      <c r="AE58" s="835">
        <f>'1.BS (VND)'!AE32/$C$6</f>
        <v>0</v>
      </c>
      <c r="AF58" s="835">
        <f>'1.BS (VND)'!AF32/$C$6</f>
        <v>0</v>
      </c>
      <c r="AG58" s="835">
        <f>'1.BS (VND)'!AG32/$C$6</f>
        <v>0</v>
      </c>
      <c r="AH58" s="841"/>
      <c r="AI58" s="835">
        <f t="shared" si="112"/>
        <v>0</v>
      </c>
      <c r="AJ58" s="835">
        <f t="shared" si="112"/>
        <v>0</v>
      </c>
      <c r="AK58" s="835">
        <f t="shared" si="112"/>
        <v>0</v>
      </c>
      <c r="AL58" s="835">
        <f t="shared" si="83"/>
        <v>0</v>
      </c>
      <c r="AM58" s="842"/>
      <c r="AN58" s="835">
        <f>'1.BS (VND)'!AI32/$C$6</f>
        <v>0</v>
      </c>
      <c r="AO58" s="835">
        <f>'1.BS (VND)'!AJ32/$C$6</f>
        <v>0</v>
      </c>
      <c r="AP58" s="835">
        <f>'1.BS (VND)'!AK32/$C$6</f>
        <v>0</v>
      </c>
      <c r="AQ58" s="835">
        <f>'1.BS (VND)'!AL32/$C$6</f>
        <v>0</v>
      </c>
      <c r="AR58" s="967"/>
      <c r="AS58" s="835">
        <f>'1.BS (VND)'!AN32/$C$6</f>
        <v>0</v>
      </c>
      <c r="AT58" s="835">
        <f>'1.BS (VND)'!AO32/$C$6</f>
        <v>0</v>
      </c>
      <c r="AU58" s="835">
        <f>'1.BS (VND)'!AP32/$C$6</f>
        <v>0</v>
      </c>
      <c r="AV58" s="835">
        <f>'1.BS (VND)'!AQ32/$C$6</f>
        <v>0</v>
      </c>
      <c r="AW58" s="840"/>
      <c r="AX58" s="835">
        <f>'1.BS (VND)'!AS32/$C$6</f>
        <v>0</v>
      </c>
      <c r="AY58" s="835">
        <f>'1.BS (VND)'!AT32/$C$6</f>
        <v>0</v>
      </c>
      <c r="AZ58" s="835">
        <f>'1.BS (VND)'!AU32/$C$6</f>
        <v>0</v>
      </c>
      <c r="BA58" s="835">
        <f>'1.BS (VND)'!AV32/$C$6</f>
        <v>0</v>
      </c>
      <c r="BB58" s="840"/>
      <c r="BC58" s="835">
        <f>'1.BS (VND)'!AX32/$C$6</f>
        <v>0</v>
      </c>
      <c r="BD58" s="835">
        <f>'1.BS (VND)'!AY32/$C$6</f>
        <v>0</v>
      </c>
      <c r="BE58" s="835">
        <f>'1.BS (VND)'!AZ32/$C$6</f>
        <v>0</v>
      </c>
      <c r="BF58" s="835">
        <f>'1.BS (VND)'!BA32/$C$6</f>
        <v>0</v>
      </c>
      <c r="BG58" s="840"/>
      <c r="BH58" s="835">
        <f>'1.BS (VND)'!BC32/$C$6</f>
        <v>0</v>
      </c>
      <c r="BI58" s="835">
        <f>'1.BS (VND)'!BD32/$C$6</f>
        <v>0</v>
      </c>
      <c r="BJ58" s="835">
        <f>'1.BS (VND)'!BE32/$C$6</f>
        <v>0</v>
      </c>
      <c r="BK58" s="835">
        <f>'1.BS (VND)'!BF32/$C$6</f>
        <v>0</v>
      </c>
      <c r="BL58" s="840"/>
      <c r="BM58" s="835">
        <f>'1.BS (VND)'!BH32/$C$6</f>
        <v>0</v>
      </c>
      <c r="BN58" s="835">
        <f>'1.BS (VND)'!BI32/$C$6</f>
        <v>0</v>
      </c>
      <c r="BO58" s="835">
        <f>'1.BS (VND)'!BJ32/$C$6</f>
        <v>0</v>
      </c>
      <c r="BP58" s="835">
        <f>'1.BS (VND)'!BK32/$C$6</f>
        <v>0</v>
      </c>
      <c r="BQ58" s="841"/>
      <c r="BR58" s="835">
        <f t="shared" si="84"/>
        <v>0</v>
      </c>
      <c r="BS58" s="835">
        <f t="shared" si="85"/>
        <v>0</v>
      </c>
      <c r="BT58" s="835">
        <f t="shared" si="86"/>
        <v>0</v>
      </c>
      <c r="BU58" s="835">
        <f t="shared" si="87"/>
        <v>0</v>
      </c>
      <c r="BV58" s="967"/>
      <c r="BW58" s="835">
        <f t="shared" si="88"/>
        <v>0</v>
      </c>
      <c r="BX58" s="835">
        <f t="shared" si="89"/>
        <v>0</v>
      </c>
      <c r="BY58" s="835">
        <f t="shared" si="90"/>
        <v>0</v>
      </c>
      <c r="BZ58" s="835">
        <f t="shared" si="91"/>
        <v>0</v>
      </c>
      <c r="CA58" s="840"/>
      <c r="CB58" s="835">
        <f t="shared" si="92"/>
        <v>0</v>
      </c>
      <c r="CC58" s="835">
        <f t="shared" si="93"/>
        <v>0</v>
      </c>
      <c r="CD58" s="835">
        <f t="shared" si="94"/>
        <v>0</v>
      </c>
      <c r="CE58" s="835">
        <f t="shared" si="95"/>
        <v>0</v>
      </c>
      <c r="CF58" s="840"/>
      <c r="CG58" s="835">
        <f t="shared" si="96"/>
        <v>0</v>
      </c>
      <c r="CH58" s="835">
        <f t="shared" si="97"/>
        <v>0</v>
      </c>
      <c r="CI58" s="835">
        <f t="shared" si="98"/>
        <v>0</v>
      </c>
      <c r="CJ58" s="835">
        <f t="shared" si="99"/>
        <v>0</v>
      </c>
      <c r="CK58" s="840"/>
      <c r="CL58" s="835">
        <f t="shared" si="100"/>
        <v>0</v>
      </c>
      <c r="CM58" s="835">
        <f t="shared" si="101"/>
        <v>0</v>
      </c>
      <c r="CN58" s="835">
        <f t="shared" si="102"/>
        <v>0</v>
      </c>
      <c r="CO58" s="835">
        <f t="shared" si="103"/>
        <v>0</v>
      </c>
      <c r="CP58" s="840"/>
      <c r="CQ58" s="835">
        <f t="shared" si="104"/>
        <v>0</v>
      </c>
      <c r="CR58" s="835">
        <f t="shared" si="105"/>
        <v>0</v>
      </c>
      <c r="CS58" s="835">
        <f t="shared" si="106"/>
        <v>0</v>
      </c>
      <c r="CT58" s="835">
        <f t="shared" si="107"/>
        <v>0</v>
      </c>
      <c r="CU58" s="842"/>
      <c r="CV58" s="835">
        <f t="shared" si="113"/>
        <v>0</v>
      </c>
      <c r="CW58" s="835">
        <f t="shared" si="113"/>
        <v>0</v>
      </c>
      <c r="CX58" s="835">
        <f t="shared" si="113"/>
        <v>0</v>
      </c>
      <c r="CY58" s="835">
        <f t="shared" si="113"/>
        <v>0</v>
      </c>
      <c r="CZ58" s="842"/>
      <c r="DA58" s="835">
        <f>'1.BS (VND)'!CV32/'1.BC_Ra Soat (ty) '!$C$6</f>
        <v>0</v>
      </c>
      <c r="DB58" s="835">
        <f>'1.BS (VND)'!CW32/'1.BC_Ra Soat (ty) '!$C$6</f>
        <v>0</v>
      </c>
      <c r="DC58" s="835">
        <f>'1.BS (VND)'!CX32/'1.BC_Ra Soat (ty) '!$C$6</f>
        <v>0</v>
      </c>
      <c r="DD58" s="835">
        <f>'1.BS (VND)'!CY32/'1.BC_Ra Soat (ty) '!$C$6</f>
        <v>0</v>
      </c>
      <c r="DE58" s="842"/>
      <c r="DF58" s="835">
        <f t="shared" si="110"/>
        <v>0</v>
      </c>
      <c r="DG58" s="835">
        <f t="shared" si="109"/>
        <v>0</v>
      </c>
      <c r="DH58" s="835">
        <f t="shared" si="109"/>
        <v>0</v>
      </c>
      <c r="DI58" s="835">
        <f t="shared" si="109"/>
        <v>0</v>
      </c>
    </row>
    <row r="59" spans="1:114" s="441" customFormat="1" ht="15.75" x14ac:dyDescent="0.25">
      <c r="A59" s="447">
        <f t="shared" si="111"/>
        <v>1</v>
      </c>
      <c r="C59" s="452" t="s">
        <v>341</v>
      </c>
      <c r="D59" s="453" t="s">
        <v>342</v>
      </c>
      <c r="E59" s="835">
        <f>'1.BS (VND)'!E33/$C$6</f>
        <v>4.4430133999999999</v>
      </c>
      <c r="F59" s="835">
        <f>'1.BS (VND)'!F33/$C$6</f>
        <v>6.0571813939999997</v>
      </c>
      <c r="G59" s="835">
        <f>'1.BS (VND)'!G33/$C$6</f>
        <v>6.2150996660000004</v>
      </c>
      <c r="H59" s="835">
        <f>'1.BS (VND)'!H33/$C$6</f>
        <v>6.442994519</v>
      </c>
      <c r="I59" s="967"/>
      <c r="J59" s="835">
        <f>'1.BS (VND)'!J33/$C$6</f>
        <v>2.8E-3</v>
      </c>
      <c r="K59" s="835">
        <f>'1.BS (VND)'!K33/$C$6</f>
        <v>1.0367095209999999</v>
      </c>
      <c r="L59" s="835">
        <f>'1.BS (VND)'!L33/$C$6</f>
        <v>1.041709521</v>
      </c>
      <c r="M59" s="835">
        <f>'1.BS (VND)'!M33/$C$6</f>
        <v>1.041709521</v>
      </c>
      <c r="N59" s="840"/>
      <c r="O59" s="835">
        <f>'1.BS (VND)'!O33/$C$6</f>
        <v>5.1416759999999999E-2</v>
      </c>
      <c r="P59" s="835">
        <f>'1.BS (VND)'!P33/$C$6</f>
        <v>0.83552459300000004</v>
      </c>
      <c r="Q59" s="835">
        <f>'1.BS (VND)'!Q33/$C$6</f>
        <v>1.1929744419999999</v>
      </c>
      <c r="R59" s="835">
        <f>'1.BS (VND)'!R33/$C$6</f>
        <v>1.1561417439999999</v>
      </c>
      <c r="S59" s="840"/>
      <c r="T59" s="835">
        <f>'1.BS (VND)'!T33/$C$6</f>
        <v>0</v>
      </c>
      <c r="U59" s="835">
        <f>'1.BS (VND)'!U33/$C$6</f>
        <v>1.2623553489999999</v>
      </c>
      <c r="V59" s="835">
        <f>'1.BS (VND)'!V33/$C$6</f>
        <v>1.2623553489999999</v>
      </c>
      <c r="W59" s="835">
        <f>'1.BS (VND)'!W33/$C$6</f>
        <v>1.2623553489999999</v>
      </c>
      <c r="X59" s="840"/>
      <c r="Y59" s="835">
        <f>'1.BS (VND)'!Y33/$C$6</f>
        <v>0</v>
      </c>
      <c r="Z59" s="835">
        <f>'1.BS (VND)'!Z33/$C$6</f>
        <v>0</v>
      </c>
      <c r="AA59" s="835">
        <f>'1.BS (VND)'!AA33/$C$6</f>
        <v>0</v>
      </c>
      <c r="AB59" s="835">
        <f>'1.BS (VND)'!AB33/$C$6</f>
        <v>0</v>
      </c>
      <c r="AC59" s="840"/>
      <c r="AD59" s="835">
        <f>'1.BS (VND)'!AD33/$C$6</f>
        <v>0</v>
      </c>
      <c r="AE59" s="835">
        <f>'1.BS (VND)'!AE33/$C$6</f>
        <v>0</v>
      </c>
      <c r="AF59" s="835">
        <f>'1.BS (VND)'!AF33/$C$6</f>
        <v>0</v>
      </c>
      <c r="AG59" s="835">
        <f>'1.BS (VND)'!AG33/$C$6</f>
        <v>0</v>
      </c>
      <c r="AH59" s="841"/>
      <c r="AI59" s="835">
        <f t="shared" si="112"/>
        <v>4.49723016</v>
      </c>
      <c r="AJ59" s="835">
        <f t="shared" si="112"/>
        <v>9.1917708569999981</v>
      </c>
      <c r="AK59" s="835">
        <f t="shared" si="112"/>
        <v>9.7121389780000005</v>
      </c>
      <c r="AL59" s="835">
        <f t="shared" si="83"/>
        <v>9.9032011329999996</v>
      </c>
      <c r="AM59" s="852"/>
      <c r="AN59" s="835">
        <f>'1.BS (VND)'!AI33/$C$6</f>
        <v>0</v>
      </c>
      <c r="AO59" s="835">
        <f>'1.BS (VND)'!AJ33/$C$6</f>
        <v>0</v>
      </c>
      <c r="AP59" s="835">
        <f>'1.BS (VND)'!AK33/$C$6</f>
        <v>0</v>
      </c>
      <c r="AQ59" s="835">
        <f>'1.BS (VND)'!AL33/$C$6</f>
        <v>0</v>
      </c>
      <c r="AR59" s="967"/>
      <c r="AS59" s="835">
        <f>'1.BS (VND)'!AN33/$C$6</f>
        <v>0</v>
      </c>
      <c r="AT59" s="835">
        <f>'1.BS (VND)'!AO33/$C$6</f>
        <v>0</v>
      </c>
      <c r="AU59" s="835">
        <f>'1.BS (VND)'!AP33/$C$6</f>
        <v>0</v>
      </c>
      <c r="AV59" s="835">
        <f>'1.BS (VND)'!AQ33/$C$6</f>
        <v>0</v>
      </c>
      <c r="AW59" s="840"/>
      <c r="AX59" s="835">
        <f>'1.BS (VND)'!AS33/$C$6</f>
        <v>0</v>
      </c>
      <c r="AY59" s="835">
        <f>'1.BS (VND)'!AT33/$C$6</f>
        <v>0</v>
      </c>
      <c r="AZ59" s="835">
        <f>'1.BS (VND)'!AU33/$C$6</f>
        <v>0</v>
      </c>
      <c r="BA59" s="835">
        <f>'1.BS (VND)'!AV33/$C$6</f>
        <v>0</v>
      </c>
      <c r="BB59" s="840"/>
      <c r="BC59" s="835">
        <f>'1.BS (VND)'!AX33/$C$6</f>
        <v>0</v>
      </c>
      <c r="BD59" s="835">
        <f>'1.BS (VND)'!AY33/$C$6</f>
        <v>0</v>
      </c>
      <c r="BE59" s="835">
        <f>'1.BS (VND)'!AZ33/$C$6</f>
        <v>0</v>
      </c>
      <c r="BF59" s="835">
        <f>'1.BS (VND)'!BA33/$C$6</f>
        <v>0</v>
      </c>
      <c r="BG59" s="840"/>
      <c r="BH59" s="835">
        <f>'1.BS (VND)'!BC33/$C$6</f>
        <v>0</v>
      </c>
      <c r="BI59" s="835">
        <f>'1.BS (VND)'!BD33/$C$6</f>
        <v>0</v>
      </c>
      <c r="BJ59" s="835">
        <f>'1.BS (VND)'!BE33/$C$6</f>
        <v>0</v>
      </c>
      <c r="BK59" s="835">
        <f>'1.BS (VND)'!BF33/$C$6</f>
        <v>0</v>
      </c>
      <c r="BL59" s="840"/>
      <c r="BM59" s="835">
        <f>'1.BS (VND)'!BH33/$C$6</f>
        <v>0</v>
      </c>
      <c r="BN59" s="835">
        <f>'1.BS (VND)'!BI33/$C$6</f>
        <v>0</v>
      </c>
      <c r="BO59" s="835">
        <f>'1.BS (VND)'!BJ33/$C$6</f>
        <v>0</v>
      </c>
      <c r="BP59" s="835">
        <f>'1.BS (VND)'!BK33/$C$6</f>
        <v>0</v>
      </c>
      <c r="BQ59" s="841"/>
      <c r="BR59" s="835">
        <f t="shared" si="84"/>
        <v>4.4430133999999999</v>
      </c>
      <c r="BS59" s="835">
        <f t="shared" si="85"/>
        <v>6.0571813939999997</v>
      </c>
      <c r="BT59" s="835">
        <f t="shared" si="86"/>
        <v>6.2150996660000004</v>
      </c>
      <c r="BU59" s="835">
        <f t="shared" si="87"/>
        <v>6.442994519</v>
      </c>
      <c r="BV59" s="967"/>
      <c r="BW59" s="835">
        <f t="shared" si="88"/>
        <v>2.8E-3</v>
      </c>
      <c r="BX59" s="835">
        <f t="shared" si="89"/>
        <v>1.0367095209999999</v>
      </c>
      <c r="BY59" s="835">
        <f t="shared" si="90"/>
        <v>1.041709521</v>
      </c>
      <c r="BZ59" s="835">
        <f t="shared" si="91"/>
        <v>1.041709521</v>
      </c>
      <c r="CA59" s="840"/>
      <c r="CB59" s="835">
        <f t="shared" si="92"/>
        <v>5.1416759999999999E-2</v>
      </c>
      <c r="CC59" s="835">
        <f t="shared" si="93"/>
        <v>0.83552459300000004</v>
      </c>
      <c r="CD59" s="835">
        <f t="shared" si="94"/>
        <v>1.1929744419999999</v>
      </c>
      <c r="CE59" s="835">
        <f t="shared" si="95"/>
        <v>1.1561417439999999</v>
      </c>
      <c r="CF59" s="840"/>
      <c r="CG59" s="835">
        <f t="shared" si="96"/>
        <v>0</v>
      </c>
      <c r="CH59" s="835">
        <f t="shared" si="97"/>
        <v>1.2623553489999999</v>
      </c>
      <c r="CI59" s="835">
        <f t="shared" si="98"/>
        <v>1.2623553489999999</v>
      </c>
      <c r="CJ59" s="835">
        <f t="shared" si="99"/>
        <v>1.2623553489999999</v>
      </c>
      <c r="CK59" s="840"/>
      <c r="CL59" s="835">
        <f t="shared" si="100"/>
        <v>0</v>
      </c>
      <c r="CM59" s="835">
        <f t="shared" si="101"/>
        <v>0</v>
      </c>
      <c r="CN59" s="835">
        <f t="shared" si="102"/>
        <v>0</v>
      </c>
      <c r="CO59" s="835">
        <f t="shared" si="103"/>
        <v>0</v>
      </c>
      <c r="CP59" s="840"/>
      <c r="CQ59" s="835">
        <f t="shared" si="104"/>
        <v>0</v>
      </c>
      <c r="CR59" s="835">
        <f t="shared" si="105"/>
        <v>0</v>
      </c>
      <c r="CS59" s="835">
        <f t="shared" si="106"/>
        <v>0</v>
      </c>
      <c r="CT59" s="835">
        <f t="shared" si="107"/>
        <v>0</v>
      </c>
      <c r="CU59" s="842"/>
      <c r="CV59" s="835">
        <f t="shared" si="113"/>
        <v>4.49723016</v>
      </c>
      <c r="CW59" s="835">
        <f t="shared" si="113"/>
        <v>9.1917708569999981</v>
      </c>
      <c r="CX59" s="835">
        <f t="shared" si="113"/>
        <v>9.7121389780000005</v>
      </c>
      <c r="CY59" s="835">
        <f t="shared" si="113"/>
        <v>9.9032011329999996</v>
      </c>
      <c r="CZ59" s="842"/>
      <c r="DA59" s="835">
        <f>'1.BS (VND)'!CV33/'1.BC_Ra Soat (ty) '!$C$6</f>
        <v>0</v>
      </c>
      <c r="DB59" s="835">
        <f>'1.BS (VND)'!CW33/'1.BC_Ra Soat (ty) '!$C$6</f>
        <v>0</v>
      </c>
      <c r="DC59" s="835">
        <f>'1.BS (VND)'!CX33/'1.BC_Ra Soat (ty) '!$C$6</f>
        <v>0</v>
      </c>
      <c r="DD59" s="835">
        <f>'1.BS (VND)'!CY33/'1.BC_Ra Soat (ty) '!$C$6</f>
        <v>0</v>
      </c>
      <c r="DE59" s="842"/>
      <c r="DF59" s="835">
        <f t="shared" si="110"/>
        <v>4.49723016</v>
      </c>
      <c r="DG59" s="835">
        <f t="shared" si="109"/>
        <v>9.1917708569999981</v>
      </c>
      <c r="DH59" s="835">
        <f t="shared" si="109"/>
        <v>9.7121389780000005</v>
      </c>
      <c r="DI59" s="835">
        <f t="shared" si="109"/>
        <v>9.9032011329999996</v>
      </c>
      <c r="DJ59" s="444"/>
    </row>
    <row r="60" spans="1:114" s="459" customFormat="1" ht="15.75" x14ac:dyDescent="0.25">
      <c r="A60" s="447">
        <f t="shared" si="111"/>
        <v>1</v>
      </c>
      <c r="C60" s="461" t="s">
        <v>579</v>
      </c>
      <c r="D60" s="462" t="s">
        <v>343</v>
      </c>
      <c r="E60" s="963">
        <f>'1.BS (VND)'!E34/$C$6</f>
        <v>70.354868464999996</v>
      </c>
      <c r="F60" s="963">
        <f>'1.BS (VND)'!F34/$C$6</f>
        <v>71.423302014000001</v>
      </c>
      <c r="G60" s="963">
        <f>'1.BS (VND)'!G34/$C$6</f>
        <v>99.474628237999994</v>
      </c>
      <c r="H60" s="963">
        <f>'1.BS (VND)'!H34/$C$6</f>
        <v>99.493850334000001</v>
      </c>
      <c r="I60" s="964"/>
      <c r="J60" s="963">
        <f>'1.BS (VND)'!J34/$C$6</f>
        <v>0</v>
      </c>
      <c r="K60" s="963">
        <f>'1.BS (VND)'!K34/$C$6</f>
        <v>39.777749645999997</v>
      </c>
      <c r="L60" s="963">
        <f>'1.BS (VND)'!L34/$C$6</f>
        <v>52.561073149000002</v>
      </c>
      <c r="M60" s="963">
        <f>'1.BS (VND)'!M34/$C$6</f>
        <v>53.928345876000002</v>
      </c>
      <c r="N60" s="965"/>
      <c r="O60" s="963">
        <f>'1.BS (VND)'!O34/$C$6</f>
        <v>14.406782538</v>
      </c>
      <c r="P60" s="963">
        <f>'1.BS (VND)'!P34/$C$6</f>
        <v>11.845734922</v>
      </c>
      <c r="Q60" s="963">
        <f>'1.BS (VND)'!Q34/$C$6</f>
        <v>6.1748661709999997</v>
      </c>
      <c r="R60" s="963">
        <f>'1.BS (VND)'!R34/$C$6</f>
        <v>4.2935968369999999</v>
      </c>
      <c r="S60" s="965"/>
      <c r="T60" s="963">
        <f>'1.BS (VND)'!T34/$C$6</f>
        <v>16.716666666999998</v>
      </c>
      <c r="U60" s="963">
        <f>'1.BS (VND)'!U34/$C$6</f>
        <v>16.636991667</v>
      </c>
      <c r="V60" s="963">
        <f>'1.BS (VND)'!V34/$C$6</f>
        <v>15.356666667000001</v>
      </c>
      <c r="W60" s="963">
        <f>'1.BS (VND)'!W34/$C$6</f>
        <v>14.676666666999999</v>
      </c>
      <c r="X60" s="965"/>
      <c r="Y60" s="963">
        <f>'1.BS (VND)'!Y34/$C$6</f>
        <v>0</v>
      </c>
      <c r="Z60" s="963">
        <f>'1.BS (VND)'!Z34/$C$6</f>
        <v>0</v>
      </c>
      <c r="AA60" s="963">
        <f>'1.BS (VND)'!AA34/$C$6</f>
        <v>0</v>
      </c>
      <c r="AB60" s="963">
        <f>'1.BS (VND)'!AB34/$C$6</f>
        <v>0</v>
      </c>
      <c r="AC60" s="965"/>
      <c r="AD60" s="963">
        <f>'1.BS (VND)'!AD34/$C$6</f>
        <v>0</v>
      </c>
      <c r="AE60" s="963">
        <f>'1.BS (VND)'!AE34/$C$6</f>
        <v>0</v>
      </c>
      <c r="AF60" s="963">
        <f>'1.BS (VND)'!AF34/$C$6</f>
        <v>0</v>
      </c>
      <c r="AG60" s="963">
        <f>'1.BS (VND)'!AG34/$C$6</f>
        <v>0</v>
      </c>
      <c r="AH60" s="966"/>
      <c r="AI60" s="963">
        <f t="shared" si="112"/>
        <v>101.47831767</v>
      </c>
      <c r="AJ60" s="963">
        <f t="shared" si="112"/>
        <v>139.683778249</v>
      </c>
      <c r="AK60" s="963">
        <f t="shared" si="112"/>
        <v>173.56723422499999</v>
      </c>
      <c r="AL60" s="963">
        <f t="shared" si="83"/>
        <v>172.39245971400001</v>
      </c>
      <c r="AM60" s="964"/>
      <c r="AN60" s="963">
        <f>'1.BS (VND)'!AI34/$C$6</f>
        <v>0</v>
      </c>
      <c r="AO60" s="963">
        <f>'1.BS (VND)'!AJ34/$C$6</f>
        <v>0</v>
      </c>
      <c r="AP60" s="963">
        <f>'1.BS (VND)'!AK34/$C$6</f>
        <v>-10.749717626000001</v>
      </c>
      <c r="AQ60" s="963">
        <f>'1.BS (VND)'!AL34/$C$6</f>
        <v>-11.823321514</v>
      </c>
      <c r="AR60" s="964"/>
      <c r="AS60" s="963">
        <f>'1.BS (VND)'!AN34/$C$6</f>
        <v>0</v>
      </c>
      <c r="AT60" s="963">
        <f>'1.BS (VND)'!AO34/$C$6</f>
        <v>0</v>
      </c>
      <c r="AU60" s="963">
        <f>'1.BS (VND)'!AP34/$C$6</f>
        <v>0</v>
      </c>
      <c r="AV60" s="963">
        <f>'1.BS (VND)'!AQ34/$C$6</f>
        <v>-0.74154054899999999</v>
      </c>
      <c r="AW60" s="965"/>
      <c r="AX60" s="963">
        <f>'1.BS (VND)'!AS34/$C$6</f>
        <v>0</v>
      </c>
      <c r="AY60" s="963">
        <f>'1.BS (VND)'!AT34/$C$6</f>
        <v>0</v>
      </c>
      <c r="AZ60" s="963">
        <f>'1.BS (VND)'!AU34/$C$6</f>
        <v>-0.84688822900000005</v>
      </c>
      <c r="BA60" s="963">
        <f>'1.BS (VND)'!AV34/$C$6</f>
        <v>-0.84688822900000005</v>
      </c>
      <c r="BB60" s="965"/>
      <c r="BC60" s="963">
        <f>'1.BS (VND)'!AX34/$C$6</f>
        <v>0</v>
      </c>
      <c r="BD60" s="963">
        <f>'1.BS (VND)'!AY34/$C$6</f>
        <v>0</v>
      </c>
      <c r="BE60" s="963">
        <f>'1.BS (VND)'!AZ34/$C$6</f>
        <v>-1.2623553489999999</v>
      </c>
      <c r="BF60" s="963">
        <f>'1.BS (VND)'!BA34/$C$6</f>
        <v>-1.2623553489999999</v>
      </c>
      <c r="BG60" s="965"/>
      <c r="BH60" s="963">
        <f>'1.BS (VND)'!BC34/$C$6</f>
        <v>0</v>
      </c>
      <c r="BI60" s="963">
        <f>'1.BS (VND)'!BD34/$C$6</f>
        <v>0</v>
      </c>
      <c r="BJ60" s="963">
        <f>'1.BS (VND)'!BE34/$C$6</f>
        <v>0</v>
      </c>
      <c r="BK60" s="963">
        <f>'1.BS (VND)'!BF34/$C$6</f>
        <v>0</v>
      </c>
      <c r="BL60" s="965"/>
      <c r="BM60" s="963">
        <f>'1.BS (VND)'!BH34/$C$6</f>
        <v>0</v>
      </c>
      <c r="BN60" s="963">
        <f>'1.BS (VND)'!BI34/$C$6</f>
        <v>0</v>
      </c>
      <c r="BO60" s="963">
        <f>'1.BS (VND)'!BJ34/$C$6</f>
        <v>0</v>
      </c>
      <c r="BP60" s="963">
        <f>'1.BS (VND)'!BK34/$C$6</f>
        <v>0</v>
      </c>
      <c r="BQ60" s="966"/>
      <c r="BR60" s="963">
        <f t="shared" si="84"/>
        <v>70.354868464999996</v>
      </c>
      <c r="BS60" s="963">
        <f t="shared" si="85"/>
        <v>71.423302014000001</v>
      </c>
      <c r="BT60" s="963">
        <f t="shared" si="86"/>
        <v>88.724910611999988</v>
      </c>
      <c r="BU60" s="963">
        <f t="shared" si="87"/>
        <v>87.670528820000001</v>
      </c>
      <c r="BV60" s="964"/>
      <c r="BW60" s="963">
        <f t="shared" si="88"/>
        <v>0</v>
      </c>
      <c r="BX60" s="963">
        <f t="shared" si="89"/>
        <v>39.777749645999997</v>
      </c>
      <c r="BY60" s="963">
        <f t="shared" si="90"/>
        <v>52.561073149000002</v>
      </c>
      <c r="BZ60" s="963">
        <f t="shared" si="91"/>
        <v>53.186805327000002</v>
      </c>
      <c r="CA60" s="965"/>
      <c r="CB60" s="963">
        <f t="shared" si="92"/>
        <v>14.406782538</v>
      </c>
      <c r="CC60" s="963">
        <f t="shared" si="93"/>
        <v>11.845734922</v>
      </c>
      <c r="CD60" s="963">
        <f t="shared" si="94"/>
        <v>5.3279779419999995</v>
      </c>
      <c r="CE60" s="963">
        <f t="shared" si="95"/>
        <v>3.4467086079999998</v>
      </c>
      <c r="CF60" s="965"/>
      <c r="CG60" s="963">
        <f t="shared" si="96"/>
        <v>16.716666666999998</v>
      </c>
      <c r="CH60" s="963">
        <f t="shared" si="97"/>
        <v>16.636991667</v>
      </c>
      <c r="CI60" s="963">
        <f t="shared" si="98"/>
        <v>14.094311318000001</v>
      </c>
      <c r="CJ60" s="963">
        <f t="shared" si="99"/>
        <v>13.414311317999999</v>
      </c>
      <c r="CK60" s="965"/>
      <c r="CL60" s="963">
        <f t="shared" si="100"/>
        <v>0</v>
      </c>
      <c r="CM60" s="963">
        <f t="shared" si="101"/>
        <v>0</v>
      </c>
      <c r="CN60" s="963">
        <f t="shared" si="102"/>
        <v>0</v>
      </c>
      <c r="CO60" s="963">
        <f t="shared" si="103"/>
        <v>0</v>
      </c>
      <c r="CP60" s="965"/>
      <c r="CQ60" s="963">
        <f t="shared" si="104"/>
        <v>0</v>
      </c>
      <c r="CR60" s="963">
        <f t="shared" si="105"/>
        <v>0</v>
      </c>
      <c r="CS60" s="963">
        <f t="shared" si="106"/>
        <v>0</v>
      </c>
      <c r="CT60" s="963">
        <f t="shared" si="107"/>
        <v>0</v>
      </c>
      <c r="CU60" s="964"/>
      <c r="CV60" s="963">
        <f t="shared" si="113"/>
        <v>101.47831767</v>
      </c>
      <c r="CW60" s="963">
        <f t="shared" si="113"/>
        <v>139.683778249</v>
      </c>
      <c r="CX60" s="963">
        <f t="shared" si="113"/>
        <v>160.70827302099997</v>
      </c>
      <c r="CY60" s="963">
        <f t="shared" si="113"/>
        <v>157.718354073</v>
      </c>
      <c r="CZ60" s="964"/>
      <c r="DA60" s="963">
        <f>'1.BS (VND)'!CV34/'1.BC_Ra Soat (ty) '!$C$6</f>
        <v>0</v>
      </c>
      <c r="DB60" s="963">
        <f>'1.BS (VND)'!CW34/'1.BC_Ra Soat (ty) '!$C$6</f>
        <v>0</v>
      </c>
      <c r="DC60" s="963">
        <f>'1.BS (VND)'!CX34/'1.BC_Ra Soat (ty) '!$C$6</f>
        <v>0</v>
      </c>
      <c r="DD60" s="963">
        <f>'1.BS (VND)'!CY34/'1.BC_Ra Soat (ty) '!$C$6</f>
        <v>0</v>
      </c>
      <c r="DE60" s="964"/>
      <c r="DF60" s="963">
        <f t="shared" si="110"/>
        <v>101.47831767</v>
      </c>
      <c r="DG60" s="963">
        <f t="shared" si="109"/>
        <v>139.683778249</v>
      </c>
      <c r="DH60" s="963">
        <f t="shared" si="109"/>
        <v>160.70827302099997</v>
      </c>
      <c r="DI60" s="963">
        <f>CY60+DD60</f>
        <v>157.718354073</v>
      </c>
      <c r="DJ60" s="460"/>
    </row>
    <row r="61" spans="1:114" s="447" customFormat="1" ht="15.75" hidden="1" x14ac:dyDescent="0.25">
      <c r="A61" s="447" t="str">
        <f t="shared" si="111"/>
        <v>hide</v>
      </c>
      <c r="C61" s="450" t="s">
        <v>344</v>
      </c>
      <c r="D61" s="451" t="s">
        <v>345</v>
      </c>
      <c r="E61" s="849">
        <f>'1.BS (VND)'!E35/$C$6</f>
        <v>0</v>
      </c>
      <c r="F61" s="849">
        <f>'1.BS (VND)'!F35/$C$6</f>
        <v>0</v>
      </c>
      <c r="G61" s="849">
        <f>'1.BS (VND)'!G35/$C$6</f>
        <v>0</v>
      </c>
      <c r="H61" s="849">
        <f>'1.BS (VND)'!H35/$C$6</f>
        <v>0</v>
      </c>
      <c r="I61" s="850"/>
      <c r="J61" s="849">
        <f>'1.BS (VND)'!J35/$C$6</f>
        <v>0</v>
      </c>
      <c r="K61" s="849">
        <f>'1.BS (VND)'!K35/$C$6</f>
        <v>0</v>
      </c>
      <c r="L61" s="849">
        <f>'1.BS (VND)'!L35/$C$6</f>
        <v>0</v>
      </c>
      <c r="M61" s="849">
        <f>'1.BS (VND)'!M35/$C$6</f>
        <v>0</v>
      </c>
      <c r="N61" s="850"/>
      <c r="O61" s="849">
        <f>'1.BS (VND)'!O35/$C$6</f>
        <v>0</v>
      </c>
      <c r="P61" s="849">
        <f>'1.BS (VND)'!P35/$C$6</f>
        <v>0</v>
      </c>
      <c r="Q61" s="849">
        <f>'1.BS (VND)'!Q35/$C$6</f>
        <v>0</v>
      </c>
      <c r="R61" s="849">
        <f>'1.BS (VND)'!R35/$C$6</f>
        <v>0</v>
      </c>
      <c r="S61" s="850"/>
      <c r="T61" s="849">
        <f>'1.BS (VND)'!T35/$C$6</f>
        <v>0</v>
      </c>
      <c r="U61" s="849">
        <f>'1.BS (VND)'!U35/$C$6</f>
        <v>0</v>
      </c>
      <c r="V61" s="849">
        <f>'1.BS (VND)'!V35/$C$6</f>
        <v>0</v>
      </c>
      <c r="W61" s="849">
        <f>'1.BS (VND)'!W35/$C$6</f>
        <v>0</v>
      </c>
      <c r="X61" s="850"/>
      <c r="Y61" s="849">
        <f>'1.BS (VND)'!Y35/$C$6</f>
        <v>0</v>
      </c>
      <c r="Z61" s="849">
        <f>'1.BS (VND)'!Z35/$C$6</f>
        <v>0</v>
      </c>
      <c r="AA61" s="849">
        <f>'1.BS (VND)'!AA35/$C$6</f>
        <v>0</v>
      </c>
      <c r="AB61" s="849">
        <f>'1.BS (VND)'!AB35/$C$6</f>
        <v>0</v>
      </c>
      <c r="AC61" s="850"/>
      <c r="AD61" s="849">
        <f>'1.BS (VND)'!AD35/$C$6</f>
        <v>0</v>
      </c>
      <c r="AE61" s="849">
        <f>'1.BS (VND)'!AE35/$C$6</f>
        <v>0</v>
      </c>
      <c r="AF61" s="849">
        <f>'1.BS (VND)'!AF35/$C$6</f>
        <v>0</v>
      </c>
      <c r="AG61" s="849">
        <f>'1.BS (VND)'!AG35/$C$6</f>
        <v>0</v>
      </c>
      <c r="AH61" s="851"/>
      <c r="AI61" s="849">
        <f t="shared" si="112"/>
        <v>0</v>
      </c>
      <c r="AJ61" s="849">
        <f t="shared" si="112"/>
        <v>0</v>
      </c>
      <c r="AK61" s="849">
        <f t="shared" si="112"/>
        <v>0</v>
      </c>
      <c r="AL61" s="849">
        <f t="shared" si="83"/>
        <v>0</v>
      </c>
      <c r="AM61" s="852"/>
      <c r="AN61" s="849">
        <f>'1.BS (VND)'!AI35/$C$6</f>
        <v>0</v>
      </c>
      <c r="AO61" s="849">
        <f>'1.BS (VND)'!AJ35/$C$6</f>
        <v>0</v>
      </c>
      <c r="AP61" s="849">
        <f>'1.BS (VND)'!AK35/$C$6</f>
        <v>0</v>
      </c>
      <c r="AQ61" s="849">
        <f>'1.BS (VND)'!AL35/$C$6</f>
        <v>0</v>
      </c>
      <c r="AR61" s="850"/>
      <c r="AS61" s="849">
        <f>'1.BS (VND)'!AN35/$C$6</f>
        <v>0</v>
      </c>
      <c r="AT61" s="849">
        <f>'1.BS (VND)'!AO35/$C$6</f>
        <v>0</v>
      </c>
      <c r="AU61" s="849">
        <f>'1.BS (VND)'!AP35/$C$6</f>
        <v>0</v>
      </c>
      <c r="AV61" s="849">
        <f>'1.BS (VND)'!AQ35/$C$6</f>
        <v>0</v>
      </c>
      <c r="AW61" s="850"/>
      <c r="AX61" s="849">
        <f>'1.BS (VND)'!AS35/$C$6</f>
        <v>0</v>
      </c>
      <c r="AY61" s="849">
        <f>'1.BS (VND)'!AT35/$C$6</f>
        <v>0</v>
      </c>
      <c r="AZ61" s="849">
        <f>'1.BS (VND)'!AU35/$C$6</f>
        <v>0</v>
      </c>
      <c r="BA61" s="849">
        <f>'1.BS (VND)'!AV35/$C$6</f>
        <v>0</v>
      </c>
      <c r="BB61" s="850"/>
      <c r="BC61" s="849">
        <f>'1.BS (VND)'!AX35/$C$6</f>
        <v>0</v>
      </c>
      <c r="BD61" s="849">
        <f>'1.BS (VND)'!AY35/$C$6</f>
        <v>0</v>
      </c>
      <c r="BE61" s="849">
        <f>'1.BS (VND)'!AZ35/$C$6</f>
        <v>0</v>
      </c>
      <c r="BF61" s="849">
        <f>'1.BS (VND)'!BA35/$C$6</f>
        <v>0</v>
      </c>
      <c r="BG61" s="850"/>
      <c r="BH61" s="849">
        <f>'1.BS (VND)'!BC35/$C$6</f>
        <v>0</v>
      </c>
      <c r="BI61" s="849">
        <f>'1.BS (VND)'!BD35/$C$6</f>
        <v>0</v>
      </c>
      <c r="BJ61" s="849">
        <f>'1.BS (VND)'!BE35/$C$6</f>
        <v>0</v>
      </c>
      <c r="BK61" s="849">
        <f>'1.BS (VND)'!BF35/$C$6</f>
        <v>0</v>
      </c>
      <c r="BL61" s="850"/>
      <c r="BM61" s="849">
        <f>'1.BS (VND)'!BH35/$C$6</f>
        <v>0</v>
      </c>
      <c r="BN61" s="849">
        <f>'1.BS (VND)'!BI35/$C$6</f>
        <v>0</v>
      </c>
      <c r="BO61" s="849">
        <f>'1.BS (VND)'!BJ35/$C$6</f>
        <v>0</v>
      </c>
      <c r="BP61" s="849">
        <f>'1.BS (VND)'!BK35/$C$6</f>
        <v>0</v>
      </c>
      <c r="BQ61" s="851"/>
      <c r="BR61" s="849">
        <f t="shared" si="84"/>
        <v>0</v>
      </c>
      <c r="BS61" s="849">
        <f t="shared" si="85"/>
        <v>0</v>
      </c>
      <c r="BT61" s="849">
        <f t="shared" si="86"/>
        <v>0</v>
      </c>
      <c r="BU61" s="849">
        <f t="shared" si="87"/>
        <v>0</v>
      </c>
      <c r="BV61" s="850"/>
      <c r="BW61" s="849">
        <f t="shared" si="88"/>
        <v>0</v>
      </c>
      <c r="BX61" s="849">
        <f t="shared" si="89"/>
        <v>0</v>
      </c>
      <c r="BY61" s="849">
        <f t="shared" si="90"/>
        <v>0</v>
      </c>
      <c r="BZ61" s="849">
        <f t="shared" si="91"/>
        <v>0</v>
      </c>
      <c r="CA61" s="850"/>
      <c r="CB61" s="849">
        <f t="shared" si="92"/>
        <v>0</v>
      </c>
      <c r="CC61" s="849">
        <f t="shared" si="93"/>
        <v>0</v>
      </c>
      <c r="CD61" s="849">
        <f t="shared" si="94"/>
        <v>0</v>
      </c>
      <c r="CE61" s="849">
        <f t="shared" si="95"/>
        <v>0</v>
      </c>
      <c r="CF61" s="850"/>
      <c r="CG61" s="849">
        <f t="shared" si="96"/>
        <v>0</v>
      </c>
      <c r="CH61" s="849">
        <f t="shared" si="97"/>
        <v>0</v>
      </c>
      <c r="CI61" s="849">
        <f t="shared" si="98"/>
        <v>0</v>
      </c>
      <c r="CJ61" s="849">
        <f t="shared" si="99"/>
        <v>0</v>
      </c>
      <c r="CK61" s="850"/>
      <c r="CL61" s="849">
        <f t="shared" si="100"/>
        <v>0</v>
      </c>
      <c r="CM61" s="849">
        <f t="shared" si="101"/>
        <v>0</v>
      </c>
      <c r="CN61" s="849">
        <f t="shared" si="102"/>
        <v>0</v>
      </c>
      <c r="CO61" s="849">
        <f t="shared" si="103"/>
        <v>0</v>
      </c>
      <c r="CP61" s="850"/>
      <c r="CQ61" s="849">
        <f t="shared" si="104"/>
        <v>0</v>
      </c>
      <c r="CR61" s="849">
        <f t="shared" si="105"/>
        <v>0</v>
      </c>
      <c r="CS61" s="849">
        <f t="shared" si="106"/>
        <v>0</v>
      </c>
      <c r="CT61" s="849">
        <f t="shared" si="107"/>
        <v>0</v>
      </c>
      <c r="CU61" s="852"/>
      <c r="CV61" s="849">
        <f t="shared" si="113"/>
        <v>0</v>
      </c>
      <c r="CW61" s="849">
        <f t="shared" si="113"/>
        <v>0</v>
      </c>
      <c r="CX61" s="849">
        <f t="shared" si="113"/>
        <v>0</v>
      </c>
      <c r="CY61" s="849">
        <f t="shared" si="113"/>
        <v>0</v>
      </c>
      <c r="CZ61" s="852"/>
      <c r="DA61" s="849">
        <f>'1.BS (VND)'!CV35/'1.BC_Ra Soat (ty) '!$C$6</f>
        <v>0</v>
      </c>
      <c r="DB61" s="849">
        <f>'1.BS (VND)'!CW35/'1.BC_Ra Soat (ty) '!$C$6</f>
        <v>0</v>
      </c>
      <c r="DC61" s="849">
        <f>'1.BS (VND)'!CX35/'1.BC_Ra Soat (ty) '!$C$6</f>
        <v>0</v>
      </c>
      <c r="DD61" s="849">
        <f>'1.BS (VND)'!CY35/'1.BC_Ra Soat (ty) '!$C$6</f>
        <v>0</v>
      </c>
      <c r="DE61" s="852"/>
      <c r="DF61" s="849">
        <f t="shared" si="110"/>
        <v>0</v>
      </c>
      <c r="DG61" s="849">
        <f t="shared" si="109"/>
        <v>0</v>
      </c>
      <c r="DH61" s="849">
        <f t="shared" si="109"/>
        <v>0</v>
      </c>
      <c r="DI61" s="849">
        <f t="shared" si="109"/>
        <v>0</v>
      </c>
      <c r="DJ61" s="444"/>
    </row>
    <row r="62" spans="1:114" s="441" customFormat="1" ht="15.75" hidden="1" x14ac:dyDescent="0.25">
      <c r="A62" s="447" t="str">
        <f t="shared" si="111"/>
        <v>hide</v>
      </c>
      <c r="C62" s="452" t="s">
        <v>346</v>
      </c>
      <c r="D62" s="453" t="s">
        <v>347</v>
      </c>
      <c r="E62" s="835">
        <f>'1.BS (VND)'!E36/$C$6</f>
        <v>0</v>
      </c>
      <c r="F62" s="835">
        <f>'1.BS (VND)'!F36/$C$6</f>
        <v>0</v>
      </c>
      <c r="G62" s="835">
        <f>'1.BS (VND)'!G36/$C$6</f>
        <v>0</v>
      </c>
      <c r="H62" s="835">
        <f>'1.BS (VND)'!H36/$C$6</f>
        <v>0</v>
      </c>
      <c r="I62" s="840"/>
      <c r="J62" s="835">
        <f>'1.BS (VND)'!J36/$C$6</f>
        <v>0</v>
      </c>
      <c r="K62" s="835">
        <f>'1.BS (VND)'!K36/$C$6</f>
        <v>0</v>
      </c>
      <c r="L62" s="835">
        <f>'1.BS (VND)'!L36/$C$6</f>
        <v>0</v>
      </c>
      <c r="M62" s="835">
        <f>'1.BS (VND)'!M36/$C$6</f>
        <v>0</v>
      </c>
      <c r="N62" s="840"/>
      <c r="O62" s="835">
        <f>'1.BS (VND)'!O36/$C$6</f>
        <v>0</v>
      </c>
      <c r="P62" s="835">
        <f>'1.BS (VND)'!P36/$C$6</f>
        <v>0</v>
      </c>
      <c r="Q62" s="835">
        <f>'1.BS (VND)'!Q36/$C$6</f>
        <v>0</v>
      </c>
      <c r="R62" s="835">
        <f>'1.BS (VND)'!R36/$C$6</f>
        <v>0</v>
      </c>
      <c r="S62" s="840"/>
      <c r="T62" s="835">
        <f>'1.BS (VND)'!T36/$C$6</f>
        <v>0</v>
      </c>
      <c r="U62" s="835">
        <f>'1.BS (VND)'!U36/$C$6</f>
        <v>0</v>
      </c>
      <c r="V62" s="835">
        <f>'1.BS (VND)'!V36/$C$6</f>
        <v>0</v>
      </c>
      <c r="W62" s="835">
        <f>'1.BS (VND)'!W36/$C$6</f>
        <v>0</v>
      </c>
      <c r="X62" s="840"/>
      <c r="Y62" s="835">
        <f>'1.BS (VND)'!Y36/$C$6</f>
        <v>0</v>
      </c>
      <c r="Z62" s="835">
        <f>'1.BS (VND)'!Z36/$C$6</f>
        <v>0</v>
      </c>
      <c r="AA62" s="835">
        <f>'1.BS (VND)'!AA36/$C$6</f>
        <v>0</v>
      </c>
      <c r="AB62" s="835">
        <f>'1.BS (VND)'!AB36/$C$6</f>
        <v>0</v>
      </c>
      <c r="AC62" s="840"/>
      <c r="AD62" s="835">
        <f>'1.BS (VND)'!AD36/$C$6</f>
        <v>0</v>
      </c>
      <c r="AE62" s="835">
        <f>'1.BS (VND)'!AE36/$C$6</f>
        <v>0</v>
      </c>
      <c r="AF62" s="835">
        <f>'1.BS (VND)'!AF36/$C$6</f>
        <v>0</v>
      </c>
      <c r="AG62" s="835">
        <f>'1.BS (VND)'!AG36/$C$6</f>
        <v>0</v>
      </c>
      <c r="AH62" s="841"/>
      <c r="AI62" s="835">
        <f t="shared" si="112"/>
        <v>0</v>
      </c>
      <c r="AJ62" s="835">
        <f t="shared" si="112"/>
        <v>0</v>
      </c>
      <c r="AK62" s="835">
        <f t="shared" si="112"/>
        <v>0</v>
      </c>
      <c r="AL62" s="835">
        <f t="shared" si="83"/>
        <v>0</v>
      </c>
      <c r="AM62" s="842"/>
      <c r="AN62" s="835">
        <f>'1.BS (VND)'!AI36/$C$6</f>
        <v>0</v>
      </c>
      <c r="AO62" s="835">
        <f>'1.BS (VND)'!AJ36/$C$6</f>
        <v>0</v>
      </c>
      <c r="AP62" s="835">
        <f>'1.BS (VND)'!AK36/$C$6</f>
        <v>0</v>
      </c>
      <c r="AQ62" s="835">
        <f>'1.BS (VND)'!AL36/$C$6</f>
        <v>0</v>
      </c>
      <c r="AR62" s="840"/>
      <c r="AS62" s="835">
        <f>'1.BS (VND)'!AN36/$C$6</f>
        <v>0</v>
      </c>
      <c r="AT62" s="835">
        <f>'1.BS (VND)'!AO36/$C$6</f>
        <v>0</v>
      </c>
      <c r="AU62" s="835">
        <f>'1.BS (VND)'!AP36/$C$6</f>
        <v>0</v>
      </c>
      <c r="AV62" s="835">
        <f>'1.BS (VND)'!AQ36/$C$6</f>
        <v>0</v>
      </c>
      <c r="AW62" s="840"/>
      <c r="AX62" s="835">
        <f>'1.BS (VND)'!AS36/$C$6</f>
        <v>0</v>
      </c>
      <c r="AY62" s="835">
        <f>'1.BS (VND)'!AT36/$C$6</f>
        <v>0</v>
      </c>
      <c r="AZ62" s="835">
        <f>'1.BS (VND)'!AU36/$C$6</f>
        <v>0</v>
      </c>
      <c r="BA62" s="835">
        <f>'1.BS (VND)'!AV36/$C$6</f>
        <v>0</v>
      </c>
      <c r="BB62" s="840"/>
      <c r="BC62" s="835">
        <f>'1.BS (VND)'!AX36/$C$6</f>
        <v>0</v>
      </c>
      <c r="BD62" s="835">
        <f>'1.BS (VND)'!AY36/$C$6</f>
        <v>0</v>
      </c>
      <c r="BE62" s="835">
        <f>'1.BS (VND)'!AZ36/$C$6</f>
        <v>0</v>
      </c>
      <c r="BF62" s="835">
        <f>'1.BS (VND)'!BA36/$C$6</f>
        <v>0</v>
      </c>
      <c r="BG62" s="840"/>
      <c r="BH62" s="835">
        <f>'1.BS (VND)'!BC36/$C$6</f>
        <v>0</v>
      </c>
      <c r="BI62" s="835">
        <f>'1.BS (VND)'!BD36/$C$6</f>
        <v>0</v>
      </c>
      <c r="BJ62" s="835">
        <f>'1.BS (VND)'!BE36/$C$6</f>
        <v>0</v>
      </c>
      <c r="BK62" s="835">
        <f>'1.BS (VND)'!BF36/$C$6</f>
        <v>0</v>
      </c>
      <c r="BL62" s="840"/>
      <c r="BM62" s="835">
        <f>'1.BS (VND)'!BH36/$C$6</f>
        <v>0</v>
      </c>
      <c r="BN62" s="835">
        <f>'1.BS (VND)'!BI36/$C$6</f>
        <v>0</v>
      </c>
      <c r="BO62" s="835">
        <f>'1.BS (VND)'!BJ36/$C$6</f>
        <v>0</v>
      </c>
      <c r="BP62" s="835">
        <f>'1.BS (VND)'!BK36/$C$6</f>
        <v>0</v>
      </c>
      <c r="BQ62" s="841"/>
      <c r="BR62" s="835">
        <f t="shared" si="84"/>
        <v>0</v>
      </c>
      <c r="BS62" s="835">
        <f t="shared" si="85"/>
        <v>0</v>
      </c>
      <c r="BT62" s="835">
        <f t="shared" si="86"/>
        <v>0</v>
      </c>
      <c r="BU62" s="835">
        <f t="shared" si="87"/>
        <v>0</v>
      </c>
      <c r="BV62" s="840"/>
      <c r="BW62" s="835">
        <f t="shared" si="88"/>
        <v>0</v>
      </c>
      <c r="BX62" s="835">
        <f t="shared" si="89"/>
        <v>0</v>
      </c>
      <c r="BY62" s="835">
        <f t="shared" si="90"/>
        <v>0</v>
      </c>
      <c r="BZ62" s="835">
        <f t="shared" si="91"/>
        <v>0</v>
      </c>
      <c r="CA62" s="840"/>
      <c r="CB62" s="835">
        <f t="shared" si="92"/>
        <v>0</v>
      </c>
      <c r="CC62" s="835">
        <f t="shared" si="93"/>
        <v>0</v>
      </c>
      <c r="CD62" s="835">
        <f t="shared" si="94"/>
        <v>0</v>
      </c>
      <c r="CE62" s="835">
        <f t="shared" si="95"/>
        <v>0</v>
      </c>
      <c r="CF62" s="840"/>
      <c r="CG62" s="835">
        <f t="shared" si="96"/>
        <v>0</v>
      </c>
      <c r="CH62" s="835">
        <f t="shared" si="97"/>
        <v>0</v>
      </c>
      <c r="CI62" s="835">
        <f t="shared" si="98"/>
        <v>0</v>
      </c>
      <c r="CJ62" s="835">
        <f t="shared" si="99"/>
        <v>0</v>
      </c>
      <c r="CK62" s="840"/>
      <c r="CL62" s="835">
        <f t="shared" si="100"/>
        <v>0</v>
      </c>
      <c r="CM62" s="835">
        <f t="shared" si="101"/>
        <v>0</v>
      </c>
      <c r="CN62" s="835">
        <f t="shared" si="102"/>
        <v>0</v>
      </c>
      <c r="CO62" s="835">
        <f t="shared" si="103"/>
        <v>0</v>
      </c>
      <c r="CP62" s="840"/>
      <c r="CQ62" s="835">
        <f t="shared" si="104"/>
        <v>0</v>
      </c>
      <c r="CR62" s="835">
        <f t="shared" si="105"/>
        <v>0</v>
      </c>
      <c r="CS62" s="835">
        <f t="shared" si="106"/>
        <v>0</v>
      </c>
      <c r="CT62" s="835">
        <f t="shared" si="107"/>
        <v>0</v>
      </c>
      <c r="CU62" s="842"/>
      <c r="CV62" s="835">
        <f t="shared" si="113"/>
        <v>0</v>
      </c>
      <c r="CW62" s="835">
        <f t="shared" si="113"/>
        <v>0</v>
      </c>
      <c r="CX62" s="835">
        <f t="shared" si="113"/>
        <v>0</v>
      </c>
      <c r="CY62" s="835">
        <f t="shared" si="113"/>
        <v>0</v>
      </c>
      <c r="CZ62" s="842"/>
      <c r="DA62" s="835">
        <f>'1.BS (VND)'!CV36/'1.BC_Ra Soat (ty) '!$C$6</f>
        <v>0</v>
      </c>
      <c r="DB62" s="835">
        <f>'1.BS (VND)'!CW36/'1.BC_Ra Soat (ty) '!$C$6</f>
        <v>0</v>
      </c>
      <c r="DC62" s="835">
        <f>'1.BS (VND)'!CX36/'1.BC_Ra Soat (ty) '!$C$6</f>
        <v>0</v>
      </c>
      <c r="DD62" s="835">
        <f>'1.BS (VND)'!CY36/'1.BC_Ra Soat (ty) '!$C$6</f>
        <v>0</v>
      </c>
      <c r="DE62" s="842"/>
      <c r="DF62" s="835">
        <f t="shared" si="110"/>
        <v>0</v>
      </c>
      <c r="DG62" s="835">
        <f t="shared" si="109"/>
        <v>0</v>
      </c>
      <c r="DH62" s="835">
        <f t="shared" si="109"/>
        <v>0</v>
      </c>
      <c r="DI62" s="835">
        <f t="shared" si="109"/>
        <v>0</v>
      </c>
    </row>
    <row r="63" spans="1:114" s="441" customFormat="1" ht="15.75" hidden="1" x14ac:dyDescent="0.25">
      <c r="A63" s="447" t="str">
        <f t="shared" si="111"/>
        <v>hide</v>
      </c>
      <c r="C63" s="452" t="s">
        <v>348</v>
      </c>
      <c r="D63" s="453" t="s">
        <v>349</v>
      </c>
      <c r="E63" s="835">
        <f>'1.BS (VND)'!E37/$C$6</f>
        <v>0</v>
      </c>
      <c r="F63" s="835">
        <f>'1.BS (VND)'!F37/$C$6</f>
        <v>0</v>
      </c>
      <c r="G63" s="835">
        <f>'1.BS (VND)'!G37/$C$6</f>
        <v>0</v>
      </c>
      <c r="H63" s="835">
        <f>'1.BS (VND)'!H37/$C$6</f>
        <v>0</v>
      </c>
      <c r="I63" s="840"/>
      <c r="J63" s="835">
        <f>'1.BS (VND)'!J37/$C$6</f>
        <v>0</v>
      </c>
      <c r="K63" s="835">
        <f>'1.BS (VND)'!K37/$C$6</f>
        <v>0</v>
      </c>
      <c r="L63" s="835">
        <f>'1.BS (VND)'!L37/$C$6</f>
        <v>0</v>
      </c>
      <c r="M63" s="835">
        <f>'1.BS (VND)'!M37/$C$6</f>
        <v>0</v>
      </c>
      <c r="N63" s="840"/>
      <c r="O63" s="835">
        <f>'1.BS (VND)'!O37/$C$6</f>
        <v>0</v>
      </c>
      <c r="P63" s="835">
        <f>'1.BS (VND)'!P37/$C$6</f>
        <v>0</v>
      </c>
      <c r="Q63" s="835">
        <f>'1.BS (VND)'!Q37/$C$6</f>
        <v>0</v>
      </c>
      <c r="R63" s="835">
        <f>'1.BS (VND)'!R37/$C$6</f>
        <v>0</v>
      </c>
      <c r="S63" s="840"/>
      <c r="T63" s="835">
        <f>'1.BS (VND)'!T37/$C$6</f>
        <v>0</v>
      </c>
      <c r="U63" s="835">
        <f>'1.BS (VND)'!U37/$C$6</f>
        <v>0</v>
      </c>
      <c r="V63" s="835">
        <f>'1.BS (VND)'!V37/$C$6</f>
        <v>0</v>
      </c>
      <c r="W63" s="835">
        <f>'1.BS (VND)'!W37/$C$6</f>
        <v>0</v>
      </c>
      <c r="X63" s="840"/>
      <c r="Y63" s="835">
        <f>'1.BS (VND)'!Y37/$C$6</f>
        <v>0</v>
      </c>
      <c r="Z63" s="835">
        <f>'1.BS (VND)'!Z37/$C$6</f>
        <v>0</v>
      </c>
      <c r="AA63" s="835">
        <f>'1.BS (VND)'!AA37/$C$6</f>
        <v>0</v>
      </c>
      <c r="AB63" s="835">
        <f>'1.BS (VND)'!AB37/$C$6</f>
        <v>0</v>
      </c>
      <c r="AC63" s="840"/>
      <c r="AD63" s="835">
        <f>'1.BS (VND)'!AD37/$C$6</f>
        <v>0</v>
      </c>
      <c r="AE63" s="835">
        <f>'1.BS (VND)'!AE37/$C$6</f>
        <v>0</v>
      </c>
      <c r="AF63" s="835">
        <f>'1.BS (VND)'!AF37/$C$6</f>
        <v>0</v>
      </c>
      <c r="AG63" s="835">
        <f>'1.BS (VND)'!AG37/$C$6</f>
        <v>0</v>
      </c>
      <c r="AH63" s="841"/>
      <c r="AI63" s="835">
        <f t="shared" si="112"/>
        <v>0</v>
      </c>
      <c r="AJ63" s="835">
        <f t="shared" si="112"/>
        <v>0</v>
      </c>
      <c r="AK63" s="835">
        <f t="shared" si="112"/>
        <v>0</v>
      </c>
      <c r="AL63" s="835">
        <f t="shared" si="83"/>
        <v>0</v>
      </c>
      <c r="AM63" s="842"/>
      <c r="AN63" s="835">
        <f>'1.BS (VND)'!AI37/$C$6</f>
        <v>0</v>
      </c>
      <c r="AO63" s="835">
        <f>'1.BS (VND)'!AJ37/$C$6</f>
        <v>0</v>
      </c>
      <c r="AP63" s="835">
        <f>'1.BS (VND)'!AK37/$C$6</f>
        <v>0</v>
      </c>
      <c r="AQ63" s="835">
        <f>'1.BS (VND)'!AL37/$C$6</f>
        <v>0</v>
      </c>
      <c r="AR63" s="840"/>
      <c r="AS63" s="835">
        <f>'1.BS (VND)'!AN37/$C$6</f>
        <v>0</v>
      </c>
      <c r="AT63" s="835">
        <f>'1.BS (VND)'!AO37/$C$6</f>
        <v>0</v>
      </c>
      <c r="AU63" s="835">
        <f>'1.BS (VND)'!AP37/$C$6</f>
        <v>0</v>
      </c>
      <c r="AV63" s="835">
        <f>'1.BS (VND)'!AQ37/$C$6</f>
        <v>0</v>
      </c>
      <c r="AW63" s="840"/>
      <c r="AX63" s="835">
        <f>'1.BS (VND)'!AS37/$C$6</f>
        <v>0</v>
      </c>
      <c r="AY63" s="835">
        <f>'1.BS (VND)'!AT37/$C$6</f>
        <v>0</v>
      </c>
      <c r="AZ63" s="835">
        <f>'1.BS (VND)'!AU37/$C$6</f>
        <v>0</v>
      </c>
      <c r="BA63" s="835">
        <f>'1.BS (VND)'!AV37/$C$6</f>
        <v>0</v>
      </c>
      <c r="BB63" s="840"/>
      <c r="BC63" s="835">
        <f>'1.BS (VND)'!AX37/$C$6</f>
        <v>0</v>
      </c>
      <c r="BD63" s="835">
        <f>'1.BS (VND)'!AY37/$C$6</f>
        <v>0</v>
      </c>
      <c r="BE63" s="835">
        <f>'1.BS (VND)'!AZ37/$C$6</f>
        <v>0</v>
      </c>
      <c r="BF63" s="835">
        <f>'1.BS (VND)'!BA37/$C$6</f>
        <v>0</v>
      </c>
      <c r="BG63" s="840"/>
      <c r="BH63" s="835">
        <f>'1.BS (VND)'!BC37/$C$6</f>
        <v>0</v>
      </c>
      <c r="BI63" s="835">
        <f>'1.BS (VND)'!BD37/$C$6</f>
        <v>0</v>
      </c>
      <c r="BJ63" s="835">
        <f>'1.BS (VND)'!BE37/$C$6</f>
        <v>0</v>
      </c>
      <c r="BK63" s="835">
        <f>'1.BS (VND)'!BF37/$C$6</f>
        <v>0</v>
      </c>
      <c r="BL63" s="840"/>
      <c r="BM63" s="835">
        <f>'1.BS (VND)'!BH37/$C$6</f>
        <v>0</v>
      </c>
      <c r="BN63" s="835">
        <f>'1.BS (VND)'!BI37/$C$6</f>
        <v>0</v>
      </c>
      <c r="BO63" s="835">
        <f>'1.BS (VND)'!BJ37/$C$6</f>
        <v>0</v>
      </c>
      <c r="BP63" s="835">
        <f>'1.BS (VND)'!BK37/$C$6</f>
        <v>0</v>
      </c>
      <c r="BQ63" s="841"/>
      <c r="BR63" s="835">
        <f t="shared" si="84"/>
        <v>0</v>
      </c>
      <c r="BS63" s="835">
        <f t="shared" si="85"/>
        <v>0</v>
      </c>
      <c r="BT63" s="835">
        <f t="shared" si="86"/>
        <v>0</v>
      </c>
      <c r="BU63" s="835">
        <f t="shared" si="87"/>
        <v>0</v>
      </c>
      <c r="BV63" s="840"/>
      <c r="BW63" s="835">
        <f t="shared" si="88"/>
        <v>0</v>
      </c>
      <c r="BX63" s="835">
        <f t="shared" si="89"/>
        <v>0</v>
      </c>
      <c r="BY63" s="835">
        <f t="shared" si="90"/>
        <v>0</v>
      </c>
      <c r="BZ63" s="835">
        <f t="shared" si="91"/>
        <v>0</v>
      </c>
      <c r="CA63" s="840"/>
      <c r="CB63" s="835">
        <f t="shared" si="92"/>
        <v>0</v>
      </c>
      <c r="CC63" s="835">
        <f t="shared" si="93"/>
        <v>0</v>
      </c>
      <c r="CD63" s="835">
        <f t="shared" si="94"/>
        <v>0</v>
      </c>
      <c r="CE63" s="835">
        <f t="shared" si="95"/>
        <v>0</v>
      </c>
      <c r="CF63" s="840"/>
      <c r="CG63" s="835">
        <f t="shared" si="96"/>
        <v>0</v>
      </c>
      <c r="CH63" s="835">
        <f t="shared" si="97"/>
        <v>0</v>
      </c>
      <c r="CI63" s="835">
        <f t="shared" si="98"/>
        <v>0</v>
      </c>
      <c r="CJ63" s="835">
        <f t="shared" si="99"/>
        <v>0</v>
      </c>
      <c r="CK63" s="840"/>
      <c r="CL63" s="835">
        <f t="shared" si="100"/>
        <v>0</v>
      </c>
      <c r="CM63" s="835">
        <f t="shared" si="101"/>
        <v>0</v>
      </c>
      <c r="CN63" s="835">
        <f t="shared" si="102"/>
        <v>0</v>
      </c>
      <c r="CO63" s="835">
        <f t="shared" si="103"/>
        <v>0</v>
      </c>
      <c r="CP63" s="840"/>
      <c r="CQ63" s="835">
        <f t="shared" si="104"/>
        <v>0</v>
      </c>
      <c r="CR63" s="835">
        <f t="shared" si="105"/>
        <v>0</v>
      </c>
      <c r="CS63" s="835">
        <f t="shared" si="106"/>
        <v>0</v>
      </c>
      <c r="CT63" s="835">
        <f t="shared" si="107"/>
        <v>0</v>
      </c>
      <c r="CU63" s="842"/>
      <c r="CV63" s="835">
        <f t="shared" si="113"/>
        <v>0</v>
      </c>
      <c r="CW63" s="835">
        <f t="shared" si="113"/>
        <v>0</v>
      </c>
      <c r="CX63" s="835">
        <f t="shared" si="113"/>
        <v>0</v>
      </c>
      <c r="CY63" s="835">
        <f t="shared" si="113"/>
        <v>0</v>
      </c>
      <c r="CZ63" s="842"/>
      <c r="DA63" s="835">
        <f>'1.BS (VND)'!CV37/'1.BC_Ra Soat (ty) '!$C$6</f>
        <v>0</v>
      </c>
      <c r="DB63" s="835">
        <f>'1.BS (VND)'!CW37/'1.BC_Ra Soat (ty) '!$C$6</f>
        <v>0</v>
      </c>
      <c r="DC63" s="835">
        <f>'1.BS (VND)'!CX37/'1.BC_Ra Soat (ty) '!$C$6</f>
        <v>0</v>
      </c>
      <c r="DD63" s="835">
        <f>'1.BS (VND)'!CY37/'1.BC_Ra Soat (ty) '!$C$6</f>
        <v>0</v>
      </c>
      <c r="DE63" s="842"/>
      <c r="DF63" s="835">
        <f t="shared" si="110"/>
        <v>0</v>
      </c>
      <c r="DG63" s="835">
        <f t="shared" si="109"/>
        <v>0</v>
      </c>
      <c r="DH63" s="835">
        <f t="shared" si="109"/>
        <v>0</v>
      </c>
      <c r="DI63" s="835">
        <f t="shared" si="109"/>
        <v>0</v>
      </c>
    </row>
    <row r="64" spans="1:114" s="441" customFormat="1" ht="15.75" hidden="1" x14ac:dyDescent="0.25">
      <c r="A64" s="447" t="str">
        <f t="shared" si="111"/>
        <v>hide</v>
      </c>
      <c r="C64" s="452" t="s">
        <v>350</v>
      </c>
      <c r="D64" s="453" t="s">
        <v>351</v>
      </c>
      <c r="E64" s="835">
        <f>'1.BS (VND)'!E38/$C$6</f>
        <v>0</v>
      </c>
      <c r="F64" s="835">
        <f>'1.BS (VND)'!F38/$C$6</f>
        <v>0</v>
      </c>
      <c r="G64" s="835">
        <f>'1.BS (VND)'!G38/$C$6</f>
        <v>0</v>
      </c>
      <c r="H64" s="835">
        <f>'1.BS (VND)'!H38/$C$6</f>
        <v>0</v>
      </c>
      <c r="I64" s="840"/>
      <c r="J64" s="835">
        <f>'1.BS (VND)'!J38/$C$6</f>
        <v>0</v>
      </c>
      <c r="K64" s="835">
        <f>'1.BS (VND)'!K38/$C$6</f>
        <v>0</v>
      </c>
      <c r="L64" s="835">
        <f>'1.BS (VND)'!L38/$C$6</f>
        <v>0</v>
      </c>
      <c r="M64" s="835">
        <f>'1.BS (VND)'!M38/$C$6</f>
        <v>0</v>
      </c>
      <c r="N64" s="840"/>
      <c r="O64" s="835">
        <f>'1.BS (VND)'!O38/$C$6</f>
        <v>0</v>
      </c>
      <c r="P64" s="835">
        <f>'1.BS (VND)'!P38/$C$6</f>
        <v>0</v>
      </c>
      <c r="Q64" s="835">
        <f>'1.BS (VND)'!Q38/$C$6</f>
        <v>0</v>
      </c>
      <c r="R64" s="835">
        <f>'1.BS (VND)'!R38/$C$6</f>
        <v>0</v>
      </c>
      <c r="S64" s="840"/>
      <c r="T64" s="835">
        <f>'1.BS (VND)'!T38/$C$6</f>
        <v>0</v>
      </c>
      <c r="U64" s="835">
        <f>'1.BS (VND)'!U38/$C$6</f>
        <v>0</v>
      </c>
      <c r="V64" s="835">
        <f>'1.BS (VND)'!V38/$C$6</f>
        <v>0</v>
      </c>
      <c r="W64" s="835">
        <f>'1.BS (VND)'!W38/$C$6</f>
        <v>0</v>
      </c>
      <c r="X64" s="840"/>
      <c r="Y64" s="835">
        <f>'1.BS (VND)'!Y38/$C$6</f>
        <v>0</v>
      </c>
      <c r="Z64" s="835">
        <f>'1.BS (VND)'!Z38/$C$6</f>
        <v>0</v>
      </c>
      <c r="AA64" s="835">
        <f>'1.BS (VND)'!AA38/$C$6</f>
        <v>0</v>
      </c>
      <c r="AB64" s="835">
        <f>'1.BS (VND)'!AB38/$C$6</f>
        <v>0</v>
      </c>
      <c r="AC64" s="840"/>
      <c r="AD64" s="835">
        <f>'1.BS (VND)'!AD38/$C$6</f>
        <v>0</v>
      </c>
      <c r="AE64" s="835">
        <f>'1.BS (VND)'!AE38/$C$6</f>
        <v>0</v>
      </c>
      <c r="AF64" s="835">
        <f>'1.BS (VND)'!AF38/$C$6</f>
        <v>0</v>
      </c>
      <c r="AG64" s="835">
        <f>'1.BS (VND)'!AG38/$C$6</f>
        <v>0</v>
      </c>
      <c r="AH64" s="841"/>
      <c r="AI64" s="835">
        <f t="shared" si="112"/>
        <v>0</v>
      </c>
      <c r="AJ64" s="835">
        <f t="shared" si="112"/>
        <v>0</v>
      </c>
      <c r="AK64" s="835">
        <f t="shared" si="112"/>
        <v>0</v>
      </c>
      <c r="AL64" s="835">
        <f t="shared" si="83"/>
        <v>0</v>
      </c>
      <c r="AM64" s="842"/>
      <c r="AN64" s="835">
        <f>'1.BS (VND)'!AI38/$C$6</f>
        <v>0</v>
      </c>
      <c r="AO64" s="835">
        <f>'1.BS (VND)'!AJ38/$C$6</f>
        <v>0</v>
      </c>
      <c r="AP64" s="835">
        <f>'1.BS (VND)'!AK38/$C$6</f>
        <v>0</v>
      </c>
      <c r="AQ64" s="835">
        <f>'1.BS (VND)'!AL38/$C$6</f>
        <v>0</v>
      </c>
      <c r="AR64" s="840"/>
      <c r="AS64" s="835">
        <f>'1.BS (VND)'!AN38/$C$6</f>
        <v>0</v>
      </c>
      <c r="AT64" s="835">
        <f>'1.BS (VND)'!AO38/$C$6</f>
        <v>0</v>
      </c>
      <c r="AU64" s="835">
        <f>'1.BS (VND)'!AP38/$C$6</f>
        <v>0</v>
      </c>
      <c r="AV64" s="835">
        <f>'1.BS (VND)'!AQ38/$C$6</f>
        <v>0</v>
      </c>
      <c r="AW64" s="840"/>
      <c r="AX64" s="835">
        <f>'1.BS (VND)'!AS38/$C$6</f>
        <v>0</v>
      </c>
      <c r="AY64" s="835">
        <f>'1.BS (VND)'!AT38/$C$6</f>
        <v>0</v>
      </c>
      <c r="AZ64" s="835">
        <f>'1.BS (VND)'!AU38/$C$6</f>
        <v>0</v>
      </c>
      <c r="BA64" s="835">
        <f>'1.BS (VND)'!AV38/$C$6</f>
        <v>0</v>
      </c>
      <c r="BB64" s="840"/>
      <c r="BC64" s="835">
        <f>'1.BS (VND)'!AX38/$C$6</f>
        <v>0</v>
      </c>
      <c r="BD64" s="835">
        <f>'1.BS (VND)'!AY38/$C$6</f>
        <v>0</v>
      </c>
      <c r="BE64" s="835">
        <f>'1.BS (VND)'!AZ38/$C$6</f>
        <v>0</v>
      </c>
      <c r="BF64" s="835">
        <f>'1.BS (VND)'!BA38/$C$6</f>
        <v>0</v>
      </c>
      <c r="BG64" s="840"/>
      <c r="BH64" s="835">
        <f>'1.BS (VND)'!BC38/$C$6</f>
        <v>0</v>
      </c>
      <c r="BI64" s="835">
        <f>'1.BS (VND)'!BD38/$C$6</f>
        <v>0</v>
      </c>
      <c r="BJ64" s="835">
        <f>'1.BS (VND)'!BE38/$C$6</f>
        <v>0</v>
      </c>
      <c r="BK64" s="835">
        <f>'1.BS (VND)'!BF38/$C$6</f>
        <v>0</v>
      </c>
      <c r="BL64" s="840"/>
      <c r="BM64" s="835">
        <f>'1.BS (VND)'!BH38/$C$6</f>
        <v>0</v>
      </c>
      <c r="BN64" s="835">
        <f>'1.BS (VND)'!BI38/$C$6</f>
        <v>0</v>
      </c>
      <c r="BO64" s="835">
        <f>'1.BS (VND)'!BJ38/$C$6</f>
        <v>0</v>
      </c>
      <c r="BP64" s="835">
        <f>'1.BS (VND)'!BK38/$C$6</f>
        <v>0</v>
      </c>
      <c r="BQ64" s="841"/>
      <c r="BR64" s="835">
        <f t="shared" si="84"/>
        <v>0</v>
      </c>
      <c r="BS64" s="835">
        <f t="shared" si="85"/>
        <v>0</v>
      </c>
      <c r="BT64" s="835">
        <f t="shared" si="86"/>
        <v>0</v>
      </c>
      <c r="BU64" s="835">
        <f t="shared" si="87"/>
        <v>0</v>
      </c>
      <c r="BV64" s="840"/>
      <c r="BW64" s="835">
        <f t="shared" si="88"/>
        <v>0</v>
      </c>
      <c r="BX64" s="835">
        <f t="shared" si="89"/>
        <v>0</v>
      </c>
      <c r="BY64" s="835">
        <f t="shared" si="90"/>
        <v>0</v>
      </c>
      <c r="BZ64" s="835">
        <f t="shared" si="91"/>
        <v>0</v>
      </c>
      <c r="CA64" s="840"/>
      <c r="CB64" s="835">
        <f t="shared" si="92"/>
        <v>0</v>
      </c>
      <c r="CC64" s="835">
        <f t="shared" si="93"/>
        <v>0</v>
      </c>
      <c r="CD64" s="835">
        <f t="shared" si="94"/>
        <v>0</v>
      </c>
      <c r="CE64" s="835">
        <f t="shared" si="95"/>
        <v>0</v>
      </c>
      <c r="CF64" s="840"/>
      <c r="CG64" s="835">
        <f t="shared" si="96"/>
        <v>0</v>
      </c>
      <c r="CH64" s="835">
        <f t="shared" si="97"/>
        <v>0</v>
      </c>
      <c r="CI64" s="835">
        <f t="shared" si="98"/>
        <v>0</v>
      </c>
      <c r="CJ64" s="835">
        <f t="shared" si="99"/>
        <v>0</v>
      </c>
      <c r="CK64" s="840"/>
      <c r="CL64" s="835">
        <f t="shared" si="100"/>
        <v>0</v>
      </c>
      <c r="CM64" s="835">
        <f t="shared" si="101"/>
        <v>0</v>
      </c>
      <c r="CN64" s="835">
        <f t="shared" si="102"/>
        <v>0</v>
      </c>
      <c r="CO64" s="835">
        <f t="shared" si="103"/>
        <v>0</v>
      </c>
      <c r="CP64" s="840"/>
      <c r="CQ64" s="835">
        <f t="shared" si="104"/>
        <v>0</v>
      </c>
      <c r="CR64" s="835">
        <f t="shared" si="105"/>
        <v>0</v>
      </c>
      <c r="CS64" s="835">
        <f t="shared" si="106"/>
        <v>0</v>
      </c>
      <c r="CT64" s="835">
        <f t="shared" si="107"/>
        <v>0</v>
      </c>
      <c r="CU64" s="842"/>
      <c r="CV64" s="835">
        <f t="shared" si="113"/>
        <v>0</v>
      </c>
      <c r="CW64" s="835">
        <f t="shared" si="113"/>
        <v>0</v>
      </c>
      <c r="CX64" s="835">
        <f t="shared" si="113"/>
        <v>0</v>
      </c>
      <c r="CY64" s="835">
        <f t="shared" si="113"/>
        <v>0</v>
      </c>
      <c r="CZ64" s="842"/>
      <c r="DA64" s="835">
        <f>'1.BS (VND)'!CV38/'1.BC_Ra Soat (ty) '!$C$6</f>
        <v>0</v>
      </c>
      <c r="DB64" s="835">
        <f>'1.BS (VND)'!CW38/'1.BC_Ra Soat (ty) '!$C$6</f>
        <v>0</v>
      </c>
      <c r="DC64" s="835">
        <f>'1.BS (VND)'!CX38/'1.BC_Ra Soat (ty) '!$C$6</f>
        <v>0</v>
      </c>
      <c r="DD64" s="835">
        <f>'1.BS (VND)'!CY38/'1.BC_Ra Soat (ty) '!$C$6</f>
        <v>0</v>
      </c>
      <c r="DE64" s="842"/>
      <c r="DF64" s="835">
        <f t="shared" si="110"/>
        <v>0</v>
      </c>
      <c r="DG64" s="835">
        <f t="shared" si="109"/>
        <v>0</v>
      </c>
      <c r="DH64" s="835">
        <f t="shared" si="109"/>
        <v>0</v>
      </c>
      <c r="DI64" s="835">
        <f t="shared" si="109"/>
        <v>0</v>
      </c>
    </row>
    <row r="65" spans="1:114" s="441" customFormat="1" ht="15.75" hidden="1" x14ac:dyDescent="0.25">
      <c r="A65" s="447" t="str">
        <f t="shared" si="111"/>
        <v>hide</v>
      </c>
      <c r="C65" s="452" t="s">
        <v>352</v>
      </c>
      <c r="D65" s="453" t="s">
        <v>353</v>
      </c>
      <c r="E65" s="835">
        <f>'1.BS (VND)'!E39/$C$6</f>
        <v>0</v>
      </c>
      <c r="F65" s="835">
        <f>'1.BS (VND)'!F39/$C$6</f>
        <v>0</v>
      </c>
      <c r="G65" s="835">
        <f>'1.BS (VND)'!G39/$C$6</f>
        <v>0</v>
      </c>
      <c r="H65" s="835">
        <f>'1.BS (VND)'!H39/$C$6</f>
        <v>0</v>
      </c>
      <c r="I65" s="840"/>
      <c r="J65" s="835">
        <f>'1.BS (VND)'!J39/$C$6</f>
        <v>0</v>
      </c>
      <c r="K65" s="835">
        <f>'1.BS (VND)'!K39/$C$6</f>
        <v>0</v>
      </c>
      <c r="L65" s="835">
        <f>'1.BS (VND)'!L39/$C$6</f>
        <v>0</v>
      </c>
      <c r="M65" s="835">
        <f>'1.BS (VND)'!M39/$C$6</f>
        <v>0</v>
      </c>
      <c r="N65" s="840"/>
      <c r="O65" s="835">
        <f>'1.BS (VND)'!O39/$C$6</f>
        <v>0</v>
      </c>
      <c r="P65" s="835">
        <f>'1.BS (VND)'!P39/$C$6</f>
        <v>0</v>
      </c>
      <c r="Q65" s="835">
        <f>'1.BS (VND)'!Q39/$C$6</f>
        <v>0</v>
      </c>
      <c r="R65" s="835">
        <f>'1.BS (VND)'!R39/$C$6</f>
        <v>0</v>
      </c>
      <c r="S65" s="840"/>
      <c r="T65" s="835">
        <f>'1.BS (VND)'!T39/$C$6</f>
        <v>0</v>
      </c>
      <c r="U65" s="835">
        <f>'1.BS (VND)'!U39/$C$6</f>
        <v>0</v>
      </c>
      <c r="V65" s="835">
        <f>'1.BS (VND)'!V39/$C$6</f>
        <v>0</v>
      </c>
      <c r="W65" s="835">
        <f>'1.BS (VND)'!W39/$C$6</f>
        <v>0</v>
      </c>
      <c r="X65" s="840"/>
      <c r="Y65" s="835">
        <f>'1.BS (VND)'!Y39/$C$6</f>
        <v>0</v>
      </c>
      <c r="Z65" s="835">
        <f>'1.BS (VND)'!Z39/$C$6</f>
        <v>0</v>
      </c>
      <c r="AA65" s="835">
        <f>'1.BS (VND)'!AA39/$C$6</f>
        <v>0</v>
      </c>
      <c r="AB65" s="835">
        <f>'1.BS (VND)'!AB39/$C$6</f>
        <v>0</v>
      </c>
      <c r="AC65" s="840"/>
      <c r="AD65" s="835">
        <f>'1.BS (VND)'!AD39/$C$6</f>
        <v>0</v>
      </c>
      <c r="AE65" s="835">
        <f>'1.BS (VND)'!AE39/$C$6</f>
        <v>0</v>
      </c>
      <c r="AF65" s="835">
        <f>'1.BS (VND)'!AF39/$C$6</f>
        <v>0</v>
      </c>
      <c r="AG65" s="835">
        <f>'1.BS (VND)'!AG39/$C$6</f>
        <v>0</v>
      </c>
      <c r="AH65" s="841"/>
      <c r="AI65" s="835">
        <f t="shared" si="112"/>
        <v>0</v>
      </c>
      <c r="AJ65" s="835">
        <f t="shared" si="112"/>
        <v>0</v>
      </c>
      <c r="AK65" s="835">
        <f t="shared" si="112"/>
        <v>0</v>
      </c>
      <c r="AL65" s="835">
        <f t="shared" si="83"/>
        <v>0</v>
      </c>
      <c r="AM65" s="842"/>
      <c r="AN65" s="835">
        <f>'1.BS (VND)'!AI39/$C$6</f>
        <v>0</v>
      </c>
      <c r="AO65" s="835">
        <f>'1.BS (VND)'!AJ39/$C$6</f>
        <v>0</v>
      </c>
      <c r="AP65" s="835">
        <f>'1.BS (VND)'!AK39/$C$6</f>
        <v>0</v>
      </c>
      <c r="AQ65" s="835">
        <f>'1.BS (VND)'!AL39/$C$6</f>
        <v>0</v>
      </c>
      <c r="AR65" s="840"/>
      <c r="AS65" s="835">
        <f>'1.BS (VND)'!AN39/$C$6</f>
        <v>0</v>
      </c>
      <c r="AT65" s="835">
        <f>'1.BS (VND)'!AO39/$C$6</f>
        <v>0</v>
      </c>
      <c r="AU65" s="835">
        <f>'1.BS (VND)'!AP39/$C$6</f>
        <v>0</v>
      </c>
      <c r="AV65" s="835">
        <f>'1.BS (VND)'!AQ39/$C$6</f>
        <v>0</v>
      </c>
      <c r="AW65" s="840"/>
      <c r="AX65" s="835">
        <f>'1.BS (VND)'!AS39/$C$6</f>
        <v>0</v>
      </c>
      <c r="AY65" s="835">
        <f>'1.BS (VND)'!AT39/$C$6</f>
        <v>0</v>
      </c>
      <c r="AZ65" s="835">
        <f>'1.BS (VND)'!AU39/$C$6</f>
        <v>0</v>
      </c>
      <c r="BA65" s="835">
        <f>'1.BS (VND)'!AV39/$C$6</f>
        <v>0</v>
      </c>
      <c r="BB65" s="840"/>
      <c r="BC65" s="835">
        <f>'1.BS (VND)'!AX39/$C$6</f>
        <v>0</v>
      </c>
      <c r="BD65" s="835">
        <f>'1.BS (VND)'!AY39/$C$6</f>
        <v>0</v>
      </c>
      <c r="BE65" s="835">
        <f>'1.BS (VND)'!AZ39/$C$6</f>
        <v>0</v>
      </c>
      <c r="BF65" s="835">
        <f>'1.BS (VND)'!BA39/$C$6</f>
        <v>0</v>
      </c>
      <c r="BG65" s="840"/>
      <c r="BH65" s="835">
        <f>'1.BS (VND)'!BC39/$C$6</f>
        <v>0</v>
      </c>
      <c r="BI65" s="835">
        <f>'1.BS (VND)'!BD39/$C$6</f>
        <v>0</v>
      </c>
      <c r="BJ65" s="835">
        <f>'1.BS (VND)'!BE39/$C$6</f>
        <v>0</v>
      </c>
      <c r="BK65" s="835">
        <f>'1.BS (VND)'!BF39/$C$6</f>
        <v>0</v>
      </c>
      <c r="BL65" s="840"/>
      <c r="BM65" s="835">
        <f>'1.BS (VND)'!BH39/$C$6</f>
        <v>0</v>
      </c>
      <c r="BN65" s="835">
        <f>'1.BS (VND)'!BI39/$C$6</f>
        <v>0</v>
      </c>
      <c r="BO65" s="835">
        <f>'1.BS (VND)'!BJ39/$C$6</f>
        <v>0</v>
      </c>
      <c r="BP65" s="835">
        <f>'1.BS (VND)'!BK39/$C$6</f>
        <v>0</v>
      </c>
      <c r="BQ65" s="841"/>
      <c r="BR65" s="835">
        <f t="shared" si="84"/>
        <v>0</v>
      </c>
      <c r="BS65" s="835">
        <f t="shared" si="85"/>
        <v>0</v>
      </c>
      <c r="BT65" s="835">
        <f t="shared" si="86"/>
        <v>0</v>
      </c>
      <c r="BU65" s="835">
        <f t="shared" si="87"/>
        <v>0</v>
      </c>
      <c r="BV65" s="840"/>
      <c r="BW65" s="835">
        <f t="shared" si="88"/>
        <v>0</v>
      </c>
      <c r="BX65" s="835">
        <f t="shared" si="89"/>
        <v>0</v>
      </c>
      <c r="BY65" s="835">
        <f t="shared" si="90"/>
        <v>0</v>
      </c>
      <c r="BZ65" s="835">
        <f t="shared" si="91"/>
        <v>0</v>
      </c>
      <c r="CA65" s="840"/>
      <c r="CB65" s="835">
        <f t="shared" si="92"/>
        <v>0</v>
      </c>
      <c r="CC65" s="835">
        <f t="shared" si="93"/>
        <v>0</v>
      </c>
      <c r="CD65" s="835">
        <f t="shared" si="94"/>
        <v>0</v>
      </c>
      <c r="CE65" s="835">
        <f t="shared" si="95"/>
        <v>0</v>
      </c>
      <c r="CF65" s="840"/>
      <c r="CG65" s="835">
        <f t="shared" si="96"/>
        <v>0</v>
      </c>
      <c r="CH65" s="835">
        <f t="shared" si="97"/>
        <v>0</v>
      </c>
      <c r="CI65" s="835">
        <f t="shared" si="98"/>
        <v>0</v>
      </c>
      <c r="CJ65" s="835">
        <f t="shared" si="99"/>
        <v>0</v>
      </c>
      <c r="CK65" s="840"/>
      <c r="CL65" s="835">
        <f t="shared" si="100"/>
        <v>0</v>
      </c>
      <c r="CM65" s="835">
        <f t="shared" si="101"/>
        <v>0</v>
      </c>
      <c r="CN65" s="835">
        <f t="shared" si="102"/>
        <v>0</v>
      </c>
      <c r="CO65" s="835">
        <f t="shared" si="103"/>
        <v>0</v>
      </c>
      <c r="CP65" s="840"/>
      <c r="CQ65" s="835">
        <f t="shared" si="104"/>
        <v>0</v>
      </c>
      <c r="CR65" s="835">
        <f t="shared" si="105"/>
        <v>0</v>
      </c>
      <c r="CS65" s="835">
        <f t="shared" si="106"/>
        <v>0</v>
      </c>
      <c r="CT65" s="835">
        <f t="shared" si="107"/>
        <v>0</v>
      </c>
      <c r="CU65" s="842"/>
      <c r="CV65" s="835">
        <f t="shared" si="113"/>
        <v>0</v>
      </c>
      <c r="CW65" s="835">
        <f t="shared" si="113"/>
        <v>0</v>
      </c>
      <c r="CX65" s="835">
        <f t="shared" si="113"/>
        <v>0</v>
      </c>
      <c r="CY65" s="835">
        <f t="shared" si="113"/>
        <v>0</v>
      </c>
      <c r="CZ65" s="842"/>
      <c r="DA65" s="835">
        <f>'1.BS (VND)'!CV39/'1.BC_Ra Soat (ty) '!$C$6</f>
        <v>0</v>
      </c>
      <c r="DB65" s="835">
        <f>'1.BS (VND)'!CW39/'1.BC_Ra Soat (ty) '!$C$6</f>
        <v>0</v>
      </c>
      <c r="DC65" s="835">
        <f>'1.BS (VND)'!CX39/'1.BC_Ra Soat (ty) '!$C$6</f>
        <v>0</v>
      </c>
      <c r="DD65" s="835">
        <f>'1.BS (VND)'!CY39/'1.BC_Ra Soat (ty) '!$C$6</f>
        <v>0</v>
      </c>
      <c r="DE65" s="842"/>
      <c r="DF65" s="835">
        <f t="shared" si="110"/>
        <v>0</v>
      </c>
      <c r="DG65" s="835">
        <f t="shared" si="109"/>
        <v>0</v>
      </c>
      <c r="DH65" s="835">
        <f t="shared" si="109"/>
        <v>0</v>
      </c>
      <c r="DI65" s="835">
        <f t="shared" si="109"/>
        <v>0</v>
      </c>
    </row>
    <row r="66" spans="1:114" s="441" customFormat="1" ht="15.75" hidden="1" x14ac:dyDescent="0.25">
      <c r="A66" s="447" t="str">
        <f t="shared" si="111"/>
        <v>hide</v>
      </c>
      <c r="C66" s="452" t="s">
        <v>354</v>
      </c>
      <c r="D66" s="453" t="s">
        <v>355</v>
      </c>
      <c r="E66" s="835">
        <f>'1.BS (VND)'!E40/$C$6</f>
        <v>0</v>
      </c>
      <c r="F66" s="835">
        <f>'1.BS (VND)'!F40/$C$6</f>
        <v>0</v>
      </c>
      <c r="G66" s="835">
        <f>'1.BS (VND)'!G40/$C$6</f>
        <v>0</v>
      </c>
      <c r="H66" s="835">
        <f>'1.BS (VND)'!H40/$C$6</f>
        <v>0</v>
      </c>
      <c r="I66" s="840"/>
      <c r="J66" s="835">
        <f>'1.BS (VND)'!J40/$C$6</f>
        <v>0</v>
      </c>
      <c r="K66" s="835">
        <f>'1.BS (VND)'!K40/$C$6</f>
        <v>0</v>
      </c>
      <c r="L66" s="835">
        <f>'1.BS (VND)'!L40/$C$6</f>
        <v>0</v>
      </c>
      <c r="M66" s="835">
        <f>'1.BS (VND)'!M40/$C$6</f>
        <v>0</v>
      </c>
      <c r="N66" s="840"/>
      <c r="O66" s="835">
        <f>'1.BS (VND)'!O40/$C$6</f>
        <v>0</v>
      </c>
      <c r="P66" s="835">
        <f>'1.BS (VND)'!P40/$C$6</f>
        <v>0</v>
      </c>
      <c r="Q66" s="835">
        <f>'1.BS (VND)'!Q40/$C$6</f>
        <v>0</v>
      </c>
      <c r="R66" s="835">
        <f>'1.BS (VND)'!R40/$C$6</f>
        <v>0</v>
      </c>
      <c r="S66" s="840"/>
      <c r="T66" s="835">
        <f>'1.BS (VND)'!T40/$C$6</f>
        <v>0</v>
      </c>
      <c r="U66" s="835">
        <f>'1.BS (VND)'!U40/$C$6</f>
        <v>0</v>
      </c>
      <c r="V66" s="835">
        <f>'1.BS (VND)'!V40/$C$6</f>
        <v>0</v>
      </c>
      <c r="W66" s="835">
        <f>'1.BS (VND)'!W40/$C$6</f>
        <v>0</v>
      </c>
      <c r="X66" s="840"/>
      <c r="Y66" s="835">
        <f>'1.BS (VND)'!Y40/$C$6</f>
        <v>0</v>
      </c>
      <c r="Z66" s="835">
        <f>'1.BS (VND)'!Z40/$C$6</f>
        <v>0</v>
      </c>
      <c r="AA66" s="835">
        <f>'1.BS (VND)'!AA40/$C$6</f>
        <v>0</v>
      </c>
      <c r="AB66" s="835">
        <f>'1.BS (VND)'!AB40/$C$6</f>
        <v>0</v>
      </c>
      <c r="AC66" s="840"/>
      <c r="AD66" s="835">
        <f>'1.BS (VND)'!AD40/$C$6</f>
        <v>0</v>
      </c>
      <c r="AE66" s="835">
        <f>'1.BS (VND)'!AE40/$C$6</f>
        <v>0</v>
      </c>
      <c r="AF66" s="835">
        <f>'1.BS (VND)'!AF40/$C$6</f>
        <v>0</v>
      </c>
      <c r="AG66" s="835">
        <f>'1.BS (VND)'!AG40/$C$6</f>
        <v>0</v>
      </c>
      <c r="AH66" s="841"/>
      <c r="AI66" s="835">
        <f t="shared" si="112"/>
        <v>0</v>
      </c>
      <c r="AJ66" s="835">
        <f t="shared" si="112"/>
        <v>0</v>
      </c>
      <c r="AK66" s="835">
        <f t="shared" si="112"/>
        <v>0</v>
      </c>
      <c r="AL66" s="835">
        <f t="shared" si="83"/>
        <v>0</v>
      </c>
      <c r="AM66" s="842"/>
      <c r="AN66" s="835">
        <f>'1.BS (VND)'!AI40/$C$6</f>
        <v>0</v>
      </c>
      <c r="AO66" s="835">
        <f>'1.BS (VND)'!AJ40/$C$6</f>
        <v>0</v>
      </c>
      <c r="AP66" s="835">
        <f>'1.BS (VND)'!AK40/$C$6</f>
        <v>0</v>
      </c>
      <c r="AQ66" s="835">
        <f>'1.BS (VND)'!AL40/$C$6</f>
        <v>0</v>
      </c>
      <c r="AR66" s="840"/>
      <c r="AS66" s="835">
        <f>'1.BS (VND)'!AN40/$C$6</f>
        <v>0</v>
      </c>
      <c r="AT66" s="835">
        <f>'1.BS (VND)'!AO40/$C$6</f>
        <v>0</v>
      </c>
      <c r="AU66" s="835">
        <f>'1.BS (VND)'!AP40/$C$6</f>
        <v>0</v>
      </c>
      <c r="AV66" s="835">
        <f>'1.BS (VND)'!AQ40/$C$6</f>
        <v>0</v>
      </c>
      <c r="AW66" s="840"/>
      <c r="AX66" s="835">
        <f>'1.BS (VND)'!AS40/$C$6</f>
        <v>0</v>
      </c>
      <c r="AY66" s="835">
        <f>'1.BS (VND)'!AT40/$C$6</f>
        <v>0</v>
      </c>
      <c r="AZ66" s="835">
        <f>'1.BS (VND)'!AU40/$C$6</f>
        <v>0</v>
      </c>
      <c r="BA66" s="835">
        <f>'1.BS (VND)'!AV40/$C$6</f>
        <v>0</v>
      </c>
      <c r="BB66" s="840"/>
      <c r="BC66" s="835">
        <f>'1.BS (VND)'!AX40/$C$6</f>
        <v>0</v>
      </c>
      <c r="BD66" s="835">
        <f>'1.BS (VND)'!AY40/$C$6</f>
        <v>0</v>
      </c>
      <c r="BE66" s="835">
        <f>'1.BS (VND)'!AZ40/$C$6</f>
        <v>0</v>
      </c>
      <c r="BF66" s="835">
        <f>'1.BS (VND)'!BA40/$C$6</f>
        <v>0</v>
      </c>
      <c r="BG66" s="840"/>
      <c r="BH66" s="835">
        <f>'1.BS (VND)'!BC40/$C$6</f>
        <v>0</v>
      </c>
      <c r="BI66" s="835">
        <f>'1.BS (VND)'!BD40/$C$6</f>
        <v>0</v>
      </c>
      <c r="BJ66" s="835">
        <f>'1.BS (VND)'!BE40/$C$6</f>
        <v>0</v>
      </c>
      <c r="BK66" s="835">
        <f>'1.BS (VND)'!BF40/$C$6</f>
        <v>0</v>
      </c>
      <c r="BL66" s="840"/>
      <c r="BM66" s="835">
        <f>'1.BS (VND)'!BH40/$C$6</f>
        <v>0</v>
      </c>
      <c r="BN66" s="835">
        <f>'1.BS (VND)'!BI40/$C$6</f>
        <v>0</v>
      </c>
      <c r="BO66" s="835">
        <f>'1.BS (VND)'!BJ40/$C$6</f>
        <v>0</v>
      </c>
      <c r="BP66" s="835">
        <f>'1.BS (VND)'!BK40/$C$6</f>
        <v>0</v>
      </c>
      <c r="BQ66" s="841"/>
      <c r="BR66" s="835">
        <f t="shared" ref="BR66:BR96" si="114">E66+AN66</f>
        <v>0</v>
      </c>
      <c r="BS66" s="835">
        <f t="shared" ref="BS66:BS96" si="115">F66+AO66</f>
        <v>0</v>
      </c>
      <c r="BT66" s="835">
        <f t="shared" ref="BT66:BT96" si="116">G66+AP66</f>
        <v>0</v>
      </c>
      <c r="BU66" s="835">
        <f t="shared" ref="BU66:BU96" si="117">H66+AQ66</f>
        <v>0</v>
      </c>
      <c r="BV66" s="840"/>
      <c r="BW66" s="835">
        <f t="shared" ref="BW66:BW96" si="118">J66+AS66</f>
        <v>0</v>
      </c>
      <c r="BX66" s="835">
        <f t="shared" ref="BX66:BX96" si="119">K66+AT66</f>
        <v>0</v>
      </c>
      <c r="BY66" s="835">
        <f t="shared" ref="BY66:BY96" si="120">L66+AU66</f>
        <v>0</v>
      </c>
      <c r="BZ66" s="835">
        <f t="shared" ref="BZ66:BZ96" si="121">M66+AV66</f>
        <v>0</v>
      </c>
      <c r="CA66" s="840"/>
      <c r="CB66" s="835">
        <f t="shared" ref="CB66:CB96" si="122">O66+AX66</f>
        <v>0</v>
      </c>
      <c r="CC66" s="835">
        <f t="shared" ref="CC66:CC96" si="123">P66+AY66</f>
        <v>0</v>
      </c>
      <c r="CD66" s="835">
        <f t="shared" ref="CD66:CD96" si="124">Q66+AZ66</f>
        <v>0</v>
      </c>
      <c r="CE66" s="835">
        <f t="shared" ref="CE66:CE96" si="125">R66+BA66</f>
        <v>0</v>
      </c>
      <c r="CF66" s="840"/>
      <c r="CG66" s="835">
        <f t="shared" ref="CG66:CG96" si="126">T66+BC66</f>
        <v>0</v>
      </c>
      <c r="CH66" s="835">
        <f t="shared" ref="CH66:CH96" si="127">U66+BD66</f>
        <v>0</v>
      </c>
      <c r="CI66" s="835">
        <f t="shared" ref="CI66:CI96" si="128">V66+BE66</f>
        <v>0</v>
      </c>
      <c r="CJ66" s="835">
        <f t="shared" ref="CJ66:CJ96" si="129">W66+BF66</f>
        <v>0</v>
      </c>
      <c r="CK66" s="840"/>
      <c r="CL66" s="835">
        <f t="shared" ref="CL66:CL96" si="130">Y66+BH66</f>
        <v>0</v>
      </c>
      <c r="CM66" s="835">
        <f t="shared" ref="CM66:CM96" si="131">Z66+BI66</f>
        <v>0</v>
      </c>
      <c r="CN66" s="835">
        <f t="shared" ref="CN66:CN96" si="132">AA66+BJ66</f>
        <v>0</v>
      </c>
      <c r="CO66" s="835">
        <f t="shared" ref="CO66:CO96" si="133">AB66+BK66</f>
        <v>0</v>
      </c>
      <c r="CP66" s="840"/>
      <c r="CQ66" s="835">
        <f t="shared" ref="CQ66:CQ96" si="134">AD66+BM66</f>
        <v>0</v>
      </c>
      <c r="CR66" s="835">
        <f t="shared" ref="CR66:CR96" si="135">AE66+BN66</f>
        <v>0</v>
      </c>
      <c r="CS66" s="835">
        <f t="shared" ref="CS66:CS96" si="136">AF66+BO66</f>
        <v>0</v>
      </c>
      <c r="CT66" s="835">
        <f t="shared" ref="CT66:CT96" si="137">AG66+BP66</f>
        <v>0</v>
      </c>
      <c r="CU66" s="842"/>
      <c r="CV66" s="835">
        <f t="shared" si="113"/>
        <v>0</v>
      </c>
      <c r="CW66" s="835">
        <f t="shared" si="113"/>
        <v>0</v>
      </c>
      <c r="CX66" s="835">
        <f t="shared" si="113"/>
        <v>0</v>
      </c>
      <c r="CY66" s="835">
        <f t="shared" si="113"/>
        <v>0</v>
      </c>
      <c r="CZ66" s="842"/>
      <c r="DA66" s="835">
        <f>'1.BS (VND)'!CV40/'1.BC_Ra Soat (ty) '!$C$6</f>
        <v>0</v>
      </c>
      <c r="DB66" s="835">
        <f>'1.BS (VND)'!CW40/'1.BC_Ra Soat (ty) '!$C$6</f>
        <v>0</v>
      </c>
      <c r="DC66" s="835">
        <f>'1.BS (VND)'!CX40/'1.BC_Ra Soat (ty) '!$C$6</f>
        <v>0</v>
      </c>
      <c r="DD66" s="835">
        <f>'1.BS (VND)'!CY40/'1.BC_Ra Soat (ty) '!$C$6</f>
        <v>0</v>
      </c>
      <c r="DE66" s="842"/>
      <c r="DF66" s="835">
        <f t="shared" si="110"/>
        <v>0</v>
      </c>
      <c r="DG66" s="835">
        <f t="shared" si="109"/>
        <v>0</v>
      </c>
      <c r="DH66" s="835">
        <f t="shared" si="109"/>
        <v>0</v>
      </c>
      <c r="DI66" s="835">
        <f t="shared" si="109"/>
        <v>0</v>
      </c>
    </row>
    <row r="67" spans="1:114" s="441" customFormat="1" ht="15.75" hidden="1" x14ac:dyDescent="0.25">
      <c r="A67" s="447" t="str">
        <f t="shared" si="111"/>
        <v>hide</v>
      </c>
      <c r="C67" s="452" t="s">
        <v>356</v>
      </c>
      <c r="D67" s="453" t="s">
        <v>357</v>
      </c>
      <c r="E67" s="835">
        <f>'1.BS (VND)'!E41/$C$6</f>
        <v>0</v>
      </c>
      <c r="F67" s="835">
        <f>'1.BS (VND)'!F41/$C$6</f>
        <v>0</v>
      </c>
      <c r="G67" s="835">
        <f>'1.BS (VND)'!G41/$C$6</f>
        <v>0</v>
      </c>
      <c r="H67" s="835">
        <f>'1.BS (VND)'!H41/$C$6</f>
        <v>0</v>
      </c>
      <c r="I67" s="840"/>
      <c r="J67" s="835">
        <f>'1.BS (VND)'!J41/$C$6</f>
        <v>0</v>
      </c>
      <c r="K67" s="835">
        <f>'1.BS (VND)'!K41/$C$6</f>
        <v>0</v>
      </c>
      <c r="L67" s="835">
        <f>'1.BS (VND)'!L41/$C$6</f>
        <v>0</v>
      </c>
      <c r="M67" s="835">
        <f>'1.BS (VND)'!M41/$C$6</f>
        <v>0</v>
      </c>
      <c r="N67" s="840"/>
      <c r="O67" s="835">
        <f>'1.BS (VND)'!O41/$C$6</f>
        <v>0</v>
      </c>
      <c r="P67" s="835">
        <f>'1.BS (VND)'!P41/$C$6</f>
        <v>0</v>
      </c>
      <c r="Q67" s="835">
        <f>'1.BS (VND)'!Q41/$C$6</f>
        <v>0</v>
      </c>
      <c r="R67" s="835">
        <f>'1.BS (VND)'!R41/$C$6</f>
        <v>0</v>
      </c>
      <c r="S67" s="840"/>
      <c r="T67" s="835">
        <f>'1.BS (VND)'!T41/$C$6</f>
        <v>0</v>
      </c>
      <c r="U67" s="835">
        <f>'1.BS (VND)'!U41/$C$6</f>
        <v>0</v>
      </c>
      <c r="V67" s="835">
        <f>'1.BS (VND)'!V41/$C$6</f>
        <v>0</v>
      </c>
      <c r="W67" s="835">
        <f>'1.BS (VND)'!W41/$C$6</f>
        <v>0</v>
      </c>
      <c r="X67" s="840"/>
      <c r="Y67" s="835">
        <f>'1.BS (VND)'!Y41/$C$6</f>
        <v>0</v>
      </c>
      <c r="Z67" s="835">
        <f>'1.BS (VND)'!Z41/$C$6</f>
        <v>0</v>
      </c>
      <c r="AA67" s="835">
        <f>'1.BS (VND)'!AA41/$C$6</f>
        <v>0</v>
      </c>
      <c r="AB67" s="835">
        <f>'1.BS (VND)'!AB41/$C$6</f>
        <v>0</v>
      </c>
      <c r="AC67" s="840"/>
      <c r="AD67" s="835">
        <f>'1.BS (VND)'!AD41/$C$6</f>
        <v>0</v>
      </c>
      <c r="AE67" s="835">
        <f>'1.BS (VND)'!AE41/$C$6</f>
        <v>0</v>
      </c>
      <c r="AF67" s="835">
        <f>'1.BS (VND)'!AF41/$C$6</f>
        <v>0</v>
      </c>
      <c r="AG67" s="835">
        <f>'1.BS (VND)'!AG41/$C$6</f>
        <v>0</v>
      </c>
      <c r="AH67" s="841"/>
      <c r="AI67" s="835">
        <f t="shared" si="112"/>
        <v>0</v>
      </c>
      <c r="AJ67" s="835">
        <f t="shared" si="112"/>
        <v>0</v>
      </c>
      <c r="AK67" s="835">
        <f t="shared" si="112"/>
        <v>0</v>
      </c>
      <c r="AL67" s="835">
        <f t="shared" si="83"/>
        <v>0</v>
      </c>
      <c r="AM67" s="852"/>
      <c r="AN67" s="835">
        <f>'1.BS (VND)'!AI41/$C$6</f>
        <v>0</v>
      </c>
      <c r="AO67" s="835">
        <f>'1.BS (VND)'!AJ41/$C$6</f>
        <v>0</v>
      </c>
      <c r="AP67" s="835">
        <f>'1.BS (VND)'!AK41/$C$6</f>
        <v>0</v>
      </c>
      <c r="AQ67" s="835">
        <f>'1.BS (VND)'!AL41/$C$6</f>
        <v>0</v>
      </c>
      <c r="AR67" s="840"/>
      <c r="AS67" s="835">
        <f>'1.BS (VND)'!AN41/$C$6</f>
        <v>0</v>
      </c>
      <c r="AT67" s="835">
        <f>'1.BS (VND)'!AO41/$C$6</f>
        <v>0</v>
      </c>
      <c r="AU67" s="835">
        <f>'1.BS (VND)'!AP41/$C$6</f>
        <v>0</v>
      </c>
      <c r="AV67" s="835">
        <f>'1.BS (VND)'!AQ41/$C$6</f>
        <v>0</v>
      </c>
      <c r="AW67" s="840"/>
      <c r="AX67" s="835">
        <f>'1.BS (VND)'!AS41/$C$6</f>
        <v>0</v>
      </c>
      <c r="AY67" s="835">
        <f>'1.BS (VND)'!AT41/$C$6</f>
        <v>0</v>
      </c>
      <c r="AZ67" s="835">
        <f>'1.BS (VND)'!AU41/$C$6</f>
        <v>0</v>
      </c>
      <c r="BA67" s="835">
        <f>'1.BS (VND)'!AV41/$C$6</f>
        <v>0</v>
      </c>
      <c r="BB67" s="840"/>
      <c r="BC67" s="835">
        <f>'1.BS (VND)'!AX41/$C$6</f>
        <v>0</v>
      </c>
      <c r="BD67" s="835">
        <f>'1.BS (VND)'!AY41/$C$6</f>
        <v>0</v>
      </c>
      <c r="BE67" s="835">
        <f>'1.BS (VND)'!AZ41/$C$6</f>
        <v>0</v>
      </c>
      <c r="BF67" s="835">
        <f>'1.BS (VND)'!BA41/$C$6</f>
        <v>0</v>
      </c>
      <c r="BG67" s="840"/>
      <c r="BH67" s="835">
        <f>'1.BS (VND)'!BC41/$C$6</f>
        <v>0</v>
      </c>
      <c r="BI67" s="835">
        <f>'1.BS (VND)'!BD41/$C$6</f>
        <v>0</v>
      </c>
      <c r="BJ67" s="835">
        <f>'1.BS (VND)'!BE41/$C$6</f>
        <v>0</v>
      </c>
      <c r="BK67" s="835">
        <f>'1.BS (VND)'!BF41/$C$6</f>
        <v>0</v>
      </c>
      <c r="BL67" s="840"/>
      <c r="BM67" s="835">
        <f>'1.BS (VND)'!BH41/$C$6</f>
        <v>0</v>
      </c>
      <c r="BN67" s="835">
        <f>'1.BS (VND)'!BI41/$C$6</f>
        <v>0</v>
      </c>
      <c r="BO67" s="835">
        <f>'1.BS (VND)'!BJ41/$C$6</f>
        <v>0</v>
      </c>
      <c r="BP67" s="835">
        <f>'1.BS (VND)'!BK41/$C$6</f>
        <v>0</v>
      </c>
      <c r="BQ67" s="841"/>
      <c r="BR67" s="835">
        <f t="shared" si="114"/>
        <v>0</v>
      </c>
      <c r="BS67" s="835">
        <f t="shared" si="115"/>
        <v>0</v>
      </c>
      <c r="BT67" s="835">
        <f t="shared" si="116"/>
        <v>0</v>
      </c>
      <c r="BU67" s="835">
        <f t="shared" si="117"/>
        <v>0</v>
      </c>
      <c r="BV67" s="840"/>
      <c r="BW67" s="835">
        <f t="shared" si="118"/>
        <v>0</v>
      </c>
      <c r="BX67" s="835">
        <f t="shared" si="119"/>
        <v>0</v>
      </c>
      <c r="BY67" s="835">
        <f t="shared" si="120"/>
        <v>0</v>
      </c>
      <c r="BZ67" s="835">
        <f t="shared" si="121"/>
        <v>0</v>
      </c>
      <c r="CA67" s="840"/>
      <c r="CB67" s="835">
        <f t="shared" si="122"/>
        <v>0</v>
      </c>
      <c r="CC67" s="835">
        <f t="shared" si="123"/>
        <v>0</v>
      </c>
      <c r="CD67" s="835">
        <f t="shared" si="124"/>
        <v>0</v>
      </c>
      <c r="CE67" s="835">
        <f t="shared" si="125"/>
        <v>0</v>
      </c>
      <c r="CF67" s="840"/>
      <c r="CG67" s="835">
        <f t="shared" si="126"/>
        <v>0</v>
      </c>
      <c r="CH67" s="835">
        <f t="shared" si="127"/>
        <v>0</v>
      </c>
      <c r="CI67" s="835">
        <f t="shared" si="128"/>
        <v>0</v>
      </c>
      <c r="CJ67" s="835">
        <f t="shared" si="129"/>
        <v>0</v>
      </c>
      <c r="CK67" s="840"/>
      <c r="CL67" s="835">
        <f t="shared" si="130"/>
        <v>0</v>
      </c>
      <c r="CM67" s="835">
        <f t="shared" si="131"/>
        <v>0</v>
      </c>
      <c r="CN67" s="835">
        <f t="shared" si="132"/>
        <v>0</v>
      </c>
      <c r="CO67" s="835">
        <f t="shared" si="133"/>
        <v>0</v>
      </c>
      <c r="CP67" s="840"/>
      <c r="CQ67" s="835">
        <f t="shared" si="134"/>
        <v>0</v>
      </c>
      <c r="CR67" s="835">
        <f t="shared" si="135"/>
        <v>0</v>
      </c>
      <c r="CS67" s="835">
        <f t="shared" si="136"/>
        <v>0</v>
      </c>
      <c r="CT67" s="835">
        <f t="shared" si="137"/>
        <v>0</v>
      </c>
      <c r="CU67" s="842"/>
      <c r="CV67" s="835">
        <f t="shared" si="113"/>
        <v>0</v>
      </c>
      <c r="CW67" s="835">
        <f t="shared" si="113"/>
        <v>0</v>
      </c>
      <c r="CX67" s="835">
        <f t="shared" si="113"/>
        <v>0</v>
      </c>
      <c r="CY67" s="835">
        <f t="shared" si="113"/>
        <v>0</v>
      </c>
      <c r="CZ67" s="842"/>
      <c r="DA67" s="835">
        <f>'1.BS (VND)'!CV41/'1.BC_Ra Soat (ty) '!$C$6</f>
        <v>0</v>
      </c>
      <c r="DB67" s="835">
        <f>'1.BS (VND)'!CW41/'1.BC_Ra Soat (ty) '!$C$6</f>
        <v>0</v>
      </c>
      <c r="DC67" s="835">
        <f>'1.BS (VND)'!CX41/'1.BC_Ra Soat (ty) '!$C$6</f>
        <v>0</v>
      </c>
      <c r="DD67" s="835">
        <f>'1.BS (VND)'!CY41/'1.BC_Ra Soat (ty) '!$C$6</f>
        <v>0</v>
      </c>
      <c r="DE67" s="842"/>
      <c r="DF67" s="835">
        <f t="shared" si="110"/>
        <v>0</v>
      </c>
      <c r="DG67" s="835">
        <f t="shared" si="109"/>
        <v>0</v>
      </c>
      <c r="DH67" s="835">
        <f t="shared" si="109"/>
        <v>0</v>
      </c>
      <c r="DI67" s="835">
        <f t="shared" si="109"/>
        <v>0</v>
      </c>
      <c r="DJ67" s="444"/>
    </row>
    <row r="68" spans="1:114" s="441" customFormat="1" ht="15.75" hidden="1" x14ac:dyDescent="0.25">
      <c r="A68" s="447" t="str">
        <f t="shared" si="111"/>
        <v>hide</v>
      </c>
      <c r="C68" s="452" t="s">
        <v>358</v>
      </c>
      <c r="D68" s="453" t="s">
        <v>359</v>
      </c>
      <c r="E68" s="835">
        <f>'1.BS (VND)'!E42/$C$6</f>
        <v>0</v>
      </c>
      <c r="F68" s="835">
        <f>'1.BS (VND)'!F42/$C$6</f>
        <v>0</v>
      </c>
      <c r="G68" s="835">
        <f>'1.BS (VND)'!G42/$C$6</f>
        <v>0</v>
      </c>
      <c r="H68" s="835">
        <f>'1.BS (VND)'!H42/$C$6</f>
        <v>0</v>
      </c>
      <c r="I68" s="840"/>
      <c r="J68" s="835">
        <f>'1.BS (VND)'!J42/$C$6</f>
        <v>0</v>
      </c>
      <c r="K68" s="835">
        <f>'1.BS (VND)'!K42/$C$6</f>
        <v>0</v>
      </c>
      <c r="L68" s="835">
        <f>'1.BS (VND)'!L42/$C$6</f>
        <v>0</v>
      </c>
      <c r="M68" s="835">
        <f>'1.BS (VND)'!M42/$C$6</f>
        <v>0</v>
      </c>
      <c r="N68" s="840"/>
      <c r="O68" s="835">
        <f>'1.BS (VND)'!O42/$C$6</f>
        <v>0</v>
      </c>
      <c r="P68" s="835">
        <f>'1.BS (VND)'!P42/$C$6</f>
        <v>0</v>
      </c>
      <c r="Q68" s="835">
        <f>'1.BS (VND)'!Q42/$C$6</f>
        <v>0</v>
      </c>
      <c r="R68" s="835">
        <f>'1.BS (VND)'!R42/$C$6</f>
        <v>0</v>
      </c>
      <c r="S68" s="840"/>
      <c r="T68" s="835">
        <f>'1.BS (VND)'!T42/$C$6</f>
        <v>0</v>
      </c>
      <c r="U68" s="835">
        <f>'1.BS (VND)'!U42/$C$6</f>
        <v>0</v>
      </c>
      <c r="V68" s="835">
        <f>'1.BS (VND)'!V42/$C$6</f>
        <v>0</v>
      </c>
      <c r="W68" s="835">
        <f>'1.BS (VND)'!W42/$C$6</f>
        <v>0</v>
      </c>
      <c r="X68" s="840"/>
      <c r="Y68" s="835">
        <f>'1.BS (VND)'!Y42/$C$6</f>
        <v>0</v>
      </c>
      <c r="Z68" s="835">
        <f>'1.BS (VND)'!Z42/$C$6</f>
        <v>0</v>
      </c>
      <c r="AA68" s="835">
        <f>'1.BS (VND)'!AA42/$C$6</f>
        <v>0</v>
      </c>
      <c r="AB68" s="835">
        <f>'1.BS (VND)'!AB42/$C$6</f>
        <v>0</v>
      </c>
      <c r="AC68" s="840"/>
      <c r="AD68" s="835">
        <f>'1.BS (VND)'!AD42/$C$6</f>
        <v>0</v>
      </c>
      <c r="AE68" s="835">
        <f>'1.BS (VND)'!AE42/$C$6</f>
        <v>0</v>
      </c>
      <c r="AF68" s="835">
        <f>'1.BS (VND)'!AF42/$C$6</f>
        <v>0</v>
      </c>
      <c r="AG68" s="835">
        <f>'1.BS (VND)'!AG42/$C$6</f>
        <v>0</v>
      </c>
      <c r="AH68" s="841"/>
      <c r="AI68" s="835">
        <f t="shared" si="112"/>
        <v>0</v>
      </c>
      <c r="AJ68" s="835">
        <f t="shared" si="112"/>
        <v>0</v>
      </c>
      <c r="AK68" s="835">
        <f t="shared" si="112"/>
        <v>0</v>
      </c>
      <c r="AL68" s="835">
        <f t="shared" si="83"/>
        <v>0</v>
      </c>
      <c r="AM68" s="842"/>
      <c r="AN68" s="835">
        <f>'1.BS (VND)'!AI42/$C$6</f>
        <v>0</v>
      </c>
      <c r="AO68" s="835">
        <f>'1.BS (VND)'!AJ42/$C$6</f>
        <v>0</v>
      </c>
      <c r="AP68" s="835">
        <f>'1.BS (VND)'!AK42/$C$6</f>
        <v>0</v>
      </c>
      <c r="AQ68" s="835">
        <f>'1.BS (VND)'!AL42/$C$6</f>
        <v>0</v>
      </c>
      <c r="AR68" s="840"/>
      <c r="AS68" s="835">
        <f>'1.BS (VND)'!AN42/$C$6</f>
        <v>0</v>
      </c>
      <c r="AT68" s="835">
        <f>'1.BS (VND)'!AO42/$C$6</f>
        <v>0</v>
      </c>
      <c r="AU68" s="835">
        <f>'1.BS (VND)'!AP42/$C$6</f>
        <v>0</v>
      </c>
      <c r="AV68" s="835">
        <f>'1.BS (VND)'!AQ42/$C$6</f>
        <v>0</v>
      </c>
      <c r="AW68" s="840"/>
      <c r="AX68" s="835">
        <f>'1.BS (VND)'!AS42/$C$6</f>
        <v>0</v>
      </c>
      <c r="AY68" s="835">
        <f>'1.BS (VND)'!AT42/$C$6</f>
        <v>0</v>
      </c>
      <c r="AZ68" s="835">
        <f>'1.BS (VND)'!AU42/$C$6</f>
        <v>0</v>
      </c>
      <c r="BA68" s="835">
        <f>'1.BS (VND)'!AV42/$C$6</f>
        <v>0</v>
      </c>
      <c r="BB68" s="840"/>
      <c r="BC68" s="835">
        <f>'1.BS (VND)'!AX42/$C$6</f>
        <v>0</v>
      </c>
      <c r="BD68" s="835">
        <f>'1.BS (VND)'!AY42/$C$6</f>
        <v>0</v>
      </c>
      <c r="BE68" s="835">
        <f>'1.BS (VND)'!AZ42/$C$6</f>
        <v>0</v>
      </c>
      <c r="BF68" s="835">
        <f>'1.BS (VND)'!BA42/$C$6</f>
        <v>0</v>
      </c>
      <c r="BG68" s="840"/>
      <c r="BH68" s="835">
        <f>'1.BS (VND)'!BC42/$C$6</f>
        <v>0</v>
      </c>
      <c r="BI68" s="835">
        <f>'1.BS (VND)'!BD42/$C$6</f>
        <v>0</v>
      </c>
      <c r="BJ68" s="835">
        <f>'1.BS (VND)'!BE42/$C$6</f>
        <v>0</v>
      </c>
      <c r="BK68" s="835">
        <f>'1.BS (VND)'!BF42/$C$6</f>
        <v>0</v>
      </c>
      <c r="BL68" s="840"/>
      <c r="BM68" s="835">
        <f>'1.BS (VND)'!BH42/$C$6</f>
        <v>0</v>
      </c>
      <c r="BN68" s="835">
        <f>'1.BS (VND)'!BI42/$C$6</f>
        <v>0</v>
      </c>
      <c r="BO68" s="835">
        <f>'1.BS (VND)'!BJ42/$C$6</f>
        <v>0</v>
      </c>
      <c r="BP68" s="835">
        <f>'1.BS (VND)'!BK42/$C$6</f>
        <v>0</v>
      </c>
      <c r="BQ68" s="841"/>
      <c r="BR68" s="835">
        <f t="shared" si="114"/>
        <v>0</v>
      </c>
      <c r="BS68" s="835">
        <f t="shared" si="115"/>
        <v>0</v>
      </c>
      <c r="BT68" s="835">
        <f t="shared" si="116"/>
        <v>0</v>
      </c>
      <c r="BU68" s="835">
        <f t="shared" si="117"/>
        <v>0</v>
      </c>
      <c r="BV68" s="840"/>
      <c r="BW68" s="835">
        <f t="shared" si="118"/>
        <v>0</v>
      </c>
      <c r="BX68" s="835">
        <f t="shared" si="119"/>
        <v>0</v>
      </c>
      <c r="BY68" s="835">
        <f t="shared" si="120"/>
        <v>0</v>
      </c>
      <c r="BZ68" s="835">
        <f t="shared" si="121"/>
        <v>0</v>
      </c>
      <c r="CA68" s="840"/>
      <c r="CB68" s="835">
        <f t="shared" si="122"/>
        <v>0</v>
      </c>
      <c r="CC68" s="835">
        <f t="shared" si="123"/>
        <v>0</v>
      </c>
      <c r="CD68" s="835">
        <f t="shared" si="124"/>
        <v>0</v>
      </c>
      <c r="CE68" s="835">
        <f t="shared" si="125"/>
        <v>0</v>
      </c>
      <c r="CF68" s="840"/>
      <c r="CG68" s="835">
        <f t="shared" si="126"/>
        <v>0</v>
      </c>
      <c r="CH68" s="835">
        <f t="shared" si="127"/>
        <v>0</v>
      </c>
      <c r="CI68" s="835">
        <f t="shared" si="128"/>
        <v>0</v>
      </c>
      <c r="CJ68" s="835">
        <f t="shared" si="129"/>
        <v>0</v>
      </c>
      <c r="CK68" s="840"/>
      <c r="CL68" s="835">
        <f t="shared" si="130"/>
        <v>0</v>
      </c>
      <c r="CM68" s="835">
        <f t="shared" si="131"/>
        <v>0</v>
      </c>
      <c r="CN68" s="835">
        <f t="shared" si="132"/>
        <v>0</v>
      </c>
      <c r="CO68" s="835">
        <f t="shared" si="133"/>
        <v>0</v>
      </c>
      <c r="CP68" s="840"/>
      <c r="CQ68" s="835">
        <f t="shared" si="134"/>
        <v>0</v>
      </c>
      <c r="CR68" s="835">
        <f t="shared" si="135"/>
        <v>0</v>
      </c>
      <c r="CS68" s="835">
        <f t="shared" si="136"/>
        <v>0</v>
      </c>
      <c r="CT68" s="835">
        <f t="shared" si="137"/>
        <v>0</v>
      </c>
      <c r="CU68" s="842"/>
      <c r="CV68" s="835">
        <f t="shared" si="113"/>
        <v>0</v>
      </c>
      <c r="CW68" s="835">
        <f t="shared" si="113"/>
        <v>0</v>
      </c>
      <c r="CX68" s="835">
        <f t="shared" si="113"/>
        <v>0</v>
      </c>
      <c r="CY68" s="835">
        <f t="shared" si="113"/>
        <v>0</v>
      </c>
      <c r="CZ68" s="842"/>
      <c r="DA68" s="835">
        <f>'1.BS (VND)'!CV42/'1.BC_Ra Soat (ty) '!$C$6</f>
        <v>0</v>
      </c>
      <c r="DB68" s="835">
        <f>'1.BS (VND)'!CW42/'1.BC_Ra Soat (ty) '!$C$6</f>
        <v>0</v>
      </c>
      <c r="DC68" s="835">
        <f>'1.BS (VND)'!CX42/'1.BC_Ra Soat (ty) '!$C$6</f>
        <v>0</v>
      </c>
      <c r="DD68" s="835">
        <f>'1.BS (VND)'!CY42/'1.BC_Ra Soat (ty) '!$C$6</f>
        <v>0</v>
      </c>
      <c r="DE68" s="842"/>
      <c r="DF68" s="835">
        <f t="shared" si="110"/>
        <v>0</v>
      </c>
      <c r="DG68" s="835">
        <f t="shared" si="109"/>
        <v>0</v>
      </c>
      <c r="DH68" s="835">
        <f t="shared" si="109"/>
        <v>0</v>
      </c>
      <c r="DI68" s="835">
        <f t="shared" si="109"/>
        <v>0</v>
      </c>
    </row>
    <row r="69" spans="1:114" s="447" customFormat="1" ht="15.75" x14ac:dyDescent="0.25">
      <c r="A69" s="447">
        <f t="shared" si="111"/>
        <v>1</v>
      </c>
      <c r="C69" s="450" t="s">
        <v>360</v>
      </c>
      <c r="D69" s="451" t="s">
        <v>361</v>
      </c>
      <c r="E69" s="849">
        <f>'1.BS (VND)'!E43/$C$6</f>
        <v>70.354868464999996</v>
      </c>
      <c r="F69" s="849">
        <f>'1.BS (VND)'!F43/$C$6</f>
        <v>71.423302014000001</v>
      </c>
      <c r="G69" s="849">
        <f>'1.BS (VND)'!G43/$C$6</f>
        <v>73.959007886999999</v>
      </c>
      <c r="H69" s="849">
        <f>'1.BS (VND)'!H43/$C$6</f>
        <v>73.959007886999999</v>
      </c>
      <c r="I69" s="850"/>
      <c r="J69" s="849">
        <f>'1.BS (VND)'!J43/$C$6</f>
        <v>0</v>
      </c>
      <c r="K69" s="849">
        <f>'1.BS (VND)'!K43/$C$6</f>
        <v>24.222985919999999</v>
      </c>
      <c r="L69" s="849">
        <f>'1.BS (VND)'!L43/$C$6</f>
        <v>37.006309422999998</v>
      </c>
      <c r="M69" s="849">
        <f>'1.BS (VND)'!M43/$C$6</f>
        <v>38.373582149999997</v>
      </c>
      <c r="N69" s="850"/>
      <c r="O69" s="849">
        <f>'1.BS (VND)'!O43/$C$6</f>
        <v>14.406782538</v>
      </c>
      <c r="P69" s="849">
        <f>'1.BS (VND)'!P43/$C$6</f>
        <v>11.845734922</v>
      </c>
      <c r="Q69" s="849">
        <f>'1.BS (VND)'!Q43/$C$6</f>
        <v>6.1748661709999997</v>
      </c>
      <c r="R69" s="849">
        <f>'1.BS (VND)'!R43/$C$6</f>
        <v>4.2935968369999999</v>
      </c>
      <c r="S69" s="850"/>
      <c r="T69" s="849">
        <f>'1.BS (VND)'!T43/$C$6</f>
        <v>16.716666666999998</v>
      </c>
      <c r="U69" s="849">
        <f>'1.BS (VND)'!U43/$C$6</f>
        <v>16.636991667</v>
      </c>
      <c r="V69" s="849">
        <f>'1.BS (VND)'!V43/$C$6</f>
        <v>15.356666667000001</v>
      </c>
      <c r="W69" s="849">
        <f>'1.BS (VND)'!W43/$C$6</f>
        <v>14.676666666999999</v>
      </c>
      <c r="X69" s="850"/>
      <c r="Y69" s="849">
        <f>'1.BS (VND)'!Y43/$C$6</f>
        <v>0</v>
      </c>
      <c r="Z69" s="849">
        <f>'1.BS (VND)'!Z43/$C$6</f>
        <v>0</v>
      </c>
      <c r="AA69" s="849">
        <f>'1.BS (VND)'!AA43/$C$6</f>
        <v>0</v>
      </c>
      <c r="AB69" s="849">
        <f>'1.BS (VND)'!AB43/$C$6</f>
        <v>0</v>
      </c>
      <c r="AC69" s="850"/>
      <c r="AD69" s="849">
        <f>'1.BS (VND)'!AD43/$C$6</f>
        <v>0</v>
      </c>
      <c r="AE69" s="849">
        <f>'1.BS (VND)'!AE43/$C$6</f>
        <v>0</v>
      </c>
      <c r="AF69" s="849">
        <f>'1.BS (VND)'!AF43/$C$6</f>
        <v>0</v>
      </c>
      <c r="AG69" s="849">
        <f>'1.BS (VND)'!AG43/$C$6</f>
        <v>0</v>
      </c>
      <c r="AH69" s="851"/>
      <c r="AI69" s="849">
        <f t="shared" si="112"/>
        <v>101.47831767</v>
      </c>
      <c r="AJ69" s="849">
        <f t="shared" si="112"/>
        <v>124.12901452300001</v>
      </c>
      <c r="AK69" s="849">
        <f t="shared" si="112"/>
        <v>132.49685014799999</v>
      </c>
      <c r="AL69" s="849">
        <f t="shared" si="83"/>
        <v>131.30285354099999</v>
      </c>
      <c r="AM69" s="852"/>
      <c r="AN69" s="849">
        <f>'1.BS (VND)'!AI43/$C$6</f>
        <v>0</v>
      </c>
      <c r="AO69" s="849">
        <f>'1.BS (VND)'!AJ43/$C$6</f>
        <v>0</v>
      </c>
      <c r="AP69" s="849">
        <f>'1.BS (VND)'!AK43/$C$6</f>
        <v>-5.2492967029999997</v>
      </c>
      <c r="AQ69" s="849">
        <f>'1.BS (VND)'!AL43/$C$6</f>
        <v>-6.3229005909999998</v>
      </c>
      <c r="AR69" s="850"/>
      <c r="AS69" s="849">
        <f>'1.BS (VND)'!AN43/$C$6</f>
        <v>0</v>
      </c>
      <c r="AT69" s="849">
        <f>'1.BS (VND)'!AO43/$C$6</f>
        <v>0</v>
      </c>
      <c r="AU69" s="849">
        <f>'1.BS (VND)'!AP43/$C$6</f>
        <v>0</v>
      </c>
      <c r="AV69" s="849">
        <f>'1.BS (VND)'!AQ43/$C$6</f>
        <v>0</v>
      </c>
      <c r="AW69" s="850"/>
      <c r="AX69" s="849">
        <f>'1.BS (VND)'!AS43/$C$6</f>
        <v>0</v>
      </c>
      <c r="AY69" s="849">
        <f>'1.BS (VND)'!AT43/$C$6</f>
        <v>0</v>
      </c>
      <c r="AZ69" s="849">
        <f>'1.BS (VND)'!AU43/$C$6</f>
        <v>0</v>
      </c>
      <c r="BA69" s="849">
        <f>'1.BS (VND)'!AV43/$C$6</f>
        <v>0</v>
      </c>
      <c r="BB69" s="850"/>
      <c r="BC69" s="849">
        <f>'1.BS (VND)'!AX43/$C$6</f>
        <v>0</v>
      </c>
      <c r="BD69" s="849">
        <f>'1.BS (VND)'!AY43/$C$6</f>
        <v>0</v>
      </c>
      <c r="BE69" s="849">
        <f>'1.BS (VND)'!AZ43/$C$6</f>
        <v>0</v>
      </c>
      <c r="BF69" s="849">
        <f>'1.BS (VND)'!BA43/$C$6</f>
        <v>0</v>
      </c>
      <c r="BG69" s="850"/>
      <c r="BH69" s="849">
        <f>'1.BS (VND)'!BC43/$C$6</f>
        <v>0</v>
      </c>
      <c r="BI69" s="849">
        <f>'1.BS (VND)'!BD43/$C$6</f>
        <v>0</v>
      </c>
      <c r="BJ69" s="849">
        <f>'1.BS (VND)'!BE43/$C$6</f>
        <v>0</v>
      </c>
      <c r="BK69" s="849">
        <f>'1.BS (VND)'!BF43/$C$6</f>
        <v>0</v>
      </c>
      <c r="BL69" s="850"/>
      <c r="BM69" s="849">
        <f>'1.BS (VND)'!BH43/$C$6</f>
        <v>0</v>
      </c>
      <c r="BN69" s="849">
        <f>'1.BS (VND)'!BI43/$C$6</f>
        <v>0</v>
      </c>
      <c r="BO69" s="849">
        <f>'1.BS (VND)'!BJ43/$C$6</f>
        <v>0</v>
      </c>
      <c r="BP69" s="849">
        <f>'1.BS (VND)'!BK43/$C$6</f>
        <v>0</v>
      </c>
      <c r="BQ69" s="851"/>
      <c r="BR69" s="849">
        <f t="shared" si="114"/>
        <v>70.354868464999996</v>
      </c>
      <c r="BS69" s="849">
        <f t="shared" si="115"/>
        <v>71.423302014000001</v>
      </c>
      <c r="BT69" s="849">
        <f t="shared" si="116"/>
        <v>68.709711184</v>
      </c>
      <c r="BU69" s="849">
        <f t="shared" si="117"/>
        <v>67.636107296000006</v>
      </c>
      <c r="BV69" s="850"/>
      <c r="BW69" s="849">
        <f t="shared" si="118"/>
        <v>0</v>
      </c>
      <c r="BX69" s="849">
        <f t="shared" si="119"/>
        <v>24.222985919999999</v>
      </c>
      <c r="BY69" s="849">
        <f t="shared" si="120"/>
        <v>37.006309422999998</v>
      </c>
      <c r="BZ69" s="849">
        <f t="shared" si="121"/>
        <v>38.373582149999997</v>
      </c>
      <c r="CA69" s="850"/>
      <c r="CB69" s="849">
        <f t="shared" si="122"/>
        <v>14.406782538</v>
      </c>
      <c r="CC69" s="849">
        <f t="shared" si="123"/>
        <v>11.845734922</v>
      </c>
      <c r="CD69" s="849">
        <f t="shared" si="124"/>
        <v>6.1748661709999997</v>
      </c>
      <c r="CE69" s="849">
        <f t="shared" si="125"/>
        <v>4.2935968369999999</v>
      </c>
      <c r="CF69" s="850"/>
      <c r="CG69" s="849">
        <f t="shared" si="126"/>
        <v>16.716666666999998</v>
      </c>
      <c r="CH69" s="849">
        <f t="shared" si="127"/>
        <v>16.636991667</v>
      </c>
      <c r="CI69" s="849">
        <f t="shared" si="128"/>
        <v>15.356666667000001</v>
      </c>
      <c r="CJ69" s="849">
        <f t="shared" si="129"/>
        <v>14.676666666999999</v>
      </c>
      <c r="CK69" s="850"/>
      <c r="CL69" s="849">
        <f t="shared" si="130"/>
        <v>0</v>
      </c>
      <c r="CM69" s="849">
        <f t="shared" si="131"/>
        <v>0</v>
      </c>
      <c r="CN69" s="849">
        <f t="shared" si="132"/>
        <v>0</v>
      </c>
      <c r="CO69" s="849">
        <f t="shared" si="133"/>
        <v>0</v>
      </c>
      <c r="CP69" s="850"/>
      <c r="CQ69" s="849">
        <f t="shared" si="134"/>
        <v>0</v>
      </c>
      <c r="CR69" s="849">
        <f t="shared" si="135"/>
        <v>0</v>
      </c>
      <c r="CS69" s="849">
        <f t="shared" si="136"/>
        <v>0</v>
      </c>
      <c r="CT69" s="849">
        <f t="shared" si="137"/>
        <v>0</v>
      </c>
      <c r="CU69" s="852"/>
      <c r="CV69" s="849">
        <f t="shared" si="113"/>
        <v>101.47831767</v>
      </c>
      <c r="CW69" s="849">
        <f t="shared" si="113"/>
        <v>124.12901452300001</v>
      </c>
      <c r="CX69" s="849">
        <f t="shared" si="113"/>
        <v>127.24755344499999</v>
      </c>
      <c r="CY69" s="849">
        <f t="shared" si="113"/>
        <v>124.97995295000001</v>
      </c>
      <c r="CZ69" s="852"/>
      <c r="DA69" s="849">
        <f>'1.BS (VND)'!CV43/'1.BC_Ra Soat (ty) '!$C$6</f>
        <v>0</v>
      </c>
      <c r="DB69" s="849">
        <f>'1.BS (VND)'!CW43/'1.BC_Ra Soat (ty) '!$C$6</f>
        <v>0</v>
      </c>
      <c r="DC69" s="849">
        <f>'1.BS (VND)'!CX43/'1.BC_Ra Soat (ty) '!$C$6</f>
        <v>0</v>
      </c>
      <c r="DD69" s="849">
        <f>'1.BS (VND)'!CY43/'1.BC_Ra Soat (ty) '!$C$6</f>
        <v>0</v>
      </c>
      <c r="DE69" s="852"/>
      <c r="DF69" s="849">
        <f t="shared" si="110"/>
        <v>101.47831767</v>
      </c>
      <c r="DG69" s="849">
        <f t="shared" si="109"/>
        <v>124.12901452300001</v>
      </c>
      <c r="DH69" s="849">
        <f t="shared" si="109"/>
        <v>127.24755344499999</v>
      </c>
      <c r="DI69" s="849">
        <f t="shared" si="109"/>
        <v>124.97995295000001</v>
      </c>
      <c r="DJ69" s="444"/>
    </row>
    <row r="70" spans="1:114" s="447" customFormat="1" ht="15.75" x14ac:dyDescent="0.25">
      <c r="A70" s="447">
        <f t="shared" si="111"/>
        <v>1</v>
      </c>
      <c r="C70" s="450" t="s">
        <v>580</v>
      </c>
      <c r="D70" s="451" t="s">
        <v>362</v>
      </c>
      <c r="E70" s="849">
        <f>'1.BS (VND)'!E44/$C$6</f>
        <v>70.354868464999996</v>
      </c>
      <c r="F70" s="849">
        <f>'1.BS (VND)'!F44/$C$6</f>
        <v>71.423302014000001</v>
      </c>
      <c r="G70" s="849">
        <f>'1.BS (VND)'!G44/$C$6</f>
        <v>73.959007886999999</v>
      </c>
      <c r="H70" s="849">
        <f>'1.BS (VND)'!H44/$C$6</f>
        <v>73.959007886999999</v>
      </c>
      <c r="I70" s="850"/>
      <c r="J70" s="849">
        <f>'1.BS (VND)'!J44/$C$6</f>
        <v>0</v>
      </c>
      <c r="K70" s="849">
        <f>'1.BS (VND)'!K44/$C$6</f>
        <v>24.222985919999999</v>
      </c>
      <c r="L70" s="849">
        <f>'1.BS (VND)'!L44/$C$6</f>
        <v>37.006309422999998</v>
      </c>
      <c r="M70" s="849">
        <f>'1.BS (VND)'!M44/$C$6</f>
        <v>38.373582149999997</v>
      </c>
      <c r="N70" s="850"/>
      <c r="O70" s="849">
        <f>'1.BS (VND)'!O44/$C$6</f>
        <v>14.406782538</v>
      </c>
      <c r="P70" s="849">
        <f>'1.BS (VND)'!P44/$C$6</f>
        <v>11.845734922</v>
      </c>
      <c r="Q70" s="849">
        <f>'1.BS (VND)'!Q44/$C$6</f>
        <v>6.1748661709999997</v>
      </c>
      <c r="R70" s="849">
        <f>'1.BS (VND)'!R44/$C$6</f>
        <v>4.2935968369999999</v>
      </c>
      <c r="S70" s="850"/>
      <c r="T70" s="849">
        <f>'1.BS (VND)'!T44/$C$6</f>
        <v>16.716666666999998</v>
      </c>
      <c r="U70" s="849">
        <f>'1.BS (VND)'!U44/$C$6</f>
        <v>16.636991667</v>
      </c>
      <c r="V70" s="849">
        <f>'1.BS (VND)'!V44/$C$6</f>
        <v>15.356666667000001</v>
      </c>
      <c r="W70" s="849">
        <f>'1.BS (VND)'!W44/$C$6</f>
        <v>14.676666666999999</v>
      </c>
      <c r="X70" s="850"/>
      <c r="Y70" s="849">
        <f>'1.BS (VND)'!Y44/$C$6</f>
        <v>0</v>
      </c>
      <c r="Z70" s="849">
        <f>'1.BS (VND)'!Z44/$C$6</f>
        <v>0</v>
      </c>
      <c r="AA70" s="849">
        <f>'1.BS (VND)'!AA44/$C$6</f>
        <v>0</v>
      </c>
      <c r="AB70" s="849">
        <f>'1.BS (VND)'!AB44/$C$6</f>
        <v>0</v>
      </c>
      <c r="AC70" s="850"/>
      <c r="AD70" s="849">
        <f>'1.BS (VND)'!AD44/$C$6</f>
        <v>0</v>
      </c>
      <c r="AE70" s="849">
        <f>'1.BS (VND)'!AE44/$C$6</f>
        <v>0</v>
      </c>
      <c r="AF70" s="849">
        <f>'1.BS (VND)'!AF44/$C$6</f>
        <v>0</v>
      </c>
      <c r="AG70" s="849">
        <f>'1.BS (VND)'!AG44/$C$6</f>
        <v>0</v>
      </c>
      <c r="AH70" s="851"/>
      <c r="AI70" s="849">
        <f t="shared" si="112"/>
        <v>101.47831767</v>
      </c>
      <c r="AJ70" s="849">
        <f t="shared" si="112"/>
        <v>124.12901452300001</v>
      </c>
      <c r="AK70" s="849">
        <f t="shared" si="112"/>
        <v>132.49685014799999</v>
      </c>
      <c r="AL70" s="849">
        <f t="shared" si="83"/>
        <v>131.30285354099999</v>
      </c>
      <c r="AM70" s="852"/>
      <c r="AN70" s="849">
        <f>'1.BS (VND)'!AI44/$C$6</f>
        <v>0</v>
      </c>
      <c r="AO70" s="849">
        <f>'1.BS (VND)'!AJ44/$C$6</f>
        <v>0</v>
      </c>
      <c r="AP70" s="849">
        <f>'1.BS (VND)'!AK44/$C$6</f>
        <v>-5.2492967029999997</v>
      </c>
      <c r="AQ70" s="849">
        <f>'1.BS (VND)'!AL44/$C$6</f>
        <v>-6.3229005909999998</v>
      </c>
      <c r="AR70" s="850"/>
      <c r="AS70" s="849">
        <f>'1.BS (VND)'!AN44/$C$6</f>
        <v>0</v>
      </c>
      <c r="AT70" s="849">
        <f>'1.BS (VND)'!AO44/$C$6</f>
        <v>0</v>
      </c>
      <c r="AU70" s="849">
        <f>'1.BS (VND)'!AP44/$C$6</f>
        <v>0</v>
      </c>
      <c r="AV70" s="849">
        <f>'1.BS (VND)'!AQ44/$C$6</f>
        <v>0</v>
      </c>
      <c r="AW70" s="850"/>
      <c r="AX70" s="849">
        <f>'1.BS (VND)'!AS44/$C$6</f>
        <v>0</v>
      </c>
      <c r="AY70" s="849">
        <f>'1.BS (VND)'!AT44/$C$6</f>
        <v>0</v>
      </c>
      <c r="AZ70" s="849">
        <f>'1.BS (VND)'!AU44/$C$6</f>
        <v>0</v>
      </c>
      <c r="BA70" s="849">
        <f>'1.BS (VND)'!AV44/$C$6</f>
        <v>0</v>
      </c>
      <c r="BB70" s="850"/>
      <c r="BC70" s="849">
        <f>'1.BS (VND)'!AX44/$C$6</f>
        <v>0</v>
      </c>
      <c r="BD70" s="849">
        <f>'1.BS (VND)'!AY44/$C$6</f>
        <v>0</v>
      </c>
      <c r="BE70" s="849">
        <f>'1.BS (VND)'!AZ44/$C$6</f>
        <v>0</v>
      </c>
      <c r="BF70" s="849">
        <f>'1.BS (VND)'!BA44/$C$6</f>
        <v>0</v>
      </c>
      <c r="BG70" s="850"/>
      <c r="BH70" s="849">
        <f>'1.BS (VND)'!BC44/$C$6</f>
        <v>0</v>
      </c>
      <c r="BI70" s="849">
        <f>'1.BS (VND)'!BD44/$C$6</f>
        <v>0</v>
      </c>
      <c r="BJ70" s="849">
        <f>'1.BS (VND)'!BE44/$C$6</f>
        <v>0</v>
      </c>
      <c r="BK70" s="849">
        <f>'1.BS (VND)'!BF44/$C$6</f>
        <v>0</v>
      </c>
      <c r="BL70" s="850"/>
      <c r="BM70" s="849">
        <f>'1.BS (VND)'!BH44/$C$6</f>
        <v>0</v>
      </c>
      <c r="BN70" s="849">
        <f>'1.BS (VND)'!BI44/$C$6</f>
        <v>0</v>
      </c>
      <c r="BO70" s="849">
        <f>'1.BS (VND)'!BJ44/$C$6</f>
        <v>0</v>
      </c>
      <c r="BP70" s="849">
        <f>'1.BS (VND)'!BK44/$C$6</f>
        <v>0</v>
      </c>
      <c r="BQ70" s="851"/>
      <c r="BR70" s="849">
        <f t="shared" si="114"/>
        <v>70.354868464999996</v>
      </c>
      <c r="BS70" s="849">
        <f t="shared" si="115"/>
        <v>71.423302014000001</v>
      </c>
      <c r="BT70" s="849">
        <f t="shared" si="116"/>
        <v>68.709711184</v>
      </c>
      <c r="BU70" s="849">
        <f t="shared" si="117"/>
        <v>67.636107296000006</v>
      </c>
      <c r="BV70" s="850"/>
      <c r="BW70" s="849">
        <f t="shared" si="118"/>
        <v>0</v>
      </c>
      <c r="BX70" s="849">
        <f t="shared" si="119"/>
        <v>24.222985919999999</v>
      </c>
      <c r="BY70" s="849">
        <f t="shared" si="120"/>
        <v>37.006309422999998</v>
      </c>
      <c r="BZ70" s="849">
        <f t="shared" si="121"/>
        <v>38.373582149999997</v>
      </c>
      <c r="CA70" s="850"/>
      <c r="CB70" s="849">
        <f t="shared" si="122"/>
        <v>14.406782538</v>
      </c>
      <c r="CC70" s="849">
        <f t="shared" si="123"/>
        <v>11.845734922</v>
      </c>
      <c r="CD70" s="849">
        <f t="shared" si="124"/>
        <v>6.1748661709999997</v>
      </c>
      <c r="CE70" s="849">
        <f t="shared" si="125"/>
        <v>4.2935968369999999</v>
      </c>
      <c r="CF70" s="850"/>
      <c r="CG70" s="849">
        <f t="shared" si="126"/>
        <v>16.716666666999998</v>
      </c>
      <c r="CH70" s="849">
        <f t="shared" si="127"/>
        <v>16.636991667</v>
      </c>
      <c r="CI70" s="849">
        <f t="shared" si="128"/>
        <v>15.356666667000001</v>
      </c>
      <c r="CJ70" s="849">
        <f t="shared" si="129"/>
        <v>14.676666666999999</v>
      </c>
      <c r="CK70" s="850"/>
      <c r="CL70" s="849">
        <f t="shared" si="130"/>
        <v>0</v>
      </c>
      <c r="CM70" s="849">
        <f t="shared" si="131"/>
        <v>0</v>
      </c>
      <c r="CN70" s="849">
        <f t="shared" si="132"/>
        <v>0</v>
      </c>
      <c r="CO70" s="849">
        <f t="shared" si="133"/>
        <v>0</v>
      </c>
      <c r="CP70" s="850"/>
      <c r="CQ70" s="849">
        <f t="shared" si="134"/>
        <v>0</v>
      </c>
      <c r="CR70" s="849">
        <f t="shared" si="135"/>
        <v>0</v>
      </c>
      <c r="CS70" s="849">
        <f t="shared" si="136"/>
        <v>0</v>
      </c>
      <c r="CT70" s="849">
        <f t="shared" si="137"/>
        <v>0</v>
      </c>
      <c r="CU70" s="852"/>
      <c r="CV70" s="849">
        <f t="shared" si="113"/>
        <v>101.47831767</v>
      </c>
      <c r="CW70" s="849">
        <f t="shared" si="113"/>
        <v>124.12901452300001</v>
      </c>
      <c r="CX70" s="849">
        <f t="shared" si="113"/>
        <v>127.24755344499999</v>
      </c>
      <c r="CY70" s="849">
        <f t="shared" si="113"/>
        <v>124.97995295000001</v>
      </c>
      <c r="CZ70" s="852"/>
      <c r="DA70" s="849">
        <f>'1.BS (VND)'!CV44/'1.BC_Ra Soat (ty) '!$C$6</f>
        <v>0</v>
      </c>
      <c r="DB70" s="849">
        <f>'1.BS (VND)'!CW44/'1.BC_Ra Soat (ty) '!$C$6</f>
        <v>0</v>
      </c>
      <c r="DC70" s="849">
        <f>'1.BS (VND)'!CX44/'1.BC_Ra Soat (ty) '!$C$6</f>
        <v>0</v>
      </c>
      <c r="DD70" s="849">
        <f>'1.BS (VND)'!CY44/'1.BC_Ra Soat (ty) '!$C$6</f>
        <v>0</v>
      </c>
      <c r="DE70" s="852"/>
      <c r="DF70" s="849">
        <f t="shared" si="110"/>
        <v>101.47831767</v>
      </c>
      <c r="DG70" s="849">
        <f t="shared" si="109"/>
        <v>124.12901452300001</v>
      </c>
      <c r="DH70" s="849">
        <f t="shared" si="109"/>
        <v>127.24755344499999</v>
      </c>
      <c r="DI70" s="849">
        <f t="shared" si="109"/>
        <v>124.97995295000001</v>
      </c>
      <c r="DJ70" s="444"/>
    </row>
    <row r="71" spans="1:114" s="449" customFormat="1" ht="15.75" x14ac:dyDescent="0.25">
      <c r="A71" s="857">
        <f t="shared" si="111"/>
        <v>1</v>
      </c>
      <c r="C71" s="1017" t="s">
        <v>363</v>
      </c>
      <c r="D71" s="1018" t="s">
        <v>364</v>
      </c>
      <c r="E71" s="836">
        <f>'1.BS (VND)'!E45/$C$6</f>
        <v>98.220613943999993</v>
      </c>
      <c r="F71" s="836">
        <f>'1.BS (VND)'!F45/$C$6</f>
        <v>105.661195764</v>
      </c>
      <c r="G71" s="836">
        <f>'1.BS (VND)'!G45/$C$6</f>
        <v>116.93899320600001</v>
      </c>
      <c r="H71" s="836">
        <f>'1.BS (VND)'!H45/$C$6</f>
        <v>116.93899320600001</v>
      </c>
      <c r="I71" s="845"/>
      <c r="J71" s="836">
        <f>'1.BS (VND)'!J45/$C$6</f>
        <v>0</v>
      </c>
      <c r="K71" s="836">
        <f>'1.BS (VND)'!K45/$C$6</f>
        <v>25.215497996</v>
      </c>
      <c r="L71" s="836">
        <f>'1.BS (VND)'!L45/$C$6</f>
        <v>41.652349848</v>
      </c>
      <c r="M71" s="836">
        <f>'1.BS (VND)'!M45/$C$6</f>
        <v>43.019622575</v>
      </c>
      <c r="N71" s="845"/>
      <c r="O71" s="836">
        <f>'1.BS (VND)'!O45/$C$6</f>
        <v>18.089770550000001</v>
      </c>
      <c r="P71" s="836">
        <f>'1.BS (VND)'!P45/$C$6</f>
        <v>18.567043278</v>
      </c>
      <c r="Q71" s="836">
        <f>'1.BS (VND)'!Q45/$C$6</f>
        <v>11.287616005</v>
      </c>
      <c r="R71" s="836">
        <f>'1.BS (VND)'!R45/$C$6</f>
        <v>11.287616005</v>
      </c>
      <c r="S71" s="845"/>
      <c r="T71" s="836">
        <f>'1.BS (VND)'!T45/$C$6</f>
        <v>17</v>
      </c>
      <c r="U71" s="836">
        <f>'1.BS (VND)'!U45/$C$6</f>
        <v>17.654900000000001</v>
      </c>
      <c r="V71" s="836">
        <f>'1.BS (VND)'!V45/$C$6</f>
        <v>17</v>
      </c>
      <c r="W71" s="836">
        <f>'1.BS (VND)'!W45/$C$6</f>
        <v>17</v>
      </c>
      <c r="X71" s="845"/>
      <c r="Y71" s="836">
        <f>'1.BS (VND)'!Y45/$C$6</f>
        <v>0</v>
      </c>
      <c r="Z71" s="836">
        <f>'1.BS (VND)'!Z45/$C$6</f>
        <v>0</v>
      </c>
      <c r="AA71" s="836">
        <f>'1.BS (VND)'!AA45/$C$6</f>
        <v>0</v>
      </c>
      <c r="AB71" s="836">
        <f>'1.BS (VND)'!AB45/$C$6</f>
        <v>0</v>
      </c>
      <c r="AC71" s="845"/>
      <c r="AD71" s="836">
        <f>'1.BS (VND)'!AD45/$C$6</f>
        <v>0</v>
      </c>
      <c r="AE71" s="836">
        <f>'1.BS (VND)'!AE45/$C$6</f>
        <v>0</v>
      </c>
      <c r="AF71" s="836">
        <f>'1.BS (VND)'!AF45/$C$6</f>
        <v>0</v>
      </c>
      <c r="AG71" s="836">
        <f>'1.BS (VND)'!AG45/$C$6</f>
        <v>0</v>
      </c>
      <c r="AH71" s="846"/>
      <c r="AI71" s="836">
        <f t="shared" si="112"/>
        <v>133.310384494</v>
      </c>
      <c r="AJ71" s="836">
        <f t="shared" si="112"/>
        <v>167.09863703799999</v>
      </c>
      <c r="AK71" s="836">
        <f t="shared" si="112"/>
        <v>186.87895905899998</v>
      </c>
      <c r="AL71" s="836">
        <f t="shared" si="83"/>
        <v>188.24623178599998</v>
      </c>
      <c r="AM71" s="856"/>
      <c r="AN71" s="836">
        <f>'1.BS (VND)'!AI45/$C$6</f>
        <v>0</v>
      </c>
      <c r="AO71" s="836">
        <f>'1.BS (VND)'!AJ45/$C$6</f>
        <v>0</v>
      </c>
      <c r="AP71" s="836">
        <f>'1.BS (VND)'!AK45/$C$6</f>
        <v>0</v>
      </c>
      <c r="AQ71" s="836">
        <f>'1.BS (VND)'!AL45/$C$6</f>
        <v>0</v>
      </c>
      <c r="AR71" s="845"/>
      <c r="AS71" s="836">
        <f>'1.BS (VND)'!AN45/$C$6</f>
        <v>0</v>
      </c>
      <c r="AT71" s="836">
        <f>'1.BS (VND)'!AO45/$C$6</f>
        <v>0</v>
      </c>
      <c r="AU71" s="836">
        <f>'1.BS (VND)'!AP45/$C$6</f>
        <v>0</v>
      </c>
      <c r="AV71" s="836">
        <f>'1.BS (VND)'!AQ45/$C$6</f>
        <v>0</v>
      </c>
      <c r="AW71" s="845"/>
      <c r="AX71" s="836">
        <f>'1.BS (VND)'!AS45/$C$6</f>
        <v>0</v>
      </c>
      <c r="AY71" s="836">
        <f>'1.BS (VND)'!AT45/$C$6</f>
        <v>0</v>
      </c>
      <c r="AZ71" s="836">
        <f>'1.BS (VND)'!AU45/$C$6</f>
        <v>0</v>
      </c>
      <c r="BA71" s="836">
        <f>'1.BS (VND)'!AV45/$C$6</f>
        <v>0</v>
      </c>
      <c r="BB71" s="845"/>
      <c r="BC71" s="836">
        <f>'1.BS (VND)'!AX45/$C$6</f>
        <v>0</v>
      </c>
      <c r="BD71" s="836">
        <f>'1.BS (VND)'!AY45/$C$6</f>
        <v>0</v>
      </c>
      <c r="BE71" s="836">
        <f>'1.BS (VND)'!AZ45/$C$6</f>
        <v>0</v>
      </c>
      <c r="BF71" s="836">
        <f>'1.BS (VND)'!BA45/$C$6</f>
        <v>0</v>
      </c>
      <c r="BG71" s="845"/>
      <c r="BH71" s="836">
        <f>'1.BS (VND)'!BC45/$C$6</f>
        <v>0</v>
      </c>
      <c r="BI71" s="836">
        <f>'1.BS (VND)'!BD45/$C$6</f>
        <v>0</v>
      </c>
      <c r="BJ71" s="836">
        <f>'1.BS (VND)'!BE45/$C$6</f>
        <v>0</v>
      </c>
      <c r="BK71" s="836">
        <f>'1.BS (VND)'!BF45/$C$6</f>
        <v>0</v>
      </c>
      <c r="BL71" s="845"/>
      <c r="BM71" s="836">
        <f>'1.BS (VND)'!BH45/$C$6</f>
        <v>0</v>
      </c>
      <c r="BN71" s="836">
        <f>'1.BS (VND)'!BI45/$C$6</f>
        <v>0</v>
      </c>
      <c r="BO71" s="836">
        <f>'1.BS (VND)'!BJ45/$C$6</f>
        <v>0</v>
      </c>
      <c r="BP71" s="836">
        <f>'1.BS (VND)'!BK45/$C$6</f>
        <v>0</v>
      </c>
      <c r="BQ71" s="846"/>
      <c r="BR71" s="836">
        <f t="shared" si="114"/>
        <v>98.220613943999993</v>
      </c>
      <c r="BS71" s="836">
        <f t="shared" si="115"/>
        <v>105.661195764</v>
      </c>
      <c r="BT71" s="836">
        <f t="shared" si="116"/>
        <v>116.93899320600001</v>
      </c>
      <c r="BU71" s="836">
        <f t="shared" si="117"/>
        <v>116.93899320600001</v>
      </c>
      <c r="BV71" s="845"/>
      <c r="BW71" s="836">
        <f t="shared" si="118"/>
        <v>0</v>
      </c>
      <c r="BX71" s="836">
        <f t="shared" si="119"/>
        <v>25.215497996</v>
      </c>
      <c r="BY71" s="836">
        <f t="shared" si="120"/>
        <v>41.652349848</v>
      </c>
      <c r="BZ71" s="836">
        <f t="shared" si="121"/>
        <v>43.019622575</v>
      </c>
      <c r="CA71" s="845"/>
      <c r="CB71" s="836">
        <f t="shared" si="122"/>
        <v>18.089770550000001</v>
      </c>
      <c r="CC71" s="836">
        <f t="shared" si="123"/>
        <v>18.567043278</v>
      </c>
      <c r="CD71" s="836">
        <f t="shared" si="124"/>
        <v>11.287616005</v>
      </c>
      <c r="CE71" s="836">
        <f t="shared" si="125"/>
        <v>11.287616005</v>
      </c>
      <c r="CF71" s="845"/>
      <c r="CG71" s="836">
        <f t="shared" si="126"/>
        <v>17</v>
      </c>
      <c r="CH71" s="836">
        <f t="shared" si="127"/>
        <v>17.654900000000001</v>
      </c>
      <c r="CI71" s="836">
        <f t="shared" si="128"/>
        <v>17</v>
      </c>
      <c r="CJ71" s="836">
        <f t="shared" si="129"/>
        <v>17</v>
      </c>
      <c r="CK71" s="845"/>
      <c r="CL71" s="836">
        <f t="shared" si="130"/>
        <v>0</v>
      </c>
      <c r="CM71" s="836">
        <f t="shared" si="131"/>
        <v>0</v>
      </c>
      <c r="CN71" s="836">
        <f t="shared" si="132"/>
        <v>0</v>
      </c>
      <c r="CO71" s="836">
        <f t="shared" si="133"/>
        <v>0</v>
      </c>
      <c r="CP71" s="845"/>
      <c r="CQ71" s="836">
        <f t="shared" si="134"/>
        <v>0</v>
      </c>
      <c r="CR71" s="836">
        <f t="shared" si="135"/>
        <v>0</v>
      </c>
      <c r="CS71" s="836">
        <f t="shared" si="136"/>
        <v>0</v>
      </c>
      <c r="CT71" s="836">
        <f t="shared" si="137"/>
        <v>0</v>
      </c>
      <c r="CU71" s="847"/>
      <c r="CV71" s="836">
        <f t="shared" si="113"/>
        <v>133.310384494</v>
      </c>
      <c r="CW71" s="836">
        <f t="shared" si="113"/>
        <v>167.09863703799999</v>
      </c>
      <c r="CX71" s="836">
        <f t="shared" si="113"/>
        <v>186.87895905899998</v>
      </c>
      <c r="CY71" s="836">
        <f t="shared" si="113"/>
        <v>188.24623178599998</v>
      </c>
      <c r="CZ71" s="847"/>
      <c r="DA71" s="836">
        <f>'1.BS (VND)'!CV45/'1.BC_Ra Soat (ty) '!$C$6</f>
        <v>0</v>
      </c>
      <c r="DB71" s="836">
        <f>'1.BS (VND)'!CW45/'1.BC_Ra Soat (ty) '!$C$6</f>
        <v>0</v>
      </c>
      <c r="DC71" s="836">
        <f>'1.BS (VND)'!CX45/'1.BC_Ra Soat (ty) '!$C$6</f>
        <v>0</v>
      </c>
      <c r="DD71" s="836">
        <f>'1.BS (VND)'!CY45/'1.BC_Ra Soat (ty) '!$C$6</f>
        <v>0</v>
      </c>
      <c r="DE71" s="847"/>
      <c r="DF71" s="836">
        <f t="shared" si="110"/>
        <v>133.310384494</v>
      </c>
      <c r="DG71" s="836">
        <f t="shared" si="109"/>
        <v>167.09863703799999</v>
      </c>
      <c r="DH71" s="836">
        <f t="shared" si="109"/>
        <v>186.87895905899998</v>
      </c>
      <c r="DI71" s="836">
        <f t="shared" si="109"/>
        <v>188.24623178599998</v>
      </c>
      <c r="DJ71" s="1019"/>
    </row>
    <row r="72" spans="1:114" s="449" customFormat="1" ht="15.75" x14ac:dyDescent="0.25">
      <c r="A72" s="857">
        <f t="shared" si="111"/>
        <v>1</v>
      </c>
      <c r="C72" s="1017" t="s">
        <v>365</v>
      </c>
      <c r="D72" s="1018" t="s">
        <v>366</v>
      </c>
      <c r="E72" s="836">
        <f>'1.BS (VND)'!E46/$C$6</f>
        <v>-27.865745479000001</v>
      </c>
      <c r="F72" s="836">
        <f>'1.BS (VND)'!F46/$C$6</f>
        <v>-34.237893749999998</v>
      </c>
      <c r="G72" s="836">
        <f>'1.BS (VND)'!G46/$C$6</f>
        <v>-42.979985319000001</v>
      </c>
      <c r="H72" s="836">
        <f>'1.BS (VND)'!H46/$C$6</f>
        <v>-42.979985319000001</v>
      </c>
      <c r="I72" s="845"/>
      <c r="J72" s="836">
        <f>'1.BS (VND)'!J46/$C$6</f>
        <v>0</v>
      </c>
      <c r="K72" s="836">
        <f>'1.BS (VND)'!K46/$C$6</f>
        <v>-0.99251207600000002</v>
      </c>
      <c r="L72" s="836">
        <f>'1.BS (VND)'!L46/$C$6</f>
        <v>-4.6460404249999998</v>
      </c>
      <c r="M72" s="836">
        <f>'1.BS (VND)'!M46/$C$6</f>
        <v>-4.6460404249999998</v>
      </c>
      <c r="N72" s="845"/>
      <c r="O72" s="836">
        <f>'1.BS (VND)'!O46/$C$6</f>
        <v>-3.682988012</v>
      </c>
      <c r="P72" s="836">
        <f>'1.BS (VND)'!P46/$C$6</f>
        <v>-6.7213083559999998</v>
      </c>
      <c r="Q72" s="836">
        <f>'1.BS (VND)'!Q46/$C$6</f>
        <v>-5.1127498339999997</v>
      </c>
      <c r="R72" s="836">
        <f>'1.BS (VND)'!R46/$C$6</f>
        <v>-6.9940191680000003</v>
      </c>
      <c r="S72" s="845"/>
      <c r="T72" s="836">
        <f>'1.BS (VND)'!T46/$C$6</f>
        <v>-0.28333333300000002</v>
      </c>
      <c r="U72" s="836">
        <f>'1.BS (VND)'!U46/$C$6</f>
        <v>-1.0179083330000001</v>
      </c>
      <c r="V72" s="836">
        <f>'1.BS (VND)'!V46/$C$6</f>
        <v>-1.643333333</v>
      </c>
      <c r="W72" s="836">
        <f>'1.BS (VND)'!W46/$C$6</f>
        <v>-2.3233333329999999</v>
      </c>
      <c r="X72" s="845"/>
      <c r="Y72" s="836">
        <f>'1.BS (VND)'!Y46/$C$6</f>
        <v>0</v>
      </c>
      <c r="Z72" s="836">
        <f>'1.BS (VND)'!Z46/$C$6</f>
        <v>0</v>
      </c>
      <c r="AA72" s="836">
        <f>'1.BS (VND)'!AA46/$C$6</f>
        <v>0</v>
      </c>
      <c r="AB72" s="836">
        <f>'1.BS (VND)'!AB46/$C$6</f>
        <v>0</v>
      </c>
      <c r="AC72" s="845"/>
      <c r="AD72" s="836">
        <f>'1.BS (VND)'!AD46/$C$6</f>
        <v>0</v>
      </c>
      <c r="AE72" s="836">
        <f>'1.BS (VND)'!AE46/$C$6</f>
        <v>0</v>
      </c>
      <c r="AF72" s="836">
        <f>'1.BS (VND)'!AF46/$C$6</f>
        <v>0</v>
      </c>
      <c r="AG72" s="836">
        <f>'1.BS (VND)'!AG46/$C$6</f>
        <v>0</v>
      </c>
      <c r="AH72" s="846"/>
      <c r="AI72" s="836">
        <f t="shared" si="112"/>
        <v>-31.832066824000002</v>
      </c>
      <c r="AJ72" s="836">
        <f t="shared" si="112"/>
        <v>-42.969622514999998</v>
      </c>
      <c r="AK72" s="836">
        <f t="shared" si="112"/>
        <v>-54.382108911000003</v>
      </c>
      <c r="AL72" s="836">
        <f t="shared" si="83"/>
        <v>-56.943378245000005</v>
      </c>
      <c r="AM72" s="856"/>
      <c r="AN72" s="836">
        <f>'1.BS (VND)'!AI46/$C$6</f>
        <v>0</v>
      </c>
      <c r="AO72" s="836">
        <f>'1.BS (VND)'!AJ46/$C$6</f>
        <v>0</v>
      </c>
      <c r="AP72" s="836">
        <f>'1.BS (VND)'!AK46/$C$6</f>
        <v>-5.2492967029999997</v>
      </c>
      <c r="AQ72" s="836">
        <f>'1.BS (VND)'!AL46/$C$6</f>
        <v>-6.3229005909999998</v>
      </c>
      <c r="AR72" s="845"/>
      <c r="AS72" s="836">
        <f>'1.BS (VND)'!AN46/$C$6</f>
        <v>0</v>
      </c>
      <c r="AT72" s="836">
        <f>'1.BS (VND)'!AO46/$C$6</f>
        <v>0</v>
      </c>
      <c r="AU72" s="836">
        <f>'1.BS (VND)'!AP46/$C$6</f>
        <v>0</v>
      </c>
      <c r="AV72" s="836">
        <f>'1.BS (VND)'!AQ46/$C$6</f>
        <v>0</v>
      </c>
      <c r="AW72" s="845"/>
      <c r="AX72" s="836">
        <f>'1.BS (VND)'!AS46/$C$6</f>
        <v>0</v>
      </c>
      <c r="AY72" s="836">
        <f>'1.BS (VND)'!AT46/$C$6</f>
        <v>0</v>
      </c>
      <c r="AZ72" s="836">
        <f>'1.BS (VND)'!AU46/$C$6</f>
        <v>0</v>
      </c>
      <c r="BA72" s="836">
        <f>'1.BS (VND)'!AV46/$C$6</f>
        <v>0</v>
      </c>
      <c r="BB72" s="845"/>
      <c r="BC72" s="836">
        <f>'1.BS (VND)'!AX46/$C$6</f>
        <v>0</v>
      </c>
      <c r="BD72" s="836">
        <f>'1.BS (VND)'!AY46/$C$6</f>
        <v>0</v>
      </c>
      <c r="BE72" s="836">
        <f>'1.BS (VND)'!AZ46/$C$6</f>
        <v>0</v>
      </c>
      <c r="BF72" s="836">
        <f>'1.BS (VND)'!BA46/$C$6</f>
        <v>0</v>
      </c>
      <c r="BG72" s="845"/>
      <c r="BH72" s="836">
        <f>'1.BS (VND)'!BC46/$C$6</f>
        <v>0</v>
      </c>
      <c r="BI72" s="836">
        <f>'1.BS (VND)'!BD46/$C$6</f>
        <v>0</v>
      </c>
      <c r="BJ72" s="836">
        <f>'1.BS (VND)'!BE46/$C$6</f>
        <v>0</v>
      </c>
      <c r="BK72" s="836">
        <f>'1.BS (VND)'!BF46/$C$6</f>
        <v>0</v>
      </c>
      <c r="BL72" s="845"/>
      <c r="BM72" s="836">
        <f>'1.BS (VND)'!BH46/$C$6</f>
        <v>0</v>
      </c>
      <c r="BN72" s="836">
        <f>'1.BS (VND)'!BI46/$C$6</f>
        <v>0</v>
      </c>
      <c r="BO72" s="836">
        <f>'1.BS (VND)'!BJ46/$C$6</f>
        <v>0</v>
      </c>
      <c r="BP72" s="836">
        <f>'1.BS (VND)'!BK46/$C$6</f>
        <v>0</v>
      </c>
      <c r="BQ72" s="846"/>
      <c r="BR72" s="836">
        <f t="shared" si="114"/>
        <v>-27.865745479000001</v>
      </c>
      <c r="BS72" s="836">
        <f t="shared" si="115"/>
        <v>-34.237893749999998</v>
      </c>
      <c r="BT72" s="836">
        <f t="shared" si="116"/>
        <v>-48.229282022</v>
      </c>
      <c r="BU72" s="836">
        <f t="shared" si="117"/>
        <v>-49.302885910000001</v>
      </c>
      <c r="BV72" s="845"/>
      <c r="BW72" s="836">
        <f t="shared" si="118"/>
        <v>0</v>
      </c>
      <c r="BX72" s="836">
        <f t="shared" si="119"/>
        <v>-0.99251207600000002</v>
      </c>
      <c r="BY72" s="836">
        <f t="shared" si="120"/>
        <v>-4.6460404249999998</v>
      </c>
      <c r="BZ72" s="836">
        <f t="shared" si="121"/>
        <v>-4.6460404249999998</v>
      </c>
      <c r="CA72" s="845"/>
      <c r="CB72" s="836">
        <f t="shared" si="122"/>
        <v>-3.682988012</v>
      </c>
      <c r="CC72" s="836">
        <f t="shared" si="123"/>
        <v>-6.7213083559999998</v>
      </c>
      <c r="CD72" s="836">
        <f t="shared" si="124"/>
        <v>-5.1127498339999997</v>
      </c>
      <c r="CE72" s="836">
        <f t="shared" si="125"/>
        <v>-6.9940191680000003</v>
      </c>
      <c r="CF72" s="845"/>
      <c r="CG72" s="836">
        <f t="shared" si="126"/>
        <v>-0.28333333300000002</v>
      </c>
      <c r="CH72" s="836">
        <f t="shared" si="127"/>
        <v>-1.0179083330000001</v>
      </c>
      <c r="CI72" s="836">
        <f t="shared" si="128"/>
        <v>-1.643333333</v>
      </c>
      <c r="CJ72" s="836">
        <f t="shared" si="129"/>
        <v>-2.3233333329999999</v>
      </c>
      <c r="CK72" s="845"/>
      <c r="CL72" s="836">
        <f t="shared" si="130"/>
        <v>0</v>
      </c>
      <c r="CM72" s="836">
        <f t="shared" si="131"/>
        <v>0</v>
      </c>
      <c r="CN72" s="836">
        <f t="shared" si="132"/>
        <v>0</v>
      </c>
      <c r="CO72" s="836">
        <f t="shared" si="133"/>
        <v>0</v>
      </c>
      <c r="CP72" s="845"/>
      <c r="CQ72" s="836">
        <f t="shared" si="134"/>
        <v>0</v>
      </c>
      <c r="CR72" s="836">
        <f t="shared" si="135"/>
        <v>0</v>
      </c>
      <c r="CS72" s="836">
        <f t="shared" si="136"/>
        <v>0</v>
      </c>
      <c r="CT72" s="836">
        <f t="shared" si="137"/>
        <v>0</v>
      </c>
      <c r="CU72" s="847"/>
      <c r="CV72" s="836">
        <f t="shared" si="113"/>
        <v>-31.832066824000002</v>
      </c>
      <c r="CW72" s="836">
        <f t="shared" si="113"/>
        <v>-42.969622514999998</v>
      </c>
      <c r="CX72" s="836">
        <f t="shared" si="113"/>
        <v>-59.631405614000002</v>
      </c>
      <c r="CY72" s="836">
        <f t="shared" si="113"/>
        <v>-63.266278836000005</v>
      </c>
      <c r="CZ72" s="847"/>
      <c r="DA72" s="836">
        <f>'1.BS (VND)'!CV46/'1.BC_Ra Soat (ty) '!$C$6</f>
        <v>0</v>
      </c>
      <c r="DB72" s="836">
        <f>'1.BS (VND)'!CW46/'1.BC_Ra Soat (ty) '!$C$6</f>
        <v>0</v>
      </c>
      <c r="DC72" s="836">
        <f>'1.BS (VND)'!CX46/'1.BC_Ra Soat (ty) '!$C$6</f>
        <v>0</v>
      </c>
      <c r="DD72" s="836">
        <f>'1.BS (VND)'!CY46/'1.BC_Ra Soat (ty) '!$C$6</f>
        <v>0</v>
      </c>
      <c r="DE72" s="847"/>
      <c r="DF72" s="836">
        <f t="shared" si="110"/>
        <v>-31.832066824000002</v>
      </c>
      <c r="DG72" s="836">
        <f t="shared" si="109"/>
        <v>-42.969622514999998</v>
      </c>
      <c r="DH72" s="836">
        <f t="shared" si="109"/>
        <v>-59.631405614000002</v>
      </c>
      <c r="DI72" s="836">
        <f t="shared" si="109"/>
        <v>-63.266278836000005</v>
      </c>
      <c r="DJ72" s="1019"/>
    </row>
    <row r="73" spans="1:114" s="447" customFormat="1" ht="15.75" hidden="1" x14ac:dyDescent="0.25">
      <c r="A73" s="447" t="str">
        <f t="shared" si="111"/>
        <v>hide</v>
      </c>
      <c r="C73" s="450" t="s">
        <v>581</v>
      </c>
      <c r="D73" s="451" t="s">
        <v>367</v>
      </c>
      <c r="E73" s="849">
        <f>'1.BS (VND)'!E47/$C$6</f>
        <v>0</v>
      </c>
      <c r="F73" s="849">
        <f>'1.BS (VND)'!F47/$C$6</f>
        <v>0</v>
      </c>
      <c r="G73" s="849">
        <f>'1.BS (VND)'!G47/$C$6</f>
        <v>0</v>
      </c>
      <c r="H73" s="849">
        <f>'1.BS (VND)'!H47/$C$6</f>
        <v>0</v>
      </c>
      <c r="I73" s="850"/>
      <c r="J73" s="849">
        <f>'1.BS (VND)'!J47/$C$6</f>
        <v>0</v>
      </c>
      <c r="K73" s="849">
        <f>'1.BS (VND)'!K47/$C$6</f>
        <v>0</v>
      </c>
      <c r="L73" s="849">
        <f>'1.BS (VND)'!L47/$C$6</f>
        <v>0</v>
      </c>
      <c r="M73" s="849">
        <f>'1.BS (VND)'!M47/$C$6</f>
        <v>0</v>
      </c>
      <c r="N73" s="850"/>
      <c r="O73" s="849">
        <f>'1.BS (VND)'!O47/$C$6</f>
        <v>0</v>
      </c>
      <c r="P73" s="849">
        <f>'1.BS (VND)'!P47/$C$6</f>
        <v>0</v>
      </c>
      <c r="Q73" s="849">
        <f>'1.BS (VND)'!Q47/$C$6</f>
        <v>0</v>
      </c>
      <c r="R73" s="849">
        <f>'1.BS (VND)'!R47/$C$6</f>
        <v>0</v>
      </c>
      <c r="S73" s="850"/>
      <c r="T73" s="849">
        <f>'1.BS (VND)'!T47/$C$6</f>
        <v>0</v>
      </c>
      <c r="U73" s="849">
        <f>'1.BS (VND)'!U47/$C$6</f>
        <v>0</v>
      </c>
      <c r="V73" s="849">
        <f>'1.BS (VND)'!V47/$C$6</f>
        <v>0</v>
      </c>
      <c r="W73" s="849">
        <f>'1.BS (VND)'!W47/$C$6</f>
        <v>0</v>
      </c>
      <c r="X73" s="850"/>
      <c r="Y73" s="849">
        <f>'1.BS (VND)'!Y47/$C$6</f>
        <v>0</v>
      </c>
      <c r="Z73" s="849">
        <f>'1.BS (VND)'!Z47/$C$6</f>
        <v>0</v>
      </c>
      <c r="AA73" s="849">
        <f>'1.BS (VND)'!AA47/$C$6</f>
        <v>0</v>
      </c>
      <c r="AB73" s="849">
        <f>'1.BS (VND)'!AB47/$C$6</f>
        <v>0</v>
      </c>
      <c r="AC73" s="850"/>
      <c r="AD73" s="849">
        <f>'1.BS (VND)'!AD47/$C$6</f>
        <v>0</v>
      </c>
      <c r="AE73" s="849">
        <f>'1.BS (VND)'!AE47/$C$6</f>
        <v>0</v>
      </c>
      <c r="AF73" s="849">
        <f>'1.BS (VND)'!AF47/$C$6</f>
        <v>0</v>
      </c>
      <c r="AG73" s="849">
        <f>'1.BS (VND)'!AG47/$C$6</f>
        <v>0</v>
      </c>
      <c r="AH73" s="851"/>
      <c r="AI73" s="849">
        <f t="shared" si="112"/>
        <v>0</v>
      </c>
      <c r="AJ73" s="849">
        <f t="shared" si="112"/>
        <v>0</v>
      </c>
      <c r="AK73" s="849">
        <f t="shared" si="112"/>
        <v>0</v>
      </c>
      <c r="AL73" s="849">
        <f t="shared" si="83"/>
        <v>0</v>
      </c>
      <c r="AM73" s="852"/>
      <c r="AN73" s="849">
        <f>'1.BS (VND)'!AI47/$C$6</f>
        <v>0</v>
      </c>
      <c r="AO73" s="849">
        <f>'1.BS (VND)'!AJ47/$C$6</f>
        <v>0</v>
      </c>
      <c r="AP73" s="849">
        <f>'1.BS (VND)'!AK47/$C$6</f>
        <v>0</v>
      </c>
      <c r="AQ73" s="849">
        <f>'1.BS (VND)'!AL47/$C$6</f>
        <v>0</v>
      </c>
      <c r="AR73" s="850"/>
      <c r="AS73" s="849">
        <f>'1.BS (VND)'!AN47/$C$6</f>
        <v>0</v>
      </c>
      <c r="AT73" s="849">
        <f>'1.BS (VND)'!AO47/$C$6</f>
        <v>0</v>
      </c>
      <c r="AU73" s="849">
        <f>'1.BS (VND)'!AP47/$C$6</f>
        <v>0</v>
      </c>
      <c r="AV73" s="849">
        <f>'1.BS (VND)'!AQ47/$C$6</f>
        <v>0</v>
      </c>
      <c r="AW73" s="850"/>
      <c r="AX73" s="849">
        <f>'1.BS (VND)'!AS47/$C$6</f>
        <v>0</v>
      </c>
      <c r="AY73" s="849">
        <f>'1.BS (VND)'!AT47/$C$6</f>
        <v>0</v>
      </c>
      <c r="AZ73" s="849">
        <f>'1.BS (VND)'!AU47/$C$6</f>
        <v>0</v>
      </c>
      <c r="BA73" s="849">
        <f>'1.BS (VND)'!AV47/$C$6</f>
        <v>0</v>
      </c>
      <c r="BB73" s="850"/>
      <c r="BC73" s="849">
        <f>'1.BS (VND)'!AX47/$C$6</f>
        <v>0</v>
      </c>
      <c r="BD73" s="849">
        <f>'1.BS (VND)'!AY47/$C$6</f>
        <v>0</v>
      </c>
      <c r="BE73" s="849">
        <f>'1.BS (VND)'!AZ47/$C$6</f>
        <v>0</v>
      </c>
      <c r="BF73" s="849">
        <f>'1.BS (VND)'!BA47/$C$6</f>
        <v>0</v>
      </c>
      <c r="BG73" s="850"/>
      <c r="BH73" s="849">
        <f>'1.BS (VND)'!BC47/$C$6</f>
        <v>0</v>
      </c>
      <c r="BI73" s="849">
        <f>'1.BS (VND)'!BD47/$C$6</f>
        <v>0</v>
      </c>
      <c r="BJ73" s="849">
        <f>'1.BS (VND)'!BE47/$C$6</f>
        <v>0</v>
      </c>
      <c r="BK73" s="849">
        <f>'1.BS (VND)'!BF47/$C$6</f>
        <v>0</v>
      </c>
      <c r="BL73" s="850"/>
      <c r="BM73" s="849">
        <f>'1.BS (VND)'!BH47/$C$6</f>
        <v>0</v>
      </c>
      <c r="BN73" s="849">
        <f>'1.BS (VND)'!BI47/$C$6</f>
        <v>0</v>
      </c>
      <c r="BO73" s="849">
        <f>'1.BS (VND)'!BJ47/$C$6</f>
        <v>0</v>
      </c>
      <c r="BP73" s="849">
        <f>'1.BS (VND)'!BK47/$C$6</f>
        <v>0</v>
      </c>
      <c r="BQ73" s="851"/>
      <c r="BR73" s="849">
        <f t="shared" si="114"/>
        <v>0</v>
      </c>
      <c r="BS73" s="849">
        <f t="shared" si="115"/>
        <v>0</v>
      </c>
      <c r="BT73" s="849">
        <f t="shared" si="116"/>
        <v>0</v>
      </c>
      <c r="BU73" s="849">
        <f t="shared" si="117"/>
        <v>0</v>
      </c>
      <c r="BV73" s="850"/>
      <c r="BW73" s="849">
        <f t="shared" si="118"/>
        <v>0</v>
      </c>
      <c r="BX73" s="849">
        <f t="shared" si="119"/>
        <v>0</v>
      </c>
      <c r="BY73" s="849">
        <f t="shared" si="120"/>
        <v>0</v>
      </c>
      <c r="BZ73" s="849">
        <f t="shared" si="121"/>
        <v>0</v>
      </c>
      <c r="CA73" s="850"/>
      <c r="CB73" s="849">
        <f t="shared" si="122"/>
        <v>0</v>
      </c>
      <c r="CC73" s="849">
        <f t="shared" si="123"/>
        <v>0</v>
      </c>
      <c r="CD73" s="849">
        <f t="shared" si="124"/>
        <v>0</v>
      </c>
      <c r="CE73" s="849">
        <f t="shared" si="125"/>
        <v>0</v>
      </c>
      <c r="CF73" s="850"/>
      <c r="CG73" s="849">
        <f t="shared" si="126"/>
        <v>0</v>
      </c>
      <c r="CH73" s="849">
        <f t="shared" si="127"/>
        <v>0</v>
      </c>
      <c r="CI73" s="849">
        <f t="shared" si="128"/>
        <v>0</v>
      </c>
      <c r="CJ73" s="849">
        <f t="shared" si="129"/>
        <v>0</v>
      </c>
      <c r="CK73" s="850"/>
      <c r="CL73" s="849">
        <f t="shared" si="130"/>
        <v>0</v>
      </c>
      <c r="CM73" s="849">
        <f t="shared" si="131"/>
        <v>0</v>
      </c>
      <c r="CN73" s="849">
        <f t="shared" si="132"/>
        <v>0</v>
      </c>
      <c r="CO73" s="849">
        <f t="shared" si="133"/>
        <v>0</v>
      </c>
      <c r="CP73" s="850"/>
      <c r="CQ73" s="849">
        <f t="shared" si="134"/>
        <v>0</v>
      </c>
      <c r="CR73" s="849">
        <f t="shared" si="135"/>
        <v>0</v>
      </c>
      <c r="CS73" s="849">
        <f t="shared" si="136"/>
        <v>0</v>
      </c>
      <c r="CT73" s="849">
        <f t="shared" si="137"/>
        <v>0</v>
      </c>
      <c r="CU73" s="852"/>
      <c r="CV73" s="849">
        <f t="shared" si="113"/>
        <v>0</v>
      </c>
      <c r="CW73" s="849">
        <f t="shared" si="113"/>
        <v>0</v>
      </c>
      <c r="CX73" s="849">
        <f t="shared" si="113"/>
        <v>0</v>
      </c>
      <c r="CY73" s="849">
        <f t="shared" si="113"/>
        <v>0</v>
      </c>
      <c r="CZ73" s="852"/>
      <c r="DA73" s="849">
        <f>'1.BS (VND)'!CV47/'1.BC_Ra Soat (ty) '!$C$6</f>
        <v>0</v>
      </c>
      <c r="DB73" s="849">
        <f>'1.BS (VND)'!CW47/'1.BC_Ra Soat (ty) '!$C$6</f>
        <v>0</v>
      </c>
      <c r="DC73" s="849">
        <f>'1.BS (VND)'!CX47/'1.BC_Ra Soat (ty) '!$C$6</f>
        <v>0</v>
      </c>
      <c r="DD73" s="849">
        <f>'1.BS (VND)'!CY47/'1.BC_Ra Soat (ty) '!$C$6</f>
        <v>0</v>
      </c>
      <c r="DE73" s="852"/>
      <c r="DF73" s="849">
        <f t="shared" si="110"/>
        <v>0</v>
      </c>
      <c r="DG73" s="849">
        <f t="shared" si="109"/>
        <v>0</v>
      </c>
      <c r="DH73" s="849">
        <f t="shared" si="109"/>
        <v>0</v>
      </c>
      <c r="DI73" s="849">
        <f t="shared" si="109"/>
        <v>0</v>
      </c>
      <c r="DJ73" s="444"/>
    </row>
    <row r="74" spans="1:114" s="449" customFormat="1" ht="15.75" hidden="1" x14ac:dyDescent="0.25">
      <c r="A74" s="857" t="str">
        <f t="shared" si="111"/>
        <v>hide</v>
      </c>
      <c r="C74" s="1017" t="s">
        <v>363</v>
      </c>
      <c r="D74" s="1018" t="s">
        <v>368</v>
      </c>
      <c r="E74" s="836">
        <f>'1.BS (VND)'!E48/$C$6</f>
        <v>0</v>
      </c>
      <c r="F74" s="836">
        <f>'1.BS (VND)'!F48/$C$6</f>
        <v>0</v>
      </c>
      <c r="G74" s="836">
        <f>'1.BS (VND)'!G48/$C$6</f>
        <v>0</v>
      </c>
      <c r="H74" s="836">
        <f>'1.BS (VND)'!H48/$C$6</f>
        <v>0</v>
      </c>
      <c r="I74" s="845"/>
      <c r="J74" s="836">
        <f>'1.BS (VND)'!J48/$C$6</f>
        <v>0</v>
      </c>
      <c r="K74" s="836">
        <f>'1.BS (VND)'!K48/$C$6</f>
        <v>0</v>
      </c>
      <c r="L74" s="836">
        <f>'1.BS (VND)'!L48/$C$6</f>
        <v>0</v>
      </c>
      <c r="M74" s="836">
        <f>'1.BS (VND)'!M48/$C$6</f>
        <v>0</v>
      </c>
      <c r="N74" s="845"/>
      <c r="O74" s="836">
        <f>'1.BS (VND)'!O48/$C$6</f>
        <v>0</v>
      </c>
      <c r="P74" s="836">
        <f>'1.BS (VND)'!P48/$C$6</f>
        <v>0</v>
      </c>
      <c r="Q74" s="836">
        <f>'1.BS (VND)'!Q48/$C$6</f>
        <v>0</v>
      </c>
      <c r="R74" s="836">
        <f>'1.BS (VND)'!R48/$C$6</f>
        <v>0</v>
      </c>
      <c r="S74" s="845"/>
      <c r="T74" s="836">
        <f>'1.BS (VND)'!T48/$C$6</f>
        <v>0</v>
      </c>
      <c r="U74" s="836">
        <f>'1.BS (VND)'!U48/$C$6</f>
        <v>0</v>
      </c>
      <c r="V74" s="836">
        <f>'1.BS (VND)'!V48/$C$6</f>
        <v>0</v>
      </c>
      <c r="W74" s="836">
        <f>'1.BS (VND)'!W48/$C$6</f>
        <v>0</v>
      </c>
      <c r="X74" s="845"/>
      <c r="Y74" s="836">
        <f>'1.BS (VND)'!Y48/$C$6</f>
        <v>0</v>
      </c>
      <c r="Z74" s="836">
        <f>'1.BS (VND)'!Z48/$C$6</f>
        <v>0</v>
      </c>
      <c r="AA74" s="836">
        <f>'1.BS (VND)'!AA48/$C$6</f>
        <v>0</v>
      </c>
      <c r="AB74" s="836">
        <f>'1.BS (VND)'!AB48/$C$6</f>
        <v>0</v>
      </c>
      <c r="AC74" s="845"/>
      <c r="AD74" s="836">
        <f>'1.BS (VND)'!AD48/$C$6</f>
        <v>0</v>
      </c>
      <c r="AE74" s="836">
        <f>'1.BS (VND)'!AE48/$C$6</f>
        <v>0</v>
      </c>
      <c r="AF74" s="836">
        <f>'1.BS (VND)'!AF48/$C$6</f>
        <v>0</v>
      </c>
      <c r="AG74" s="836">
        <f>'1.BS (VND)'!AG48/$C$6</f>
        <v>0</v>
      </c>
      <c r="AH74" s="846"/>
      <c r="AI74" s="836">
        <f t="shared" si="112"/>
        <v>0</v>
      </c>
      <c r="AJ74" s="836">
        <f t="shared" si="112"/>
        <v>0</v>
      </c>
      <c r="AK74" s="836">
        <f t="shared" si="112"/>
        <v>0</v>
      </c>
      <c r="AL74" s="836">
        <f t="shared" si="83"/>
        <v>0</v>
      </c>
      <c r="AM74" s="856"/>
      <c r="AN74" s="836">
        <f>'1.BS (VND)'!AI48/$C$6</f>
        <v>0</v>
      </c>
      <c r="AO74" s="836">
        <f>'1.BS (VND)'!AJ48/$C$6</f>
        <v>0</v>
      </c>
      <c r="AP74" s="836">
        <f>'1.BS (VND)'!AK48/$C$6</f>
        <v>0</v>
      </c>
      <c r="AQ74" s="836">
        <f>'1.BS (VND)'!AL48/$C$6</f>
        <v>0</v>
      </c>
      <c r="AR74" s="845"/>
      <c r="AS74" s="836">
        <f>'1.BS (VND)'!AN48/$C$6</f>
        <v>0</v>
      </c>
      <c r="AT74" s="836">
        <f>'1.BS (VND)'!AO48/$C$6</f>
        <v>0</v>
      </c>
      <c r="AU74" s="836">
        <f>'1.BS (VND)'!AP48/$C$6</f>
        <v>0</v>
      </c>
      <c r="AV74" s="836">
        <f>'1.BS (VND)'!AQ48/$C$6</f>
        <v>0</v>
      </c>
      <c r="AW74" s="845"/>
      <c r="AX74" s="836">
        <f>'1.BS (VND)'!AS48/$C$6</f>
        <v>0</v>
      </c>
      <c r="AY74" s="836">
        <f>'1.BS (VND)'!AT48/$C$6</f>
        <v>0</v>
      </c>
      <c r="AZ74" s="836">
        <f>'1.BS (VND)'!AU48/$C$6</f>
        <v>0</v>
      </c>
      <c r="BA74" s="836">
        <f>'1.BS (VND)'!AV48/$C$6</f>
        <v>0</v>
      </c>
      <c r="BB74" s="845"/>
      <c r="BC74" s="836">
        <f>'1.BS (VND)'!AX48/$C$6</f>
        <v>0</v>
      </c>
      <c r="BD74" s="836">
        <f>'1.BS (VND)'!AY48/$C$6</f>
        <v>0</v>
      </c>
      <c r="BE74" s="836">
        <f>'1.BS (VND)'!AZ48/$C$6</f>
        <v>0</v>
      </c>
      <c r="BF74" s="836">
        <f>'1.BS (VND)'!BA48/$C$6</f>
        <v>0</v>
      </c>
      <c r="BG74" s="845"/>
      <c r="BH74" s="836">
        <f>'1.BS (VND)'!BC48/$C$6</f>
        <v>0</v>
      </c>
      <c r="BI74" s="836">
        <f>'1.BS (VND)'!BD48/$C$6</f>
        <v>0</v>
      </c>
      <c r="BJ74" s="836">
        <f>'1.BS (VND)'!BE48/$C$6</f>
        <v>0</v>
      </c>
      <c r="BK74" s="836">
        <f>'1.BS (VND)'!BF48/$C$6</f>
        <v>0</v>
      </c>
      <c r="BL74" s="845"/>
      <c r="BM74" s="836">
        <f>'1.BS (VND)'!BH48/$C$6</f>
        <v>0</v>
      </c>
      <c r="BN74" s="836">
        <f>'1.BS (VND)'!BI48/$C$6</f>
        <v>0</v>
      </c>
      <c r="BO74" s="836">
        <f>'1.BS (VND)'!BJ48/$C$6</f>
        <v>0</v>
      </c>
      <c r="BP74" s="836">
        <f>'1.BS (VND)'!BK48/$C$6</f>
        <v>0</v>
      </c>
      <c r="BQ74" s="846"/>
      <c r="BR74" s="836">
        <f t="shared" si="114"/>
        <v>0</v>
      </c>
      <c r="BS74" s="836">
        <f t="shared" si="115"/>
        <v>0</v>
      </c>
      <c r="BT74" s="836">
        <f t="shared" si="116"/>
        <v>0</v>
      </c>
      <c r="BU74" s="836">
        <f t="shared" si="117"/>
        <v>0</v>
      </c>
      <c r="BV74" s="845"/>
      <c r="BW74" s="836">
        <f t="shared" si="118"/>
        <v>0</v>
      </c>
      <c r="BX74" s="836">
        <f t="shared" si="119"/>
        <v>0</v>
      </c>
      <c r="BY74" s="836">
        <f t="shared" si="120"/>
        <v>0</v>
      </c>
      <c r="BZ74" s="836">
        <f t="shared" si="121"/>
        <v>0</v>
      </c>
      <c r="CA74" s="845"/>
      <c r="CB74" s="836">
        <f t="shared" si="122"/>
        <v>0</v>
      </c>
      <c r="CC74" s="836">
        <f t="shared" si="123"/>
        <v>0</v>
      </c>
      <c r="CD74" s="836">
        <f t="shared" si="124"/>
        <v>0</v>
      </c>
      <c r="CE74" s="836">
        <f t="shared" si="125"/>
        <v>0</v>
      </c>
      <c r="CF74" s="845"/>
      <c r="CG74" s="836">
        <f t="shared" si="126"/>
        <v>0</v>
      </c>
      <c r="CH74" s="836">
        <f t="shared" si="127"/>
        <v>0</v>
      </c>
      <c r="CI74" s="836">
        <f t="shared" si="128"/>
        <v>0</v>
      </c>
      <c r="CJ74" s="836">
        <f t="shared" si="129"/>
        <v>0</v>
      </c>
      <c r="CK74" s="845"/>
      <c r="CL74" s="836">
        <f t="shared" si="130"/>
        <v>0</v>
      </c>
      <c r="CM74" s="836">
        <f t="shared" si="131"/>
        <v>0</v>
      </c>
      <c r="CN74" s="836">
        <f t="shared" si="132"/>
        <v>0</v>
      </c>
      <c r="CO74" s="836">
        <f t="shared" si="133"/>
        <v>0</v>
      </c>
      <c r="CP74" s="845"/>
      <c r="CQ74" s="836">
        <f t="shared" si="134"/>
        <v>0</v>
      </c>
      <c r="CR74" s="836">
        <f t="shared" si="135"/>
        <v>0</v>
      </c>
      <c r="CS74" s="836">
        <f t="shared" si="136"/>
        <v>0</v>
      </c>
      <c r="CT74" s="836">
        <f t="shared" si="137"/>
        <v>0</v>
      </c>
      <c r="CU74" s="847"/>
      <c r="CV74" s="836">
        <f t="shared" ref="CV74:CY96" si="138">SUMIF($BR$5:$CT$5,CV$5,$BR74:$CT74)</f>
        <v>0</v>
      </c>
      <c r="CW74" s="836">
        <f t="shared" si="138"/>
        <v>0</v>
      </c>
      <c r="CX74" s="836">
        <f t="shared" si="138"/>
        <v>0</v>
      </c>
      <c r="CY74" s="836">
        <f t="shared" si="138"/>
        <v>0</v>
      </c>
      <c r="CZ74" s="847"/>
      <c r="DA74" s="836">
        <f>'1.BS (VND)'!CV48/'1.BC_Ra Soat (ty) '!$C$6</f>
        <v>0</v>
      </c>
      <c r="DB74" s="836">
        <f>'1.BS (VND)'!CW48/'1.BC_Ra Soat (ty) '!$C$6</f>
        <v>0</v>
      </c>
      <c r="DC74" s="836">
        <f>'1.BS (VND)'!CX48/'1.BC_Ra Soat (ty) '!$C$6</f>
        <v>0</v>
      </c>
      <c r="DD74" s="836">
        <f>'1.BS (VND)'!CY48/'1.BC_Ra Soat (ty) '!$C$6</f>
        <v>0</v>
      </c>
      <c r="DE74" s="847"/>
      <c r="DF74" s="836">
        <f t="shared" si="110"/>
        <v>0</v>
      </c>
      <c r="DG74" s="836">
        <f t="shared" si="109"/>
        <v>0</v>
      </c>
      <c r="DH74" s="836">
        <f t="shared" si="109"/>
        <v>0</v>
      </c>
      <c r="DI74" s="836">
        <f t="shared" si="109"/>
        <v>0</v>
      </c>
      <c r="DJ74" s="1019"/>
    </row>
    <row r="75" spans="1:114" s="449" customFormat="1" ht="15.75" hidden="1" x14ac:dyDescent="0.25">
      <c r="A75" s="857" t="str">
        <f t="shared" si="111"/>
        <v>hide</v>
      </c>
      <c r="C75" s="1017" t="s">
        <v>365</v>
      </c>
      <c r="D75" s="1018" t="s">
        <v>369</v>
      </c>
      <c r="E75" s="836">
        <f>'1.BS (VND)'!E49/$C$6</f>
        <v>0</v>
      </c>
      <c r="F75" s="836">
        <f>'1.BS (VND)'!F49/$C$6</f>
        <v>0</v>
      </c>
      <c r="G75" s="836">
        <f>'1.BS (VND)'!G49/$C$6</f>
        <v>0</v>
      </c>
      <c r="H75" s="836">
        <f>'1.BS (VND)'!H49/$C$6</f>
        <v>0</v>
      </c>
      <c r="I75" s="845"/>
      <c r="J75" s="836">
        <f>'1.BS (VND)'!J49/$C$6</f>
        <v>0</v>
      </c>
      <c r="K75" s="836">
        <f>'1.BS (VND)'!K49/$C$6</f>
        <v>0</v>
      </c>
      <c r="L75" s="836">
        <f>'1.BS (VND)'!L49/$C$6</f>
        <v>0</v>
      </c>
      <c r="M75" s="836">
        <f>'1.BS (VND)'!M49/$C$6</f>
        <v>0</v>
      </c>
      <c r="N75" s="845"/>
      <c r="O75" s="836">
        <f>'1.BS (VND)'!O49/$C$6</f>
        <v>0</v>
      </c>
      <c r="P75" s="836">
        <f>'1.BS (VND)'!P49/$C$6</f>
        <v>0</v>
      </c>
      <c r="Q75" s="836">
        <f>'1.BS (VND)'!Q49/$C$6</f>
        <v>0</v>
      </c>
      <c r="R75" s="836">
        <f>'1.BS (VND)'!R49/$C$6</f>
        <v>0</v>
      </c>
      <c r="S75" s="845"/>
      <c r="T75" s="836">
        <f>'1.BS (VND)'!T49/$C$6</f>
        <v>0</v>
      </c>
      <c r="U75" s="836">
        <f>'1.BS (VND)'!U49/$C$6</f>
        <v>0</v>
      </c>
      <c r="V75" s="836">
        <f>'1.BS (VND)'!V49/$C$6</f>
        <v>0</v>
      </c>
      <c r="W75" s="836">
        <f>'1.BS (VND)'!W49/$C$6</f>
        <v>0</v>
      </c>
      <c r="X75" s="845"/>
      <c r="Y75" s="836">
        <f>'1.BS (VND)'!Y49/$C$6</f>
        <v>0</v>
      </c>
      <c r="Z75" s="836">
        <f>'1.BS (VND)'!Z49/$C$6</f>
        <v>0</v>
      </c>
      <c r="AA75" s="836">
        <f>'1.BS (VND)'!AA49/$C$6</f>
        <v>0</v>
      </c>
      <c r="AB75" s="836">
        <f>'1.BS (VND)'!AB49/$C$6</f>
        <v>0</v>
      </c>
      <c r="AC75" s="845"/>
      <c r="AD75" s="836">
        <f>'1.BS (VND)'!AD49/$C$6</f>
        <v>0</v>
      </c>
      <c r="AE75" s="836">
        <f>'1.BS (VND)'!AE49/$C$6</f>
        <v>0</v>
      </c>
      <c r="AF75" s="836">
        <f>'1.BS (VND)'!AF49/$C$6</f>
        <v>0</v>
      </c>
      <c r="AG75" s="836">
        <f>'1.BS (VND)'!AG49/$C$6</f>
        <v>0</v>
      </c>
      <c r="AH75" s="846"/>
      <c r="AI75" s="836">
        <f t="shared" si="112"/>
        <v>0</v>
      </c>
      <c r="AJ75" s="836">
        <f t="shared" si="112"/>
        <v>0</v>
      </c>
      <c r="AK75" s="836">
        <f t="shared" si="112"/>
        <v>0</v>
      </c>
      <c r="AL75" s="836">
        <f t="shared" si="83"/>
        <v>0</v>
      </c>
      <c r="AM75" s="856"/>
      <c r="AN75" s="836">
        <f>'1.BS (VND)'!AI49/$C$6</f>
        <v>0</v>
      </c>
      <c r="AO75" s="836">
        <f>'1.BS (VND)'!AJ49/$C$6</f>
        <v>0</v>
      </c>
      <c r="AP75" s="836">
        <f>'1.BS (VND)'!AK49/$C$6</f>
        <v>0</v>
      </c>
      <c r="AQ75" s="836">
        <f>'1.BS (VND)'!AL49/$C$6</f>
        <v>0</v>
      </c>
      <c r="AR75" s="845"/>
      <c r="AS75" s="836">
        <f>'1.BS (VND)'!AN49/$C$6</f>
        <v>0</v>
      </c>
      <c r="AT75" s="836">
        <f>'1.BS (VND)'!AO49/$C$6</f>
        <v>0</v>
      </c>
      <c r="AU75" s="836">
        <f>'1.BS (VND)'!AP49/$C$6</f>
        <v>0</v>
      </c>
      <c r="AV75" s="836">
        <f>'1.BS (VND)'!AQ49/$C$6</f>
        <v>0</v>
      </c>
      <c r="AW75" s="845"/>
      <c r="AX75" s="836">
        <f>'1.BS (VND)'!AS49/$C$6</f>
        <v>0</v>
      </c>
      <c r="AY75" s="836">
        <f>'1.BS (VND)'!AT49/$C$6</f>
        <v>0</v>
      </c>
      <c r="AZ75" s="836">
        <f>'1.BS (VND)'!AU49/$C$6</f>
        <v>0</v>
      </c>
      <c r="BA75" s="836">
        <f>'1.BS (VND)'!AV49/$C$6</f>
        <v>0</v>
      </c>
      <c r="BB75" s="845"/>
      <c r="BC75" s="836">
        <f>'1.BS (VND)'!AX49/$C$6</f>
        <v>0</v>
      </c>
      <c r="BD75" s="836">
        <f>'1.BS (VND)'!AY49/$C$6</f>
        <v>0</v>
      </c>
      <c r="BE75" s="836">
        <f>'1.BS (VND)'!AZ49/$C$6</f>
        <v>0</v>
      </c>
      <c r="BF75" s="836">
        <f>'1.BS (VND)'!BA49/$C$6</f>
        <v>0</v>
      </c>
      <c r="BG75" s="845"/>
      <c r="BH75" s="836">
        <f>'1.BS (VND)'!BC49/$C$6</f>
        <v>0</v>
      </c>
      <c r="BI75" s="836">
        <f>'1.BS (VND)'!BD49/$C$6</f>
        <v>0</v>
      </c>
      <c r="BJ75" s="836">
        <f>'1.BS (VND)'!BE49/$C$6</f>
        <v>0</v>
      </c>
      <c r="BK75" s="836">
        <f>'1.BS (VND)'!BF49/$C$6</f>
        <v>0</v>
      </c>
      <c r="BL75" s="845"/>
      <c r="BM75" s="836">
        <f>'1.BS (VND)'!BH49/$C$6</f>
        <v>0</v>
      </c>
      <c r="BN75" s="836">
        <f>'1.BS (VND)'!BI49/$C$6</f>
        <v>0</v>
      </c>
      <c r="BO75" s="836">
        <f>'1.BS (VND)'!BJ49/$C$6</f>
        <v>0</v>
      </c>
      <c r="BP75" s="836">
        <f>'1.BS (VND)'!BK49/$C$6</f>
        <v>0</v>
      </c>
      <c r="BQ75" s="846"/>
      <c r="BR75" s="836">
        <f t="shared" si="114"/>
        <v>0</v>
      </c>
      <c r="BS75" s="836">
        <f t="shared" si="115"/>
        <v>0</v>
      </c>
      <c r="BT75" s="836">
        <f t="shared" si="116"/>
        <v>0</v>
      </c>
      <c r="BU75" s="836">
        <f t="shared" si="117"/>
        <v>0</v>
      </c>
      <c r="BV75" s="845"/>
      <c r="BW75" s="836">
        <f t="shared" si="118"/>
        <v>0</v>
      </c>
      <c r="BX75" s="836">
        <f t="shared" si="119"/>
        <v>0</v>
      </c>
      <c r="BY75" s="836">
        <f t="shared" si="120"/>
        <v>0</v>
      </c>
      <c r="BZ75" s="836">
        <f t="shared" si="121"/>
        <v>0</v>
      </c>
      <c r="CA75" s="845"/>
      <c r="CB75" s="836">
        <f t="shared" si="122"/>
        <v>0</v>
      </c>
      <c r="CC75" s="836">
        <f t="shared" si="123"/>
        <v>0</v>
      </c>
      <c r="CD75" s="836">
        <f t="shared" si="124"/>
        <v>0</v>
      </c>
      <c r="CE75" s="836">
        <f t="shared" si="125"/>
        <v>0</v>
      </c>
      <c r="CF75" s="845"/>
      <c r="CG75" s="836">
        <f t="shared" si="126"/>
        <v>0</v>
      </c>
      <c r="CH75" s="836">
        <f t="shared" si="127"/>
        <v>0</v>
      </c>
      <c r="CI75" s="836">
        <f t="shared" si="128"/>
        <v>0</v>
      </c>
      <c r="CJ75" s="836">
        <f t="shared" si="129"/>
        <v>0</v>
      </c>
      <c r="CK75" s="845"/>
      <c r="CL75" s="836">
        <f t="shared" si="130"/>
        <v>0</v>
      </c>
      <c r="CM75" s="836">
        <f t="shared" si="131"/>
        <v>0</v>
      </c>
      <c r="CN75" s="836">
        <f t="shared" si="132"/>
        <v>0</v>
      </c>
      <c r="CO75" s="836">
        <f t="shared" si="133"/>
        <v>0</v>
      </c>
      <c r="CP75" s="845"/>
      <c r="CQ75" s="836">
        <f t="shared" si="134"/>
        <v>0</v>
      </c>
      <c r="CR75" s="836">
        <f t="shared" si="135"/>
        <v>0</v>
      </c>
      <c r="CS75" s="836">
        <f t="shared" si="136"/>
        <v>0</v>
      </c>
      <c r="CT75" s="836">
        <f t="shared" si="137"/>
        <v>0</v>
      </c>
      <c r="CU75" s="847"/>
      <c r="CV75" s="836">
        <f t="shared" si="138"/>
        <v>0</v>
      </c>
      <c r="CW75" s="836">
        <f t="shared" si="138"/>
        <v>0</v>
      </c>
      <c r="CX75" s="836">
        <f t="shared" si="138"/>
        <v>0</v>
      </c>
      <c r="CY75" s="836">
        <f t="shared" si="138"/>
        <v>0</v>
      </c>
      <c r="CZ75" s="847"/>
      <c r="DA75" s="836">
        <f>'1.BS (VND)'!CV49/'1.BC_Ra Soat (ty) '!$C$6</f>
        <v>0</v>
      </c>
      <c r="DB75" s="836">
        <f>'1.BS (VND)'!CW49/'1.BC_Ra Soat (ty) '!$C$6</f>
        <v>0</v>
      </c>
      <c r="DC75" s="836">
        <f>'1.BS (VND)'!CX49/'1.BC_Ra Soat (ty) '!$C$6</f>
        <v>0</v>
      </c>
      <c r="DD75" s="836">
        <f>'1.BS (VND)'!CY49/'1.BC_Ra Soat (ty) '!$C$6</f>
        <v>0</v>
      </c>
      <c r="DE75" s="847"/>
      <c r="DF75" s="836">
        <f t="shared" si="110"/>
        <v>0</v>
      </c>
      <c r="DG75" s="836">
        <f t="shared" si="109"/>
        <v>0</v>
      </c>
      <c r="DH75" s="836">
        <f t="shared" si="109"/>
        <v>0</v>
      </c>
      <c r="DI75" s="836">
        <f t="shared" si="109"/>
        <v>0</v>
      </c>
      <c r="DJ75" s="1019"/>
    </row>
    <row r="76" spans="1:114" s="447" customFormat="1" ht="15.75" hidden="1" x14ac:dyDescent="0.25">
      <c r="A76" s="447" t="str">
        <f t="shared" si="111"/>
        <v>hide</v>
      </c>
      <c r="C76" s="450" t="s">
        <v>582</v>
      </c>
      <c r="D76" s="451" t="s">
        <v>370</v>
      </c>
      <c r="E76" s="849">
        <f>'1.BS (VND)'!E50/$C$6</f>
        <v>0</v>
      </c>
      <c r="F76" s="849">
        <f>'1.BS (VND)'!F50/$C$6</f>
        <v>0</v>
      </c>
      <c r="G76" s="849">
        <f>'1.BS (VND)'!G50/$C$6</f>
        <v>0</v>
      </c>
      <c r="H76" s="849">
        <f>'1.BS (VND)'!H50/$C$6</f>
        <v>0</v>
      </c>
      <c r="I76" s="850"/>
      <c r="J76" s="849">
        <f>'1.BS (VND)'!J50/$C$6</f>
        <v>0</v>
      </c>
      <c r="K76" s="849">
        <f>'1.BS (VND)'!K50/$C$6</f>
        <v>0</v>
      </c>
      <c r="L76" s="849">
        <f>'1.BS (VND)'!L50/$C$6</f>
        <v>0</v>
      </c>
      <c r="M76" s="849">
        <f>'1.BS (VND)'!M50/$C$6</f>
        <v>0</v>
      </c>
      <c r="N76" s="850"/>
      <c r="O76" s="849">
        <f>'1.BS (VND)'!O50/$C$6</f>
        <v>0</v>
      </c>
      <c r="P76" s="849">
        <f>'1.BS (VND)'!P50/$C$6</f>
        <v>0</v>
      </c>
      <c r="Q76" s="849">
        <f>'1.BS (VND)'!Q50/$C$6</f>
        <v>0</v>
      </c>
      <c r="R76" s="849">
        <f>'1.BS (VND)'!R50/$C$6</f>
        <v>0</v>
      </c>
      <c r="S76" s="850"/>
      <c r="T76" s="849">
        <f>'1.BS (VND)'!T50/$C$6</f>
        <v>0</v>
      </c>
      <c r="U76" s="849">
        <f>'1.BS (VND)'!U50/$C$6</f>
        <v>0</v>
      </c>
      <c r="V76" s="849">
        <f>'1.BS (VND)'!V50/$C$6</f>
        <v>0</v>
      </c>
      <c r="W76" s="849">
        <f>'1.BS (VND)'!W50/$C$6</f>
        <v>0</v>
      </c>
      <c r="X76" s="850"/>
      <c r="Y76" s="849">
        <f>'1.BS (VND)'!Y50/$C$6</f>
        <v>0</v>
      </c>
      <c r="Z76" s="849">
        <f>'1.BS (VND)'!Z50/$C$6</f>
        <v>0</v>
      </c>
      <c r="AA76" s="849">
        <f>'1.BS (VND)'!AA50/$C$6</f>
        <v>0</v>
      </c>
      <c r="AB76" s="849">
        <f>'1.BS (VND)'!AB50/$C$6</f>
        <v>0</v>
      </c>
      <c r="AC76" s="850"/>
      <c r="AD76" s="849">
        <f>'1.BS (VND)'!AD50/$C$6</f>
        <v>0</v>
      </c>
      <c r="AE76" s="849">
        <f>'1.BS (VND)'!AE50/$C$6</f>
        <v>0</v>
      </c>
      <c r="AF76" s="849">
        <f>'1.BS (VND)'!AF50/$C$6</f>
        <v>0</v>
      </c>
      <c r="AG76" s="849">
        <f>'1.BS (VND)'!AG50/$C$6</f>
        <v>0</v>
      </c>
      <c r="AH76" s="851"/>
      <c r="AI76" s="849">
        <f t="shared" si="112"/>
        <v>0</v>
      </c>
      <c r="AJ76" s="849">
        <f t="shared" si="112"/>
        <v>0</v>
      </c>
      <c r="AK76" s="849">
        <f t="shared" si="112"/>
        <v>0</v>
      </c>
      <c r="AL76" s="849">
        <f t="shared" si="83"/>
        <v>0</v>
      </c>
      <c r="AM76" s="852"/>
      <c r="AN76" s="849">
        <f>'1.BS (VND)'!AI50/$C$6</f>
        <v>0</v>
      </c>
      <c r="AO76" s="849">
        <f>'1.BS (VND)'!AJ50/$C$6</f>
        <v>0</v>
      </c>
      <c r="AP76" s="849">
        <f>'1.BS (VND)'!AK50/$C$6</f>
        <v>0</v>
      </c>
      <c r="AQ76" s="849">
        <f>'1.BS (VND)'!AL50/$C$6</f>
        <v>0</v>
      </c>
      <c r="AR76" s="850"/>
      <c r="AS76" s="849">
        <f>'1.BS (VND)'!AN50/$C$6</f>
        <v>0</v>
      </c>
      <c r="AT76" s="849">
        <f>'1.BS (VND)'!AO50/$C$6</f>
        <v>0</v>
      </c>
      <c r="AU76" s="849">
        <f>'1.BS (VND)'!AP50/$C$6</f>
        <v>0</v>
      </c>
      <c r="AV76" s="849">
        <f>'1.BS (VND)'!AQ50/$C$6</f>
        <v>0</v>
      </c>
      <c r="AW76" s="850"/>
      <c r="AX76" s="849">
        <f>'1.BS (VND)'!AS50/$C$6</f>
        <v>0</v>
      </c>
      <c r="AY76" s="849">
        <f>'1.BS (VND)'!AT50/$C$6</f>
        <v>0</v>
      </c>
      <c r="AZ76" s="849">
        <f>'1.BS (VND)'!AU50/$C$6</f>
        <v>0</v>
      </c>
      <c r="BA76" s="849">
        <f>'1.BS (VND)'!AV50/$C$6</f>
        <v>0</v>
      </c>
      <c r="BB76" s="850"/>
      <c r="BC76" s="849">
        <f>'1.BS (VND)'!AX50/$C$6</f>
        <v>0</v>
      </c>
      <c r="BD76" s="849">
        <f>'1.BS (VND)'!AY50/$C$6</f>
        <v>0</v>
      </c>
      <c r="BE76" s="849">
        <f>'1.BS (VND)'!AZ50/$C$6</f>
        <v>0</v>
      </c>
      <c r="BF76" s="849">
        <f>'1.BS (VND)'!BA50/$C$6</f>
        <v>0</v>
      </c>
      <c r="BG76" s="850"/>
      <c r="BH76" s="849">
        <f>'1.BS (VND)'!BC50/$C$6</f>
        <v>0</v>
      </c>
      <c r="BI76" s="849">
        <f>'1.BS (VND)'!BD50/$C$6</f>
        <v>0</v>
      </c>
      <c r="BJ76" s="849">
        <f>'1.BS (VND)'!BE50/$C$6</f>
        <v>0</v>
      </c>
      <c r="BK76" s="849">
        <f>'1.BS (VND)'!BF50/$C$6</f>
        <v>0</v>
      </c>
      <c r="BL76" s="850"/>
      <c r="BM76" s="849">
        <f>'1.BS (VND)'!BH50/$C$6</f>
        <v>0</v>
      </c>
      <c r="BN76" s="849">
        <f>'1.BS (VND)'!BI50/$C$6</f>
        <v>0</v>
      </c>
      <c r="BO76" s="849">
        <f>'1.BS (VND)'!BJ50/$C$6</f>
        <v>0</v>
      </c>
      <c r="BP76" s="849">
        <f>'1.BS (VND)'!BK50/$C$6</f>
        <v>0</v>
      </c>
      <c r="BQ76" s="851"/>
      <c r="BR76" s="849">
        <f t="shared" si="114"/>
        <v>0</v>
      </c>
      <c r="BS76" s="849">
        <f t="shared" si="115"/>
        <v>0</v>
      </c>
      <c r="BT76" s="849">
        <f t="shared" si="116"/>
        <v>0</v>
      </c>
      <c r="BU76" s="849">
        <f t="shared" si="117"/>
        <v>0</v>
      </c>
      <c r="BV76" s="850"/>
      <c r="BW76" s="849">
        <f t="shared" si="118"/>
        <v>0</v>
      </c>
      <c r="BX76" s="849">
        <f t="shared" si="119"/>
        <v>0</v>
      </c>
      <c r="BY76" s="849">
        <f t="shared" si="120"/>
        <v>0</v>
      </c>
      <c r="BZ76" s="849">
        <f t="shared" si="121"/>
        <v>0</v>
      </c>
      <c r="CA76" s="850"/>
      <c r="CB76" s="849">
        <f t="shared" si="122"/>
        <v>0</v>
      </c>
      <c r="CC76" s="849">
        <f t="shared" si="123"/>
        <v>0</v>
      </c>
      <c r="CD76" s="849">
        <f t="shared" si="124"/>
        <v>0</v>
      </c>
      <c r="CE76" s="849">
        <f t="shared" si="125"/>
        <v>0</v>
      </c>
      <c r="CF76" s="850"/>
      <c r="CG76" s="849">
        <f t="shared" si="126"/>
        <v>0</v>
      </c>
      <c r="CH76" s="849">
        <f t="shared" si="127"/>
        <v>0</v>
      </c>
      <c r="CI76" s="849">
        <f t="shared" si="128"/>
        <v>0</v>
      </c>
      <c r="CJ76" s="849">
        <f t="shared" si="129"/>
        <v>0</v>
      </c>
      <c r="CK76" s="850"/>
      <c r="CL76" s="849">
        <f t="shared" si="130"/>
        <v>0</v>
      </c>
      <c r="CM76" s="849">
        <f t="shared" si="131"/>
        <v>0</v>
      </c>
      <c r="CN76" s="849">
        <f t="shared" si="132"/>
        <v>0</v>
      </c>
      <c r="CO76" s="849">
        <f t="shared" si="133"/>
        <v>0</v>
      </c>
      <c r="CP76" s="850"/>
      <c r="CQ76" s="849">
        <f t="shared" si="134"/>
        <v>0</v>
      </c>
      <c r="CR76" s="849">
        <f t="shared" si="135"/>
        <v>0</v>
      </c>
      <c r="CS76" s="849">
        <f t="shared" si="136"/>
        <v>0</v>
      </c>
      <c r="CT76" s="849">
        <f t="shared" si="137"/>
        <v>0</v>
      </c>
      <c r="CU76" s="852"/>
      <c r="CV76" s="849">
        <f t="shared" si="138"/>
        <v>0</v>
      </c>
      <c r="CW76" s="849">
        <f t="shared" si="138"/>
        <v>0</v>
      </c>
      <c r="CX76" s="849">
        <f t="shared" si="138"/>
        <v>0</v>
      </c>
      <c r="CY76" s="849">
        <f t="shared" si="138"/>
        <v>0</v>
      </c>
      <c r="CZ76" s="852"/>
      <c r="DA76" s="849">
        <f>'1.BS (VND)'!CV50/'1.BC_Ra Soat (ty) '!$C$6</f>
        <v>0</v>
      </c>
      <c r="DB76" s="849">
        <f>'1.BS (VND)'!CW50/'1.BC_Ra Soat (ty) '!$C$6</f>
        <v>0</v>
      </c>
      <c r="DC76" s="849">
        <f>'1.BS (VND)'!CX50/'1.BC_Ra Soat (ty) '!$C$6</f>
        <v>0</v>
      </c>
      <c r="DD76" s="849">
        <f>'1.BS (VND)'!CY50/'1.BC_Ra Soat (ty) '!$C$6</f>
        <v>0</v>
      </c>
      <c r="DE76" s="852"/>
      <c r="DF76" s="849">
        <f t="shared" si="110"/>
        <v>0</v>
      </c>
      <c r="DG76" s="849">
        <f t="shared" si="109"/>
        <v>0</v>
      </c>
      <c r="DH76" s="849">
        <f t="shared" si="109"/>
        <v>0</v>
      </c>
      <c r="DI76" s="849">
        <f t="shared" si="109"/>
        <v>0</v>
      </c>
      <c r="DJ76" s="444"/>
    </row>
    <row r="77" spans="1:114" s="449" customFormat="1" ht="15.75" hidden="1" x14ac:dyDescent="0.25">
      <c r="A77" s="857" t="str">
        <f t="shared" si="111"/>
        <v>hide</v>
      </c>
      <c r="C77" s="1017" t="s">
        <v>363</v>
      </c>
      <c r="D77" s="1018" t="s">
        <v>371</v>
      </c>
      <c r="E77" s="836">
        <f>'1.BS (VND)'!E51/$C$6</f>
        <v>0</v>
      </c>
      <c r="F77" s="836">
        <f>'1.BS (VND)'!F51/$C$6</f>
        <v>0</v>
      </c>
      <c r="G77" s="836">
        <f>'1.BS (VND)'!G51/$C$6</f>
        <v>0</v>
      </c>
      <c r="H77" s="836">
        <f>'1.BS (VND)'!H51/$C$6</f>
        <v>0</v>
      </c>
      <c r="I77" s="845"/>
      <c r="J77" s="836">
        <f>'1.BS (VND)'!J51/$C$6</f>
        <v>0</v>
      </c>
      <c r="K77" s="836">
        <f>'1.BS (VND)'!K51/$C$6</f>
        <v>0</v>
      </c>
      <c r="L77" s="836">
        <f>'1.BS (VND)'!L51/$C$6</f>
        <v>0</v>
      </c>
      <c r="M77" s="836">
        <f>'1.BS (VND)'!M51/$C$6</f>
        <v>0</v>
      </c>
      <c r="N77" s="845"/>
      <c r="O77" s="836">
        <f>'1.BS (VND)'!O51/$C$6</f>
        <v>0</v>
      </c>
      <c r="P77" s="836">
        <f>'1.BS (VND)'!P51/$C$6</f>
        <v>0</v>
      </c>
      <c r="Q77" s="836">
        <f>'1.BS (VND)'!Q51/$C$6</f>
        <v>0</v>
      </c>
      <c r="R77" s="836">
        <f>'1.BS (VND)'!R51/$C$6</f>
        <v>0</v>
      </c>
      <c r="S77" s="845"/>
      <c r="T77" s="836">
        <f>'1.BS (VND)'!T51/$C$6</f>
        <v>0</v>
      </c>
      <c r="U77" s="836">
        <f>'1.BS (VND)'!U51/$C$6</f>
        <v>0</v>
      </c>
      <c r="V77" s="836">
        <f>'1.BS (VND)'!V51/$C$6</f>
        <v>0</v>
      </c>
      <c r="W77" s="836">
        <f>'1.BS (VND)'!W51/$C$6</f>
        <v>0</v>
      </c>
      <c r="X77" s="845"/>
      <c r="Y77" s="836">
        <f>'1.BS (VND)'!Y51/$C$6</f>
        <v>0</v>
      </c>
      <c r="Z77" s="836">
        <f>'1.BS (VND)'!Z51/$C$6</f>
        <v>0</v>
      </c>
      <c r="AA77" s="836">
        <f>'1.BS (VND)'!AA51/$C$6</f>
        <v>0</v>
      </c>
      <c r="AB77" s="836">
        <f>'1.BS (VND)'!AB51/$C$6</f>
        <v>0</v>
      </c>
      <c r="AC77" s="845"/>
      <c r="AD77" s="836">
        <f>'1.BS (VND)'!AD51/$C$6</f>
        <v>0</v>
      </c>
      <c r="AE77" s="836">
        <f>'1.BS (VND)'!AE51/$C$6</f>
        <v>0</v>
      </c>
      <c r="AF77" s="836">
        <f>'1.BS (VND)'!AF51/$C$6</f>
        <v>0</v>
      </c>
      <c r="AG77" s="836">
        <f>'1.BS (VND)'!AG51/$C$6</f>
        <v>0</v>
      </c>
      <c r="AH77" s="846"/>
      <c r="AI77" s="836">
        <f t="shared" si="112"/>
        <v>0</v>
      </c>
      <c r="AJ77" s="836">
        <f t="shared" si="112"/>
        <v>0</v>
      </c>
      <c r="AK77" s="836">
        <f t="shared" si="112"/>
        <v>0</v>
      </c>
      <c r="AL77" s="836">
        <f t="shared" si="83"/>
        <v>0</v>
      </c>
      <c r="AM77" s="856"/>
      <c r="AN77" s="836">
        <f>'1.BS (VND)'!AI51/$C$6</f>
        <v>0</v>
      </c>
      <c r="AO77" s="836">
        <f>'1.BS (VND)'!AJ51/$C$6</f>
        <v>0</v>
      </c>
      <c r="AP77" s="836">
        <f>'1.BS (VND)'!AK51/$C$6</f>
        <v>0</v>
      </c>
      <c r="AQ77" s="836">
        <f>'1.BS (VND)'!AL51/$C$6</f>
        <v>0</v>
      </c>
      <c r="AR77" s="845"/>
      <c r="AS77" s="836">
        <f>'1.BS (VND)'!AN51/$C$6</f>
        <v>0</v>
      </c>
      <c r="AT77" s="836">
        <f>'1.BS (VND)'!AO51/$C$6</f>
        <v>0</v>
      </c>
      <c r="AU77" s="836">
        <f>'1.BS (VND)'!AP51/$C$6</f>
        <v>0</v>
      </c>
      <c r="AV77" s="836">
        <f>'1.BS (VND)'!AQ51/$C$6</f>
        <v>0</v>
      </c>
      <c r="AW77" s="845"/>
      <c r="AX77" s="836">
        <f>'1.BS (VND)'!AS51/$C$6</f>
        <v>0</v>
      </c>
      <c r="AY77" s="836">
        <f>'1.BS (VND)'!AT51/$C$6</f>
        <v>0</v>
      </c>
      <c r="AZ77" s="836">
        <f>'1.BS (VND)'!AU51/$C$6</f>
        <v>0</v>
      </c>
      <c r="BA77" s="836">
        <f>'1.BS (VND)'!AV51/$C$6</f>
        <v>0</v>
      </c>
      <c r="BB77" s="845"/>
      <c r="BC77" s="836">
        <f>'1.BS (VND)'!AX51/$C$6</f>
        <v>0</v>
      </c>
      <c r="BD77" s="836">
        <f>'1.BS (VND)'!AY51/$C$6</f>
        <v>0</v>
      </c>
      <c r="BE77" s="836">
        <f>'1.BS (VND)'!AZ51/$C$6</f>
        <v>0</v>
      </c>
      <c r="BF77" s="836">
        <f>'1.BS (VND)'!BA51/$C$6</f>
        <v>0</v>
      </c>
      <c r="BG77" s="845"/>
      <c r="BH77" s="836">
        <f>'1.BS (VND)'!BC51/$C$6</f>
        <v>0</v>
      </c>
      <c r="BI77" s="836">
        <f>'1.BS (VND)'!BD51/$C$6</f>
        <v>0</v>
      </c>
      <c r="BJ77" s="836">
        <f>'1.BS (VND)'!BE51/$C$6</f>
        <v>0</v>
      </c>
      <c r="BK77" s="836">
        <f>'1.BS (VND)'!BF51/$C$6</f>
        <v>0</v>
      </c>
      <c r="BL77" s="845"/>
      <c r="BM77" s="836">
        <f>'1.BS (VND)'!BH51/$C$6</f>
        <v>0</v>
      </c>
      <c r="BN77" s="836">
        <f>'1.BS (VND)'!BI51/$C$6</f>
        <v>0</v>
      </c>
      <c r="BO77" s="836">
        <f>'1.BS (VND)'!BJ51/$C$6</f>
        <v>0</v>
      </c>
      <c r="BP77" s="836">
        <f>'1.BS (VND)'!BK51/$C$6</f>
        <v>0</v>
      </c>
      <c r="BQ77" s="846"/>
      <c r="BR77" s="836">
        <f t="shared" si="114"/>
        <v>0</v>
      </c>
      <c r="BS77" s="836">
        <f t="shared" si="115"/>
        <v>0</v>
      </c>
      <c r="BT77" s="836">
        <f t="shared" si="116"/>
        <v>0</v>
      </c>
      <c r="BU77" s="836">
        <f t="shared" si="117"/>
        <v>0</v>
      </c>
      <c r="BV77" s="845"/>
      <c r="BW77" s="836">
        <f t="shared" si="118"/>
        <v>0</v>
      </c>
      <c r="BX77" s="836">
        <f t="shared" si="119"/>
        <v>0</v>
      </c>
      <c r="BY77" s="836">
        <f t="shared" si="120"/>
        <v>0</v>
      </c>
      <c r="BZ77" s="836">
        <f t="shared" si="121"/>
        <v>0</v>
      </c>
      <c r="CA77" s="845"/>
      <c r="CB77" s="836">
        <f t="shared" si="122"/>
        <v>0</v>
      </c>
      <c r="CC77" s="836">
        <f t="shared" si="123"/>
        <v>0</v>
      </c>
      <c r="CD77" s="836">
        <f t="shared" si="124"/>
        <v>0</v>
      </c>
      <c r="CE77" s="836">
        <f t="shared" si="125"/>
        <v>0</v>
      </c>
      <c r="CF77" s="845"/>
      <c r="CG77" s="836">
        <f t="shared" si="126"/>
        <v>0</v>
      </c>
      <c r="CH77" s="836">
        <f t="shared" si="127"/>
        <v>0</v>
      </c>
      <c r="CI77" s="836">
        <f t="shared" si="128"/>
        <v>0</v>
      </c>
      <c r="CJ77" s="836">
        <f t="shared" si="129"/>
        <v>0</v>
      </c>
      <c r="CK77" s="845"/>
      <c r="CL77" s="836">
        <f t="shared" si="130"/>
        <v>0</v>
      </c>
      <c r="CM77" s="836">
        <f t="shared" si="131"/>
        <v>0</v>
      </c>
      <c r="CN77" s="836">
        <f t="shared" si="132"/>
        <v>0</v>
      </c>
      <c r="CO77" s="836">
        <f t="shared" si="133"/>
        <v>0</v>
      </c>
      <c r="CP77" s="845"/>
      <c r="CQ77" s="836">
        <f t="shared" si="134"/>
        <v>0</v>
      </c>
      <c r="CR77" s="836">
        <f t="shared" si="135"/>
        <v>0</v>
      </c>
      <c r="CS77" s="836">
        <f t="shared" si="136"/>
        <v>0</v>
      </c>
      <c r="CT77" s="836">
        <f t="shared" si="137"/>
        <v>0</v>
      </c>
      <c r="CU77" s="847"/>
      <c r="CV77" s="836">
        <f t="shared" si="138"/>
        <v>0</v>
      </c>
      <c r="CW77" s="836">
        <f t="shared" si="138"/>
        <v>0</v>
      </c>
      <c r="CX77" s="836">
        <f t="shared" si="138"/>
        <v>0</v>
      </c>
      <c r="CY77" s="836">
        <f t="shared" si="138"/>
        <v>0</v>
      </c>
      <c r="CZ77" s="847"/>
      <c r="DA77" s="836">
        <f>'1.BS (VND)'!CV51/'1.BC_Ra Soat (ty) '!$C$6</f>
        <v>0</v>
      </c>
      <c r="DB77" s="836">
        <f>'1.BS (VND)'!CW51/'1.BC_Ra Soat (ty) '!$C$6</f>
        <v>0</v>
      </c>
      <c r="DC77" s="836">
        <f>'1.BS (VND)'!CX51/'1.BC_Ra Soat (ty) '!$C$6</f>
        <v>0</v>
      </c>
      <c r="DD77" s="836">
        <f>'1.BS (VND)'!CY51/'1.BC_Ra Soat (ty) '!$C$6</f>
        <v>0</v>
      </c>
      <c r="DE77" s="847"/>
      <c r="DF77" s="836">
        <f t="shared" si="110"/>
        <v>0</v>
      </c>
      <c r="DG77" s="836">
        <f t="shared" si="109"/>
        <v>0</v>
      </c>
      <c r="DH77" s="836">
        <f t="shared" si="109"/>
        <v>0</v>
      </c>
      <c r="DI77" s="836">
        <f t="shared" si="109"/>
        <v>0</v>
      </c>
      <c r="DJ77" s="1019"/>
    </row>
    <row r="78" spans="1:114" s="449" customFormat="1" ht="15.75" hidden="1" x14ac:dyDescent="0.25">
      <c r="A78" s="857" t="str">
        <f t="shared" si="111"/>
        <v>hide</v>
      </c>
      <c r="C78" s="1017" t="s">
        <v>365</v>
      </c>
      <c r="D78" s="1018" t="s">
        <v>372</v>
      </c>
      <c r="E78" s="836">
        <f>'1.BS (VND)'!E52/$C$6</f>
        <v>0</v>
      </c>
      <c r="F78" s="836">
        <f>'1.BS (VND)'!F52/$C$6</f>
        <v>0</v>
      </c>
      <c r="G78" s="836">
        <f>'1.BS (VND)'!G52/$C$6</f>
        <v>0</v>
      </c>
      <c r="H78" s="836">
        <f>'1.BS (VND)'!H52/$C$6</f>
        <v>0</v>
      </c>
      <c r="I78" s="845"/>
      <c r="J78" s="836">
        <f>'1.BS (VND)'!J52/$C$6</f>
        <v>0</v>
      </c>
      <c r="K78" s="836">
        <f>'1.BS (VND)'!K52/$C$6</f>
        <v>0</v>
      </c>
      <c r="L78" s="836">
        <f>'1.BS (VND)'!L52/$C$6</f>
        <v>0</v>
      </c>
      <c r="M78" s="836">
        <f>'1.BS (VND)'!M52/$C$6</f>
        <v>0</v>
      </c>
      <c r="N78" s="845"/>
      <c r="O78" s="836">
        <f>'1.BS (VND)'!O52/$C$6</f>
        <v>0</v>
      </c>
      <c r="P78" s="836">
        <f>'1.BS (VND)'!P52/$C$6</f>
        <v>0</v>
      </c>
      <c r="Q78" s="836">
        <f>'1.BS (VND)'!Q52/$C$6</f>
        <v>0</v>
      </c>
      <c r="R78" s="836">
        <f>'1.BS (VND)'!R52/$C$6</f>
        <v>0</v>
      </c>
      <c r="S78" s="845"/>
      <c r="T78" s="836">
        <f>'1.BS (VND)'!T52/$C$6</f>
        <v>0</v>
      </c>
      <c r="U78" s="836">
        <f>'1.BS (VND)'!U52/$C$6</f>
        <v>0</v>
      </c>
      <c r="V78" s="836">
        <f>'1.BS (VND)'!V52/$C$6</f>
        <v>0</v>
      </c>
      <c r="W78" s="836">
        <f>'1.BS (VND)'!W52/$C$6</f>
        <v>0</v>
      </c>
      <c r="X78" s="845"/>
      <c r="Y78" s="836">
        <f>'1.BS (VND)'!Y52/$C$6</f>
        <v>0</v>
      </c>
      <c r="Z78" s="836">
        <f>'1.BS (VND)'!Z52/$C$6</f>
        <v>0</v>
      </c>
      <c r="AA78" s="836">
        <f>'1.BS (VND)'!AA52/$C$6</f>
        <v>0</v>
      </c>
      <c r="AB78" s="836">
        <f>'1.BS (VND)'!AB52/$C$6</f>
        <v>0</v>
      </c>
      <c r="AC78" s="845"/>
      <c r="AD78" s="836">
        <f>'1.BS (VND)'!AD52/$C$6</f>
        <v>0</v>
      </c>
      <c r="AE78" s="836">
        <f>'1.BS (VND)'!AE52/$C$6</f>
        <v>0</v>
      </c>
      <c r="AF78" s="836">
        <f>'1.BS (VND)'!AF52/$C$6</f>
        <v>0</v>
      </c>
      <c r="AG78" s="836">
        <f>'1.BS (VND)'!AG52/$C$6</f>
        <v>0</v>
      </c>
      <c r="AH78" s="846"/>
      <c r="AI78" s="836">
        <f t="shared" si="112"/>
        <v>0</v>
      </c>
      <c r="AJ78" s="836">
        <f t="shared" si="112"/>
        <v>0</v>
      </c>
      <c r="AK78" s="836">
        <f t="shared" si="112"/>
        <v>0</v>
      </c>
      <c r="AL78" s="836">
        <f t="shared" si="83"/>
        <v>0</v>
      </c>
      <c r="AM78" s="847"/>
      <c r="AN78" s="836">
        <f>'1.BS (VND)'!AI52/$C$6</f>
        <v>0</v>
      </c>
      <c r="AO78" s="836">
        <f>'1.BS (VND)'!AJ52/$C$6</f>
        <v>0</v>
      </c>
      <c r="AP78" s="836">
        <f>'1.BS (VND)'!AK52/$C$6</f>
        <v>0</v>
      </c>
      <c r="AQ78" s="836">
        <f>'1.BS (VND)'!AL52/$C$6</f>
        <v>0</v>
      </c>
      <c r="AR78" s="845"/>
      <c r="AS78" s="836">
        <f>'1.BS (VND)'!AN52/$C$6</f>
        <v>0</v>
      </c>
      <c r="AT78" s="836">
        <f>'1.BS (VND)'!AO52/$C$6</f>
        <v>0</v>
      </c>
      <c r="AU78" s="836">
        <f>'1.BS (VND)'!AP52/$C$6</f>
        <v>0</v>
      </c>
      <c r="AV78" s="836">
        <f>'1.BS (VND)'!AQ52/$C$6</f>
        <v>0</v>
      </c>
      <c r="AW78" s="845"/>
      <c r="AX78" s="836">
        <f>'1.BS (VND)'!AS52/$C$6</f>
        <v>0</v>
      </c>
      <c r="AY78" s="836">
        <f>'1.BS (VND)'!AT52/$C$6</f>
        <v>0</v>
      </c>
      <c r="AZ78" s="836">
        <f>'1.BS (VND)'!AU52/$C$6</f>
        <v>0</v>
      </c>
      <c r="BA78" s="836">
        <f>'1.BS (VND)'!AV52/$C$6</f>
        <v>0</v>
      </c>
      <c r="BB78" s="845"/>
      <c r="BC78" s="836">
        <f>'1.BS (VND)'!AX52/$C$6</f>
        <v>0</v>
      </c>
      <c r="BD78" s="836">
        <f>'1.BS (VND)'!AY52/$C$6</f>
        <v>0</v>
      </c>
      <c r="BE78" s="836">
        <f>'1.BS (VND)'!AZ52/$C$6</f>
        <v>0</v>
      </c>
      <c r="BF78" s="836">
        <f>'1.BS (VND)'!BA52/$C$6</f>
        <v>0</v>
      </c>
      <c r="BG78" s="845"/>
      <c r="BH78" s="836">
        <f>'1.BS (VND)'!BC52/$C$6</f>
        <v>0</v>
      </c>
      <c r="BI78" s="836">
        <f>'1.BS (VND)'!BD52/$C$6</f>
        <v>0</v>
      </c>
      <c r="BJ78" s="836">
        <f>'1.BS (VND)'!BE52/$C$6</f>
        <v>0</v>
      </c>
      <c r="BK78" s="836">
        <f>'1.BS (VND)'!BF52/$C$6</f>
        <v>0</v>
      </c>
      <c r="BL78" s="845"/>
      <c r="BM78" s="836">
        <f>'1.BS (VND)'!BH52/$C$6</f>
        <v>0</v>
      </c>
      <c r="BN78" s="836">
        <f>'1.BS (VND)'!BI52/$C$6</f>
        <v>0</v>
      </c>
      <c r="BO78" s="836">
        <f>'1.BS (VND)'!BJ52/$C$6</f>
        <v>0</v>
      </c>
      <c r="BP78" s="836">
        <f>'1.BS (VND)'!BK52/$C$6</f>
        <v>0</v>
      </c>
      <c r="BQ78" s="846"/>
      <c r="BR78" s="836">
        <f t="shared" si="114"/>
        <v>0</v>
      </c>
      <c r="BS78" s="836">
        <f t="shared" si="115"/>
        <v>0</v>
      </c>
      <c r="BT78" s="836">
        <f t="shared" si="116"/>
        <v>0</v>
      </c>
      <c r="BU78" s="836">
        <f t="shared" si="117"/>
        <v>0</v>
      </c>
      <c r="BV78" s="845"/>
      <c r="BW78" s="836">
        <f t="shared" si="118"/>
        <v>0</v>
      </c>
      <c r="BX78" s="836">
        <f t="shared" si="119"/>
        <v>0</v>
      </c>
      <c r="BY78" s="836">
        <f t="shared" si="120"/>
        <v>0</v>
      </c>
      <c r="BZ78" s="836">
        <f t="shared" si="121"/>
        <v>0</v>
      </c>
      <c r="CA78" s="845"/>
      <c r="CB78" s="836">
        <f t="shared" si="122"/>
        <v>0</v>
      </c>
      <c r="CC78" s="836">
        <f t="shared" si="123"/>
        <v>0</v>
      </c>
      <c r="CD78" s="836">
        <f t="shared" si="124"/>
        <v>0</v>
      </c>
      <c r="CE78" s="836">
        <f t="shared" si="125"/>
        <v>0</v>
      </c>
      <c r="CF78" s="845"/>
      <c r="CG78" s="836">
        <f t="shared" si="126"/>
        <v>0</v>
      </c>
      <c r="CH78" s="836">
        <f t="shared" si="127"/>
        <v>0</v>
      </c>
      <c r="CI78" s="836">
        <f t="shared" si="128"/>
        <v>0</v>
      </c>
      <c r="CJ78" s="836">
        <f t="shared" si="129"/>
        <v>0</v>
      </c>
      <c r="CK78" s="845"/>
      <c r="CL78" s="836">
        <f t="shared" si="130"/>
        <v>0</v>
      </c>
      <c r="CM78" s="836">
        <f t="shared" si="131"/>
        <v>0</v>
      </c>
      <c r="CN78" s="836">
        <f t="shared" si="132"/>
        <v>0</v>
      </c>
      <c r="CO78" s="836">
        <f t="shared" si="133"/>
        <v>0</v>
      </c>
      <c r="CP78" s="845"/>
      <c r="CQ78" s="836">
        <f t="shared" si="134"/>
        <v>0</v>
      </c>
      <c r="CR78" s="836">
        <f t="shared" si="135"/>
        <v>0</v>
      </c>
      <c r="CS78" s="836">
        <f t="shared" si="136"/>
        <v>0</v>
      </c>
      <c r="CT78" s="836">
        <f t="shared" si="137"/>
        <v>0</v>
      </c>
      <c r="CU78" s="847"/>
      <c r="CV78" s="836">
        <f t="shared" si="138"/>
        <v>0</v>
      </c>
      <c r="CW78" s="836">
        <f t="shared" si="138"/>
        <v>0</v>
      </c>
      <c r="CX78" s="836">
        <f t="shared" si="138"/>
        <v>0</v>
      </c>
      <c r="CY78" s="836">
        <f t="shared" si="138"/>
        <v>0</v>
      </c>
      <c r="CZ78" s="847"/>
      <c r="DA78" s="836">
        <f>'1.BS (VND)'!CV52/'1.BC_Ra Soat (ty) '!$C$6</f>
        <v>0</v>
      </c>
      <c r="DB78" s="836">
        <f>'1.BS (VND)'!CW52/'1.BC_Ra Soat (ty) '!$C$6</f>
        <v>0</v>
      </c>
      <c r="DC78" s="836">
        <f>'1.BS (VND)'!CX52/'1.BC_Ra Soat (ty) '!$C$6</f>
        <v>0</v>
      </c>
      <c r="DD78" s="836">
        <f>'1.BS (VND)'!CY52/'1.BC_Ra Soat (ty) '!$C$6</f>
        <v>0</v>
      </c>
      <c r="DE78" s="847"/>
      <c r="DF78" s="836">
        <f t="shared" si="110"/>
        <v>0</v>
      </c>
      <c r="DG78" s="836">
        <f t="shared" si="109"/>
        <v>0</v>
      </c>
      <c r="DH78" s="836">
        <f t="shared" si="109"/>
        <v>0</v>
      </c>
      <c r="DI78" s="836">
        <f t="shared" si="109"/>
        <v>0</v>
      </c>
    </row>
    <row r="79" spans="1:114" s="447" customFormat="1" ht="15.75" hidden="1" x14ac:dyDescent="0.25">
      <c r="A79" s="447" t="str">
        <f t="shared" si="111"/>
        <v>hide</v>
      </c>
      <c r="C79" s="450" t="s">
        <v>373</v>
      </c>
      <c r="D79" s="451" t="s">
        <v>374</v>
      </c>
      <c r="E79" s="849">
        <f>'1.BS (VND)'!E53/$C$6</f>
        <v>0</v>
      </c>
      <c r="F79" s="849">
        <f>'1.BS (VND)'!F53/$C$6</f>
        <v>0</v>
      </c>
      <c r="G79" s="849">
        <f>'1.BS (VND)'!G53/$C$6</f>
        <v>0</v>
      </c>
      <c r="H79" s="849">
        <f>'1.BS (VND)'!H53/$C$6</f>
        <v>0</v>
      </c>
      <c r="I79" s="850"/>
      <c r="J79" s="849">
        <f>'1.BS (VND)'!J53/$C$6</f>
        <v>0</v>
      </c>
      <c r="K79" s="849">
        <f>'1.BS (VND)'!K53/$C$6</f>
        <v>0</v>
      </c>
      <c r="L79" s="849">
        <f>'1.BS (VND)'!L53/$C$6</f>
        <v>0</v>
      </c>
      <c r="M79" s="849">
        <f>'1.BS (VND)'!M53/$C$6</f>
        <v>0</v>
      </c>
      <c r="N79" s="850"/>
      <c r="O79" s="849">
        <f>'1.BS (VND)'!O53/$C$6</f>
        <v>0</v>
      </c>
      <c r="P79" s="849">
        <f>'1.BS (VND)'!P53/$C$6</f>
        <v>0</v>
      </c>
      <c r="Q79" s="849">
        <f>'1.BS (VND)'!Q53/$C$6</f>
        <v>0</v>
      </c>
      <c r="R79" s="849">
        <f>'1.BS (VND)'!R53/$C$6</f>
        <v>0</v>
      </c>
      <c r="S79" s="850"/>
      <c r="T79" s="849">
        <f>'1.BS (VND)'!T53/$C$6</f>
        <v>0</v>
      </c>
      <c r="U79" s="849">
        <f>'1.BS (VND)'!U53/$C$6</f>
        <v>0</v>
      </c>
      <c r="V79" s="849">
        <f>'1.BS (VND)'!V53/$C$6</f>
        <v>0</v>
      </c>
      <c r="W79" s="849">
        <f>'1.BS (VND)'!W53/$C$6</f>
        <v>0</v>
      </c>
      <c r="X79" s="850"/>
      <c r="Y79" s="849">
        <f>'1.BS (VND)'!Y53/$C$6</f>
        <v>0</v>
      </c>
      <c r="Z79" s="849">
        <f>'1.BS (VND)'!Z53/$C$6</f>
        <v>0</v>
      </c>
      <c r="AA79" s="849">
        <f>'1.BS (VND)'!AA53/$C$6</f>
        <v>0</v>
      </c>
      <c r="AB79" s="849">
        <f>'1.BS (VND)'!AB53/$C$6</f>
        <v>0</v>
      </c>
      <c r="AC79" s="850"/>
      <c r="AD79" s="849">
        <f>'1.BS (VND)'!AD53/$C$6</f>
        <v>0</v>
      </c>
      <c r="AE79" s="849">
        <f>'1.BS (VND)'!AE53/$C$6</f>
        <v>0</v>
      </c>
      <c r="AF79" s="849">
        <f>'1.BS (VND)'!AF53/$C$6</f>
        <v>0</v>
      </c>
      <c r="AG79" s="849">
        <f>'1.BS (VND)'!AG53/$C$6</f>
        <v>0</v>
      </c>
      <c r="AH79" s="851"/>
      <c r="AI79" s="849">
        <f t="shared" si="112"/>
        <v>0</v>
      </c>
      <c r="AJ79" s="849">
        <f t="shared" si="112"/>
        <v>0</v>
      </c>
      <c r="AK79" s="849">
        <f t="shared" si="112"/>
        <v>0</v>
      </c>
      <c r="AL79" s="849">
        <f t="shared" si="83"/>
        <v>0</v>
      </c>
      <c r="AM79" s="852"/>
      <c r="AN79" s="849">
        <f>'1.BS (VND)'!AI53/$C$6</f>
        <v>0</v>
      </c>
      <c r="AO79" s="849">
        <f>'1.BS (VND)'!AJ53/$C$6</f>
        <v>0</v>
      </c>
      <c r="AP79" s="849">
        <f>'1.BS (VND)'!AK53/$C$6</f>
        <v>0</v>
      </c>
      <c r="AQ79" s="849">
        <f>'1.BS (VND)'!AL53/$C$6</f>
        <v>0</v>
      </c>
      <c r="AR79" s="850"/>
      <c r="AS79" s="849">
        <f>'1.BS (VND)'!AN53/$C$6</f>
        <v>0</v>
      </c>
      <c r="AT79" s="849">
        <f>'1.BS (VND)'!AO53/$C$6</f>
        <v>0</v>
      </c>
      <c r="AU79" s="849">
        <f>'1.BS (VND)'!AP53/$C$6</f>
        <v>0</v>
      </c>
      <c r="AV79" s="849">
        <f>'1.BS (VND)'!AQ53/$C$6</f>
        <v>0</v>
      </c>
      <c r="AW79" s="850"/>
      <c r="AX79" s="849">
        <f>'1.BS (VND)'!AS53/$C$6</f>
        <v>0</v>
      </c>
      <c r="AY79" s="849">
        <f>'1.BS (VND)'!AT53/$C$6</f>
        <v>0</v>
      </c>
      <c r="AZ79" s="849">
        <f>'1.BS (VND)'!AU53/$C$6</f>
        <v>0</v>
      </c>
      <c r="BA79" s="849">
        <f>'1.BS (VND)'!AV53/$C$6</f>
        <v>0</v>
      </c>
      <c r="BB79" s="850"/>
      <c r="BC79" s="849">
        <f>'1.BS (VND)'!AX53/$C$6</f>
        <v>0</v>
      </c>
      <c r="BD79" s="849">
        <f>'1.BS (VND)'!AY53/$C$6</f>
        <v>0</v>
      </c>
      <c r="BE79" s="849">
        <f>'1.BS (VND)'!AZ53/$C$6</f>
        <v>0</v>
      </c>
      <c r="BF79" s="849">
        <f>'1.BS (VND)'!BA53/$C$6</f>
        <v>0</v>
      </c>
      <c r="BG79" s="850"/>
      <c r="BH79" s="849">
        <f>'1.BS (VND)'!BC53/$C$6</f>
        <v>0</v>
      </c>
      <c r="BI79" s="849">
        <f>'1.BS (VND)'!BD53/$C$6</f>
        <v>0</v>
      </c>
      <c r="BJ79" s="849">
        <f>'1.BS (VND)'!BE53/$C$6</f>
        <v>0</v>
      </c>
      <c r="BK79" s="849">
        <f>'1.BS (VND)'!BF53/$C$6</f>
        <v>0</v>
      </c>
      <c r="BL79" s="850"/>
      <c r="BM79" s="849">
        <f>'1.BS (VND)'!BH53/$C$6</f>
        <v>0</v>
      </c>
      <c r="BN79" s="849">
        <f>'1.BS (VND)'!BI53/$C$6</f>
        <v>0</v>
      </c>
      <c r="BO79" s="849">
        <f>'1.BS (VND)'!BJ53/$C$6</f>
        <v>0</v>
      </c>
      <c r="BP79" s="849">
        <f>'1.BS (VND)'!BK53/$C$6</f>
        <v>0</v>
      </c>
      <c r="BQ79" s="851"/>
      <c r="BR79" s="849">
        <f t="shared" si="114"/>
        <v>0</v>
      </c>
      <c r="BS79" s="849">
        <f t="shared" si="115"/>
        <v>0</v>
      </c>
      <c r="BT79" s="849">
        <f t="shared" si="116"/>
        <v>0</v>
      </c>
      <c r="BU79" s="849">
        <f t="shared" si="117"/>
        <v>0</v>
      </c>
      <c r="BV79" s="850"/>
      <c r="BW79" s="849">
        <f t="shared" si="118"/>
        <v>0</v>
      </c>
      <c r="BX79" s="849">
        <f t="shared" si="119"/>
        <v>0</v>
      </c>
      <c r="BY79" s="849">
        <f t="shared" si="120"/>
        <v>0</v>
      </c>
      <c r="BZ79" s="849">
        <f t="shared" si="121"/>
        <v>0</v>
      </c>
      <c r="CA79" s="850"/>
      <c r="CB79" s="849">
        <f t="shared" si="122"/>
        <v>0</v>
      </c>
      <c r="CC79" s="849">
        <f t="shared" si="123"/>
        <v>0</v>
      </c>
      <c r="CD79" s="849">
        <f t="shared" si="124"/>
        <v>0</v>
      </c>
      <c r="CE79" s="849">
        <f t="shared" si="125"/>
        <v>0</v>
      </c>
      <c r="CF79" s="850"/>
      <c r="CG79" s="849">
        <f t="shared" si="126"/>
        <v>0</v>
      </c>
      <c r="CH79" s="849">
        <f t="shared" si="127"/>
        <v>0</v>
      </c>
      <c r="CI79" s="849">
        <f t="shared" si="128"/>
        <v>0</v>
      </c>
      <c r="CJ79" s="849">
        <f t="shared" si="129"/>
        <v>0</v>
      </c>
      <c r="CK79" s="850"/>
      <c r="CL79" s="849">
        <f t="shared" si="130"/>
        <v>0</v>
      </c>
      <c r="CM79" s="849">
        <f t="shared" si="131"/>
        <v>0</v>
      </c>
      <c r="CN79" s="849">
        <f t="shared" si="132"/>
        <v>0</v>
      </c>
      <c r="CO79" s="849">
        <f t="shared" si="133"/>
        <v>0</v>
      </c>
      <c r="CP79" s="850"/>
      <c r="CQ79" s="849">
        <f t="shared" si="134"/>
        <v>0</v>
      </c>
      <c r="CR79" s="849">
        <f t="shared" si="135"/>
        <v>0</v>
      </c>
      <c r="CS79" s="849">
        <f t="shared" si="136"/>
        <v>0</v>
      </c>
      <c r="CT79" s="849">
        <f t="shared" si="137"/>
        <v>0</v>
      </c>
      <c r="CU79" s="852"/>
      <c r="CV79" s="849">
        <f t="shared" si="138"/>
        <v>0</v>
      </c>
      <c r="CW79" s="849">
        <f t="shared" si="138"/>
        <v>0</v>
      </c>
      <c r="CX79" s="849">
        <f t="shared" si="138"/>
        <v>0</v>
      </c>
      <c r="CY79" s="849">
        <f t="shared" si="138"/>
        <v>0</v>
      </c>
      <c r="CZ79" s="852"/>
      <c r="DA79" s="849">
        <f>'1.BS (VND)'!CV53/'1.BC_Ra Soat (ty) '!$C$6</f>
        <v>0</v>
      </c>
      <c r="DB79" s="849">
        <f>'1.BS (VND)'!CW53/'1.BC_Ra Soat (ty) '!$C$6</f>
        <v>0</v>
      </c>
      <c r="DC79" s="849">
        <f>'1.BS (VND)'!CX53/'1.BC_Ra Soat (ty) '!$C$6</f>
        <v>0</v>
      </c>
      <c r="DD79" s="849">
        <f>'1.BS (VND)'!CY53/'1.BC_Ra Soat (ty) '!$C$6</f>
        <v>0</v>
      </c>
      <c r="DE79" s="852"/>
      <c r="DF79" s="849">
        <f t="shared" si="110"/>
        <v>0</v>
      </c>
      <c r="DG79" s="849">
        <f t="shared" si="109"/>
        <v>0</v>
      </c>
      <c r="DH79" s="849">
        <f t="shared" si="109"/>
        <v>0</v>
      </c>
      <c r="DI79" s="849">
        <f t="shared" si="109"/>
        <v>0</v>
      </c>
    </row>
    <row r="80" spans="1:114" s="449" customFormat="1" ht="15.75" hidden="1" x14ac:dyDescent="0.25">
      <c r="A80" s="857" t="str">
        <f t="shared" si="111"/>
        <v>hide</v>
      </c>
      <c r="C80" s="1017" t="s">
        <v>363</v>
      </c>
      <c r="D80" s="1018" t="s">
        <v>375</v>
      </c>
      <c r="E80" s="836">
        <f>'1.BS (VND)'!E54/$C$6</f>
        <v>0</v>
      </c>
      <c r="F80" s="836">
        <f>'1.BS (VND)'!F54/$C$6</f>
        <v>0</v>
      </c>
      <c r="G80" s="836">
        <f>'1.BS (VND)'!G54/$C$6</f>
        <v>0</v>
      </c>
      <c r="H80" s="836">
        <f>'1.BS (VND)'!H54/$C$6</f>
        <v>0</v>
      </c>
      <c r="I80" s="1020"/>
      <c r="J80" s="836">
        <f>'1.BS (VND)'!J54/$C$6</f>
        <v>0</v>
      </c>
      <c r="K80" s="836">
        <f>'1.BS (VND)'!K54/$C$6</f>
        <v>0</v>
      </c>
      <c r="L80" s="836">
        <f>'1.BS (VND)'!L54/$C$6</f>
        <v>0</v>
      </c>
      <c r="M80" s="836">
        <f>'1.BS (VND)'!M54/$C$6</f>
        <v>0</v>
      </c>
      <c r="N80" s="845"/>
      <c r="O80" s="836">
        <f>'1.BS (VND)'!O54/$C$6</f>
        <v>0</v>
      </c>
      <c r="P80" s="836">
        <f>'1.BS (VND)'!P54/$C$6</f>
        <v>0</v>
      </c>
      <c r="Q80" s="836">
        <f>'1.BS (VND)'!Q54/$C$6</f>
        <v>0</v>
      </c>
      <c r="R80" s="836">
        <f>'1.BS (VND)'!R54/$C$6</f>
        <v>0</v>
      </c>
      <c r="S80" s="845"/>
      <c r="T80" s="836">
        <f>'1.BS (VND)'!T54/$C$6</f>
        <v>0</v>
      </c>
      <c r="U80" s="836">
        <f>'1.BS (VND)'!U54/$C$6</f>
        <v>0</v>
      </c>
      <c r="V80" s="836">
        <f>'1.BS (VND)'!V54/$C$6</f>
        <v>0</v>
      </c>
      <c r="W80" s="836">
        <f>'1.BS (VND)'!W54/$C$6</f>
        <v>0</v>
      </c>
      <c r="X80" s="845"/>
      <c r="Y80" s="836">
        <f>'1.BS (VND)'!Y54/$C$6</f>
        <v>0</v>
      </c>
      <c r="Z80" s="836">
        <f>'1.BS (VND)'!Z54/$C$6</f>
        <v>0</v>
      </c>
      <c r="AA80" s="836">
        <f>'1.BS (VND)'!AA54/$C$6</f>
        <v>0</v>
      </c>
      <c r="AB80" s="836">
        <f>'1.BS (VND)'!AB54/$C$6</f>
        <v>0</v>
      </c>
      <c r="AC80" s="845"/>
      <c r="AD80" s="836">
        <f>'1.BS (VND)'!AD54/$C$6</f>
        <v>0</v>
      </c>
      <c r="AE80" s="836">
        <f>'1.BS (VND)'!AE54/$C$6</f>
        <v>0</v>
      </c>
      <c r="AF80" s="836">
        <f>'1.BS (VND)'!AF54/$C$6</f>
        <v>0</v>
      </c>
      <c r="AG80" s="836">
        <f>'1.BS (VND)'!AG54/$C$6</f>
        <v>0</v>
      </c>
      <c r="AH80" s="846"/>
      <c r="AI80" s="836">
        <f t="shared" si="112"/>
        <v>0</v>
      </c>
      <c r="AJ80" s="836">
        <f t="shared" si="112"/>
        <v>0</v>
      </c>
      <c r="AK80" s="836">
        <f t="shared" si="112"/>
        <v>0</v>
      </c>
      <c r="AL80" s="836">
        <f t="shared" si="83"/>
        <v>0</v>
      </c>
      <c r="AM80" s="847"/>
      <c r="AN80" s="836">
        <f>'1.BS (VND)'!AI54/$C$6</f>
        <v>0</v>
      </c>
      <c r="AO80" s="836">
        <f>'1.BS (VND)'!AJ54/$C$6</f>
        <v>0</v>
      </c>
      <c r="AP80" s="836">
        <f>'1.BS (VND)'!AK54/$C$6</f>
        <v>0</v>
      </c>
      <c r="AQ80" s="836">
        <f>'1.BS (VND)'!AL54/$C$6</f>
        <v>0</v>
      </c>
      <c r="AR80" s="1020"/>
      <c r="AS80" s="836">
        <f>'1.BS (VND)'!AN54/$C$6</f>
        <v>0</v>
      </c>
      <c r="AT80" s="836">
        <f>'1.BS (VND)'!AO54/$C$6</f>
        <v>0</v>
      </c>
      <c r="AU80" s="836">
        <f>'1.BS (VND)'!AP54/$C$6</f>
        <v>0</v>
      </c>
      <c r="AV80" s="836">
        <f>'1.BS (VND)'!AQ54/$C$6</f>
        <v>0</v>
      </c>
      <c r="AW80" s="845"/>
      <c r="AX80" s="836">
        <f>'1.BS (VND)'!AS54/$C$6</f>
        <v>0</v>
      </c>
      <c r="AY80" s="836">
        <f>'1.BS (VND)'!AT54/$C$6</f>
        <v>0</v>
      </c>
      <c r="AZ80" s="836">
        <f>'1.BS (VND)'!AU54/$C$6</f>
        <v>0</v>
      </c>
      <c r="BA80" s="836">
        <f>'1.BS (VND)'!AV54/$C$6</f>
        <v>0</v>
      </c>
      <c r="BB80" s="845"/>
      <c r="BC80" s="836">
        <f>'1.BS (VND)'!AX54/$C$6</f>
        <v>0</v>
      </c>
      <c r="BD80" s="836">
        <f>'1.BS (VND)'!AY54/$C$6</f>
        <v>0</v>
      </c>
      <c r="BE80" s="836">
        <f>'1.BS (VND)'!AZ54/$C$6</f>
        <v>0</v>
      </c>
      <c r="BF80" s="836">
        <f>'1.BS (VND)'!BA54/$C$6</f>
        <v>0</v>
      </c>
      <c r="BG80" s="845"/>
      <c r="BH80" s="836">
        <f>'1.BS (VND)'!BC54/$C$6</f>
        <v>0</v>
      </c>
      <c r="BI80" s="836">
        <f>'1.BS (VND)'!BD54/$C$6</f>
        <v>0</v>
      </c>
      <c r="BJ80" s="836">
        <f>'1.BS (VND)'!BE54/$C$6</f>
        <v>0</v>
      </c>
      <c r="BK80" s="836">
        <f>'1.BS (VND)'!BF54/$C$6</f>
        <v>0</v>
      </c>
      <c r="BL80" s="845"/>
      <c r="BM80" s="836">
        <f>'1.BS (VND)'!BH54/$C$6</f>
        <v>0</v>
      </c>
      <c r="BN80" s="836">
        <f>'1.BS (VND)'!BI54/$C$6</f>
        <v>0</v>
      </c>
      <c r="BO80" s="836">
        <f>'1.BS (VND)'!BJ54/$C$6</f>
        <v>0</v>
      </c>
      <c r="BP80" s="836">
        <f>'1.BS (VND)'!BK54/$C$6</f>
        <v>0</v>
      </c>
      <c r="BQ80" s="846"/>
      <c r="BR80" s="836">
        <f t="shared" si="114"/>
        <v>0</v>
      </c>
      <c r="BS80" s="836">
        <f t="shared" si="115"/>
        <v>0</v>
      </c>
      <c r="BT80" s="836">
        <f t="shared" si="116"/>
        <v>0</v>
      </c>
      <c r="BU80" s="836">
        <f t="shared" si="117"/>
        <v>0</v>
      </c>
      <c r="BV80" s="1020"/>
      <c r="BW80" s="836">
        <f t="shared" si="118"/>
        <v>0</v>
      </c>
      <c r="BX80" s="836">
        <f t="shared" si="119"/>
        <v>0</v>
      </c>
      <c r="BY80" s="836">
        <f t="shared" si="120"/>
        <v>0</v>
      </c>
      <c r="BZ80" s="836">
        <f t="shared" si="121"/>
        <v>0</v>
      </c>
      <c r="CA80" s="845"/>
      <c r="CB80" s="836">
        <f t="shared" si="122"/>
        <v>0</v>
      </c>
      <c r="CC80" s="836">
        <f t="shared" si="123"/>
        <v>0</v>
      </c>
      <c r="CD80" s="836">
        <f t="shared" si="124"/>
        <v>0</v>
      </c>
      <c r="CE80" s="836">
        <f t="shared" si="125"/>
        <v>0</v>
      </c>
      <c r="CF80" s="845"/>
      <c r="CG80" s="836">
        <f t="shared" si="126"/>
        <v>0</v>
      </c>
      <c r="CH80" s="836">
        <f t="shared" si="127"/>
        <v>0</v>
      </c>
      <c r="CI80" s="836">
        <f t="shared" si="128"/>
        <v>0</v>
      </c>
      <c r="CJ80" s="836">
        <f t="shared" si="129"/>
        <v>0</v>
      </c>
      <c r="CK80" s="845"/>
      <c r="CL80" s="836">
        <f t="shared" si="130"/>
        <v>0</v>
      </c>
      <c r="CM80" s="836">
        <f t="shared" si="131"/>
        <v>0</v>
      </c>
      <c r="CN80" s="836">
        <f t="shared" si="132"/>
        <v>0</v>
      </c>
      <c r="CO80" s="836">
        <f t="shared" si="133"/>
        <v>0</v>
      </c>
      <c r="CP80" s="845"/>
      <c r="CQ80" s="836">
        <f t="shared" si="134"/>
        <v>0</v>
      </c>
      <c r="CR80" s="836">
        <f t="shared" si="135"/>
        <v>0</v>
      </c>
      <c r="CS80" s="836">
        <f t="shared" si="136"/>
        <v>0</v>
      </c>
      <c r="CT80" s="836">
        <f t="shared" si="137"/>
        <v>0</v>
      </c>
      <c r="CU80" s="847"/>
      <c r="CV80" s="836">
        <f t="shared" si="138"/>
        <v>0</v>
      </c>
      <c r="CW80" s="836">
        <f t="shared" si="138"/>
        <v>0</v>
      </c>
      <c r="CX80" s="836">
        <f t="shared" si="138"/>
        <v>0</v>
      </c>
      <c r="CY80" s="836">
        <f t="shared" si="138"/>
        <v>0</v>
      </c>
      <c r="CZ80" s="847"/>
      <c r="DA80" s="836">
        <f>'1.BS (VND)'!CV54/'1.BC_Ra Soat (ty) '!$C$6</f>
        <v>0</v>
      </c>
      <c r="DB80" s="836">
        <f>'1.BS (VND)'!CW54/'1.BC_Ra Soat (ty) '!$C$6</f>
        <v>0</v>
      </c>
      <c r="DC80" s="836">
        <f>'1.BS (VND)'!CX54/'1.BC_Ra Soat (ty) '!$C$6</f>
        <v>0</v>
      </c>
      <c r="DD80" s="836">
        <f>'1.BS (VND)'!CY54/'1.BC_Ra Soat (ty) '!$C$6</f>
        <v>0</v>
      </c>
      <c r="DE80" s="847"/>
      <c r="DF80" s="836">
        <f t="shared" si="110"/>
        <v>0</v>
      </c>
      <c r="DG80" s="836">
        <f t="shared" si="109"/>
        <v>0</v>
      </c>
      <c r="DH80" s="836">
        <f t="shared" si="109"/>
        <v>0</v>
      </c>
      <c r="DI80" s="836">
        <f t="shared" si="109"/>
        <v>0</v>
      </c>
    </row>
    <row r="81" spans="1:114" s="449" customFormat="1" ht="15.75" hidden="1" x14ac:dyDescent="0.25">
      <c r="A81" s="857" t="str">
        <f t="shared" si="111"/>
        <v>hide</v>
      </c>
      <c r="C81" s="1017" t="s">
        <v>365</v>
      </c>
      <c r="D81" s="1018" t="s">
        <v>376</v>
      </c>
      <c r="E81" s="836">
        <f>'1.BS (VND)'!E55/$C$6</f>
        <v>0</v>
      </c>
      <c r="F81" s="836">
        <f>'1.BS (VND)'!F55/$C$6</f>
        <v>0</v>
      </c>
      <c r="G81" s="836">
        <f>'1.BS (VND)'!G55/$C$6</f>
        <v>0</v>
      </c>
      <c r="H81" s="836">
        <f>'1.BS (VND)'!H55/$C$6</f>
        <v>0</v>
      </c>
      <c r="I81" s="847"/>
      <c r="J81" s="836">
        <f>'1.BS (VND)'!J55/$C$6</f>
        <v>0</v>
      </c>
      <c r="K81" s="836">
        <f>'1.BS (VND)'!K55/$C$6</f>
        <v>0</v>
      </c>
      <c r="L81" s="836">
        <f>'1.BS (VND)'!L55/$C$6</f>
        <v>0</v>
      </c>
      <c r="M81" s="836">
        <f>'1.BS (VND)'!M55/$C$6</f>
        <v>0</v>
      </c>
      <c r="N81" s="845"/>
      <c r="O81" s="836">
        <f>'1.BS (VND)'!O55/$C$6</f>
        <v>0</v>
      </c>
      <c r="P81" s="836">
        <f>'1.BS (VND)'!P55/$C$6</f>
        <v>0</v>
      </c>
      <c r="Q81" s="836">
        <f>'1.BS (VND)'!Q55/$C$6</f>
        <v>0</v>
      </c>
      <c r="R81" s="836">
        <f>'1.BS (VND)'!R55/$C$6</f>
        <v>0</v>
      </c>
      <c r="S81" s="845"/>
      <c r="T81" s="836">
        <f>'1.BS (VND)'!T55/$C$6</f>
        <v>0</v>
      </c>
      <c r="U81" s="836">
        <f>'1.BS (VND)'!U55/$C$6</f>
        <v>0</v>
      </c>
      <c r="V81" s="836">
        <f>'1.BS (VND)'!V55/$C$6</f>
        <v>0</v>
      </c>
      <c r="W81" s="836">
        <f>'1.BS (VND)'!W55/$C$6</f>
        <v>0</v>
      </c>
      <c r="X81" s="845"/>
      <c r="Y81" s="836">
        <f>'1.BS (VND)'!Y55/$C$6</f>
        <v>0</v>
      </c>
      <c r="Z81" s="836">
        <f>'1.BS (VND)'!Z55/$C$6</f>
        <v>0</v>
      </c>
      <c r="AA81" s="836">
        <f>'1.BS (VND)'!AA55/$C$6</f>
        <v>0</v>
      </c>
      <c r="AB81" s="836">
        <f>'1.BS (VND)'!AB55/$C$6</f>
        <v>0</v>
      </c>
      <c r="AC81" s="845"/>
      <c r="AD81" s="836">
        <f>'1.BS (VND)'!AD55/$C$6</f>
        <v>0</v>
      </c>
      <c r="AE81" s="836">
        <f>'1.BS (VND)'!AE55/$C$6</f>
        <v>0</v>
      </c>
      <c r="AF81" s="836">
        <f>'1.BS (VND)'!AF55/$C$6</f>
        <v>0</v>
      </c>
      <c r="AG81" s="836">
        <f>'1.BS (VND)'!AG55/$C$6</f>
        <v>0</v>
      </c>
      <c r="AH81" s="846"/>
      <c r="AI81" s="836">
        <f t="shared" si="112"/>
        <v>0</v>
      </c>
      <c r="AJ81" s="836">
        <f t="shared" si="112"/>
        <v>0</v>
      </c>
      <c r="AK81" s="836">
        <f t="shared" si="112"/>
        <v>0</v>
      </c>
      <c r="AL81" s="836">
        <f t="shared" si="83"/>
        <v>0</v>
      </c>
      <c r="AM81" s="847"/>
      <c r="AN81" s="836">
        <f>'1.BS (VND)'!AI55/$C$6</f>
        <v>0</v>
      </c>
      <c r="AO81" s="836">
        <f>'1.BS (VND)'!AJ55/$C$6</f>
        <v>0</v>
      </c>
      <c r="AP81" s="836">
        <f>'1.BS (VND)'!AK55/$C$6</f>
        <v>0</v>
      </c>
      <c r="AQ81" s="836">
        <f>'1.BS (VND)'!AL55/$C$6</f>
        <v>0</v>
      </c>
      <c r="AR81" s="847"/>
      <c r="AS81" s="836">
        <f>'1.BS (VND)'!AN55/$C$6</f>
        <v>0</v>
      </c>
      <c r="AT81" s="836">
        <f>'1.BS (VND)'!AO55/$C$6</f>
        <v>0</v>
      </c>
      <c r="AU81" s="836">
        <f>'1.BS (VND)'!AP55/$C$6</f>
        <v>0</v>
      </c>
      <c r="AV81" s="836">
        <f>'1.BS (VND)'!AQ55/$C$6</f>
        <v>0</v>
      </c>
      <c r="AW81" s="845"/>
      <c r="AX81" s="836">
        <f>'1.BS (VND)'!AS55/$C$6</f>
        <v>0</v>
      </c>
      <c r="AY81" s="836">
        <f>'1.BS (VND)'!AT55/$C$6</f>
        <v>0</v>
      </c>
      <c r="AZ81" s="836">
        <f>'1.BS (VND)'!AU55/$C$6</f>
        <v>0</v>
      </c>
      <c r="BA81" s="836">
        <f>'1.BS (VND)'!AV55/$C$6</f>
        <v>0</v>
      </c>
      <c r="BB81" s="845"/>
      <c r="BC81" s="836">
        <f>'1.BS (VND)'!AX55/$C$6</f>
        <v>0</v>
      </c>
      <c r="BD81" s="836">
        <f>'1.BS (VND)'!AY55/$C$6</f>
        <v>0</v>
      </c>
      <c r="BE81" s="836">
        <f>'1.BS (VND)'!AZ55/$C$6</f>
        <v>0</v>
      </c>
      <c r="BF81" s="836">
        <f>'1.BS (VND)'!BA55/$C$6</f>
        <v>0</v>
      </c>
      <c r="BG81" s="845"/>
      <c r="BH81" s="836">
        <f>'1.BS (VND)'!BC55/$C$6</f>
        <v>0</v>
      </c>
      <c r="BI81" s="836">
        <f>'1.BS (VND)'!BD55/$C$6</f>
        <v>0</v>
      </c>
      <c r="BJ81" s="836">
        <f>'1.BS (VND)'!BE55/$C$6</f>
        <v>0</v>
      </c>
      <c r="BK81" s="836">
        <f>'1.BS (VND)'!BF55/$C$6</f>
        <v>0</v>
      </c>
      <c r="BL81" s="845"/>
      <c r="BM81" s="836">
        <f>'1.BS (VND)'!BH55/$C$6</f>
        <v>0</v>
      </c>
      <c r="BN81" s="836">
        <f>'1.BS (VND)'!BI55/$C$6</f>
        <v>0</v>
      </c>
      <c r="BO81" s="836">
        <f>'1.BS (VND)'!BJ55/$C$6</f>
        <v>0</v>
      </c>
      <c r="BP81" s="836">
        <f>'1.BS (VND)'!BK55/$C$6</f>
        <v>0</v>
      </c>
      <c r="BQ81" s="846"/>
      <c r="BR81" s="836">
        <f t="shared" si="114"/>
        <v>0</v>
      </c>
      <c r="BS81" s="836">
        <f t="shared" si="115"/>
        <v>0</v>
      </c>
      <c r="BT81" s="836">
        <f t="shared" si="116"/>
        <v>0</v>
      </c>
      <c r="BU81" s="836">
        <f t="shared" si="117"/>
        <v>0</v>
      </c>
      <c r="BV81" s="847"/>
      <c r="BW81" s="836">
        <f t="shared" si="118"/>
        <v>0</v>
      </c>
      <c r="BX81" s="836">
        <f t="shared" si="119"/>
        <v>0</v>
      </c>
      <c r="BY81" s="836">
        <f t="shared" si="120"/>
        <v>0</v>
      </c>
      <c r="BZ81" s="836">
        <f t="shared" si="121"/>
        <v>0</v>
      </c>
      <c r="CA81" s="845"/>
      <c r="CB81" s="836">
        <f t="shared" si="122"/>
        <v>0</v>
      </c>
      <c r="CC81" s="836">
        <f t="shared" si="123"/>
        <v>0</v>
      </c>
      <c r="CD81" s="836">
        <f t="shared" si="124"/>
        <v>0</v>
      </c>
      <c r="CE81" s="836">
        <f t="shared" si="125"/>
        <v>0</v>
      </c>
      <c r="CF81" s="845"/>
      <c r="CG81" s="836">
        <f t="shared" si="126"/>
        <v>0</v>
      </c>
      <c r="CH81" s="836">
        <f t="shared" si="127"/>
        <v>0</v>
      </c>
      <c r="CI81" s="836">
        <f t="shared" si="128"/>
        <v>0</v>
      </c>
      <c r="CJ81" s="836">
        <f t="shared" si="129"/>
        <v>0</v>
      </c>
      <c r="CK81" s="845"/>
      <c r="CL81" s="836">
        <f t="shared" si="130"/>
        <v>0</v>
      </c>
      <c r="CM81" s="836">
        <f t="shared" si="131"/>
        <v>0</v>
      </c>
      <c r="CN81" s="836">
        <f t="shared" si="132"/>
        <v>0</v>
      </c>
      <c r="CO81" s="836">
        <f t="shared" si="133"/>
        <v>0</v>
      </c>
      <c r="CP81" s="845"/>
      <c r="CQ81" s="836">
        <f t="shared" si="134"/>
        <v>0</v>
      </c>
      <c r="CR81" s="836">
        <f t="shared" si="135"/>
        <v>0</v>
      </c>
      <c r="CS81" s="836">
        <f t="shared" si="136"/>
        <v>0</v>
      </c>
      <c r="CT81" s="836">
        <f t="shared" si="137"/>
        <v>0</v>
      </c>
      <c r="CU81" s="847"/>
      <c r="CV81" s="836">
        <f t="shared" si="138"/>
        <v>0</v>
      </c>
      <c r="CW81" s="836">
        <f t="shared" si="138"/>
        <v>0</v>
      </c>
      <c r="CX81" s="836">
        <f t="shared" si="138"/>
        <v>0</v>
      </c>
      <c r="CY81" s="836">
        <f t="shared" si="138"/>
        <v>0</v>
      </c>
      <c r="CZ81" s="847"/>
      <c r="DA81" s="836">
        <f>'1.BS (VND)'!CV55/'1.BC_Ra Soat (ty) '!$C$6</f>
        <v>0</v>
      </c>
      <c r="DB81" s="836">
        <f>'1.BS (VND)'!CW55/'1.BC_Ra Soat (ty) '!$C$6</f>
        <v>0</v>
      </c>
      <c r="DC81" s="836">
        <f>'1.BS (VND)'!CX55/'1.BC_Ra Soat (ty) '!$C$6</f>
        <v>0</v>
      </c>
      <c r="DD81" s="836">
        <f>'1.BS (VND)'!CY55/'1.BC_Ra Soat (ty) '!$C$6</f>
        <v>0</v>
      </c>
      <c r="DE81" s="847"/>
      <c r="DF81" s="836">
        <f t="shared" si="110"/>
        <v>0</v>
      </c>
      <c r="DG81" s="836">
        <f t="shared" si="109"/>
        <v>0</v>
      </c>
      <c r="DH81" s="836">
        <f t="shared" si="109"/>
        <v>0</v>
      </c>
      <c r="DI81" s="836">
        <f t="shared" si="109"/>
        <v>0</v>
      </c>
    </row>
    <row r="82" spans="1:114" s="447" customFormat="1" ht="15.75" x14ac:dyDescent="0.25">
      <c r="A82" s="447">
        <f t="shared" si="111"/>
        <v>1</v>
      </c>
      <c r="C82" s="450" t="s">
        <v>377</v>
      </c>
      <c r="D82" s="451" t="s">
        <v>378</v>
      </c>
      <c r="E82" s="849">
        <f>'1.BS (VND)'!E56/$C$6</f>
        <v>0</v>
      </c>
      <c r="F82" s="849">
        <f>'1.BS (VND)'!F56/$C$6</f>
        <v>0</v>
      </c>
      <c r="G82" s="849">
        <f>'1.BS (VND)'!G56/$C$6</f>
        <v>25.515620350999999</v>
      </c>
      <c r="H82" s="849">
        <f>'1.BS (VND)'!H56/$C$6</f>
        <v>25.534842446999999</v>
      </c>
      <c r="I82" s="968"/>
      <c r="J82" s="849">
        <f>'1.BS (VND)'!J56/$C$6</f>
        <v>0</v>
      </c>
      <c r="K82" s="849">
        <f>'1.BS (VND)'!K56/$C$6</f>
        <v>15.554763725999999</v>
      </c>
      <c r="L82" s="849">
        <f>'1.BS (VND)'!L56/$C$6</f>
        <v>15.554763725999999</v>
      </c>
      <c r="M82" s="849">
        <f>'1.BS (VND)'!M56/$C$6</f>
        <v>15.554763725999999</v>
      </c>
      <c r="N82" s="850"/>
      <c r="O82" s="849">
        <f>'1.BS (VND)'!O56/$C$6</f>
        <v>0</v>
      </c>
      <c r="P82" s="849">
        <f>'1.BS (VND)'!P56/$C$6</f>
        <v>0</v>
      </c>
      <c r="Q82" s="849">
        <f>'1.BS (VND)'!Q56/$C$6</f>
        <v>0</v>
      </c>
      <c r="R82" s="849">
        <f>'1.BS (VND)'!R56/$C$6</f>
        <v>0</v>
      </c>
      <c r="S82" s="850"/>
      <c r="T82" s="849">
        <f>'1.BS (VND)'!T56/$C$6</f>
        <v>0</v>
      </c>
      <c r="U82" s="849">
        <f>'1.BS (VND)'!U56/$C$6</f>
        <v>0</v>
      </c>
      <c r="V82" s="849">
        <f>'1.BS (VND)'!V56/$C$6</f>
        <v>0</v>
      </c>
      <c r="W82" s="849">
        <f>'1.BS (VND)'!W56/$C$6</f>
        <v>0</v>
      </c>
      <c r="X82" s="850"/>
      <c r="Y82" s="849">
        <f>'1.BS (VND)'!Y56/$C$6</f>
        <v>0</v>
      </c>
      <c r="Z82" s="849">
        <f>'1.BS (VND)'!Z56/$C$6</f>
        <v>0</v>
      </c>
      <c r="AA82" s="849">
        <f>'1.BS (VND)'!AA56/$C$6</f>
        <v>0</v>
      </c>
      <c r="AB82" s="849">
        <f>'1.BS (VND)'!AB56/$C$6</f>
        <v>0</v>
      </c>
      <c r="AC82" s="850"/>
      <c r="AD82" s="849">
        <f>'1.BS (VND)'!AD56/$C$6</f>
        <v>0</v>
      </c>
      <c r="AE82" s="849">
        <f>'1.BS (VND)'!AE56/$C$6</f>
        <v>0</v>
      </c>
      <c r="AF82" s="849">
        <f>'1.BS (VND)'!AF56/$C$6</f>
        <v>0</v>
      </c>
      <c r="AG82" s="849">
        <f>'1.BS (VND)'!AG56/$C$6</f>
        <v>0</v>
      </c>
      <c r="AH82" s="851"/>
      <c r="AI82" s="849">
        <f t="shared" si="112"/>
        <v>0</v>
      </c>
      <c r="AJ82" s="849">
        <f t="shared" si="112"/>
        <v>15.554763725999999</v>
      </c>
      <c r="AK82" s="849">
        <f t="shared" si="112"/>
        <v>41.070384077</v>
      </c>
      <c r="AL82" s="849">
        <f t="shared" si="83"/>
        <v>41.089606173</v>
      </c>
      <c r="AM82" s="852"/>
      <c r="AN82" s="849">
        <f>'1.BS (VND)'!AI56/$C$6</f>
        <v>0</v>
      </c>
      <c r="AO82" s="849">
        <f>'1.BS (VND)'!AJ56/$C$6</f>
        <v>0</v>
      </c>
      <c r="AP82" s="849">
        <f>'1.BS (VND)'!AK56/$C$6</f>
        <v>-2.1</v>
      </c>
      <c r="AQ82" s="849">
        <f>'1.BS (VND)'!AL56/$C$6</f>
        <v>-2.1</v>
      </c>
      <c r="AR82" s="968"/>
      <c r="AS82" s="849">
        <f>'1.BS (VND)'!AN56/$C$6</f>
        <v>0</v>
      </c>
      <c r="AT82" s="849">
        <f>'1.BS (VND)'!AO56/$C$6</f>
        <v>0</v>
      </c>
      <c r="AU82" s="849">
        <f>'1.BS (VND)'!AP56/$C$6</f>
        <v>0</v>
      </c>
      <c r="AV82" s="849">
        <f>'1.BS (VND)'!AQ56/$C$6</f>
        <v>0</v>
      </c>
      <c r="AW82" s="850"/>
      <c r="AX82" s="849">
        <f>'1.BS (VND)'!AS56/$C$6</f>
        <v>0</v>
      </c>
      <c r="AY82" s="849">
        <f>'1.BS (VND)'!AT56/$C$6</f>
        <v>0</v>
      </c>
      <c r="AZ82" s="849">
        <f>'1.BS (VND)'!AU56/$C$6</f>
        <v>0</v>
      </c>
      <c r="BA82" s="849">
        <f>'1.BS (VND)'!AV56/$C$6</f>
        <v>0</v>
      </c>
      <c r="BB82" s="850"/>
      <c r="BC82" s="849">
        <f>'1.BS (VND)'!AX56/$C$6</f>
        <v>0</v>
      </c>
      <c r="BD82" s="849">
        <f>'1.BS (VND)'!AY56/$C$6</f>
        <v>0</v>
      </c>
      <c r="BE82" s="849">
        <f>'1.BS (VND)'!AZ56/$C$6</f>
        <v>0</v>
      </c>
      <c r="BF82" s="849">
        <f>'1.BS (VND)'!BA56/$C$6</f>
        <v>0</v>
      </c>
      <c r="BG82" s="850"/>
      <c r="BH82" s="849">
        <f>'1.BS (VND)'!BC56/$C$6</f>
        <v>0</v>
      </c>
      <c r="BI82" s="849">
        <f>'1.BS (VND)'!BD56/$C$6</f>
        <v>0</v>
      </c>
      <c r="BJ82" s="849">
        <f>'1.BS (VND)'!BE56/$C$6</f>
        <v>0</v>
      </c>
      <c r="BK82" s="849">
        <f>'1.BS (VND)'!BF56/$C$6</f>
        <v>0</v>
      </c>
      <c r="BL82" s="850"/>
      <c r="BM82" s="849">
        <f>'1.BS (VND)'!BH56/$C$6</f>
        <v>0</v>
      </c>
      <c r="BN82" s="849">
        <f>'1.BS (VND)'!BI56/$C$6</f>
        <v>0</v>
      </c>
      <c r="BO82" s="849">
        <f>'1.BS (VND)'!BJ56/$C$6</f>
        <v>0</v>
      </c>
      <c r="BP82" s="849">
        <f>'1.BS (VND)'!BK56/$C$6</f>
        <v>0</v>
      </c>
      <c r="BQ82" s="851"/>
      <c r="BR82" s="849">
        <f t="shared" si="114"/>
        <v>0</v>
      </c>
      <c r="BS82" s="849">
        <f t="shared" si="115"/>
        <v>0</v>
      </c>
      <c r="BT82" s="849">
        <f t="shared" si="116"/>
        <v>23.415620350999998</v>
      </c>
      <c r="BU82" s="849">
        <f t="shared" si="117"/>
        <v>23.434842446999998</v>
      </c>
      <c r="BV82" s="968"/>
      <c r="BW82" s="849">
        <f t="shared" si="118"/>
        <v>0</v>
      </c>
      <c r="BX82" s="849">
        <f t="shared" si="119"/>
        <v>15.554763725999999</v>
      </c>
      <c r="BY82" s="849">
        <f t="shared" si="120"/>
        <v>15.554763725999999</v>
      </c>
      <c r="BZ82" s="849">
        <f t="shared" si="121"/>
        <v>15.554763725999999</v>
      </c>
      <c r="CA82" s="850"/>
      <c r="CB82" s="849">
        <f t="shared" si="122"/>
        <v>0</v>
      </c>
      <c r="CC82" s="849">
        <f t="shared" si="123"/>
        <v>0</v>
      </c>
      <c r="CD82" s="849">
        <f t="shared" si="124"/>
        <v>0</v>
      </c>
      <c r="CE82" s="849">
        <f t="shared" si="125"/>
        <v>0</v>
      </c>
      <c r="CF82" s="850"/>
      <c r="CG82" s="849">
        <f t="shared" si="126"/>
        <v>0</v>
      </c>
      <c r="CH82" s="849">
        <f t="shared" si="127"/>
        <v>0</v>
      </c>
      <c r="CI82" s="849">
        <f t="shared" si="128"/>
        <v>0</v>
      </c>
      <c r="CJ82" s="849">
        <f t="shared" si="129"/>
        <v>0</v>
      </c>
      <c r="CK82" s="850"/>
      <c r="CL82" s="849">
        <f t="shared" si="130"/>
        <v>0</v>
      </c>
      <c r="CM82" s="849">
        <f t="shared" si="131"/>
        <v>0</v>
      </c>
      <c r="CN82" s="849">
        <f t="shared" si="132"/>
        <v>0</v>
      </c>
      <c r="CO82" s="849">
        <f t="shared" si="133"/>
        <v>0</v>
      </c>
      <c r="CP82" s="850"/>
      <c r="CQ82" s="849">
        <f t="shared" si="134"/>
        <v>0</v>
      </c>
      <c r="CR82" s="849">
        <f t="shared" si="135"/>
        <v>0</v>
      </c>
      <c r="CS82" s="849">
        <f t="shared" si="136"/>
        <v>0</v>
      </c>
      <c r="CT82" s="849">
        <f t="shared" si="137"/>
        <v>0</v>
      </c>
      <c r="CU82" s="852"/>
      <c r="CV82" s="849">
        <f t="shared" si="138"/>
        <v>0</v>
      </c>
      <c r="CW82" s="849">
        <f t="shared" si="138"/>
        <v>15.554763725999999</v>
      </c>
      <c r="CX82" s="849">
        <f t="shared" si="138"/>
        <v>38.970384076999999</v>
      </c>
      <c r="CY82" s="849">
        <f t="shared" si="138"/>
        <v>38.989606172999999</v>
      </c>
      <c r="CZ82" s="852"/>
      <c r="DA82" s="849">
        <f>'1.BS (VND)'!CV56/'1.BC_Ra Soat (ty) '!$C$6</f>
        <v>0</v>
      </c>
      <c r="DB82" s="849">
        <f>'1.BS (VND)'!CW56/'1.BC_Ra Soat (ty) '!$C$6</f>
        <v>0</v>
      </c>
      <c r="DC82" s="849">
        <f>'1.BS (VND)'!CX56/'1.BC_Ra Soat (ty) '!$C$6</f>
        <v>0</v>
      </c>
      <c r="DD82" s="849">
        <f>'1.BS (VND)'!CY56/'1.BC_Ra Soat (ty) '!$C$6</f>
        <v>0</v>
      </c>
      <c r="DE82" s="852"/>
      <c r="DF82" s="849">
        <f t="shared" si="110"/>
        <v>0</v>
      </c>
      <c r="DG82" s="849">
        <f t="shared" si="109"/>
        <v>15.554763725999999</v>
      </c>
      <c r="DH82" s="849">
        <f t="shared" si="109"/>
        <v>38.970384076999999</v>
      </c>
      <c r="DI82" s="849">
        <f t="shared" si="109"/>
        <v>38.989606172999999</v>
      </c>
      <c r="DJ82" s="444"/>
    </row>
    <row r="83" spans="1:114" s="441" customFormat="1" ht="15.75" hidden="1" x14ac:dyDescent="0.25">
      <c r="A83" s="447" t="str">
        <f t="shared" si="111"/>
        <v>hide</v>
      </c>
      <c r="C83" s="452" t="s">
        <v>379</v>
      </c>
      <c r="D83" s="453" t="s">
        <v>380</v>
      </c>
      <c r="E83" s="835">
        <f>'1.BS (VND)'!E57/$C$6</f>
        <v>0</v>
      </c>
      <c r="F83" s="835">
        <f>'1.BS (VND)'!F57/$C$6</f>
        <v>0</v>
      </c>
      <c r="G83" s="835">
        <f>'1.BS (VND)'!G57/$C$6</f>
        <v>0</v>
      </c>
      <c r="H83" s="835">
        <f>'1.BS (VND)'!H57/$C$6</f>
        <v>0</v>
      </c>
      <c r="I83" s="842"/>
      <c r="J83" s="835">
        <f>'1.BS (VND)'!J57/$C$6</f>
        <v>0</v>
      </c>
      <c r="K83" s="835">
        <f>'1.BS (VND)'!K57/$C$6</f>
        <v>0</v>
      </c>
      <c r="L83" s="835">
        <f>'1.BS (VND)'!L57/$C$6</f>
        <v>0</v>
      </c>
      <c r="M83" s="835">
        <f>'1.BS (VND)'!M57/$C$6</f>
        <v>0</v>
      </c>
      <c r="N83" s="840"/>
      <c r="O83" s="835">
        <f>'1.BS (VND)'!O57/$C$6</f>
        <v>0</v>
      </c>
      <c r="P83" s="835">
        <f>'1.BS (VND)'!P57/$C$6</f>
        <v>0</v>
      </c>
      <c r="Q83" s="835">
        <f>'1.BS (VND)'!Q57/$C$6</f>
        <v>0</v>
      </c>
      <c r="R83" s="835">
        <f>'1.BS (VND)'!R57/$C$6</f>
        <v>0</v>
      </c>
      <c r="S83" s="840"/>
      <c r="T83" s="835">
        <f>'1.BS (VND)'!T57/$C$6</f>
        <v>0</v>
      </c>
      <c r="U83" s="835">
        <f>'1.BS (VND)'!U57/$C$6</f>
        <v>0</v>
      </c>
      <c r="V83" s="835">
        <f>'1.BS (VND)'!V57/$C$6</f>
        <v>0</v>
      </c>
      <c r="W83" s="835">
        <f>'1.BS (VND)'!W57/$C$6</f>
        <v>0</v>
      </c>
      <c r="X83" s="840"/>
      <c r="Y83" s="835">
        <f>'1.BS (VND)'!Y57/$C$6</f>
        <v>0</v>
      </c>
      <c r="Z83" s="835">
        <f>'1.BS (VND)'!Z57/$C$6</f>
        <v>0</v>
      </c>
      <c r="AA83" s="835">
        <f>'1.BS (VND)'!AA57/$C$6</f>
        <v>0</v>
      </c>
      <c r="AB83" s="835">
        <f>'1.BS (VND)'!AB57/$C$6</f>
        <v>0</v>
      </c>
      <c r="AC83" s="840"/>
      <c r="AD83" s="835">
        <f>'1.BS (VND)'!AD57/$C$6</f>
        <v>0</v>
      </c>
      <c r="AE83" s="835">
        <f>'1.BS (VND)'!AE57/$C$6</f>
        <v>0</v>
      </c>
      <c r="AF83" s="835">
        <f>'1.BS (VND)'!AF57/$C$6</f>
        <v>0</v>
      </c>
      <c r="AG83" s="835">
        <f>'1.BS (VND)'!AG57/$C$6</f>
        <v>0</v>
      </c>
      <c r="AH83" s="841"/>
      <c r="AI83" s="835">
        <f t="shared" si="112"/>
        <v>0</v>
      </c>
      <c r="AJ83" s="835">
        <f t="shared" si="112"/>
        <v>0</v>
      </c>
      <c r="AK83" s="835">
        <f t="shared" si="112"/>
        <v>0</v>
      </c>
      <c r="AL83" s="835">
        <f t="shared" si="83"/>
        <v>0</v>
      </c>
      <c r="AM83" s="842"/>
      <c r="AN83" s="835">
        <f>'1.BS (VND)'!AI57/$C$6</f>
        <v>0</v>
      </c>
      <c r="AO83" s="835">
        <f>'1.BS (VND)'!AJ57/$C$6</f>
        <v>0</v>
      </c>
      <c r="AP83" s="835">
        <f>'1.BS (VND)'!AK57/$C$6</f>
        <v>0</v>
      </c>
      <c r="AQ83" s="835">
        <f>'1.BS (VND)'!AL57/$C$6</f>
        <v>0</v>
      </c>
      <c r="AR83" s="842"/>
      <c r="AS83" s="835">
        <f>'1.BS (VND)'!AN57/$C$6</f>
        <v>0</v>
      </c>
      <c r="AT83" s="835">
        <f>'1.BS (VND)'!AO57/$C$6</f>
        <v>0</v>
      </c>
      <c r="AU83" s="835">
        <f>'1.BS (VND)'!AP57/$C$6</f>
        <v>0</v>
      </c>
      <c r="AV83" s="835">
        <f>'1.BS (VND)'!AQ57/$C$6</f>
        <v>0</v>
      </c>
      <c r="AW83" s="840"/>
      <c r="AX83" s="835">
        <f>'1.BS (VND)'!AS57/$C$6</f>
        <v>0</v>
      </c>
      <c r="AY83" s="835">
        <f>'1.BS (VND)'!AT57/$C$6</f>
        <v>0</v>
      </c>
      <c r="AZ83" s="835">
        <f>'1.BS (VND)'!AU57/$C$6</f>
        <v>0</v>
      </c>
      <c r="BA83" s="835">
        <f>'1.BS (VND)'!AV57/$C$6</f>
        <v>0</v>
      </c>
      <c r="BB83" s="840"/>
      <c r="BC83" s="835">
        <f>'1.BS (VND)'!AX57/$C$6</f>
        <v>0</v>
      </c>
      <c r="BD83" s="835">
        <f>'1.BS (VND)'!AY57/$C$6</f>
        <v>0</v>
      </c>
      <c r="BE83" s="835">
        <f>'1.BS (VND)'!AZ57/$C$6</f>
        <v>0</v>
      </c>
      <c r="BF83" s="835">
        <f>'1.BS (VND)'!BA57/$C$6</f>
        <v>0</v>
      </c>
      <c r="BG83" s="840"/>
      <c r="BH83" s="835">
        <f>'1.BS (VND)'!BC57/$C$6</f>
        <v>0</v>
      </c>
      <c r="BI83" s="835">
        <f>'1.BS (VND)'!BD57/$C$6</f>
        <v>0</v>
      </c>
      <c r="BJ83" s="835">
        <f>'1.BS (VND)'!BE57/$C$6</f>
        <v>0</v>
      </c>
      <c r="BK83" s="835">
        <f>'1.BS (VND)'!BF57/$C$6</f>
        <v>0</v>
      </c>
      <c r="BL83" s="840"/>
      <c r="BM83" s="835">
        <f>'1.BS (VND)'!BH57/$C$6</f>
        <v>0</v>
      </c>
      <c r="BN83" s="835">
        <f>'1.BS (VND)'!BI57/$C$6</f>
        <v>0</v>
      </c>
      <c r="BO83" s="835">
        <f>'1.BS (VND)'!BJ57/$C$6</f>
        <v>0</v>
      </c>
      <c r="BP83" s="835">
        <f>'1.BS (VND)'!BK57/$C$6</f>
        <v>0</v>
      </c>
      <c r="BQ83" s="841"/>
      <c r="BR83" s="835">
        <f t="shared" si="114"/>
        <v>0</v>
      </c>
      <c r="BS83" s="835">
        <f t="shared" si="115"/>
        <v>0</v>
      </c>
      <c r="BT83" s="835">
        <f t="shared" si="116"/>
        <v>0</v>
      </c>
      <c r="BU83" s="835">
        <f t="shared" si="117"/>
        <v>0</v>
      </c>
      <c r="BV83" s="842"/>
      <c r="BW83" s="835">
        <f t="shared" si="118"/>
        <v>0</v>
      </c>
      <c r="BX83" s="835">
        <f t="shared" si="119"/>
        <v>0</v>
      </c>
      <c r="BY83" s="835">
        <f t="shared" si="120"/>
        <v>0</v>
      </c>
      <c r="BZ83" s="835">
        <f t="shared" si="121"/>
        <v>0</v>
      </c>
      <c r="CA83" s="840"/>
      <c r="CB83" s="835">
        <f t="shared" si="122"/>
        <v>0</v>
      </c>
      <c r="CC83" s="835">
        <f t="shared" si="123"/>
        <v>0</v>
      </c>
      <c r="CD83" s="835">
        <f t="shared" si="124"/>
        <v>0</v>
      </c>
      <c r="CE83" s="835">
        <f t="shared" si="125"/>
        <v>0</v>
      </c>
      <c r="CF83" s="840"/>
      <c r="CG83" s="835">
        <f t="shared" si="126"/>
        <v>0</v>
      </c>
      <c r="CH83" s="835">
        <f t="shared" si="127"/>
        <v>0</v>
      </c>
      <c r="CI83" s="835">
        <f t="shared" si="128"/>
        <v>0</v>
      </c>
      <c r="CJ83" s="835">
        <f t="shared" si="129"/>
        <v>0</v>
      </c>
      <c r="CK83" s="840"/>
      <c r="CL83" s="835">
        <f t="shared" si="130"/>
        <v>0</v>
      </c>
      <c r="CM83" s="835">
        <f t="shared" si="131"/>
        <v>0</v>
      </c>
      <c r="CN83" s="835">
        <f t="shared" si="132"/>
        <v>0</v>
      </c>
      <c r="CO83" s="835">
        <f t="shared" si="133"/>
        <v>0</v>
      </c>
      <c r="CP83" s="840"/>
      <c r="CQ83" s="835">
        <f t="shared" si="134"/>
        <v>0</v>
      </c>
      <c r="CR83" s="835">
        <f t="shared" si="135"/>
        <v>0</v>
      </c>
      <c r="CS83" s="835">
        <f t="shared" si="136"/>
        <v>0</v>
      </c>
      <c r="CT83" s="835">
        <f t="shared" si="137"/>
        <v>0</v>
      </c>
      <c r="CU83" s="842"/>
      <c r="CV83" s="835">
        <f t="shared" si="138"/>
        <v>0</v>
      </c>
      <c r="CW83" s="835">
        <f t="shared" si="138"/>
        <v>0</v>
      </c>
      <c r="CX83" s="835">
        <f t="shared" si="138"/>
        <v>0</v>
      </c>
      <c r="CY83" s="835">
        <f t="shared" si="138"/>
        <v>0</v>
      </c>
      <c r="CZ83" s="842"/>
      <c r="DA83" s="835">
        <f>'1.BS (VND)'!CV57/'1.BC_Ra Soat (ty) '!$C$6</f>
        <v>0</v>
      </c>
      <c r="DB83" s="835">
        <f>'1.BS (VND)'!CW57/'1.BC_Ra Soat (ty) '!$C$6</f>
        <v>0</v>
      </c>
      <c r="DC83" s="835">
        <f>'1.BS (VND)'!CX57/'1.BC_Ra Soat (ty) '!$C$6</f>
        <v>0</v>
      </c>
      <c r="DD83" s="835">
        <f>'1.BS (VND)'!CY57/'1.BC_Ra Soat (ty) '!$C$6</f>
        <v>0</v>
      </c>
      <c r="DE83" s="842"/>
      <c r="DF83" s="835">
        <f t="shared" si="110"/>
        <v>0</v>
      </c>
      <c r="DG83" s="835">
        <f t="shared" si="109"/>
        <v>0</v>
      </c>
      <c r="DH83" s="835">
        <f t="shared" si="109"/>
        <v>0</v>
      </c>
      <c r="DI83" s="835">
        <f t="shared" si="109"/>
        <v>0</v>
      </c>
    </row>
    <row r="84" spans="1:114" s="441" customFormat="1" ht="15.75" x14ac:dyDescent="0.25">
      <c r="A84" s="447">
        <f t="shared" si="111"/>
        <v>1</v>
      </c>
      <c r="C84" s="452" t="s">
        <v>381</v>
      </c>
      <c r="D84" s="453" t="s">
        <v>382</v>
      </c>
      <c r="E84" s="835">
        <f>'1.BS (VND)'!E58/$C$6</f>
        <v>0</v>
      </c>
      <c r="F84" s="835">
        <f>'1.BS (VND)'!F58/$C$6</f>
        <v>0</v>
      </c>
      <c r="G84" s="835">
        <f>'1.BS (VND)'!G58/$C$6</f>
        <v>25.515620350999999</v>
      </c>
      <c r="H84" s="835">
        <f>'1.BS (VND)'!H58/$C$6</f>
        <v>25.534842446999999</v>
      </c>
      <c r="I84" s="842"/>
      <c r="J84" s="835">
        <f>'1.BS (VND)'!J58/$C$6</f>
        <v>0</v>
      </c>
      <c r="K84" s="835">
        <f>'1.BS (VND)'!K58/$C$6</f>
        <v>15.554763725999999</v>
      </c>
      <c r="L84" s="835">
        <f>'1.BS (VND)'!L58/$C$6</f>
        <v>15.554763725999999</v>
      </c>
      <c r="M84" s="835">
        <f>'1.BS (VND)'!M58/$C$6</f>
        <v>15.554763725999999</v>
      </c>
      <c r="N84" s="840"/>
      <c r="O84" s="835">
        <f>'1.BS (VND)'!O58/$C$6</f>
        <v>0</v>
      </c>
      <c r="P84" s="835">
        <f>'1.BS (VND)'!P58/$C$6</f>
        <v>0</v>
      </c>
      <c r="Q84" s="835">
        <f>'1.BS (VND)'!Q58/$C$6</f>
        <v>0</v>
      </c>
      <c r="R84" s="835">
        <f>'1.BS (VND)'!R58/$C$6</f>
        <v>0</v>
      </c>
      <c r="S84" s="840"/>
      <c r="T84" s="835">
        <f>'1.BS (VND)'!T58/$C$6</f>
        <v>0</v>
      </c>
      <c r="U84" s="835">
        <f>'1.BS (VND)'!U58/$C$6</f>
        <v>0</v>
      </c>
      <c r="V84" s="835">
        <f>'1.BS (VND)'!V58/$C$6</f>
        <v>0</v>
      </c>
      <c r="W84" s="835">
        <f>'1.BS (VND)'!W58/$C$6</f>
        <v>0</v>
      </c>
      <c r="X84" s="840"/>
      <c r="Y84" s="835">
        <f>'1.BS (VND)'!Y58/$C$6</f>
        <v>0</v>
      </c>
      <c r="Z84" s="835">
        <f>'1.BS (VND)'!Z58/$C$6</f>
        <v>0</v>
      </c>
      <c r="AA84" s="835">
        <f>'1.BS (VND)'!AA58/$C$6</f>
        <v>0</v>
      </c>
      <c r="AB84" s="835">
        <f>'1.BS (VND)'!AB58/$C$6</f>
        <v>0</v>
      </c>
      <c r="AC84" s="840"/>
      <c r="AD84" s="835">
        <f>'1.BS (VND)'!AD58/$C$6</f>
        <v>0</v>
      </c>
      <c r="AE84" s="835">
        <f>'1.BS (VND)'!AE58/$C$6</f>
        <v>0</v>
      </c>
      <c r="AF84" s="835">
        <f>'1.BS (VND)'!AF58/$C$6</f>
        <v>0</v>
      </c>
      <c r="AG84" s="835">
        <f>'1.BS (VND)'!AG58/$C$6</f>
        <v>0</v>
      </c>
      <c r="AH84" s="841"/>
      <c r="AI84" s="835">
        <f t="shared" si="112"/>
        <v>0</v>
      </c>
      <c r="AJ84" s="835">
        <f t="shared" si="112"/>
        <v>15.554763725999999</v>
      </c>
      <c r="AK84" s="835">
        <f t="shared" si="112"/>
        <v>41.070384077</v>
      </c>
      <c r="AL84" s="835">
        <f t="shared" si="83"/>
        <v>41.089606173</v>
      </c>
      <c r="AM84" s="852"/>
      <c r="AN84" s="835">
        <f>'1.BS (VND)'!AI58/$C$6</f>
        <v>0</v>
      </c>
      <c r="AO84" s="835">
        <f>'1.BS (VND)'!AJ58/$C$6</f>
        <v>0</v>
      </c>
      <c r="AP84" s="835">
        <f>'1.BS (VND)'!AK58/$C$6</f>
        <v>-2.1</v>
      </c>
      <c r="AQ84" s="835">
        <f>'1.BS (VND)'!AL58/$C$6</f>
        <v>-2.1</v>
      </c>
      <c r="AR84" s="842"/>
      <c r="AS84" s="835">
        <f>'1.BS (VND)'!AN58/$C$6</f>
        <v>0</v>
      </c>
      <c r="AT84" s="835">
        <f>'1.BS (VND)'!AO58/$C$6</f>
        <v>0</v>
      </c>
      <c r="AU84" s="835">
        <f>'1.BS (VND)'!AP58/$C$6</f>
        <v>0</v>
      </c>
      <c r="AV84" s="835">
        <f>'1.BS (VND)'!AQ58/$C$6</f>
        <v>0</v>
      </c>
      <c r="AW84" s="840"/>
      <c r="AX84" s="835">
        <f>'1.BS (VND)'!AS58/$C$6</f>
        <v>0</v>
      </c>
      <c r="AY84" s="835">
        <f>'1.BS (VND)'!AT58/$C$6</f>
        <v>0</v>
      </c>
      <c r="AZ84" s="835">
        <f>'1.BS (VND)'!AU58/$C$6</f>
        <v>0</v>
      </c>
      <c r="BA84" s="835">
        <f>'1.BS (VND)'!AV58/$C$6</f>
        <v>0</v>
      </c>
      <c r="BB84" s="840"/>
      <c r="BC84" s="835">
        <f>'1.BS (VND)'!AX58/$C$6</f>
        <v>0</v>
      </c>
      <c r="BD84" s="835">
        <f>'1.BS (VND)'!AY58/$C$6</f>
        <v>0</v>
      </c>
      <c r="BE84" s="835">
        <f>'1.BS (VND)'!AZ58/$C$6</f>
        <v>0</v>
      </c>
      <c r="BF84" s="835">
        <f>'1.BS (VND)'!BA58/$C$6</f>
        <v>0</v>
      </c>
      <c r="BG84" s="840"/>
      <c r="BH84" s="835">
        <f>'1.BS (VND)'!BC58/$C$6</f>
        <v>0</v>
      </c>
      <c r="BI84" s="835">
        <f>'1.BS (VND)'!BD58/$C$6</f>
        <v>0</v>
      </c>
      <c r="BJ84" s="835">
        <f>'1.BS (VND)'!BE58/$C$6</f>
        <v>0</v>
      </c>
      <c r="BK84" s="835">
        <f>'1.BS (VND)'!BF58/$C$6</f>
        <v>0</v>
      </c>
      <c r="BL84" s="840"/>
      <c r="BM84" s="835">
        <f>'1.BS (VND)'!BH58/$C$6</f>
        <v>0</v>
      </c>
      <c r="BN84" s="835">
        <f>'1.BS (VND)'!BI58/$C$6</f>
        <v>0</v>
      </c>
      <c r="BO84" s="835">
        <f>'1.BS (VND)'!BJ58/$C$6</f>
        <v>0</v>
      </c>
      <c r="BP84" s="835">
        <f>'1.BS (VND)'!BK58/$C$6</f>
        <v>0</v>
      </c>
      <c r="BQ84" s="841"/>
      <c r="BR84" s="835">
        <f t="shared" si="114"/>
        <v>0</v>
      </c>
      <c r="BS84" s="835">
        <f t="shared" si="115"/>
        <v>0</v>
      </c>
      <c r="BT84" s="835">
        <f t="shared" si="116"/>
        <v>23.415620350999998</v>
      </c>
      <c r="BU84" s="835">
        <f t="shared" si="117"/>
        <v>23.434842446999998</v>
      </c>
      <c r="BV84" s="842"/>
      <c r="BW84" s="835">
        <f t="shared" si="118"/>
        <v>0</v>
      </c>
      <c r="BX84" s="835">
        <f t="shared" si="119"/>
        <v>15.554763725999999</v>
      </c>
      <c r="BY84" s="835">
        <f t="shared" si="120"/>
        <v>15.554763725999999</v>
      </c>
      <c r="BZ84" s="835">
        <f t="shared" si="121"/>
        <v>15.554763725999999</v>
      </c>
      <c r="CA84" s="840"/>
      <c r="CB84" s="835">
        <f t="shared" si="122"/>
        <v>0</v>
      </c>
      <c r="CC84" s="835">
        <f t="shared" si="123"/>
        <v>0</v>
      </c>
      <c r="CD84" s="835">
        <f t="shared" si="124"/>
        <v>0</v>
      </c>
      <c r="CE84" s="835">
        <f t="shared" si="125"/>
        <v>0</v>
      </c>
      <c r="CF84" s="840"/>
      <c r="CG84" s="835">
        <f t="shared" si="126"/>
        <v>0</v>
      </c>
      <c r="CH84" s="835">
        <f t="shared" si="127"/>
        <v>0</v>
      </c>
      <c r="CI84" s="835">
        <f t="shared" si="128"/>
        <v>0</v>
      </c>
      <c r="CJ84" s="835">
        <f t="shared" si="129"/>
        <v>0</v>
      </c>
      <c r="CK84" s="840"/>
      <c r="CL84" s="835">
        <f t="shared" si="130"/>
        <v>0</v>
      </c>
      <c r="CM84" s="835">
        <f t="shared" si="131"/>
        <v>0</v>
      </c>
      <c r="CN84" s="835">
        <f t="shared" si="132"/>
        <v>0</v>
      </c>
      <c r="CO84" s="835">
        <f t="shared" si="133"/>
        <v>0</v>
      </c>
      <c r="CP84" s="840"/>
      <c r="CQ84" s="835">
        <f t="shared" si="134"/>
        <v>0</v>
      </c>
      <c r="CR84" s="835">
        <f t="shared" si="135"/>
        <v>0</v>
      </c>
      <c r="CS84" s="835">
        <f t="shared" si="136"/>
        <v>0</v>
      </c>
      <c r="CT84" s="835">
        <f t="shared" si="137"/>
        <v>0</v>
      </c>
      <c r="CU84" s="842"/>
      <c r="CV84" s="835">
        <f t="shared" si="138"/>
        <v>0</v>
      </c>
      <c r="CW84" s="835">
        <f t="shared" si="138"/>
        <v>15.554763725999999</v>
      </c>
      <c r="CX84" s="835">
        <f t="shared" si="138"/>
        <v>38.970384076999999</v>
      </c>
      <c r="CY84" s="835">
        <f t="shared" si="138"/>
        <v>38.989606172999999</v>
      </c>
      <c r="CZ84" s="842"/>
      <c r="DA84" s="835">
        <f>'1.BS (VND)'!CV58/'1.BC_Ra Soat (ty) '!$C$6</f>
        <v>0</v>
      </c>
      <c r="DB84" s="835">
        <f>'1.BS (VND)'!CW58/'1.BC_Ra Soat (ty) '!$C$6</f>
        <v>0</v>
      </c>
      <c r="DC84" s="835">
        <f>'1.BS (VND)'!CX58/'1.BC_Ra Soat (ty) '!$C$6</f>
        <v>0</v>
      </c>
      <c r="DD84" s="835">
        <f>'1.BS (VND)'!CY58/'1.BC_Ra Soat (ty) '!$C$6</f>
        <v>0</v>
      </c>
      <c r="DE84" s="842"/>
      <c r="DF84" s="835">
        <f t="shared" si="110"/>
        <v>0</v>
      </c>
      <c r="DG84" s="835">
        <f t="shared" si="109"/>
        <v>15.554763725999999</v>
      </c>
      <c r="DH84" s="835">
        <f t="shared" si="109"/>
        <v>38.970384076999999</v>
      </c>
      <c r="DI84" s="835">
        <f t="shared" si="109"/>
        <v>38.989606172999999</v>
      </c>
      <c r="DJ84" s="444"/>
    </row>
    <row r="85" spans="1:114" s="447" customFormat="1" ht="15.75" x14ac:dyDescent="0.25">
      <c r="A85" s="447">
        <f t="shared" si="111"/>
        <v>1</v>
      </c>
      <c r="C85" s="450" t="s">
        <v>383</v>
      </c>
      <c r="D85" s="451" t="s">
        <v>384</v>
      </c>
      <c r="E85" s="849">
        <f>'1.BS (VND)'!E59/$C$6</f>
        <v>0</v>
      </c>
      <c r="F85" s="849">
        <f>'1.BS (VND)'!F59/$C$6</f>
        <v>0</v>
      </c>
      <c r="G85" s="849">
        <f>'1.BS (VND)'!G59/$C$6</f>
        <v>0</v>
      </c>
      <c r="H85" s="849">
        <f>'1.BS (VND)'!H59/$C$6</f>
        <v>0</v>
      </c>
      <c r="I85" s="968"/>
      <c r="J85" s="849">
        <f>'1.BS (VND)'!J59/$C$6</f>
        <v>0</v>
      </c>
      <c r="K85" s="849">
        <f>'1.BS (VND)'!K59/$C$6</f>
        <v>0</v>
      </c>
      <c r="L85" s="849">
        <f>'1.BS (VND)'!L59/$C$6</f>
        <v>0</v>
      </c>
      <c r="M85" s="849">
        <f>'1.BS (VND)'!M59/$C$6</f>
        <v>0</v>
      </c>
      <c r="N85" s="850"/>
      <c r="O85" s="849">
        <f>'1.BS (VND)'!O59/$C$6</f>
        <v>0</v>
      </c>
      <c r="P85" s="849">
        <f>'1.BS (VND)'!P59/$C$6</f>
        <v>0</v>
      </c>
      <c r="Q85" s="849">
        <f>'1.BS (VND)'!Q59/$C$6</f>
        <v>0</v>
      </c>
      <c r="R85" s="849">
        <f>'1.BS (VND)'!R59/$C$6</f>
        <v>0</v>
      </c>
      <c r="S85" s="850"/>
      <c r="T85" s="849">
        <f>'1.BS (VND)'!T59/$C$6</f>
        <v>0</v>
      </c>
      <c r="U85" s="849">
        <f>'1.BS (VND)'!U59/$C$6</f>
        <v>0</v>
      </c>
      <c r="V85" s="849">
        <f>'1.BS (VND)'!V59/$C$6</f>
        <v>0</v>
      </c>
      <c r="W85" s="849">
        <f>'1.BS (VND)'!W59/$C$6</f>
        <v>0</v>
      </c>
      <c r="X85" s="850"/>
      <c r="Y85" s="849">
        <f>'1.BS (VND)'!Y59/$C$6</f>
        <v>0</v>
      </c>
      <c r="Z85" s="849">
        <f>'1.BS (VND)'!Z59/$C$6</f>
        <v>0</v>
      </c>
      <c r="AA85" s="849">
        <f>'1.BS (VND)'!AA59/$C$6</f>
        <v>0</v>
      </c>
      <c r="AB85" s="849">
        <f>'1.BS (VND)'!AB59/$C$6</f>
        <v>0</v>
      </c>
      <c r="AC85" s="850"/>
      <c r="AD85" s="849">
        <f>'1.BS (VND)'!AD59/$C$6</f>
        <v>0</v>
      </c>
      <c r="AE85" s="849">
        <f>'1.BS (VND)'!AE59/$C$6</f>
        <v>0</v>
      </c>
      <c r="AF85" s="849">
        <f>'1.BS (VND)'!AF59/$C$6</f>
        <v>0</v>
      </c>
      <c r="AG85" s="849">
        <f>'1.BS (VND)'!AG59/$C$6</f>
        <v>0</v>
      </c>
      <c r="AH85" s="851"/>
      <c r="AI85" s="849">
        <f t="shared" si="112"/>
        <v>0</v>
      </c>
      <c r="AJ85" s="849">
        <f t="shared" si="112"/>
        <v>0</v>
      </c>
      <c r="AK85" s="849">
        <f t="shared" si="112"/>
        <v>0</v>
      </c>
      <c r="AL85" s="849">
        <f t="shared" si="83"/>
        <v>0</v>
      </c>
      <c r="AM85" s="852"/>
      <c r="AN85" s="849">
        <f>'1.BS (VND)'!AI59/$C$6</f>
        <v>0</v>
      </c>
      <c r="AO85" s="849">
        <f>'1.BS (VND)'!AJ59/$C$6</f>
        <v>0</v>
      </c>
      <c r="AP85" s="849">
        <f>'1.BS (VND)'!AK59/$C$6</f>
        <v>-3.400420923</v>
      </c>
      <c r="AQ85" s="849">
        <f>'1.BS (VND)'!AL59/$C$6</f>
        <v>-3.400420923</v>
      </c>
      <c r="AR85" s="968"/>
      <c r="AS85" s="849">
        <f>'1.BS (VND)'!AN59/$C$6</f>
        <v>0</v>
      </c>
      <c r="AT85" s="849">
        <f>'1.BS (VND)'!AO59/$C$6</f>
        <v>0</v>
      </c>
      <c r="AU85" s="849">
        <f>'1.BS (VND)'!AP59/$C$6</f>
        <v>0</v>
      </c>
      <c r="AV85" s="849">
        <f>'1.BS (VND)'!AQ59/$C$6</f>
        <v>-0.74154054899999999</v>
      </c>
      <c r="AW85" s="850"/>
      <c r="AX85" s="849">
        <f>'1.BS (VND)'!AS59/$C$6</f>
        <v>0</v>
      </c>
      <c r="AY85" s="849">
        <f>'1.BS (VND)'!AT59/$C$6</f>
        <v>0</v>
      </c>
      <c r="AZ85" s="849">
        <f>'1.BS (VND)'!AU59/$C$6</f>
        <v>-0.84688822900000005</v>
      </c>
      <c r="BA85" s="849">
        <f>'1.BS (VND)'!AV59/$C$6</f>
        <v>-0.84688822900000005</v>
      </c>
      <c r="BB85" s="850"/>
      <c r="BC85" s="849">
        <f>'1.BS (VND)'!AX59/$C$6</f>
        <v>0</v>
      </c>
      <c r="BD85" s="849">
        <f>'1.BS (VND)'!AY59/$C$6</f>
        <v>0</v>
      </c>
      <c r="BE85" s="849">
        <f>'1.BS (VND)'!AZ59/$C$6</f>
        <v>-1.2623553489999999</v>
      </c>
      <c r="BF85" s="849">
        <f>'1.BS (VND)'!BA59/$C$6</f>
        <v>-1.2623553489999999</v>
      </c>
      <c r="BG85" s="850"/>
      <c r="BH85" s="849">
        <f>'1.BS (VND)'!BC59/$C$6</f>
        <v>0</v>
      </c>
      <c r="BI85" s="849">
        <f>'1.BS (VND)'!BD59/$C$6</f>
        <v>0</v>
      </c>
      <c r="BJ85" s="849">
        <f>'1.BS (VND)'!BE59/$C$6</f>
        <v>0</v>
      </c>
      <c r="BK85" s="849">
        <f>'1.BS (VND)'!BF59/$C$6</f>
        <v>0</v>
      </c>
      <c r="BL85" s="850"/>
      <c r="BM85" s="849">
        <f>'1.BS (VND)'!BH59/$C$6</f>
        <v>0</v>
      </c>
      <c r="BN85" s="849">
        <f>'1.BS (VND)'!BI59/$C$6</f>
        <v>0</v>
      </c>
      <c r="BO85" s="849">
        <f>'1.BS (VND)'!BJ59/$C$6</f>
        <v>0</v>
      </c>
      <c r="BP85" s="849">
        <f>'1.BS (VND)'!BK59/$C$6</f>
        <v>0</v>
      </c>
      <c r="BQ85" s="851"/>
      <c r="BR85" s="849">
        <f t="shared" si="114"/>
        <v>0</v>
      </c>
      <c r="BS85" s="849">
        <f t="shared" si="115"/>
        <v>0</v>
      </c>
      <c r="BT85" s="849">
        <f t="shared" si="116"/>
        <v>-3.400420923</v>
      </c>
      <c r="BU85" s="849">
        <f t="shared" si="117"/>
        <v>-3.400420923</v>
      </c>
      <c r="BV85" s="968"/>
      <c r="BW85" s="849">
        <f t="shared" si="118"/>
        <v>0</v>
      </c>
      <c r="BX85" s="849">
        <f t="shared" si="119"/>
        <v>0</v>
      </c>
      <c r="BY85" s="849">
        <f t="shared" si="120"/>
        <v>0</v>
      </c>
      <c r="BZ85" s="849">
        <f t="shared" si="121"/>
        <v>-0.74154054899999999</v>
      </c>
      <c r="CA85" s="850"/>
      <c r="CB85" s="849">
        <f t="shared" si="122"/>
        <v>0</v>
      </c>
      <c r="CC85" s="849">
        <f t="shared" si="123"/>
        <v>0</v>
      </c>
      <c r="CD85" s="849">
        <f t="shared" si="124"/>
        <v>-0.84688822900000005</v>
      </c>
      <c r="CE85" s="849">
        <f t="shared" si="125"/>
        <v>-0.84688822900000005</v>
      </c>
      <c r="CF85" s="850"/>
      <c r="CG85" s="849">
        <f t="shared" si="126"/>
        <v>0</v>
      </c>
      <c r="CH85" s="849">
        <f t="shared" si="127"/>
        <v>0</v>
      </c>
      <c r="CI85" s="849">
        <f t="shared" si="128"/>
        <v>-1.2623553489999999</v>
      </c>
      <c r="CJ85" s="849">
        <f t="shared" si="129"/>
        <v>-1.2623553489999999</v>
      </c>
      <c r="CK85" s="850"/>
      <c r="CL85" s="849">
        <f t="shared" si="130"/>
        <v>0</v>
      </c>
      <c r="CM85" s="849">
        <f t="shared" si="131"/>
        <v>0</v>
      </c>
      <c r="CN85" s="849">
        <f t="shared" si="132"/>
        <v>0</v>
      </c>
      <c r="CO85" s="849">
        <f t="shared" si="133"/>
        <v>0</v>
      </c>
      <c r="CP85" s="850"/>
      <c r="CQ85" s="849">
        <f t="shared" si="134"/>
        <v>0</v>
      </c>
      <c r="CR85" s="849">
        <f t="shared" si="135"/>
        <v>0</v>
      </c>
      <c r="CS85" s="849">
        <f t="shared" si="136"/>
        <v>0</v>
      </c>
      <c r="CT85" s="849">
        <f t="shared" si="137"/>
        <v>0</v>
      </c>
      <c r="CU85" s="852"/>
      <c r="CV85" s="849">
        <f t="shared" si="138"/>
        <v>0</v>
      </c>
      <c r="CW85" s="849">
        <f t="shared" si="138"/>
        <v>0</v>
      </c>
      <c r="CX85" s="849">
        <f t="shared" si="138"/>
        <v>-5.5096645009999996</v>
      </c>
      <c r="CY85" s="849">
        <f t="shared" si="138"/>
        <v>-6.2512050500000003</v>
      </c>
      <c r="CZ85" s="852"/>
      <c r="DA85" s="849">
        <f>'1.BS (VND)'!CV59/'1.BC_Ra Soat (ty) '!$C$6</f>
        <v>0</v>
      </c>
      <c r="DB85" s="849">
        <f>'1.BS (VND)'!CW59/'1.BC_Ra Soat (ty) '!$C$6</f>
        <v>0</v>
      </c>
      <c r="DC85" s="849">
        <f>'1.BS (VND)'!CX59/'1.BC_Ra Soat (ty) '!$C$6</f>
        <v>0</v>
      </c>
      <c r="DD85" s="849">
        <f>'1.BS (VND)'!CY59/'1.BC_Ra Soat (ty) '!$C$6</f>
        <v>0</v>
      </c>
      <c r="DE85" s="852"/>
      <c r="DF85" s="849">
        <f t="shared" si="110"/>
        <v>0</v>
      </c>
      <c r="DG85" s="849">
        <f t="shared" si="109"/>
        <v>0</v>
      </c>
      <c r="DH85" s="849">
        <f t="shared" si="109"/>
        <v>-5.5096645009999996</v>
      </c>
      <c r="DI85" s="849">
        <f t="shared" si="109"/>
        <v>-6.2512050500000003</v>
      </c>
      <c r="DJ85" s="444"/>
    </row>
    <row r="86" spans="1:114" s="441" customFormat="1" ht="15.75" hidden="1" x14ac:dyDescent="0.25">
      <c r="A86" s="447" t="str">
        <f t="shared" si="111"/>
        <v>hide</v>
      </c>
      <c r="C86" s="452" t="s">
        <v>385</v>
      </c>
      <c r="D86" s="453" t="s">
        <v>386</v>
      </c>
      <c r="E86" s="835">
        <f>'1.BS (VND)'!E60/$C$6</f>
        <v>0</v>
      </c>
      <c r="F86" s="835">
        <f>'1.BS (VND)'!F60/$C$6</f>
        <v>0</v>
      </c>
      <c r="G86" s="835">
        <f>'1.BS (VND)'!G60/$C$6</f>
        <v>0</v>
      </c>
      <c r="H86" s="835">
        <f>'1.BS (VND)'!H60/$C$6</f>
        <v>0</v>
      </c>
      <c r="I86" s="842"/>
      <c r="J86" s="835">
        <f>'1.BS (VND)'!J60/$C$6</f>
        <v>0</v>
      </c>
      <c r="K86" s="835">
        <f>'1.BS (VND)'!K60/$C$6</f>
        <v>0</v>
      </c>
      <c r="L86" s="835">
        <f>'1.BS (VND)'!L60/$C$6</f>
        <v>0</v>
      </c>
      <c r="M86" s="835">
        <f>'1.BS (VND)'!M60/$C$6</f>
        <v>0</v>
      </c>
      <c r="N86" s="840"/>
      <c r="O86" s="835">
        <f>'1.BS (VND)'!O60/$C$6</f>
        <v>0</v>
      </c>
      <c r="P86" s="835">
        <f>'1.BS (VND)'!P60/$C$6</f>
        <v>0</v>
      </c>
      <c r="Q86" s="835">
        <f>'1.BS (VND)'!Q60/$C$6</f>
        <v>0</v>
      </c>
      <c r="R86" s="835">
        <f>'1.BS (VND)'!R60/$C$6</f>
        <v>0</v>
      </c>
      <c r="S86" s="840"/>
      <c r="T86" s="835">
        <f>'1.BS (VND)'!T60/$C$6</f>
        <v>0</v>
      </c>
      <c r="U86" s="835">
        <f>'1.BS (VND)'!U60/$C$6</f>
        <v>0</v>
      </c>
      <c r="V86" s="835">
        <f>'1.BS (VND)'!V60/$C$6</f>
        <v>0</v>
      </c>
      <c r="W86" s="835">
        <f>'1.BS (VND)'!W60/$C$6</f>
        <v>0</v>
      </c>
      <c r="X86" s="840"/>
      <c r="Y86" s="835">
        <f>'1.BS (VND)'!Y60/$C$6</f>
        <v>0</v>
      </c>
      <c r="Z86" s="835">
        <f>'1.BS (VND)'!Z60/$C$6</f>
        <v>0</v>
      </c>
      <c r="AA86" s="835">
        <f>'1.BS (VND)'!AA60/$C$6</f>
        <v>0</v>
      </c>
      <c r="AB86" s="835">
        <f>'1.BS (VND)'!AB60/$C$6</f>
        <v>0</v>
      </c>
      <c r="AC86" s="840"/>
      <c r="AD86" s="835">
        <f>'1.BS (VND)'!AD60/$C$6</f>
        <v>0</v>
      </c>
      <c r="AE86" s="835">
        <f>'1.BS (VND)'!AE60/$C$6</f>
        <v>0</v>
      </c>
      <c r="AF86" s="835">
        <f>'1.BS (VND)'!AF60/$C$6</f>
        <v>0</v>
      </c>
      <c r="AG86" s="835">
        <f>'1.BS (VND)'!AG60/$C$6</f>
        <v>0</v>
      </c>
      <c r="AH86" s="841"/>
      <c r="AI86" s="835">
        <f t="shared" si="112"/>
        <v>0</v>
      </c>
      <c r="AJ86" s="835">
        <f t="shared" si="112"/>
        <v>0</v>
      </c>
      <c r="AK86" s="835">
        <f t="shared" si="112"/>
        <v>0</v>
      </c>
      <c r="AL86" s="835">
        <f t="shared" si="83"/>
        <v>0</v>
      </c>
      <c r="AM86" s="842"/>
      <c r="AN86" s="835">
        <f>'1.BS (VND)'!AI60/$C$6</f>
        <v>0</v>
      </c>
      <c r="AO86" s="835">
        <f>'1.BS (VND)'!AJ60/$C$6</f>
        <v>0</v>
      </c>
      <c r="AP86" s="835">
        <f>'1.BS (VND)'!AK60/$C$6</f>
        <v>0</v>
      </c>
      <c r="AQ86" s="835">
        <f>'1.BS (VND)'!AL60/$C$6</f>
        <v>0</v>
      </c>
      <c r="AR86" s="842"/>
      <c r="AS86" s="835">
        <f>'1.BS (VND)'!AN60/$C$6</f>
        <v>0</v>
      </c>
      <c r="AT86" s="835">
        <f>'1.BS (VND)'!AO60/$C$6</f>
        <v>0</v>
      </c>
      <c r="AU86" s="835">
        <f>'1.BS (VND)'!AP60/$C$6</f>
        <v>0</v>
      </c>
      <c r="AV86" s="835">
        <f>'1.BS (VND)'!AQ60/$C$6</f>
        <v>0</v>
      </c>
      <c r="AW86" s="840"/>
      <c r="AX86" s="835">
        <f>'1.BS (VND)'!AS60/$C$6</f>
        <v>0</v>
      </c>
      <c r="AY86" s="835">
        <f>'1.BS (VND)'!AT60/$C$6</f>
        <v>0</v>
      </c>
      <c r="AZ86" s="835">
        <f>'1.BS (VND)'!AU60/$C$6</f>
        <v>0</v>
      </c>
      <c r="BA86" s="835">
        <f>'1.BS (VND)'!AV60/$C$6</f>
        <v>0</v>
      </c>
      <c r="BB86" s="840"/>
      <c r="BC86" s="835">
        <f>'1.BS (VND)'!AX60/$C$6</f>
        <v>0</v>
      </c>
      <c r="BD86" s="835">
        <f>'1.BS (VND)'!AY60/$C$6</f>
        <v>0</v>
      </c>
      <c r="BE86" s="835">
        <f>'1.BS (VND)'!AZ60/$C$6</f>
        <v>0</v>
      </c>
      <c r="BF86" s="835">
        <f>'1.BS (VND)'!BA60/$C$6</f>
        <v>0</v>
      </c>
      <c r="BG86" s="840"/>
      <c r="BH86" s="835">
        <f>'1.BS (VND)'!BC60/$C$6</f>
        <v>0</v>
      </c>
      <c r="BI86" s="835">
        <f>'1.BS (VND)'!BD60/$C$6</f>
        <v>0</v>
      </c>
      <c r="BJ86" s="835">
        <f>'1.BS (VND)'!BE60/$C$6</f>
        <v>0</v>
      </c>
      <c r="BK86" s="835">
        <f>'1.BS (VND)'!BF60/$C$6</f>
        <v>0</v>
      </c>
      <c r="BL86" s="840"/>
      <c r="BM86" s="835">
        <f>'1.BS (VND)'!BH60/$C$6</f>
        <v>0</v>
      </c>
      <c r="BN86" s="835">
        <f>'1.BS (VND)'!BI60/$C$6</f>
        <v>0</v>
      </c>
      <c r="BO86" s="835">
        <f>'1.BS (VND)'!BJ60/$C$6</f>
        <v>0</v>
      </c>
      <c r="BP86" s="835">
        <f>'1.BS (VND)'!BK60/$C$6</f>
        <v>0</v>
      </c>
      <c r="BQ86" s="841"/>
      <c r="BR86" s="835">
        <f t="shared" si="114"/>
        <v>0</v>
      </c>
      <c r="BS86" s="835">
        <f t="shared" si="115"/>
        <v>0</v>
      </c>
      <c r="BT86" s="835">
        <f t="shared" si="116"/>
        <v>0</v>
      </c>
      <c r="BU86" s="835">
        <f t="shared" si="117"/>
        <v>0</v>
      </c>
      <c r="BV86" s="842"/>
      <c r="BW86" s="835">
        <f t="shared" si="118"/>
        <v>0</v>
      </c>
      <c r="BX86" s="835">
        <f t="shared" si="119"/>
        <v>0</v>
      </c>
      <c r="BY86" s="835">
        <f t="shared" si="120"/>
        <v>0</v>
      </c>
      <c r="BZ86" s="835">
        <f t="shared" si="121"/>
        <v>0</v>
      </c>
      <c r="CA86" s="840"/>
      <c r="CB86" s="835">
        <f t="shared" si="122"/>
        <v>0</v>
      </c>
      <c r="CC86" s="835">
        <f t="shared" si="123"/>
        <v>0</v>
      </c>
      <c r="CD86" s="835">
        <f t="shared" si="124"/>
        <v>0</v>
      </c>
      <c r="CE86" s="835">
        <f t="shared" si="125"/>
        <v>0</v>
      </c>
      <c r="CF86" s="840"/>
      <c r="CG86" s="835">
        <f t="shared" si="126"/>
        <v>0</v>
      </c>
      <c r="CH86" s="835">
        <f t="shared" si="127"/>
        <v>0</v>
      </c>
      <c r="CI86" s="835">
        <f t="shared" si="128"/>
        <v>0</v>
      </c>
      <c r="CJ86" s="835">
        <f t="shared" si="129"/>
        <v>0</v>
      </c>
      <c r="CK86" s="840"/>
      <c r="CL86" s="835">
        <f t="shared" si="130"/>
        <v>0</v>
      </c>
      <c r="CM86" s="835">
        <f t="shared" si="131"/>
        <v>0</v>
      </c>
      <c r="CN86" s="835">
        <f t="shared" si="132"/>
        <v>0</v>
      </c>
      <c r="CO86" s="835">
        <f t="shared" si="133"/>
        <v>0</v>
      </c>
      <c r="CP86" s="840"/>
      <c r="CQ86" s="835">
        <f t="shared" si="134"/>
        <v>0</v>
      </c>
      <c r="CR86" s="835">
        <f t="shared" si="135"/>
        <v>0</v>
      </c>
      <c r="CS86" s="835">
        <f t="shared" si="136"/>
        <v>0</v>
      </c>
      <c r="CT86" s="835">
        <f t="shared" si="137"/>
        <v>0</v>
      </c>
      <c r="CU86" s="842"/>
      <c r="CV86" s="835">
        <f t="shared" si="138"/>
        <v>0</v>
      </c>
      <c r="CW86" s="835">
        <f t="shared" si="138"/>
        <v>0</v>
      </c>
      <c r="CX86" s="835">
        <f t="shared" si="138"/>
        <v>0</v>
      </c>
      <c r="CY86" s="835">
        <f t="shared" si="138"/>
        <v>0</v>
      </c>
      <c r="CZ86" s="842"/>
      <c r="DA86" s="835">
        <f>'1.BS (VND)'!CV60/'1.BC_Ra Soat (ty) '!$C$6</f>
        <v>0</v>
      </c>
      <c r="DB86" s="835">
        <f>'1.BS (VND)'!CW60/'1.BC_Ra Soat (ty) '!$C$6</f>
        <v>0</v>
      </c>
      <c r="DC86" s="835">
        <f>'1.BS (VND)'!CX60/'1.BC_Ra Soat (ty) '!$C$6</f>
        <v>0</v>
      </c>
      <c r="DD86" s="835">
        <f>'1.BS (VND)'!CY60/'1.BC_Ra Soat (ty) '!$C$6</f>
        <v>0</v>
      </c>
      <c r="DE86" s="842"/>
      <c r="DF86" s="835">
        <f t="shared" si="110"/>
        <v>0</v>
      </c>
      <c r="DG86" s="835">
        <f t="shared" si="109"/>
        <v>0</v>
      </c>
      <c r="DH86" s="835">
        <f t="shared" si="109"/>
        <v>0</v>
      </c>
      <c r="DI86" s="835">
        <f t="shared" si="109"/>
        <v>0</v>
      </c>
    </row>
    <row r="87" spans="1:114" s="441" customFormat="1" ht="15.75" hidden="1" x14ac:dyDescent="0.25">
      <c r="A87" s="447" t="str">
        <f t="shared" si="111"/>
        <v>hide</v>
      </c>
      <c r="C87" s="452" t="s">
        <v>387</v>
      </c>
      <c r="D87" s="453" t="s">
        <v>388</v>
      </c>
      <c r="E87" s="835">
        <f>'1.BS (VND)'!E61/$C$6</f>
        <v>0</v>
      </c>
      <c r="F87" s="835">
        <f>'1.BS (VND)'!F61/$C$6</f>
        <v>0</v>
      </c>
      <c r="G87" s="835">
        <f>'1.BS (VND)'!G61/$C$6</f>
        <v>0</v>
      </c>
      <c r="H87" s="835">
        <f>'1.BS (VND)'!H61/$C$6</f>
        <v>0</v>
      </c>
      <c r="I87" s="842"/>
      <c r="J87" s="835">
        <f>'1.BS (VND)'!J61/$C$6</f>
        <v>0</v>
      </c>
      <c r="K87" s="835">
        <f>'1.BS (VND)'!K61/$C$6</f>
        <v>0</v>
      </c>
      <c r="L87" s="835">
        <f>'1.BS (VND)'!L61/$C$6</f>
        <v>0</v>
      </c>
      <c r="M87" s="835">
        <f>'1.BS (VND)'!M61/$C$6</f>
        <v>0</v>
      </c>
      <c r="N87" s="840"/>
      <c r="O87" s="835">
        <f>'1.BS (VND)'!O61/$C$6</f>
        <v>0</v>
      </c>
      <c r="P87" s="835">
        <f>'1.BS (VND)'!P61/$C$6</f>
        <v>0</v>
      </c>
      <c r="Q87" s="835">
        <f>'1.BS (VND)'!Q61/$C$6</f>
        <v>0</v>
      </c>
      <c r="R87" s="835">
        <f>'1.BS (VND)'!R61/$C$6</f>
        <v>0</v>
      </c>
      <c r="S87" s="840"/>
      <c r="T87" s="835">
        <f>'1.BS (VND)'!T61/$C$6</f>
        <v>0</v>
      </c>
      <c r="U87" s="835">
        <f>'1.BS (VND)'!U61/$C$6</f>
        <v>0</v>
      </c>
      <c r="V87" s="835">
        <f>'1.BS (VND)'!V61/$C$6</f>
        <v>0</v>
      </c>
      <c r="W87" s="835">
        <f>'1.BS (VND)'!W61/$C$6</f>
        <v>0</v>
      </c>
      <c r="X87" s="840"/>
      <c r="Y87" s="835">
        <f>'1.BS (VND)'!Y61/$C$6</f>
        <v>0</v>
      </c>
      <c r="Z87" s="835">
        <f>'1.BS (VND)'!Z61/$C$6</f>
        <v>0</v>
      </c>
      <c r="AA87" s="835">
        <f>'1.BS (VND)'!AA61/$C$6</f>
        <v>0</v>
      </c>
      <c r="AB87" s="835">
        <f>'1.BS (VND)'!AB61/$C$6</f>
        <v>0</v>
      </c>
      <c r="AC87" s="840"/>
      <c r="AD87" s="835">
        <f>'1.BS (VND)'!AD61/$C$6</f>
        <v>0</v>
      </c>
      <c r="AE87" s="835">
        <f>'1.BS (VND)'!AE61/$C$6</f>
        <v>0</v>
      </c>
      <c r="AF87" s="835">
        <f>'1.BS (VND)'!AF61/$C$6</f>
        <v>0</v>
      </c>
      <c r="AG87" s="835">
        <f>'1.BS (VND)'!AG61/$C$6</f>
        <v>0</v>
      </c>
      <c r="AH87" s="841"/>
      <c r="AI87" s="835">
        <f t="shared" si="112"/>
        <v>0</v>
      </c>
      <c r="AJ87" s="835">
        <f t="shared" si="112"/>
        <v>0</v>
      </c>
      <c r="AK87" s="835">
        <f t="shared" si="112"/>
        <v>0</v>
      </c>
      <c r="AL87" s="835">
        <f t="shared" si="83"/>
        <v>0</v>
      </c>
      <c r="AM87" s="842"/>
      <c r="AN87" s="835">
        <f>'1.BS (VND)'!AI61/$C$6</f>
        <v>0</v>
      </c>
      <c r="AO87" s="835">
        <f>'1.BS (VND)'!AJ61/$C$6</f>
        <v>0</v>
      </c>
      <c r="AP87" s="835">
        <f>'1.BS (VND)'!AK61/$C$6</f>
        <v>0</v>
      </c>
      <c r="AQ87" s="835">
        <f>'1.BS (VND)'!AL61/$C$6</f>
        <v>0</v>
      </c>
      <c r="AR87" s="842"/>
      <c r="AS87" s="835">
        <f>'1.BS (VND)'!AN61/$C$6</f>
        <v>0</v>
      </c>
      <c r="AT87" s="835">
        <f>'1.BS (VND)'!AO61/$C$6</f>
        <v>0</v>
      </c>
      <c r="AU87" s="835">
        <f>'1.BS (VND)'!AP61/$C$6</f>
        <v>0</v>
      </c>
      <c r="AV87" s="835">
        <f>'1.BS (VND)'!AQ61/$C$6</f>
        <v>0</v>
      </c>
      <c r="AW87" s="840"/>
      <c r="AX87" s="835">
        <f>'1.BS (VND)'!AS61/$C$6</f>
        <v>0</v>
      </c>
      <c r="AY87" s="835">
        <f>'1.BS (VND)'!AT61/$C$6</f>
        <v>0</v>
      </c>
      <c r="AZ87" s="835">
        <f>'1.BS (VND)'!AU61/$C$6</f>
        <v>0</v>
      </c>
      <c r="BA87" s="835">
        <f>'1.BS (VND)'!AV61/$C$6</f>
        <v>0</v>
      </c>
      <c r="BB87" s="840"/>
      <c r="BC87" s="835">
        <f>'1.BS (VND)'!AX61/$C$6</f>
        <v>0</v>
      </c>
      <c r="BD87" s="835">
        <f>'1.BS (VND)'!AY61/$C$6</f>
        <v>0</v>
      </c>
      <c r="BE87" s="835">
        <f>'1.BS (VND)'!AZ61/$C$6</f>
        <v>0</v>
      </c>
      <c r="BF87" s="835">
        <f>'1.BS (VND)'!BA61/$C$6</f>
        <v>0</v>
      </c>
      <c r="BG87" s="840"/>
      <c r="BH87" s="835">
        <f>'1.BS (VND)'!BC61/$C$6</f>
        <v>0</v>
      </c>
      <c r="BI87" s="835">
        <f>'1.BS (VND)'!BD61/$C$6</f>
        <v>0</v>
      </c>
      <c r="BJ87" s="835">
        <f>'1.BS (VND)'!BE61/$C$6</f>
        <v>0</v>
      </c>
      <c r="BK87" s="835">
        <f>'1.BS (VND)'!BF61/$C$6</f>
        <v>0</v>
      </c>
      <c r="BL87" s="840"/>
      <c r="BM87" s="835">
        <f>'1.BS (VND)'!BH61/$C$6</f>
        <v>0</v>
      </c>
      <c r="BN87" s="835">
        <f>'1.BS (VND)'!BI61/$C$6</f>
        <v>0</v>
      </c>
      <c r="BO87" s="835">
        <f>'1.BS (VND)'!BJ61/$C$6</f>
        <v>0</v>
      </c>
      <c r="BP87" s="835">
        <f>'1.BS (VND)'!BK61/$C$6</f>
        <v>0</v>
      </c>
      <c r="BQ87" s="841"/>
      <c r="BR87" s="835">
        <f t="shared" si="114"/>
        <v>0</v>
      </c>
      <c r="BS87" s="835">
        <f t="shared" si="115"/>
        <v>0</v>
      </c>
      <c r="BT87" s="835">
        <f t="shared" si="116"/>
        <v>0</v>
      </c>
      <c r="BU87" s="835">
        <f t="shared" si="117"/>
        <v>0</v>
      </c>
      <c r="BV87" s="842"/>
      <c r="BW87" s="835">
        <f t="shared" si="118"/>
        <v>0</v>
      </c>
      <c r="BX87" s="835">
        <f t="shared" si="119"/>
        <v>0</v>
      </c>
      <c r="BY87" s="835">
        <f t="shared" si="120"/>
        <v>0</v>
      </c>
      <c r="BZ87" s="835">
        <f t="shared" si="121"/>
        <v>0</v>
      </c>
      <c r="CA87" s="840"/>
      <c r="CB87" s="835">
        <f t="shared" si="122"/>
        <v>0</v>
      </c>
      <c r="CC87" s="835">
        <f t="shared" si="123"/>
        <v>0</v>
      </c>
      <c r="CD87" s="835">
        <f t="shared" si="124"/>
        <v>0</v>
      </c>
      <c r="CE87" s="835">
        <f t="shared" si="125"/>
        <v>0</v>
      </c>
      <c r="CF87" s="840"/>
      <c r="CG87" s="835">
        <f t="shared" si="126"/>
        <v>0</v>
      </c>
      <c r="CH87" s="835">
        <f t="shared" si="127"/>
        <v>0</v>
      </c>
      <c r="CI87" s="835">
        <f t="shared" si="128"/>
        <v>0</v>
      </c>
      <c r="CJ87" s="835">
        <f t="shared" si="129"/>
        <v>0</v>
      </c>
      <c r="CK87" s="840"/>
      <c r="CL87" s="835">
        <f t="shared" si="130"/>
        <v>0</v>
      </c>
      <c r="CM87" s="835">
        <f t="shared" si="131"/>
        <v>0</v>
      </c>
      <c r="CN87" s="835">
        <f t="shared" si="132"/>
        <v>0</v>
      </c>
      <c r="CO87" s="835">
        <f t="shared" si="133"/>
        <v>0</v>
      </c>
      <c r="CP87" s="840"/>
      <c r="CQ87" s="835">
        <f t="shared" si="134"/>
        <v>0</v>
      </c>
      <c r="CR87" s="835">
        <f t="shared" si="135"/>
        <v>0</v>
      </c>
      <c r="CS87" s="835">
        <f t="shared" si="136"/>
        <v>0</v>
      </c>
      <c r="CT87" s="835">
        <f t="shared" si="137"/>
        <v>0</v>
      </c>
      <c r="CU87" s="842"/>
      <c r="CV87" s="835">
        <f t="shared" si="138"/>
        <v>0</v>
      </c>
      <c r="CW87" s="835">
        <f t="shared" si="138"/>
        <v>0</v>
      </c>
      <c r="CX87" s="835">
        <f t="shared" si="138"/>
        <v>0</v>
      </c>
      <c r="CY87" s="835">
        <f t="shared" si="138"/>
        <v>0</v>
      </c>
      <c r="CZ87" s="842"/>
      <c r="DA87" s="835">
        <f>'1.BS (VND)'!CV61/'1.BC_Ra Soat (ty) '!$C$6</f>
        <v>0</v>
      </c>
      <c r="DB87" s="835">
        <f>'1.BS (VND)'!CW61/'1.BC_Ra Soat (ty) '!$C$6</f>
        <v>0</v>
      </c>
      <c r="DC87" s="835">
        <f>'1.BS (VND)'!CX61/'1.BC_Ra Soat (ty) '!$C$6</f>
        <v>0</v>
      </c>
      <c r="DD87" s="835">
        <f>'1.BS (VND)'!CY61/'1.BC_Ra Soat (ty) '!$C$6</f>
        <v>0</v>
      </c>
      <c r="DE87" s="842"/>
      <c r="DF87" s="835">
        <f t="shared" si="110"/>
        <v>0</v>
      </c>
      <c r="DG87" s="835">
        <f t="shared" si="109"/>
        <v>0</v>
      </c>
      <c r="DH87" s="835">
        <f t="shared" si="109"/>
        <v>0</v>
      </c>
      <c r="DI87" s="835">
        <f t="shared" si="109"/>
        <v>0</v>
      </c>
    </row>
    <row r="88" spans="1:114" s="441" customFormat="1" ht="15.75" hidden="1" x14ac:dyDescent="0.25">
      <c r="A88" s="447" t="str">
        <f t="shared" si="111"/>
        <v>hide</v>
      </c>
      <c r="C88" s="452" t="s">
        <v>389</v>
      </c>
      <c r="D88" s="453" t="s">
        <v>390</v>
      </c>
      <c r="E88" s="835">
        <f>'1.BS (VND)'!E62/$C$6</f>
        <v>0</v>
      </c>
      <c r="F88" s="835">
        <f>'1.BS (VND)'!F62/$C$6</f>
        <v>0</v>
      </c>
      <c r="G88" s="835">
        <f>'1.BS (VND)'!G62/$C$6</f>
        <v>0</v>
      </c>
      <c r="H88" s="835">
        <f>'1.BS (VND)'!H62/$C$6</f>
        <v>0</v>
      </c>
      <c r="I88" s="842"/>
      <c r="J88" s="835">
        <f>'1.BS (VND)'!J62/$C$6</f>
        <v>0</v>
      </c>
      <c r="K88" s="835">
        <f>'1.BS (VND)'!K62/$C$6</f>
        <v>0</v>
      </c>
      <c r="L88" s="835">
        <f>'1.BS (VND)'!L62/$C$6</f>
        <v>0</v>
      </c>
      <c r="M88" s="835">
        <f>'1.BS (VND)'!M62/$C$6</f>
        <v>0</v>
      </c>
      <c r="N88" s="840"/>
      <c r="O88" s="835">
        <f>'1.BS (VND)'!O62/$C$6</f>
        <v>0</v>
      </c>
      <c r="P88" s="835">
        <f>'1.BS (VND)'!P62/$C$6</f>
        <v>0</v>
      </c>
      <c r="Q88" s="835">
        <f>'1.BS (VND)'!Q62/$C$6</f>
        <v>0</v>
      </c>
      <c r="R88" s="835">
        <f>'1.BS (VND)'!R62/$C$6</f>
        <v>0</v>
      </c>
      <c r="S88" s="840"/>
      <c r="T88" s="835">
        <f>'1.BS (VND)'!T62/$C$6</f>
        <v>0</v>
      </c>
      <c r="U88" s="835">
        <f>'1.BS (VND)'!U62/$C$6</f>
        <v>0</v>
      </c>
      <c r="V88" s="835">
        <f>'1.BS (VND)'!V62/$C$6</f>
        <v>0</v>
      </c>
      <c r="W88" s="835">
        <f>'1.BS (VND)'!W62/$C$6</f>
        <v>0</v>
      </c>
      <c r="X88" s="840"/>
      <c r="Y88" s="835">
        <f>'1.BS (VND)'!Y62/$C$6</f>
        <v>0</v>
      </c>
      <c r="Z88" s="835">
        <f>'1.BS (VND)'!Z62/$C$6</f>
        <v>0</v>
      </c>
      <c r="AA88" s="835">
        <f>'1.BS (VND)'!AA62/$C$6</f>
        <v>0</v>
      </c>
      <c r="AB88" s="835">
        <f>'1.BS (VND)'!AB62/$C$6</f>
        <v>0</v>
      </c>
      <c r="AC88" s="840"/>
      <c r="AD88" s="835">
        <f>'1.BS (VND)'!AD62/$C$6</f>
        <v>0</v>
      </c>
      <c r="AE88" s="835">
        <f>'1.BS (VND)'!AE62/$C$6</f>
        <v>0</v>
      </c>
      <c r="AF88" s="835">
        <f>'1.BS (VND)'!AF62/$C$6</f>
        <v>0</v>
      </c>
      <c r="AG88" s="835">
        <f>'1.BS (VND)'!AG62/$C$6</f>
        <v>0</v>
      </c>
      <c r="AH88" s="841"/>
      <c r="AI88" s="835">
        <f t="shared" si="112"/>
        <v>0</v>
      </c>
      <c r="AJ88" s="835">
        <f t="shared" si="112"/>
        <v>0</v>
      </c>
      <c r="AK88" s="835">
        <f t="shared" si="112"/>
        <v>0</v>
      </c>
      <c r="AL88" s="835">
        <f t="shared" si="83"/>
        <v>0</v>
      </c>
      <c r="AM88" s="852"/>
      <c r="AN88" s="835">
        <f>'1.BS (VND)'!AI62/$C$6</f>
        <v>0</v>
      </c>
      <c r="AO88" s="835">
        <f>'1.BS (VND)'!AJ62/$C$6</f>
        <v>0</v>
      </c>
      <c r="AP88" s="835">
        <f>'1.BS (VND)'!AK62/$C$6</f>
        <v>0</v>
      </c>
      <c r="AQ88" s="835">
        <f>'1.BS (VND)'!AL62/$C$6</f>
        <v>0</v>
      </c>
      <c r="AR88" s="842"/>
      <c r="AS88" s="835">
        <f>'1.BS (VND)'!AN62/$C$6</f>
        <v>0</v>
      </c>
      <c r="AT88" s="835">
        <f>'1.BS (VND)'!AO62/$C$6</f>
        <v>0</v>
      </c>
      <c r="AU88" s="835">
        <f>'1.BS (VND)'!AP62/$C$6</f>
        <v>0</v>
      </c>
      <c r="AV88" s="835">
        <f>'1.BS (VND)'!AQ62/$C$6</f>
        <v>0</v>
      </c>
      <c r="AW88" s="840"/>
      <c r="AX88" s="835">
        <f>'1.BS (VND)'!AS62/$C$6</f>
        <v>0</v>
      </c>
      <c r="AY88" s="835">
        <f>'1.BS (VND)'!AT62/$C$6</f>
        <v>0</v>
      </c>
      <c r="AZ88" s="835">
        <f>'1.BS (VND)'!AU62/$C$6</f>
        <v>0</v>
      </c>
      <c r="BA88" s="835">
        <f>'1.BS (VND)'!AV62/$C$6</f>
        <v>0</v>
      </c>
      <c r="BB88" s="840"/>
      <c r="BC88" s="835">
        <f>'1.BS (VND)'!AX62/$C$6</f>
        <v>0</v>
      </c>
      <c r="BD88" s="835">
        <f>'1.BS (VND)'!AY62/$C$6</f>
        <v>0</v>
      </c>
      <c r="BE88" s="835">
        <f>'1.BS (VND)'!AZ62/$C$6</f>
        <v>0</v>
      </c>
      <c r="BF88" s="835">
        <f>'1.BS (VND)'!BA62/$C$6</f>
        <v>0</v>
      </c>
      <c r="BG88" s="840"/>
      <c r="BH88" s="835">
        <f>'1.BS (VND)'!BC62/$C$6</f>
        <v>0</v>
      </c>
      <c r="BI88" s="835">
        <f>'1.BS (VND)'!BD62/$C$6</f>
        <v>0</v>
      </c>
      <c r="BJ88" s="835">
        <f>'1.BS (VND)'!BE62/$C$6</f>
        <v>0</v>
      </c>
      <c r="BK88" s="835">
        <f>'1.BS (VND)'!BF62/$C$6</f>
        <v>0</v>
      </c>
      <c r="BL88" s="840"/>
      <c r="BM88" s="835">
        <f>'1.BS (VND)'!BH62/$C$6</f>
        <v>0</v>
      </c>
      <c r="BN88" s="835">
        <f>'1.BS (VND)'!BI62/$C$6</f>
        <v>0</v>
      </c>
      <c r="BO88" s="835">
        <f>'1.BS (VND)'!BJ62/$C$6</f>
        <v>0</v>
      </c>
      <c r="BP88" s="835">
        <f>'1.BS (VND)'!BK62/$C$6</f>
        <v>0</v>
      </c>
      <c r="BQ88" s="841"/>
      <c r="BR88" s="835">
        <f t="shared" si="114"/>
        <v>0</v>
      </c>
      <c r="BS88" s="835">
        <f t="shared" si="115"/>
        <v>0</v>
      </c>
      <c r="BT88" s="835">
        <f t="shared" si="116"/>
        <v>0</v>
      </c>
      <c r="BU88" s="835">
        <f t="shared" si="117"/>
        <v>0</v>
      </c>
      <c r="BV88" s="842"/>
      <c r="BW88" s="835">
        <f t="shared" si="118"/>
        <v>0</v>
      </c>
      <c r="BX88" s="835">
        <f t="shared" si="119"/>
        <v>0</v>
      </c>
      <c r="BY88" s="835">
        <f t="shared" si="120"/>
        <v>0</v>
      </c>
      <c r="BZ88" s="835">
        <f t="shared" si="121"/>
        <v>0</v>
      </c>
      <c r="CA88" s="840"/>
      <c r="CB88" s="835">
        <f t="shared" si="122"/>
        <v>0</v>
      </c>
      <c r="CC88" s="835">
        <f t="shared" si="123"/>
        <v>0</v>
      </c>
      <c r="CD88" s="835">
        <f t="shared" si="124"/>
        <v>0</v>
      </c>
      <c r="CE88" s="835">
        <f t="shared" si="125"/>
        <v>0</v>
      </c>
      <c r="CF88" s="840"/>
      <c r="CG88" s="835">
        <f t="shared" si="126"/>
        <v>0</v>
      </c>
      <c r="CH88" s="835">
        <f t="shared" si="127"/>
        <v>0</v>
      </c>
      <c r="CI88" s="835">
        <f t="shared" si="128"/>
        <v>0</v>
      </c>
      <c r="CJ88" s="835">
        <f t="shared" si="129"/>
        <v>0</v>
      </c>
      <c r="CK88" s="840"/>
      <c r="CL88" s="835">
        <f t="shared" si="130"/>
        <v>0</v>
      </c>
      <c r="CM88" s="835">
        <f t="shared" si="131"/>
        <v>0</v>
      </c>
      <c r="CN88" s="835">
        <f t="shared" si="132"/>
        <v>0</v>
      </c>
      <c r="CO88" s="835">
        <f t="shared" si="133"/>
        <v>0</v>
      </c>
      <c r="CP88" s="840"/>
      <c r="CQ88" s="835">
        <f t="shared" si="134"/>
        <v>0</v>
      </c>
      <c r="CR88" s="835">
        <f t="shared" si="135"/>
        <v>0</v>
      </c>
      <c r="CS88" s="835">
        <f t="shared" si="136"/>
        <v>0</v>
      </c>
      <c r="CT88" s="835">
        <f t="shared" si="137"/>
        <v>0</v>
      </c>
      <c r="CU88" s="842"/>
      <c r="CV88" s="835">
        <f t="shared" si="138"/>
        <v>0</v>
      </c>
      <c r="CW88" s="835">
        <f t="shared" si="138"/>
        <v>0</v>
      </c>
      <c r="CX88" s="835">
        <f t="shared" si="138"/>
        <v>0</v>
      </c>
      <c r="CY88" s="835">
        <f t="shared" si="138"/>
        <v>0</v>
      </c>
      <c r="CZ88" s="842"/>
      <c r="DA88" s="835">
        <f>'1.BS (VND)'!CV62/'1.BC_Ra Soat (ty) '!$C$6</f>
        <v>0</v>
      </c>
      <c r="DB88" s="835">
        <f>'1.BS (VND)'!CW62/'1.BC_Ra Soat (ty) '!$C$6</f>
        <v>0</v>
      </c>
      <c r="DC88" s="835">
        <f>'1.BS (VND)'!CX62/'1.BC_Ra Soat (ty) '!$C$6</f>
        <v>0</v>
      </c>
      <c r="DD88" s="835">
        <f>'1.BS (VND)'!CY62/'1.BC_Ra Soat (ty) '!$C$6</f>
        <v>0</v>
      </c>
      <c r="DE88" s="842"/>
      <c r="DF88" s="835">
        <f t="shared" si="110"/>
        <v>0</v>
      </c>
      <c r="DG88" s="835">
        <f t="shared" si="109"/>
        <v>0</v>
      </c>
      <c r="DH88" s="835">
        <f t="shared" si="109"/>
        <v>0</v>
      </c>
      <c r="DI88" s="835">
        <f t="shared" si="109"/>
        <v>0</v>
      </c>
      <c r="DJ88" s="444"/>
    </row>
    <row r="89" spans="1:114" s="441" customFormat="1" ht="15.75" x14ac:dyDescent="0.25">
      <c r="A89" s="447">
        <f t="shared" si="111"/>
        <v>1</v>
      </c>
      <c r="C89" s="452" t="s">
        <v>391</v>
      </c>
      <c r="D89" s="453" t="s">
        <v>392</v>
      </c>
      <c r="E89" s="835">
        <f>'1.BS (VND)'!E63/$C$6</f>
        <v>0</v>
      </c>
      <c r="F89" s="835">
        <f>'1.BS (VND)'!F63/$C$6</f>
        <v>0</v>
      </c>
      <c r="G89" s="835">
        <f>'1.BS (VND)'!G63/$C$6</f>
        <v>0</v>
      </c>
      <c r="H89" s="835">
        <f>'1.BS (VND)'!H63/$C$6</f>
        <v>0</v>
      </c>
      <c r="I89" s="842"/>
      <c r="J89" s="835">
        <f>'1.BS (VND)'!J63/$C$6</f>
        <v>0</v>
      </c>
      <c r="K89" s="835">
        <f>'1.BS (VND)'!K63/$C$6</f>
        <v>0</v>
      </c>
      <c r="L89" s="835">
        <f>'1.BS (VND)'!L63/$C$6</f>
        <v>0</v>
      </c>
      <c r="M89" s="835">
        <f>'1.BS (VND)'!M63/$C$6</f>
        <v>0</v>
      </c>
      <c r="N89" s="840"/>
      <c r="O89" s="835">
        <f>'1.BS (VND)'!O63/$C$6</f>
        <v>0</v>
      </c>
      <c r="P89" s="835">
        <f>'1.BS (VND)'!P63/$C$6</f>
        <v>0</v>
      </c>
      <c r="Q89" s="835">
        <f>'1.BS (VND)'!Q63/$C$6</f>
        <v>0</v>
      </c>
      <c r="R89" s="835">
        <f>'1.BS (VND)'!R63/$C$6</f>
        <v>0</v>
      </c>
      <c r="S89" s="840"/>
      <c r="T89" s="835">
        <f>'1.BS (VND)'!T63/$C$6</f>
        <v>0</v>
      </c>
      <c r="U89" s="835">
        <f>'1.BS (VND)'!U63/$C$6</f>
        <v>0</v>
      </c>
      <c r="V89" s="835">
        <f>'1.BS (VND)'!V63/$C$6</f>
        <v>0</v>
      </c>
      <c r="W89" s="835">
        <f>'1.BS (VND)'!W63/$C$6</f>
        <v>0</v>
      </c>
      <c r="X89" s="840"/>
      <c r="Y89" s="835">
        <f>'1.BS (VND)'!Y63/$C$6</f>
        <v>0</v>
      </c>
      <c r="Z89" s="835">
        <f>'1.BS (VND)'!Z63/$C$6</f>
        <v>0</v>
      </c>
      <c r="AA89" s="835">
        <f>'1.BS (VND)'!AA63/$C$6</f>
        <v>0</v>
      </c>
      <c r="AB89" s="835">
        <f>'1.BS (VND)'!AB63/$C$6</f>
        <v>0</v>
      </c>
      <c r="AC89" s="840"/>
      <c r="AD89" s="835">
        <f>'1.BS (VND)'!AD63/$C$6</f>
        <v>0</v>
      </c>
      <c r="AE89" s="835">
        <f>'1.BS (VND)'!AE63/$C$6</f>
        <v>0</v>
      </c>
      <c r="AF89" s="835">
        <f>'1.BS (VND)'!AF63/$C$6</f>
        <v>0</v>
      </c>
      <c r="AG89" s="835">
        <f>'1.BS (VND)'!AG63/$C$6</f>
        <v>0</v>
      </c>
      <c r="AH89" s="841"/>
      <c r="AI89" s="835">
        <f t="shared" si="112"/>
        <v>0</v>
      </c>
      <c r="AJ89" s="835">
        <f t="shared" si="112"/>
        <v>0</v>
      </c>
      <c r="AK89" s="835">
        <f t="shared" si="112"/>
        <v>0</v>
      </c>
      <c r="AL89" s="835">
        <f t="shared" si="83"/>
        <v>0</v>
      </c>
      <c r="AM89" s="842"/>
      <c r="AN89" s="835">
        <f>'1.BS (VND)'!AI63/$C$6</f>
        <v>0</v>
      </c>
      <c r="AO89" s="835">
        <f>'1.BS (VND)'!AJ63/$C$6</f>
        <v>0</v>
      </c>
      <c r="AP89" s="835">
        <f>'1.BS (VND)'!AK63/$C$6</f>
        <v>-3.400420923</v>
      </c>
      <c r="AQ89" s="835">
        <f>'1.BS (VND)'!AL63/$C$6</f>
        <v>-3.400420923</v>
      </c>
      <c r="AR89" s="842"/>
      <c r="AS89" s="835">
        <f>'1.BS (VND)'!AN63/$C$6</f>
        <v>0</v>
      </c>
      <c r="AT89" s="835">
        <f>'1.BS (VND)'!AO63/$C$6</f>
        <v>0</v>
      </c>
      <c r="AU89" s="835">
        <f>'1.BS (VND)'!AP63/$C$6</f>
        <v>0</v>
      </c>
      <c r="AV89" s="835">
        <f>'1.BS (VND)'!AQ63/$C$6</f>
        <v>-0.74154054899999999</v>
      </c>
      <c r="AW89" s="840"/>
      <c r="AX89" s="835">
        <f>'1.BS (VND)'!AS63/$C$6</f>
        <v>0</v>
      </c>
      <c r="AY89" s="835">
        <f>'1.BS (VND)'!AT63/$C$6</f>
        <v>0</v>
      </c>
      <c r="AZ89" s="835">
        <f>'1.BS (VND)'!AU63/$C$6</f>
        <v>-0.84688822900000005</v>
      </c>
      <c r="BA89" s="835">
        <f>'1.BS (VND)'!AV63/$C$6</f>
        <v>-0.84688822900000005</v>
      </c>
      <c r="BB89" s="840"/>
      <c r="BC89" s="835">
        <f>'1.BS (VND)'!AX63/$C$6</f>
        <v>0</v>
      </c>
      <c r="BD89" s="835">
        <f>'1.BS (VND)'!AY63/$C$6</f>
        <v>0</v>
      </c>
      <c r="BE89" s="835">
        <f>'1.BS (VND)'!AZ63/$C$6</f>
        <v>-1.2623553489999999</v>
      </c>
      <c r="BF89" s="835">
        <f>'1.BS (VND)'!BA63/$C$6</f>
        <v>-1.2623553489999999</v>
      </c>
      <c r="BG89" s="840"/>
      <c r="BH89" s="835">
        <f>'1.BS (VND)'!BC63/$C$6</f>
        <v>0</v>
      </c>
      <c r="BI89" s="835">
        <f>'1.BS (VND)'!BD63/$C$6</f>
        <v>0</v>
      </c>
      <c r="BJ89" s="835">
        <f>'1.BS (VND)'!BE63/$C$6</f>
        <v>0</v>
      </c>
      <c r="BK89" s="835">
        <f>'1.BS (VND)'!BF63/$C$6</f>
        <v>0</v>
      </c>
      <c r="BL89" s="840"/>
      <c r="BM89" s="835">
        <f>'1.BS (VND)'!BH63/$C$6</f>
        <v>0</v>
      </c>
      <c r="BN89" s="835">
        <f>'1.BS (VND)'!BI63/$C$6</f>
        <v>0</v>
      </c>
      <c r="BO89" s="835">
        <f>'1.BS (VND)'!BJ63/$C$6</f>
        <v>0</v>
      </c>
      <c r="BP89" s="835">
        <f>'1.BS (VND)'!BK63/$C$6</f>
        <v>0</v>
      </c>
      <c r="BQ89" s="841"/>
      <c r="BR89" s="835">
        <f t="shared" si="114"/>
        <v>0</v>
      </c>
      <c r="BS89" s="835">
        <f t="shared" si="115"/>
        <v>0</v>
      </c>
      <c r="BT89" s="835">
        <f t="shared" si="116"/>
        <v>-3.400420923</v>
      </c>
      <c r="BU89" s="835">
        <f t="shared" si="117"/>
        <v>-3.400420923</v>
      </c>
      <c r="BV89" s="842"/>
      <c r="BW89" s="835">
        <f t="shared" si="118"/>
        <v>0</v>
      </c>
      <c r="BX89" s="835">
        <f t="shared" si="119"/>
        <v>0</v>
      </c>
      <c r="BY89" s="835">
        <f t="shared" si="120"/>
        <v>0</v>
      </c>
      <c r="BZ89" s="835">
        <f t="shared" si="121"/>
        <v>-0.74154054899999999</v>
      </c>
      <c r="CA89" s="840"/>
      <c r="CB89" s="835">
        <f t="shared" si="122"/>
        <v>0</v>
      </c>
      <c r="CC89" s="835">
        <f t="shared" si="123"/>
        <v>0</v>
      </c>
      <c r="CD89" s="835">
        <f t="shared" si="124"/>
        <v>-0.84688822900000005</v>
      </c>
      <c r="CE89" s="835">
        <f t="shared" si="125"/>
        <v>-0.84688822900000005</v>
      </c>
      <c r="CF89" s="840"/>
      <c r="CG89" s="835">
        <f t="shared" si="126"/>
        <v>0</v>
      </c>
      <c r="CH89" s="835">
        <f t="shared" si="127"/>
        <v>0</v>
      </c>
      <c r="CI89" s="835">
        <f t="shared" si="128"/>
        <v>-1.2623553489999999</v>
      </c>
      <c r="CJ89" s="835">
        <f t="shared" si="129"/>
        <v>-1.2623553489999999</v>
      </c>
      <c r="CK89" s="840"/>
      <c r="CL89" s="835">
        <f t="shared" si="130"/>
        <v>0</v>
      </c>
      <c r="CM89" s="835">
        <f t="shared" si="131"/>
        <v>0</v>
      </c>
      <c r="CN89" s="835">
        <f t="shared" si="132"/>
        <v>0</v>
      </c>
      <c r="CO89" s="835">
        <f t="shared" si="133"/>
        <v>0</v>
      </c>
      <c r="CP89" s="840"/>
      <c r="CQ89" s="835">
        <f t="shared" si="134"/>
        <v>0</v>
      </c>
      <c r="CR89" s="835">
        <f t="shared" si="135"/>
        <v>0</v>
      </c>
      <c r="CS89" s="835">
        <f t="shared" si="136"/>
        <v>0</v>
      </c>
      <c r="CT89" s="835">
        <f t="shared" si="137"/>
        <v>0</v>
      </c>
      <c r="CU89" s="842"/>
      <c r="CV89" s="835">
        <f t="shared" si="138"/>
        <v>0</v>
      </c>
      <c r="CW89" s="835">
        <f t="shared" si="138"/>
        <v>0</v>
      </c>
      <c r="CX89" s="835">
        <f t="shared" si="138"/>
        <v>-5.5096645009999996</v>
      </c>
      <c r="CY89" s="835">
        <f t="shared" si="138"/>
        <v>-6.2512050500000003</v>
      </c>
      <c r="CZ89" s="842"/>
      <c r="DA89" s="835">
        <f>'1.BS (VND)'!CV63/'1.BC_Ra Soat (ty) '!$C$6</f>
        <v>0</v>
      </c>
      <c r="DB89" s="835">
        <f>'1.BS (VND)'!CW63/'1.BC_Ra Soat (ty) '!$C$6</f>
        <v>0</v>
      </c>
      <c r="DC89" s="835">
        <f>'1.BS (VND)'!CX63/'1.BC_Ra Soat (ty) '!$C$6</f>
        <v>0</v>
      </c>
      <c r="DD89" s="835">
        <f>'1.BS (VND)'!CY63/'1.BC_Ra Soat (ty) '!$C$6</f>
        <v>0</v>
      </c>
      <c r="DE89" s="842"/>
      <c r="DF89" s="835">
        <f t="shared" si="110"/>
        <v>0</v>
      </c>
      <c r="DG89" s="835">
        <f t="shared" si="109"/>
        <v>0</v>
      </c>
      <c r="DH89" s="835">
        <f t="shared" si="109"/>
        <v>-5.5096645009999996</v>
      </c>
      <c r="DI89" s="835">
        <f t="shared" si="109"/>
        <v>-6.2512050500000003</v>
      </c>
    </row>
    <row r="90" spans="1:114" s="441" customFormat="1" ht="15.75" hidden="1" x14ac:dyDescent="0.25">
      <c r="A90" s="447" t="str">
        <f t="shared" si="111"/>
        <v>hide</v>
      </c>
      <c r="C90" s="452" t="s">
        <v>393</v>
      </c>
      <c r="D90" s="453" t="s">
        <v>394</v>
      </c>
      <c r="E90" s="835">
        <f>'1.BS (VND)'!E64/$C$6</f>
        <v>0</v>
      </c>
      <c r="F90" s="835">
        <f>'1.BS (VND)'!F64/$C$6</f>
        <v>0</v>
      </c>
      <c r="G90" s="835">
        <f>'1.BS (VND)'!G64/$C$6</f>
        <v>0</v>
      </c>
      <c r="H90" s="835">
        <f>'1.BS (VND)'!H64/$C$6</f>
        <v>0</v>
      </c>
      <c r="I90" s="842"/>
      <c r="J90" s="835">
        <f>'1.BS (VND)'!J64/$C$6</f>
        <v>0</v>
      </c>
      <c r="K90" s="835">
        <f>'1.BS (VND)'!K64/$C$6</f>
        <v>0</v>
      </c>
      <c r="L90" s="835">
        <f>'1.BS (VND)'!L64/$C$6</f>
        <v>0</v>
      </c>
      <c r="M90" s="835">
        <f>'1.BS (VND)'!M64/$C$6</f>
        <v>0</v>
      </c>
      <c r="N90" s="840"/>
      <c r="O90" s="835">
        <f>'1.BS (VND)'!O64/$C$6</f>
        <v>0</v>
      </c>
      <c r="P90" s="835">
        <f>'1.BS (VND)'!P64/$C$6</f>
        <v>0</v>
      </c>
      <c r="Q90" s="835">
        <f>'1.BS (VND)'!Q64/$C$6</f>
        <v>0</v>
      </c>
      <c r="R90" s="835">
        <f>'1.BS (VND)'!R64/$C$6</f>
        <v>0</v>
      </c>
      <c r="S90" s="840"/>
      <c r="T90" s="835">
        <f>'1.BS (VND)'!T64/$C$6</f>
        <v>0</v>
      </c>
      <c r="U90" s="835">
        <f>'1.BS (VND)'!U64/$C$6</f>
        <v>0</v>
      </c>
      <c r="V90" s="835">
        <f>'1.BS (VND)'!V64/$C$6</f>
        <v>0</v>
      </c>
      <c r="W90" s="835">
        <f>'1.BS (VND)'!W64/$C$6</f>
        <v>0</v>
      </c>
      <c r="X90" s="840"/>
      <c r="Y90" s="835">
        <f>'1.BS (VND)'!Y64/$C$6</f>
        <v>0</v>
      </c>
      <c r="Z90" s="835">
        <f>'1.BS (VND)'!Z64/$C$6</f>
        <v>0</v>
      </c>
      <c r="AA90" s="835">
        <f>'1.BS (VND)'!AA64/$C$6</f>
        <v>0</v>
      </c>
      <c r="AB90" s="835">
        <f>'1.BS (VND)'!AB64/$C$6</f>
        <v>0</v>
      </c>
      <c r="AC90" s="840"/>
      <c r="AD90" s="835">
        <f>'1.BS (VND)'!AD64/$C$6</f>
        <v>0</v>
      </c>
      <c r="AE90" s="835">
        <f>'1.BS (VND)'!AE64/$C$6</f>
        <v>0</v>
      </c>
      <c r="AF90" s="835">
        <f>'1.BS (VND)'!AF64/$C$6</f>
        <v>0</v>
      </c>
      <c r="AG90" s="835">
        <f>'1.BS (VND)'!AG64/$C$6</f>
        <v>0</v>
      </c>
      <c r="AH90" s="841"/>
      <c r="AI90" s="835">
        <f t="shared" si="112"/>
        <v>0</v>
      </c>
      <c r="AJ90" s="835">
        <f t="shared" si="112"/>
        <v>0</v>
      </c>
      <c r="AK90" s="835">
        <f t="shared" si="112"/>
        <v>0</v>
      </c>
      <c r="AL90" s="835">
        <f t="shared" si="83"/>
        <v>0</v>
      </c>
      <c r="AM90" s="842"/>
      <c r="AN90" s="835">
        <f>'1.BS (VND)'!AI64/$C$6</f>
        <v>0</v>
      </c>
      <c r="AO90" s="835">
        <f>'1.BS (VND)'!AJ64/$C$6</f>
        <v>0</v>
      </c>
      <c r="AP90" s="835">
        <f>'1.BS (VND)'!AK64/$C$6</f>
        <v>0</v>
      </c>
      <c r="AQ90" s="835">
        <f>'1.BS (VND)'!AL64/$C$6</f>
        <v>0</v>
      </c>
      <c r="AR90" s="842"/>
      <c r="AS90" s="835">
        <f>'1.BS (VND)'!AN64/$C$6</f>
        <v>0</v>
      </c>
      <c r="AT90" s="835">
        <f>'1.BS (VND)'!AO64/$C$6</f>
        <v>0</v>
      </c>
      <c r="AU90" s="835">
        <f>'1.BS (VND)'!AP64/$C$6</f>
        <v>0</v>
      </c>
      <c r="AV90" s="835">
        <f>'1.BS (VND)'!AQ64/$C$6</f>
        <v>0</v>
      </c>
      <c r="AW90" s="840"/>
      <c r="AX90" s="835">
        <f>'1.BS (VND)'!AS64/$C$6</f>
        <v>0</v>
      </c>
      <c r="AY90" s="835">
        <f>'1.BS (VND)'!AT64/$C$6</f>
        <v>0</v>
      </c>
      <c r="AZ90" s="835">
        <f>'1.BS (VND)'!AU64/$C$6</f>
        <v>0</v>
      </c>
      <c r="BA90" s="835">
        <f>'1.BS (VND)'!AV64/$C$6</f>
        <v>0</v>
      </c>
      <c r="BB90" s="840"/>
      <c r="BC90" s="835">
        <f>'1.BS (VND)'!AX64/$C$6</f>
        <v>0</v>
      </c>
      <c r="BD90" s="835">
        <f>'1.BS (VND)'!AY64/$C$6</f>
        <v>0</v>
      </c>
      <c r="BE90" s="835">
        <f>'1.BS (VND)'!AZ64/$C$6</f>
        <v>0</v>
      </c>
      <c r="BF90" s="835">
        <f>'1.BS (VND)'!BA64/$C$6</f>
        <v>0</v>
      </c>
      <c r="BG90" s="840"/>
      <c r="BH90" s="835">
        <f>'1.BS (VND)'!BC64/$C$6</f>
        <v>0</v>
      </c>
      <c r="BI90" s="835">
        <f>'1.BS (VND)'!BD64/$C$6</f>
        <v>0</v>
      </c>
      <c r="BJ90" s="835">
        <f>'1.BS (VND)'!BE64/$C$6</f>
        <v>0</v>
      </c>
      <c r="BK90" s="835">
        <f>'1.BS (VND)'!BF64/$C$6</f>
        <v>0</v>
      </c>
      <c r="BL90" s="840"/>
      <c r="BM90" s="835">
        <f>'1.BS (VND)'!BH64/$C$6</f>
        <v>0</v>
      </c>
      <c r="BN90" s="835">
        <f>'1.BS (VND)'!BI64/$C$6</f>
        <v>0</v>
      </c>
      <c r="BO90" s="835">
        <f>'1.BS (VND)'!BJ64/$C$6</f>
        <v>0</v>
      </c>
      <c r="BP90" s="835">
        <f>'1.BS (VND)'!BK64/$C$6</f>
        <v>0</v>
      </c>
      <c r="BQ90" s="841"/>
      <c r="BR90" s="835">
        <f t="shared" si="114"/>
        <v>0</v>
      </c>
      <c r="BS90" s="835">
        <f t="shared" si="115"/>
        <v>0</v>
      </c>
      <c r="BT90" s="835">
        <f t="shared" si="116"/>
        <v>0</v>
      </c>
      <c r="BU90" s="835">
        <f t="shared" si="117"/>
        <v>0</v>
      </c>
      <c r="BV90" s="842"/>
      <c r="BW90" s="835">
        <f t="shared" si="118"/>
        <v>0</v>
      </c>
      <c r="BX90" s="835">
        <f t="shared" si="119"/>
        <v>0</v>
      </c>
      <c r="BY90" s="835">
        <f t="shared" si="120"/>
        <v>0</v>
      </c>
      <c r="BZ90" s="835">
        <f t="shared" si="121"/>
        <v>0</v>
      </c>
      <c r="CA90" s="840"/>
      <c r="CB90" s="835">
        <f t="shared" si="122"/>
        <v>0</v>
      </c>
      <c r="CC90" s="835">
        <f t="shared" si="123"/>
        <v>0</v>
      </c>
      <c r="CD90" s="835">
        <f t="shared" si="124"/>
        <v>0</v>
      </c>
      <c r="CE90" s="835">
        <f t="shared" si="125"/>
        <v>0</v>
      </c>
      <c r="CF90" s="840"/>
      <c r="CG90" s="835">
        <f t="shared" si="126"/>
        <v>0</v>
      </c>
      <c r="CH90" s="835">
        <f t="shared" si="127"/>
        <v>0</v>
      </c>
      <c r="CI90" s="835">
        <f t="shared" si="128"/>
        <v>0</v>
      </c>
      <c r="CJ90" s="835">
        <f t="shared" si="129"/>
        <v>0</v>
      </c>
      <c r="CK90" s="840"/>
      <c r="CL90" s="835">
        <f t="shared" si="130"/>
        <v>0</v>
      </c>
      <c r="CM90" s="835">
        <f t="shared" si="131"/>
        <v>0</v>
      </c>
      <c r="CN90" s="835">
        <f t="shared" si="132"/>
        <v>0</v>
      </c>
      <c r="CO90" s="835">
        <f t="shared" si="133"/>
        <v>0</v>
      </c>
      <c r="CP90" s="840"/>
      <c r="CQ90" s="835">
        <f t="shared" si="134"/>
        <v>0</v>
      </c>
      <c r="CR90" s="835">
        <f t="shared" si="135"/>
        <v>0</v>
      </c>
      <c r="CS90" s="835">
        <f t="shared" si="136"/>
        <v>0</v>
      </c>
      <c r="CT90" s="835">
        <f t="shared" si="137"/>
        <v>0</v>
      </c>
      <c r="CU90" s="842"/>
      <c r="CV90" s="835">
        <f t="shared" si="138"/>
        <v>0</v>
      </c>
      <c r="CW90" s="835">
        <f t="shared" si="138"/>
        <v>0</v>
      </c>
      <c r="CX90" s="835">
        <f t="shared" si="138"/>
        <v>0</v>
      </c>
      <c r="CY90" s="835">
        <f t="shared" si="138"/>
        <v>0</v>
      </c>
      <c r="CZ90" s="842"/>
      <c r="DA90" s="835">
        <f>'1.BS (VND)'!CV64/'1.BC_Ra Soat (ty) '!$C$6</f>
        <v>0</v>
      </c>
      <c r="DB90" s="835">
        <f>'1.BS (VND)'!CW64/'1.BC_Ra Soat (ty) '!$C$6</f>
        <v>0</v>
      </c>
      <c r="DC90" s="835">
        <f>'1.BS (VND)'!CX64/'1.BC_Ra Soat (ty) '!$C$6</f>
        <v>0</v>
      </c>
      <c r="DD90" s="835">
        <f>'1.BS (VND)'!CY64/'1.BC_Ra Soat (ty) '!$C$6</f>
        <v>0</v>
      </c>
      <c r="DE90" s="842"/>
      <c r="DF90" s="835">
        <f t="shared" si="110"/>
        <v>0</v>
      </c>
      <c r="DG90" s="835">
        <f t="shared" si="109"/>
        <v>0</v>
      </c>
      <c r="DH90" s="835">
        <f t="shared" si="109"/>
        <v>0</v>
      </c>
      <c r="DI90" s="835">
        <f t="shared" si="109"/>
        <v>0</v>
      </c>
    </row>
    <row r="91" spans="1:114" s="447" customFormat="1" ht="15.75" hidden="1" x14ac:dyDescent="0.25">
      <c r="A91" s="447" t="str">
        <f t="shared" si="111"/>
        <v>hide</v>
      </c>
      <c r="C91" s="450" t="s">
        <v>395</v>
      </c>
      <c r="D91" s="451" t="s">
        <v>396</v>
      </c>
      <c r="E91" s="849">
        <f>'1.BS (VND)'!E65/$C$6</f>
        <v>0</v>
      </c>
      <c r="F91" s="849">
        <f>'1.BS (VND)'!F65/$C$6</f>
        <v>0</v>
      </c>
      <c r="G91" s="849">
        <f>'1.BS (VND)'!G65/$C$6</f>
        <v>0</v>
      </c>
      <c r="H91" s="849">
        <f>'1.BS (VND)'!H65/$C$6</f>
        <v>0</v>
      </c>
      <c r="I91" s="852"/>
      <c r="J91" s="849">
        <f>'1.BS (VND)'!J65/$C$6</f>
        <v>0</v>
      </c>
      <c r="K91" s="849">
        <f>'1.BS (VND)'!K65/$C$6</f>
        <v>0</v>
      </c>
      <c r="L91" s="849">
        <f>'1.BS (VND)'!L65/$C$6</f>
        <v>0</v>
      </c>
      <c r="M91" s="849">
        <f>'1.BS (VND)'!M65/$C$6</f>
        <v>0</v>
      </c>
      <c r="N91" s="850"/>
      <c r="O91" s="849">
        <f>'1.BS (VND)'!O65/$C$6</f>
        <v>0</v>
      </c>
      <c r="P91" s="849">
        <f>'1.BS (VND)'!P65/$C$6</f>
        <v>0</v>
      </c>
      <c r="Q91" s="849">
        <f>'1.BS (VND)'!Q65/$C$6</f>
        <v>0</v>
      </c>
      <c r="R91" s="849">
        <f>'1.BS (VND)'!R65/$C$6</f>
        <v>0</v>
      </c>
      <c r="S91" s="850"/>
      <c r="T91" s="849">
        <f>'1.BS (VND)'!T65/$C$6</f>
        <v>0</v>
      </c>
      <c r="U91" s="849">
        <f>'1.BS (VND)'!U65/$C$6</f>
        <v>0</v>
      </c>
      <c r="V91" s="849">
        <f>'1.BS (VND)'!V65/$C$6</f>
        <v>0</v>
      </c>
      <c r="W91" s="849">
        <f>'1.BS (VND)'!W65/$C$6</f>
        <v>0</v>
      </c>
      <c r="X91" s="850"/>
      <c r="Y91" s="849">
        <f>'1.BS (VND)'!Y65/$C$6</f>
        <v>0</v>
      </c>
      <c r="Z91" s="849">
        <f>'1.BS (VND)'!Z65/$C$6</f>
        <v>0</v>
      </c>
      <c r="AA91" s="849">
        <f>'1.BS (VND)'!AA65/$C$6</f>
        <v>0</v>
      </c>
      <c r="AB91" s="849">
        <f>'1.BS (VND)'!AB65/$C$6</f>
        <v>0</v>
      </c>
      <c r="AC91" s="850"/>
      <c r="AD91" s="849">
        <f>'1.BS (VND)'!AD65/$C$6</f>
        <v>0</v>
      </c>
      <c r="AE91" s="849">
        <f>'1.BS (VND)'!AE65/$C$6</f>
        <v>0</v>
      </c>
      <c r="AF91" s="849">
        <f>'1.BS (VND)'!AF65/$C$6</f>
        <v>0</v>
      </c>
      <c r="AG91" s="849">
        <f>'1.BS (VND)'!AG65/$C$6</f>
        <v>0</v>
      </c>
      <c r="AH91" s="851"/>
      <c r="AI91" s="849">
        <f t="shared" si="112"/>
        <v>0</v>
      </c>
      <c r="AJ91" s="849">
        <f>SUMIF($E$5:$AG$5,AJ$5,$E91:$AG91)</f>
        <v>0</v>
      </c>
      <c r="AK91" s="849">
        <f>SUMIF($E$5:$AG$5,AK$5,$E91:$AG91)</f>
        <v>0</v>
      </c>
      <c r="AL91" s="849">
        <f>SUM(H91,M91,R91,W91)</f>
        <v>0</v>
      </c>
      <c r="AM91" s="852"/>
      <c r="AN91" s="849">
        <f>'1.BS (VND)'!AI65/$C$6</f>
        <v>0</v>
      </c>
      <c r="AO91" s="849">
        <f>'1.BS (VND)'!AJ65/$C$6</f>
        <v>0</v>
      </c>
      <c r="AP91" s="849">
        <f>'1.BS (VND)'!AK65/$C$6</f>
        <v>0</v>
      </c>
      <c r="AQ91" s="849">
        <f>'1.BS (VND)'!AL65/$C$6</f>
        <v>0</v>
      </c>
      <c r="AR91" s="852"/>
      <c r="AS91" s="849">
        <f>'1.BS (VND)'!AN65/$C$6</f>
        <v>0</v>
      </c>
      <c r="AT91" s="849">
        <f>'1.BS (VND)'!AO65/$C$6</f>
        <v>0</v>
      </c>
      <c r="AU91" s="849">
        <f>'1.BS (VND)'!AP65/$C$6</f>
        <v>0</v>
      </c>
      <c r="AV91" s="849">
        <f>'1.BS (VND)'!AQ65/$C$6</f>
        <v>0</v>
      </c>
      <c r="AW91" s="850"/>
      <c r="AX91" s="849">
        <f>'1.BS (VND)'!AS65/$C$6</f>
        <v>0</v>
      </c>
      <c r="AY91" s="849">
        <f>'1.BS (VND)'!AT65/$C$6</f>
        <v>0</v>
      </c>
      <c r="AZ91" s="849">
        <f>'1.BS (VND)'!AU65/$C$6</f>
        <v>0</v>
      </c>
      <c r="BA91" s="849">
        <f>'1.BS (VND)'!AV65/$C$6</f>
        <v>0</v>
      </c>
      <c r="BB91" s="850"/>
      <c r="BC91" s="849">
        <f>'1.BS (VND)'!AX65/$C$6</f>
        <v>0</v>
      </c>
      <c r="BD91" s="849">
        <f>'1.BS (VND)'!AY65/$C$6</f>
        <v>0</v>
      </c>
      <c r="BE91" s="849">
        <f>'1.BS (VND)'!AZ65/$C$6</f>
        <v>0</v>
      </c>
      <c r="BF91" s="849">
        <f>'1.BS (VND)'!BA65/$C$6</f>
        <v>0</v>
      </c>
      <c r="BG91" s="850"/>
      <c r="BH91" s="849">
        <f>'1.BS (VND)'!BC65/$C$6</f>
        <v>0</v>
      </c>
      <c r="BI91" s="849">
        <f>'1.BS (VND)'!BD65/$C$6</f>
        <v>0</v>
      </c>
      <c r="BJ91" s="849">
        <f>'1.BS (VND)'!BE65/$C$6</f>
        <v>0</v>
      </c>
      <c r="BK91" s="849">
        <f>'1.BS (VND)'!BF65/$C$6</f>
        <v>0</v>
      </c>
      <c r="BL91" s="850"/>
      <c r="BM91" s="849">
        <f>'1.BS (VND)'!BH65/$C$6</f>
        <v>0</v>
      </c>
      <c r="BN91" s="849">
        <f>'1.BS (VND)'!BI65/$C$6</f>
        <v>0</v>
      </c>
      <c r="BO91" s="849">
        <f>'1.BS (VND)'!BJ65/$C$6</f>
        <v>0</v>
      </c>
      <c r="BP91" s="849">
        <f>'1.BS (VND)'!BK65/$C$6</f>
        <v>0</v>
      </c>
      <c r="BQ91" s="851"/>
      <c r="BR91" s="849">
        <f t="shared" si="114"/>
        <v>0</v>
      </c>
      <c r="BS91" s="849">
        <f t="shared" si="115"/>
        <v>0</v>
      </c>
      <c r="BT91" s="849">
        <f t="shared" si="116"/>
        <v>0</v>
      </c>
      <c r="BU91" s="849">
        <f t="shared" si="117"/>
        <v>0</v>
      </c>
      <c r="BV91" s="852"/>
      <c r="BW91" s="849">
        <f t="shared" si="118"/>
        <v>0</v>
      </c>
      <c r="BX91" s="849">
        <f t="shared" si="119"/>
        <v>0</v>
      </c>
      <c r="BY91" s="849">
        <f t="shared" si="120"/>
        <v>0</v>
      </c>
      <c r="BZ91" s="849">
        <f t="shared" si="121"/>
        <v>0</v>
      </c>
      <c r="CA91" s="850"/>
      <c r="CB91" s="849">
        <f t="shared" si="122"/>
        <v>0</v>
      </c>
      <c r="CC91" s="849">
        <f t="shared" si="123"/>
        <v>0</v>
      </c>
      <c r="CD91" s="849">
        <f t="shared" si="124"/>
        <v>0</v>
      </c>
      <c r="CE91" s="849">
        <f t="shared" si="125"/>
        <v>0</v>
      </c>
      <c r="CF91" s="850"/>
      <c r="CG91" s="849">
        <f t="shared" si="126"/>
        <v>0</v>
      </c>
      <c r="CH91" s="849">
        <f t="shared" si="127"/>
        <v>0</v>
      </c>
      <c r="CI91" s="849">
        <f t="shared" si="128"/>
        <v>0</v>
      </c>
      <c r="CJ91" s="849">
        <f t="shared" si="129"/>
        <v>0</v>
      </c>
      <c r="CK91" s="850"/>
      <c r="CL91" s="849">
        <f t="shared" si="130"/>
        <v>0</v>
      </c>
      <c r="CM91" s="849">
        <f t="shared" si="131"/>
        <v>0</v>
      </c>
      <c r="CN91" s="849">
        <f t="shared" si="132"/>
        <v>0</v>
      </c>
      <c r="CO91" s="849">
        <f t="shared" si="133"/>
        <v>0</v>
      </c>
      <c r="CP91" s="850"/>
      <c r="CQ91" s="849">
        <f t="shared" si="134"/>
        <v>0</v>
      </c>
      <c r="CR91" s="849">
        <f t="shared" si="135"/>
        <v>0</v>
      </c>
      <c r="CS91" s="849">
        <f t="shared" si="136"/>
        <v>0</v>
      </c>
      <c r="CT91" s="849">
        <f t="shared" si="137"/>
        <v>0</v>
      </c>
      <c r="CU91" s="852"/>
      <c r="CV91" s="849">
        <f t="shared" si="138"/>
        <v>0</v>
      </c>
      <c r="CW91" s="849">
        <f t="shared" si="138"/>
        <v>0</v>
      </c>
      <c r="CX91" s="849">
        <f t="shared" si="138"/>
        <v>0</v>
      </c>
      <c r="CY91" s="849">
        <f t="shared" si="138"/>
        <v>0</v>
      </c>
      <c r="CZ91" s="852"/>
      <c r="DA91" s="849">
        <f>'1.BS (VND)'!CV65/'1.BC_Ra Soat (ty) '!$C$6</f>
        <v>0</v>
      </c>
      <c r="DB91" s="849">
        <f>'1.BS (VND)'!CW65/'1.BC_Ra Soat (ty) '!$C$6</f>
        <v>0</v>
      </c>
      <c r="DC91" s="849">
        <f>'1.BS (VND)'!CX65/'1.BC_Ra Soat (ty) '!$C$6</f>
        <v>0</v>
      </c>
      <c r="DD91" s="849">
        <f>'1.BS (VND)'!CY65/'1.BC_Ra Soat (ty) '!$C$6</f>
        <v>0</v>
      </c>
      <c r="DE91" s="852"/>
      <c r="DF91" s="849">
        <f t="shared" si="110"/>
        <v>0</v>
      </c>
      <c r="DG91" s="849">
        <f t="shared" si="109"/>
        <v>0</v>
      </c>
      <c r="DH91" s="849">
        <f t="shared" si="109"/>
        <v>0</v>
      </c>
      <c r="DI91" s="849">
        <f t="shared" si="109"/>
        <v>0</v>
      </c>
      <c r="DJ91" s="444"/>
    </row>
    <row r="92" spans="1:114" s="441" customFormat="1" ht="15.75" hidden="1" x14ac:dyDescent="0.25">
      <c r="A92" s="447" t="str">
        <f t="shared" si="111"/>
        <v>hide</v>
      </c>
      <c r="C92" s="452" t="s">
        <v>397</v>
      </c>
      <c r="D92" s="453" t="s">
        <v>398</v>
      </c>
      <c r="E92" s="835">
        <f>'1.BS (VND)'!E66/$C$6</f>
        <v>0</v>
      </c>
      <c r="F92" s="835">
        <f>'1.BS (VND)'!F66/$C$6</f>
        <v>0</v>
      </c>
      <c r="G92" s="835">
        <f>'1.BS (VND)'!G66/$C$6</f>
        <v>0</v>
      </c>
      <c r="H92" s="835">
        <f>'1.BS (VND)'!H66/$C$6</f>
        <v>0</v>
      </c>
      <c r="I92" s="842"/>
      <c r="J92" s="835">
        <f>'1.BS (VND)'!J66/$C$6</f>
        <v>0</v>
      </c>
      <c r="K92" s="835">
        <f>'1.BS (VND)'!K66/$C$6</f>
        <v>0</v>
      </c>
      <c r="L92" s="835">
        <f>'1.BS (VND)'!L66/$C$6</f>
        <v>0</v>
      </c>
      <c r="M92" s="835">
        <f>'1.BS (VND)'!M66/$C$6</f>
        <v>0</v>
      </c>
      <c r="N92" s="840"/>
      <c r="O92" s="835">
        <f>'1.BS (VND)'!O66/$C$6</f>
        <v>0</v>
      </c>
      <c r="P92" s="835">
        <f>'1.BS (VND)'!P66/$C$6</f>
        <v>0</v>
      </c>
      <c r="Q92" s="835">
        <f>'1.BS (VND)'!Q66/$C$6</f>
        <v>0</v>
      </c>
      <c r="R92" s="835">
        <f>'1.BS (VND)'!R66/$C$6</f>
        <v>0</v>
      </c>
      <c r="S92" s="840"/>
      <c r="T92" s="835">
        <f>'1.BS (VND)'!T66/$C$6</f>
        <v>0</v>
      </c>
      <c r="U92" s="835">
        <f>'1.BS (VND)'!U66/$C$6</f>
        <v>0</v>
      </c>
      <c r="V92" s="835">
        <f>'1.BS (VND)'!V66/$C$6</f>
        <v>0</v>
      </c>
      <c r="W92" s="835">
        <f>'1.BS (VND)'!W66/$C$6</f>
        <v>0</v>
      </c>
      <c r="X92" s="840"/>
      <c r="Y92" s="835">
        <f>'1.BS (VND)'!Y66/$C$6</f>
        <v>0</v>
      </c>
      <c r="Z92" s="835">
        <f>'1.BS (VND)'!Z66/$C$6</f>
        <v>0</v>
      </c>
      <c r="AA92" s="835">
        <f>'1.BS (VND)'!AA66/$C$6</f>
        <v>0</v>
      </c>
      <c r="AB92" s="835">
        <f>'1.BS (VND)'!AB66/$C$6</f>
        <v>0</v>
      </c>
      <c r="AC92" s="840"/>
      <c r="AD92" s="835">
        <f>'1.BS (VND)'!AD66/$C$6</f>
        <v>0</v>
      </c>
      <c r="AE92" s="835">
        <f>'1.BS (VND)'!AE66/$C$6</f>
        <v>0</v>
      </c>
      <c r="AF92" s="835">
        <f>'1.BS (VND)'!AF66/$C$6</f>
        <v>0</v>
      </c>
      <c r="AG92" s="835">
        <f>'1.BS (VND)'!AG66/$C$6</f>
        <v>0</v>
      </c>
      <c r="AH92" s="841"/>
      <c r="AI92" s="835">
        <f t="shared" si="112"/>
        <v>0</v>
      </c>
      <c r="AJ92" s="835">
        <f t="shared" si="112"/>
        <v>0</v>
      </c>
      <c r="AK92" s="835">
        <f t="shared" si="112"/>
        <v>0</v>
      </c>
      <c r="AL92" s="835">
        <f>SUM(H92,M92,R92,W92)</f>
        <v>0</v>
      </c>
      <c r="AM92" s="852"/>
      <c r="AN92" s="835">
        <f>'1.BS (VND)'!AI66/$C$6</f>
        <v>0</v>
      </c>
      <c r="AO92" s="835">
        <f>'1.BS (VND)'!AJ66/$C$6</f>
        <v>0</v>
      </c>
      <c r="AP92" s="835">
        <f>'1.BS (VND)'!AK66/$C$6</f>
        <v>0</v>
      </c>
      <c r="AQ92" s="835">
        <f>'1.BS (VND)'!AL66/$C$6</f>
        <v>0</v>
      </c>
      <c r="AR92" s="842"/>
      <c r="AS92" s="835">
        <f>'1.BS (VND)'!AN66/$C$6</f>
        <v>0</v>
      </c>
      <c r="AT92" s="835">
        <f>'1.BS (VND)'!AO66/$C$6</f>
        <v>0</v>
      </c>
      <c r="AU92" s="835">
        <f>'1.BS (VND)'!AP66/$C$6</f>
        <v>0</v>
      </c>
      <c r="AV92" s="835">
        <f>'1.BS (VND)'!AQ66/$C$6</f>
        <v>0</v>
      </c>
      <c r="AW92" s="840"/>
      <c r="AX92" s="835">
        <f>'1.BS (VND)'!AS66/$C$6</f>
        <v>0</v>
      </c>
      <c r="AY92" s="835">
        <f>'1.BS (VND)'!AT66/$C$6</f>
        <v>0</v>
      </c>
      <c r="AZ92" s="835">
        <f>'1.BS (VND)'!AU66/$C$6</f>
        <v>0</v>
      </c>
      <c r="BA92" s="835">
        <f>'1.BS (VND)'!AV66/$C$6</f>
        <v>0</v>
      </c>
      <c r="BB92" s="840"/>
      <c r="BC92" s="835">
        <f>'1.BS (VND)'!AX66/$C$6</f>
        <v>0</v>
      </c>
      <c r="BD92" s="835">
        <f>'1.BS (VND)'!AY66/$C$6</f>
        <v>0</v>
      </c>
      <c r="BE92" s="835">
        <f>'1.BS (VND)'!AZ66/$C$6</f>
        <v>0</v>
      </c>
      <c r="BF92" s="835">
        <f>'1.BS (VND)'!BA66/$C$6</f>
        <v>0</v>
      </c>
      <c r="BG92" s="840"/>
      <c r="BH92" s="835">
        <f>'1.BS (VND)'!BC66/$C$6</f>
        <v>0</v>
      </c>
      <c r="BI92" s="835">
        <f>'1.BS (VND)'!BD66/$C$6</f>
        <v>0</v>
      </c>
      <c r="BJ92" s="835">
        <f>'1.BS (VND)'!BE66/$C$6</f>
        <v>0</v>
      </c>
      <c r="BK92" s="835">
        <f>'1.BS (VND)'!BF66/$C$6</f>
        <v>0</v>
      </c>
      <c r="BL92" s="840"/>
      <c r="BM92" s="835">
        <f>'1.BS (VND)'!BH66/$C$6</f>
        <v>0</v>
      </c>
      <c r="BN92" s="835">
        <f>'1.BS (VND)'!BI66/$C$6</f>
        <v>0</v>
      </c>
      <c r="BO92" s="835">
        <f>'1.BS (VND)'!BJ66/$C$6</f>
        <v>0</v>
      </c>
      <c r="BP92" s="835">
        <f>'1.BS (VND)'!BK66/$C$6</f>
        <v>0</v>
      </c>
      <c r="BQ92" s="841"/>
      <c r="BR92" s="835">
        <f t="shared" si="114"/>
        <v>0</v>
      </c>
      <c r="BS92" s="835">
        <f t="shared" si="115"/>
        <v>0</v>
      </c>
      <c r="BT92" s="835">
        <f t="shared" si="116"/>
        <v>0</v>
      </c>
      <c r="BU92" s="835">
        <f t="shared" si="117"/>
        <v>0</v>
      </c>
      <c r="BV92" s="842"/>
      <c r="BW92" s="835">
        <f t="shared" si="118"/>
        <v>0</v>
      </c>
      <c r="BX92" s="835">
        <f t="shared" si="119"/>
        <v>0</v>
      </c>
      <c r="BY92" s="835">
        <f t="shared" si="120"/>
        <v>0</v>
      </c>
      <c r="BZ92" s="835">
        <f t="shared" si="121"/>
        <v>0</v>
      </c>
      <c r="CA92" s="840"/>
      <c r="CB92" s="835">
        <f t="shared" si="122"/>
        <v>0</v>
      </c>
      <c r="CC92" s="835">
        <f t="shared" si="123"/>
        <v>0</v>
      </c>
      <c r="CD92" s="835">
        <f t="shared" si="124"/>
        <v>0</v>
      </c>
      <c r="CE92" s="835">
        <f t="shared" si="125"/>
        <v>0</v>
      </c>
      <c r="CF92" s="840"/>
      <c r="CG92" s="835">
        <f t="shared" si="126"/>
        <v>0</v>
      </c>
      <c r="CH92" s="835">
        <f t="shared" si="127"/>
        <v>0</v>
      </c>
      <c r="CI92" s="835">
        <f t="shared" si="128"/>
        <v>0</v>
      </c>
      <c r="CJ92" s="835">
        <f t="shared" si="129"/>
        <v>0</v>
      </c>
      <c r="CK92" s="840"/>
      <c r="CL92" s="835">
        <f t="shared" si="130"/>
        <v>0</v>
      </c>
      <c r="CM92" s="835">
        <f t="shared" si="131"/>
        <v>0</v>
      </c>
      <c r="CN92" s="835">
        <f t="shared" si="132"/>
        <v>0</v>
      </c>
      <c r="CO92" s="835">
        <f t="shared" si="133"/>
        <v>0</v>
      </c>
      <c r="CP92" s="840"/>
      <c r="CQ92" s="835">
        <f t="shared" si="134"/>
        <v>0</v>
      </c>
      <c r="CR92" s="835">
        <f t="shared" si="135"/>
        <v>0</v>
      </c>
      <c r="CS92" s="835">
        <f t="shared" si="136"/>
        <v>0</v>
      </c>
      <c r="CT92" s="835">
        <f t="shared" si="137"/>
        <v>0</v>
      </c>
      <c r="CU92" s="842"/>
      <c r="CV92" s="835">
        <f t="shared" si="138"/>
        <v>0</v>
      </c>
      <c r="CW92" s="835">
        <f t="shared" si="138"/>
        <v>0</v>
      </c>
      <c r="CX92" s="835">
        <f t="shared" si="138"/>
        <v>0</v>
      </c>
      <c r="CY92" s="835">
        <f t="shared" si="138"/>
        <v>0</v>
      </c>
      <c r="CZ92" s="842"/>
      <c r="DA92" s="835">
        <f>'1.BS (VND)'!CV66/'1.BC_Ra Soat (ty) '!$C$6</f>
        <v>0</v>
      </c>
      <c r="DB92" s="835">
        <f>'1.BS (VND)'!CW66/'1.BC_Ra Soat (ty) '!$C$6</f>
        <v>0</v>
      </c>
      <c r="DC92" s="835">
        <f>'1.BS (VND)'!CX66/'1.BC_Ra Soat (ty) '!$C$6</f>
        <v>0</v>
      </c>
      <c r="DD92" s="835">
        <f>'1.BS (VND)'!CY66/'1.BC_Ra Soat (ty) '!$C$6</f>
        <v>0</v>
      </c>
      <c r="DE92" s="842"/>
      <c r="DF92" s="835">
        <f t="shared" si="110"/>
        <v>0</v>
      </c>
      <c r="DG92" s="835">
        <f t="shared" si="109"/>
        <v>0</v>
      </c>
      <c r="DH92" s="835">
        <f t="shared" si="109"/>
        <v>0</v>
      </c>
      <c r="DI92" s="835">
        <f t="shared" si="109"/>
        <v>0</v>
      </c>
      <c r="DJ92" s="444"/>
    </row>
    <row r="93" spans="1:114" s="441" customFormat="1" ht="15.75" hidden="1" x14ac:dyDescent="0.25">
      <c r="A93" s="447" t="str">
        <f t="shared" si="111"/>
        <v>hide</v>
      </c>
      <c r="C93" s="452" t="s">
        <v>399</v>
      </c>
      <c r="D93" s="453" t="s">
        <v>400</v>
      </c>
      <c r="E93" s="835">
        <f>'1.BS (VND)'!E67/$C$6</f>
        <v>0</v>
      </c>
      <c r="F93" s="835">
        <f>'1.BS (VND)'!F67/$C$6</f>
        <v>0</v>
      </c>
      <c r="G93" s="835">
        <f>'1.BS (VND)'!G67/$C$6</f>
        <v>0</v>
      </c>
      <c r="H93" s="835">
        <f>'1.BS (VND)'!H67/$C$6</f>
        <v>0</v>
      </c>
      <c r="I93" s="842"/>
      <c r="J93" s="835">
        <f>'1.BS (VND)'!J67/$C$6</f>
        <v>0</v>
      </c>
      <c r="K93" s="835">
        <f>'1.BS (VND)'!K67/$C$6</f>
        <v>0</v>
      </c>
      <c r="L93" s="835">
        <f>'1.BS (VND)'!L67/$C$6</f>
        <v>0</v>
      </c>
      <c r="M93" s="835">
        <f>'1.BS (VND)'!M67/$C$6</f>
        <v>0</v>
      </c>
      <c r="N93" s="840"/>
      <c r="O93" s="835">
        <f>'1.BS (VND)'!O67/$C$6</f>
        <v>0</v>
      </c>
      <c r="P93" s="835">
        <f>'1.BS (VND)'!P67/$C$6</f>
        <v>0</v>
      </c>
      <c r="Q93" s="835">
        <f>'1.BS (VND)'!Q67/$C$6</f>
        <v>0</v>
      </c>
      <c r="R93" s="835">
        <f>'1.BS (VND)'!R67/$C$6</f>
        <v>0</v>
      </c>
      <c r="S93" s="840"/>
      <c r="T93" s="835">
        <f>'1.BS (VND)'!T67/$C$6</f>
        <v>0</v>
      </c>
      <c r="U93" s="835">
        <f>'1.BS (VND)'!U67/$C$6</f>
        <v>0</v>
      </c>
      <c r="V93" s="835">
        <f>'1.BS (VND)'!V67/$C$6</f>
        <v>0</v>
      </c>
      <c r="W93" s="835">
        <f>'1.BS (VND)'!W67/$C$6</f>
        <v>0</v>
      </c>
      <c r="X93" s="840"/>
      <c r="Y93" s="835">
        <f>'1.BS (VND)'!Y67/$C$6</f>
        <v>0</v>
      </c>
      <c r="Z93" s="835">
        <f>'1.BS (VND)'!Z67/$C$6</f>
        <v>0</v>
      </c>
      <c r="AA93" s="835">
        <f>'1.BS (VND)'!AA67/$C$6</f>
        <v>0</v>
      </c>
      <c r="AB93" s="835">
        <f>'1.BS (VND)'!AB67/$C$6</f>
        <v>0</v>
      </c>
      <c r="AC93" s="840"/>
      <c r="AD93" s="835">
        <f>'1.BS (VND)'!AD67/$C$6</f>
        <v>0</v>
      </c>
      <c r="AE93" s="835">
        <f>'1.BS (VND)'!AE67/$C$6</f>
        <v>0</v>
      </c>
      <c r="AF93" s="835">
        <f>'1.BS (VND)'!AF67/$C$6</f>
        <v>0</v>
      </c>
      <c r="AG93" s="835">
        <f>'1.BS (VND)'!AG67/$C$6</f>
        <v>0</v>
      </c>
      <c r="AH93" s="841"/>
      <c r="AI93" s="835">
        <f t="shared" si="112"/>
        <v>0</v>
      </c>
      <c r="AJ93" s="835">
        <f t="shared" si="112"/>
        <v>0</v>
      </c>
      <c r="AK93" s="835">
        <f t="shared" si="112"/>
        <v>0</v>
      </c>
      <c r="AL93" s="835">
        <f t="shared" ref="AL93:AL95" si="139">SUM(H93,M93,R93,W93)</f>
        <v>0</v>
      </c>
      <c r="AM93" s="842"/>
      <c r="AN93" s="835">
        <f>'1.BS (VND)'!AI67/$C$6</f>
        <v>0</v>
      </c>
      <c r="AO93" s="835">
        <f>'1.BS (VND)'!AJ67/$C$6</f>
        <v>0</v>
      </c>
      <c r="AP93" s="835">
        <f>'1.BS (VND)'!AK67/$C$6</f>
        <v>0</v>
      </c>
      <c r="AQ93" s="835">
        <f>'1.BS (VND)'!AL67/$C$6</f>
        <v>0</v>
      </c>
      <c r="AR93" s="842"/>
      <c r="AS93" s="835">
        <f>'1.BS (VND)'!AN67/$C$6</f>
        <v>0</v>
      </c>
      <c r="AT93" s="835">
        <f>'1.BS (VND)'!AO67/$C$6</f>
        <v>0</v>
      </c>
      <c r="AU93" s="835">
        <f>'1.BS (VND)'!AP67/$C$6</f>
        <v>0</v>
      </c>
      <c r="AV93" s="835">
        <f>'1.BS (VND)'!AQ67/$C$6</f>
        <v>0</v>
      </c>
      <c r="AW93" s="840"/>
      <c r="AX93" s="835">
        <f>'1.BS (VND)'!AS67/$C$6</f>
        <v>0</v>
      </c>
      <c r="AY93" s="835">
        <f>'1.BS (VND)'!AT67/$C$6</f>
        <v>0</v>
      </c>
      <c r="AZ93" s="835">
        <f>'1.BS (VND)'!AU67/$C$6</f>
        <v>0</v>
      </c>
      <c r="BA93" s="835">
        <f>'1.BS (VND)'!AV67/$C$6</f>
        <v>0</v>
      </c>
      <c r="BB93" s="840"/>
      <c r="BC93" s="835">
        <f>'1.BS (VND)'!AX67/$C$6</f>
        <v>0</v>
      </c>
      <c r="BD93" s="835">
        <f>'1.BS (VND)'!AY67/$C$6</f>
        <v>0</v>
      </c>
      <c r="BE93" s="835">
        <f>'1.BS (VND)'!AZ67/$C$6</f>
        <v>0</v>
      </c>
      <c r="BF93" s="835">
        <f>'1.BS (VND)'!BA67/$C$6</f>
        <v>0</v>
      </c>
      <c r="BG93" s="840"/>
      <c r="BH93" s="835">
        <f>'1.BS (VND)'!BC67/$C$6</f>
        <v>0</v>
      </c>
      <c r="BI93" s="835">
        <f>'1.BS (VND)'!BD67/$C$6</f>
        <v>0</v>
      </c>
      <c r="BJ93" s="835">
        <f>'1.BS (VND)'!BE67/$C$6</f>
        <v>0</v>
      </c>
      <c r="BK93" s="835">
        <f>'1.BS (VND)'!BF67/$C$6</f>
        <v>0</v>
      </c>
      <c r="BL93" s="840"/>
      <c r="BM93" s="835">
        <f>'1.BS (VND)'!BH67/$C$6</f>
        <v>0</v>
      </c>
      <c r="BN93" s="835">
        <f>'1.BS (VND)'!BI67/$C$6</f>
        <v>0</v>
      </c>
      <c r="BO93" s="835">
        <f>'1.BS (VND)'!BJ67/$C$6</f>
        <v>0</v>
      </c>
      <c r="BP93" s="835">
        <f>'1.BS (VND)'!BK67/$C$6</f>
        <v>0</v>
      </c>
      <c r="BQ93" s="841"/>
      <c r="BR93" s="835">
        <f t="shared" si="114"/>
        <v>0</v>
      </c>
      <c r="BS93" s="835">
        <f t="shared" si="115"/>
        <v>0</v>
      </c>
      <c r="BT93" s="835">
        <f t="shared" si="116"/>
        <v>0</v>
      </c>
      <c r="BU93" s="835">
        <f t="shared" si="117"/>
        <v>0</v>
      </c>
      <c r="BV93" s="842"/>
      <c r="BW93" s="835">
        <f t="shared" si="118"/>
        <v>0</v>
      </c>
      <c r="BX93" s="835">
        <f t="shared" si="119"/>
        <v>0</v>
      </c>
      <c r="BY93" s="835">
        <f t="shared" si="120"/>
        <v>0</v>
      </c>
      <c r="BZ93" s="835">
        <f t="shared" si="121"/>
        <v>0</v>
      </c>
      <c r="CA93" s="840"/>
      <c r="CB93" s="835">
        <f t="shared" si="122"/>
        <v>0</v>
      </c>
      <c r="CC93" s="835">
        <f t="shared" si="123"/>
        <v>0</v>
      </c>
      <c r="CD93" s="835">
        <f t="shared" si="124"/>
        <v>0</v>
      </c>
      <c r="CE93" s="835">
        <f t="shared" si="125"/>
        <v>0</v>
      </c>
      <c r="CF93" s="840"/>
      <c r="CG93" s="835">
        <f t="shared" si="126"/>
        <v>0</v>
      </c>
      <c r="CH93" s="835">
        <f t="shared" si="127"/>
        <v>0</v>
      </c>
      <c r="CI93" s="835">
        <f t="shared" si="128"/>
        <v>0</v>
      </c>
      <c r="CJ93" s="835">
        <f t="shared" si="129"/>
        <v>0</v>
      </c>
      <c r="CK93" s="840"/>
      <c r="CL93" s="835">
        <f t="shared" si="130"/>
        <v>0</v>
      </c>
      <c r="CM93" s="835">
        <f t="shared" si="131"/>
        <v>0</v>
      </c>
      <c r="CN93" s="835">
        <f t="shared" si="132"/>
        <v>0</v>
      </c>
      <c r="CO93" s="835">
        <f t="shared" si="133"/>
        <v>0</v>
      </c>
      <c r="CP93" s="840"/>
      <c r="CQ93" s="835">
        <f t="shared" si="134"/>
        <v>0</v>
      </c>
      <c r="CR93" s="835">
        <f t="shared" si="135"/>
        <v>0</v>
      </c>
      <c r="CS93" s="835">
        <f t="shared" si="136"/>
        <v>0</v>
      </c>
      <c r="CT93" s="835">
        <f t="shared" si="137"/>
        <v>0</v>
      </c>
      <c r="CU93" s="842"/>
      <c r="CV93" s="835">
        <f t="shared" si="138"/>
        <v>0</v>
      </c>
      <c r="CW93" s="835">
        <f t="shared" si="138"/>
        <v>0</v>
      </c>
      <c r="CX93" s="835">
        <f t="shared" si="138"/>
        <v>0</v>
      </c>
      <c r="CY93" s="835">
        <f t="shared" si="138"/>
        <v>0</v>
      </c>
      <c r="CZ93" s="842"/>
      <c r="DA93" s="835">
        <f>'1.BS (VND)'!CV67/'1.BC_Ra Soat (ty) '!$C$6</f>
        <v>0</v>
      </c>
      <c r="DB93" s="835">
        <f>'1.BS (VND)'!CW67/'1.BC_Ra Soat (ty) '!$C$6</f>
        <v>0</v>
      </c>
      <c r="DC93" s="835">
        <f>'1.BS (VND)'!CX67/'1.BC_Ra Soat (ty) '!$C$6</f>
        <v>0</v>
      </c>
      <c r="DD93" s="835">
        <f>'1.BS (VND)'!CY67/'1.BC_Ra Soat (ty) '!$C$6</f>
        <v>0</v>
      </c>
      <c r="DE93" s="842"/>
      <c r="DF93" s="835">
        <f t="shared" si="110"/>
        <v>0</v>
      </c>
      <c r="DG93" s="835">
        <f t="shared" si="109"/>
        <v>0</v>
      </c>
      <c r="DH93" s="835">
        <f t="shared" si="109"/>
        <v>0</v>
      </c>
      <c r="DI93" s="835">
        <f t="shared" si="109"/>
        <v>0</v>
      </c>
    </row>
    <row r="94" spans="1:114" s="441" customFormat="1" ht="15.75" hidden="1" x14ac:dyDescent="0.25">
      <c r="A94" s="447" t="str">
        <f t="shared" si="111"/>
        <v>hide</v>
      </c>
      <c r="C94" s="452" t="s">
        <v>401</v>
      </c>
      <c r="D94" s="453" t="s">
        <v>402</v>
      </c>
      <c r="E94" s="835">
        <f>'1.BS (VND)'!E68/$C$6</f>
        <v>0</v>
      </c>
      <c r="F94" s="835">
        <f>'1.BS (VND)'!F68/$C$6</f>
        <v>0</v>
      </c>
      <c r="G94" s="835">
        <f>'1.BS (VND)'!G68/$C$6</f>
        <v>0</v>
      </c>
      <c r="H94" s="835">
        <f>'1.BS (VND)'!H68/$C$6</f>
        <v>0</v>
      </c>
      <c r="I94" s="842"/>
      <c r="J94" s="835">
        <f>'1.BS (VND)'!J68/$C$6</f>
        <v>0</v>
      </c>
      <c r="K94" s="835">
        <f>'1.BS (VND)'!K68/$C$6</f>
        <v>0</v>
      </c>
      <c r="L94" s="835">
        <f>'1.BS (VND)'!L68/$C$6</f>
        <v>0</v>
      </c>
      <c r="M94" s="835">
        <f>'1.BS (VND)'!M68/$C$6</f>
        <v>0</v>
      </c>
      <c r="N94" s="840"/>
      <c r="O94" s="835">
        <f>'1.BS (VND)'!O68/$C$6</f>
        <v>0</v>
      </c>
      <c r="P94" s="835">
        <f>'1.BS (VND)'!P68/$C$6</f>
        <v>0</v>
      </c>
      <c r="Q94" s="835">
        <f>'1.BS (VND)'!Q68/$C$6</f>
        <v>0</v>
      </c>
      <c r="R94" s="835">
        <f>'1.BS (VND)'!R68/$C$6</f>
        <v>0</v>
      </c>
      <c r="S94" s="840"/>
      <c r="T94" s="835">
        <f>'1.BS (VND)'!T68/$C$6</f>
        <v>0</v>
      </c>
      <c r="U94" s="835">
        <f>'1.BS (VND)'!U68/$C$6</f>
        <v>0</v>
      </c>
      <c r="V94" s="835">
        <f>'1.BS (VND)'!V68/$C$6</f>
        <v>0</v>
      </c>
      <c r="W94" s="835">
        <f>'1.BS (VND)'!W68/$C$6</f>
        <v>0</v>
      </c>
      <c r="X94" s="840"/>
      <c r="Y94" s="835">
        <f>'1.BS (VND)'!Y68/$C$6</f>
        <v>0</v>
      </c>
      <c r="Z94" s="835">
        <f>'1.BS (VND)'!Z68/$C$6</f>
        <v>0</v>
      </c>
      <c r="AA94" s="835">
        <f>'1.BS (VND)'!AA68/$C$6</f>
        <v>0</v>
      </c>
      <c r="AB94" s="835">
        <f>'1.BS (VND)'!AB68/$C$6</f>
        <v>0</v>
      </c>
      <c r="AC94" s="840"/>
      <c r="AD94" s="835">
        <f>'1.BS (VND)'!AD68/$C$6</f>
        <v>0</v>
      </c>
      <c r="AE94" s="835">
        <f>'1.BS (VND)'!AE68/$C$6</f>
        <v>0</v>
      </c>
      <c r="AF94" s="835">
        <f>'1.BS (VND)'!AF68/$C$6</f>
        <v>0</v>
      </c>
      <c r="AG94" s="835">
        <f>'1.BS (VND)'!AG68/$C$6</f>
        <v>0</v>
      </c>
      <c r="AH94" s="841"/>
      <c r="AI94" s="835">
        <f t="shared" si="112"/>
        <v>0</v>
      </c>
      <c r="AJ94" s="835">
        <f t="shared" si="112"/>
        <v>0</v>
      </c>
      <c r="AK94" s="835">
        <f t="shared" si="112"/>
        <v>0</v>
      </c>
      <c r="AL94" s="835">
        <f t="shared" si="139"/>
        <v>0</v>
      </c>
      <c r="AM94" s="842"/>
      <c r="AN94" s="835">
        <f>'1.BS (VND)'!AI68/$C$6</f>
        <v>0</v>
      </c>
      <c r="AO94" s="835">
        <f>'1.BS (VND)'!AJ68/$C$6</f>
        <v>0</v>
      </c>
      <c r="AP94" s="835">
        <f>'1.BS (VND)'!AK68/$C$6</f>
        <v>0</v>
      </c>
      <c r="AQ94" s="835">
        <f>'1.BS (VND)'!AL68/$C$6</f>
        <v>0</v>
      </c>
      <c r="AR94" s="842"/>
      <c r="AS94" s="835">
        <f>'1.BS (VND)'!AN68/$C$6</f>
        <v>0</v>
      </c>
      <c r="AT94" s="835">
        <f>'1.BS (VND)'!AO68/$C$6</f>
        <v>0</v>
      </c>
      <c r="AU94" s="835">
        <f>'1.BS (VND)'!AP68/$C$6</f>
        <v>0</v>
      </c>
      <c r="AV94" s="835">
        <f>'1.BS (VND)'!AQ68/$C$6</f>
        <v>0</v>
      </c>
      <c r="AW94" s="840"/>
      <c r="AX94" s="835">
        <f>'1.BS (VND)'!AS68/$C$6</f>
        <v>0</v>
      </c>
      <c r="AY94" s="835">
        <f>'1.BS (VND)'!AT68/$C$6</f>
        <v>0</v>
      </c>
      <c r="AZ94" s="835">
        <f>'1.BS (VND)'!AU68/$C$6</f>
        <v>0</v>
      </c>
      <c r="BA94" s="835">
        <f>'1.BS (VND)'!AV68/$C$6</f>
        <v>0</v>
      </c>
      <c r="BB94" s="840"/>
      <c r="BC94" s="835">
        <f>'1.BS (VND)'!AX68/$C$6</f>
        <v>0</v>
      </c>
      <c r="BD94" s="835">
        <f>'1.BS (VND)'!AY68/$C$6</f>
        <v>0</v>
      </c>
      <c r="BE94" s="835">
        <f>'1.BS (VND)'!AZ68/$C$6</f>
        <v>0</v>
      </c>
      <c r="BF94" s="835">
        <f>'1.BS (VND)'!BA68/$C$6</f>
        <v>0</v>
      </c>
      <c r="BG94" s="840"/>
      <c r="BH94" s="835">
        <f>'1.BS (VND)'!BC68/$C$6</f>
        <v>0</v>
      </c>
      <c r="BI94" s="835">
        <f>'1.BS (VND)'!BD68/$C$6</f>
        <v>0</v>
      </c>
      <c r="BJ94" s="835">
        <f>'1.BS (VND)'!BE68/$C$6</f>
        <v>0</v>
      </c>
      <c r="BK94" s="835">
        <f>'1.BS (VND)'!BF68/$C$6</f>
        <v>0</v>
      </c>
      <c r="BL94" s="840"/>
      <c r="BM94" s="835">
        <f>'1.BS (VND)'!BH68/$C$6</f>
        <v>0</v>
      </c>
      <c r="BN94" s="835">
        <f>'1.BS (VND)'!BI68/$C$6</f>
        <v>0</v>
      </c>
      <c r="BO94" s="835">
        <f>'1.BS (VND)'!BJ68/$C$6</f>
        <v>0</v>
      </c>
      <c r="BP94" s="835">
        <f>'1.BS (VND)'!BK68/$C$6</f>
        <v>0</v>
      </c>
      <c r="BQ94" s="841"/>
      <c r="BR94" s="835">
        <f t="shared" si="114"/>
        <v>0</v>
      </c>
      <c r="BS94" s="835">
        <f t="shared" si="115"/>
        <v>0</v>
      </c>
      <c r="BT94" s="835">
        <f t="shared" si="116"/>
        <v>0</v>
      </c>
      <c r="BU94" s="835">
        <f t="shared" si="117"/>
        <v>0</v>
      </c>
      <c r="BV94" s="842"/>
      <c r="BW94" s="835">
        <f t="shared" si="118"/>
        <v>0</v>
      </c>
      <c r="BX94" s="835">
        <f t="shared" si="119"/>
        <v>0</v>
      </c>
      <c r="BY94" s="835">
        <f t="shared" si="120"/>
        <v>0</v>
      </c>
      <c r="BZ94" s="835">
        <f t="shared" si="121"/>
        <v>0</v>
      </c>
      <c r="CA94" s="840"/>
      <c r="CB94" s="835">
        <f t="shared" si="122"/>
        <v>0</v>
      </c>
      <c r="CC94" s="835">
        <f t="shared" si="123"/>
        <v>0</v>
      </c>
      <c r="CD94" s="835">
        <f t="shared" si="124"/>
        <v>0</v>
      </c>
      <c r="CE94" s="835">
        <f t="shared" si="125"/>
        <v>0</v>
      </c>
      <c r="CF94" s="840"/>
      <c r="CG94" s="835">
        <f t="shared" si="126"/>
        <v>0</v>
      </c>
      <c r="CH94" s="835">
        <f t="shared" si="127"/>
        <v>0</v>
      </c>
      <c r="CI94" s="835">
        <f t="shared" si="128"/>
        <v>0</v>
      </c>
      <c r="CJ94" s="835">
        <f t="shared" si="129"/>
        <v>0</v>
      </c>
      <c r="CK94" s="840"/>
      <c r="CL94" s="835">
        <f t="shared" si="130"/>
        <v>0</v>
      </c>
      <c r="CM94" s="835">
        <f t="shared" si="131"/>
        <v>0</v>
      </c>
      <c r="CN94" s="835">
        <f t="shared" si="132"/>
        <v>0</v>
      </c>
      <c r="CO94" s="835">
        <f t="shared" si="133"/>
        <v>0</v>
      </c>
      <c r="CP94" s="840"/>
      <c r="CQ94" s="835">
        <f t="shared" si="134"/>
        <v>0</v>
      </c>
      <c r="CR94" s="835">
        <f t="shared" si="135"/>
        <v>0</v>
      </c>
      <c r="CS94" s="835">
        <f t="shared" si="136"/>
        <v>0</v>
      </c>
      <c r="CT94" s="835">
        <f t="shared" si="137"/>
        <v>0</v>
      </c>
      <c r="CU94" s="842"/>
      <c r="CV94" s="835">
        <f t="shared" si="138"/>
        <v>0</v>
      </c>
      <c r="CW94" s="835">
        <f t="shared" si="138"/>
        <v>0</v>
      </c>
      <c r="CX94" s="835">
        <f t="shared" si="138"/>
        <v>0</v>
      </c>
      <c r="CY94" s="835">
        <f t="shared" si="138"/>
        <v>0</v>
      </c>
      <c r="CZ94" s="842"/>
      <c r="DA94" s="835">
        <f>'1.BS (VND)'!CV68/'1.BC_Ra Soat (ty) '!$C$6</f>
        <v>0</v>
      </c>
      <c r="DB94" s="835">
        <f>'1.BS (VND)'!CW68/'1.BC_Ra Soat (ty) '!$C$6</f>
        <v>0</v>
      </c>
      <c r="DC94" s="835">
        <f>'1.BS (VND)'!CX68/'1.BC_Ra Soat (ty) '!$C$6</f>
        <v>0</v>
      </c>
      <c r="DD94" s="835">
        <f>'1.BS (VND)'!CY68/'1.BC_Ra Soat (ty) '!$C$6</f>
        <v>0</v>
      </c>
      <c r="DE94" s="842"/>
      <c r="DF94" s="835">
        <f t="shared" si="110"/>
        <v>0</v>
      </c>
      <c r="DG94" s="835">
        <f t="shared" si="109"/>
        <v>0</v>
      </c>
      <c r="DH94" s="835">
        <f t="shared" si="109"/>
        <v>0</v>
      </c>
      <c r="DI94" s="835">
        <f t="shared" si="109"/>
        <v>0</v>
      </c>
    </row>
    <row r="95" spans="1:114" s="441" customFormat="1" ht="15.75" hidden="1" x14ac:dyDescent="0.25">
      <c r="A95" s="447" t="str">
        <f t="shared" si="111"/>
        <v>hide</v>
      </c>
      <c r="C95" s="452" t="s">
        <v>403</v>
      </c>
      <c r="D95" s="453" t="s">
        <v>404</v>
      </c>
      <c r="E95" s="835">
        <f>'1.BS (VND)'!E69/$C$6</f>
        <v>0</v>
      </c>
      <c r="F95" s="835">
        <f>'1.BS (VND)'!F69/$C$6</f>
        <v>0</v>
      </c>
      <c r="G95" s="835">
        <f>'1.BS (VND)'!G69/$C$6</f>
        <v>0</v>
      </c>
      <c r="H95" s="835">
        <f>'1.BS (VND)'!H69/$C$6</f>
        <v>0</v>
      </c>
      <c r="I95" s="842"/>
      <c r="J95" s="835">
        <f>'1.BS (VND)'!J69/$C$6</f>
        <v>0</v>
      </c>
      <c r="K95" s="835">
        <f>'1.BS (VND)'!K69/$C$6</f>
        <v>0</v>
      </c>
      <c r="L95" s="835">
        <f>'1.BS (VND)'!L69/$C$6</f>
        <v>0</v>
      </c>
      <c r="M95" s="835">
        <f>'1.BS (VND)'!M69/$C$6</f>
        <v>0</v>
      </c>
      <c r="N95" s="840"/>
      <c r="O95" s="835">
        <f>'1.BS (VND)'!O69/$C$6</f>
        <v>0</v>
      </c>
      <c r="P95" s="835">
        <f>'1.BS (VND)'!P69/$C$6</f>
        <v>0</v>
      </c>
      <c r="Q95" s="835">
        <f>'1.BS (VND)'!Q69/$C$6</f>
        <v>0</v>
      </c>
      <c r="R95" s="835">
        <f>'1.BS (VND)'!R69/$C$6</f>
        <v>0</v>
      </c>
      <c r="S95" s="840"/>
      <c r="T95" s="835">
        <f>'1.BS (VND)'!T69/$C$6</f>
        <v>0</v>
      </c>
      <c r="U95" s="835">
        <f>'1.BS (VND)'!U69/$C$6</f>
        <v>0</v>
      </c>
      <c r="V95" s="835">
        <f>'1.BS (VND)'!V69/$C$6</f>
        <v>0</v>
      </c>
      <c r="W95" s="835">
        <f>'1.BS (VND)'!W69/$C$6</f>
        <v>0</v>
      </c>
      <c r="X95" s="840"/>
      <c r="Y95" s="835">
        <f>'1.BS (VND)'!Y69/$C$6</f>
        <v>0</v>
      </c>
      <c r="Z95" s="835">
        <f>'1.BS (VND)'!Z69/$C$6</f>
        <v>0</v>
      </c>
      <c r="AA95" s="835">
        <f>'1.BS (VND)'!AA69/$C$6</f>
        <v>0</v>
      </c>
      <c r="AB95" s="835">
        <f>'1.BS (VND)'!AB69/$C$6</f>
        <v>0</v>
      </c>
      <c r="AC95" s="840"/>
      <c r="AD95" s="835">
        <f>'1.BS (VND)'!AD69/$C$6</f>
        <v>0</v>
      </c>
      <c r="AE95" s="835">
        <f>'1.BS (VND)'!AE69/$C$6</f>
        <v>0</v>
      </c>
      <c r="AF95" s="835">
        <f>'1.BS (VND)'!AF69/$C$6</f>
        <v>0</v>
      </c>
      <c r="AG95" s="835">
        <f>'1.BS (VND)'!AG69/$C$6</f>
        <v>0</v>
      </c>
      <c r="AH95" s="841"/>
      <c r="AI95" s="835">
        <f t="shared" si="112"/>
        <v>0</v>
      </c>
      <c r="AJ95" s="835">
        <f t="shared" si="112"/>
        <v>0</v>
      </c>
      <c r="AK95" s="835">
        <f t="shared" si="112"/>
        <v>0</v>
      </c>
      <c r="AL95" s="835">
        <f t="shared" si="139"/>
        <v>0</v>
      </c>
      <c r="AM95" s="842"/>
      <c r="AN95" s="835">
        <f>'1.BS (VND)'!AI69/$C$6</f>
        <v>0</v>
      </c>
      <c r="AO95" s="835">
        <f>'1.BS (VND)'!AJ69/$C$6</f>
        <v>0</v>
      </c>
      <c r="AP95" s="835">
        <f>'1.BS (VND)'!AK69/$C$6</f>
        <v>0</v>
      </c>
      <c r="AQ95" s="835">
        <f>'1.BS (VND)'!AL69/$C$6</f>
        <v>0</v>
      </c>
      <c r="AR95" s="842"/>
      <c r="AS95" s="835">
        <f>'1.BS (VND)'!AN69/$C$6</f>
        <v>0</v>
      </c>
      <c r="AT95" s="835">
        <f>'1.BS (VND)'!AO69/$C$6</f>
        <v>0</v>
      </c>
      <c r="AU95" s="835">
        <f>'1.BS (VND)'!AP69/$C$6</f>
        <v>0</v>
      </c>
      <c r="AV95" s="835">
        <f>'1.BS (VND)'!AQ69/$C$6</f>
        <v>0</v>
      </c>
      <c r="AW95" s="840"/>
      <c r="AX95" s="835">
        <f>'1.BS (VND)'!AS69/$C$6</f>
        <v>0</v>
      </c>
      <c r="AY95" s="835">
        <f>'1.BS (VND)'!AT69/$C$6</f>
        <v>0</v>
      </c>
      <c r="AZ95" s="835">
        <f>'1.BS (VND)'!AU69/$C$6</f>
        <v>0</v>
      </c>
      <c r="BA95" s="835">
        <f>'1.BS (VND)'!AV69/$C$6</f>
        <v>0</v>
      </c>
      <c r="BB95" s="840"/>
      <c r="BC95" s="835">
        <f>'1.BS (VND)'!AX69/$C$6</f>
        <v>0</v>
      </c>
      <c r="BD95" s="835">
        <f>'1.BS (VND)'!AY69/$C$6</f>
        <v>0</v>
      </c>
      <c r="BE95" s="835">
        <f>'1.BS (VND)'!AZ69/$C$6</f>
        <v>0</v>
      </c>
      <c r="BF95" s="835">
        <f>'1.BS (VND)'!BA69/$C$6</f>
        <v>0</v>
      </c>
      <c r="BG95" s="840"/>
      <c r="BH95" s="835">
        <f>'1.BS (VND)'!BC69/$C$6</f>
        <v>0</v>
      </c>
      <c r="BI95" s="835">
        <f>'1.BS (VND)'!BD69/$C$6</f>
        <v>0</v>
      </c>
      <c r="BJ95" s="835">
        <f>'1.BS (VND)'!BE69/$C$6</f>
        <v>0</v>
      </c>
      <c r="BK95" s="835">
        <f>'1.BS (VND)'!BF69/$C$6</f>
        <v>0</v>
      </c>
      <c r="BL95" s="840"/>
      <c r="BM95" s="835">
        <f>'1.BS (VND)'!BH69/$C$6</f>
        <v>0</v>
      </c>
      <c r="BN95" s="835">
        <f>'1.BS (VND)'!BI69/$C$6</f>
        <v>0</v>
      </c>
      <c r="BO95" s="835">
        <f>'1.BS (VND)'!BJ69/$C$6</f>
        <v>0</v>
      </c>
      <c r="BP95" s="835">
        <f>'1.BS (VND)'!BK69/$C$6</f>
        <v>0</v>
      </c>
      <c r="BQ95" s="841"/>
      <c r="BR95" s="835">
        <f t="shared" si="114"/>
        <v>0</v>
      </c>
      <c r="BS95" s="835">
        <f t="shared" si="115"/>
        <v>0</v>
      </c>
      <c r="BT95" s="835">
        <f t="shared" si="116"/>
        <v>0</v>
      </c>
      <c r="BU95" s="835">
        <f t="shared" si="117"/>
        <v>0</v>
      </c>
      <c r="BV95" s="842"/>
      <c r="BW95" s="835">
        <f t="shared" si="118"/>
        <v>0</v>
      </c>
      <c r="BX95" s="835">
        <f t="shared" si="119"/>
        <v>0</v>
      </c>
      <c r="BY95" s="835">
        <f t="shared" si="120"/>
        <v>0</v>
      </c>
      <c r="BZ95" s="835">
        <f t="shared" si="121"/>
        <v>0</v>
      </c>
      <c r="CA95" s="840"/>
      <c r="CB95" s="835">
        <f t="shared" si="122"/>
        <v>0</v>
      </c>
      <c r="CC95" s="835">
        <f t="shared" si="123"/>
        <v>0</v>
      </c>
      <c r="CD95" s="835">
        <f t="shared" si="124"/>
        <v>0</v>
      </c>
      <c r="CE95" s="835">
        <f t="shared" si="125"/>
        <v>0</v>
      </c>
      <c r="CF95" s="840"/>
      <c r="CG95" s="835">
        <f t="shared" si="126"/>
        <v>0</v>
      </c>
      <c r="CH95" s="835">
        <f t="shared" si="127"/>
        <v>0</v>
      </c>
      <c r="CI95" s="835">
        <f t="shared" si="128"/>
        <v>0</v>
      </c>
      <c r="CJ95" s="835">
        <f t="shared" si="129"/>
        <v>0</v>
      </c>
      <c r="CK95" s="840"/>
      <c r="CL95" s="835">
        <f t="shared" si="130"/>
        <v>0</v>
      </c>
      <c r="CM95" s="835">
        <f t="shared" si="131"/>
        <v>0</v>
      </c>
      <c r="CN95" s="835">
        <f t="shared" si="132"/>
        <v>0</v>
      </c>
      <c r="CO95" s="835">
        <f t="shared" si="133"/>
        <v>0</v>
      </c>
      <c r="CP95" s="840"/>
      <c r="CQ95" s="835">
        <f t="shared" si="134"/>
        <v>0</v>
      </c>
      <c r="CR95" s="835">
        <f t="shared" si="135"/>
        <v>0</v>
      </c>
      <c r="CS95" s="835">
        <f t="shared" si="136"/>
        <v>0</v>
      </c>
      <c r="CT95" s="835">
        <f t="shared" si="137"/>
        <v>0</v>
      </c>
      <c r="CU95" s="842"/>
      <c r="CV95" s="835">
        <f t="shared" si="138"/>
        <v>0</v>
      </c>
      <c r="CW95" s="835">
        <f t="shared" si="138"/>
        <v>0</v>
      </c>
      <c r="CX95" s="835">
        <f t="shared" si="138"/>
        <v>0</v>
      </c>
      <c r="CY95" s="835">
        <f t="shared" si="138"/>
        <v>0</v>
      </c>
      <c r="CZ95" s="842"/>
      <c r="DA95" s="835">
        <f>'1.BS (VND)'!CV69/'1.BC_Ra Soat (ty) '!$C$6</f>
        <v>0</v>
      </c>
      <c r="DB95" s="835">
        <f>'1.BS (VND)'!CW69/'1.BC_Ra Soat (ty) '!$C$6</f>
        <v>0</v>
      </c>
      <c r="DC95" s="835">
        <f>'1.BS (VND)'!CX69/'1.BC_Ra Soat (ty) '!$C$6</f>
        <v>0</v>
      </c>
      <c r="DD95" s="835">
        <f>'1.BS (VND)'!CY69/'1.BC_Ra Soat (ty) '!$C$6</f>
        <v>0</v>
      </c>
      <c r="DE95" s="842"/>
      <c r="DF95" s="835">
        <f t="shared" si="110"/>
        <v>0</v>
      </c>
      <c r="DG95" s="835">
        <f t="shared" si="109"/>
        <v>0</v>
      </c>
      <c r="DH95" s="835">
        <f t="shared" si="109"/>
        <v>0</v>
      </c>
      <c r="DI95" s="835">
        <f t="shared" si="109"/>
        <v>0</v>
      </c>
      <c r="DJ95" s="444"/>
    </row>
    <row r="96" spans="1:114" s="248" customFormat="1" ht="15.75" x14ac:dyDescent="0.25">
      <c r="A96" s="447">
        <f t="shared" si="111"/>
        <v>1</v>
      </c>
      <c r="C96" s="298" t="s">
        <v>583</v>
      </c>
      <c r="D96" s="299" t="s">
        <v>405</v>
      </c>
      <c r="E96" s="969">
        <f>'1.BS (VND)'!E70/'1.BC_Ra Soat (ty) '!$C$6</f>
        <v>245.70008859999999</v>
      </c>
      <c r="F96" s="969">
        <f>'1.BS (VND)'!F70/'1.BC_Ra Soat (ty) '!$C$6</f>
        <v>207.17686413499999</v>
      </c>
      <c r="G96" s="969">
        <f>'1.BS (VND)'!G70/'1.BC_Ra Soat (ty) '!$C$6</f>
        <v>240.655602853</v>
      </c>
      <c r="H96" s="969">
        <f>'1.BS (VND)'!H70/'1.BC_Ra Soat (ty) '!$C$6</f>
        <v>381.61625928299998</v>
      </c>
      <c r="I96" s="839"/>
      <c r="J96" s="969">
        <f>'1.BS (VND)'!J70/'1.BC_Ra Soat (ty) '!$C$6</f>
        <v>4.0594891510000002</v>
      </c>
      <c r="K96" s="969">
        <f>'1.BS (VND)'!K70/'1.BC_Ra Soat (ty) '!$C$6</f>
        <v>53.478751189</v>
      </c>
      <c r="L96" s="969">
        <f>'1.BS (VND)'!L70/'1.BC_Ra Soat (ty) '!$C$6</f>
        <v>87.545523709999998</v>
      </c>
      <c r="M96" s="969">
        <f>'1.BS (VND)'!M70/'1.BC_Ra Soat (ty) '!$C$6</f>
        <v>144.94486893499999</v>
      </c>
      <c r="N96" s="837"/>
      <c r="O96" s="969">
        <f>'1.BS (VND)'!O70/'1.BC_Ra Soat (ty) '!$C$6</f>
        <v>57.981954109</v>
      </c>
      <c r="P96" s="969">
        <f>'1.BS (VND)'!P70/'1.BC_Ra Soat (ty) '!$C$6</f>
        <v>32.961773194999999</v>
      </c>
      <c r="Q96" s="969">
        <f>'1.BS (VND)'!Q70/'1.BC_Ra Soat (ty) '!$C$6</f>
        <v>63.544536051999998</v>
      </c>
      <c r="R96" s="969">
        <f>'1.BS (VND)'!R70/'1.BC_Ra Soat (ty) '!$C$6</f>
        <v>53.962440952999998</v>
      </c>
      <c r="S96" s="844"/>
      <c r="T96" s="969">
        <f>'1.BS (VND)'!T70/$C$6</f>
        <v>38.206005439999998</v>
      </c>
      <c r="U96" s="969">
        <f>'1.BS (VND)'!U70/$C$6</f>
        <v>34.246112717000003</v>
      </c>
      <c r="V96" s="969">
        <f>'1.BS (VND)'!V70/$C$6</f>
        <v>36.455182239999999</v>
      </c>
      <c r="W96" s="969">
        <f>'1.BS (VND)'!W70/$C$6</f>
        <v>71.046960819000006</v>
      </c>
      <c r="X96" s="844"/>
      <c r="Y96" s="969">
        <f>'1.BS (VND)'!Y70/$C$6</f>
        <v>0</v>
      </c>
      <c r="Z96" s="969">
        <f>'1.BS (VND)'!Z70/$C$6</f>
        <v>0</v>
      </c>
      <c r="AA96" s="969">
        <f>'1.BS (VND)'!AA70/$C$6</f>
        <v>0</v>
      </c>
      <c r="AB96" s="969">
        <f>'1.BS (VND)'!AB70/$C$6</f>
        <v>0</v>
      </c>
      <c r="AC96" s="837"/>
      <c r="AD96" s="969">
        <f>IF($D$3=0,0,'1.BS (VND)'!AD70/'1.BC_Ra Soat (ty) '!$C$6)</f>
        <v>0</v>
      </c>
      <c r="AE96" s="969">
        <f>IF($D$3=0,0,'1.BS (VND)'!AE70/'1.BC_Ra Soat (ty) '!$C$6)</f>
        <v>0</v>
      </c>
      <c r="AF96" s="969">
        <f>IF($D$3=0,0,'1.BS (VND)'!AF70/'1.BC_Ra Soat (ty) '!$C$6)</f>
        <v>0</v>
      </c>
      <c r="AG96" s="969">
        <f>IF($D$3=0,0,'1.BS (VND)'!AG70/'1.BC_Ra Soat (ty) '!$C$6)</f>
        <v>0</v>
      </c>
      <c r="AH96" s="838"/>
      <c r="AI96" s="969">
        <f t="shared" si="112"/>
        <v>345.94753730000002</v>
      </c>
      <c r="AJ96" s="969">
        <f t="shared" si="112"/>
        <v>327.86350123599999</v>
      </c>
      <c r="AK96" s="969">
        <f t="shared" si="112"/>
        <v>428.20084485500001</v>
      </c>
      <c r="AL96" s="969">
        <f>SUM(H96,M96,R96,W96,AG96)</f>
        <v>651.57052998999995</v>
      </c>
      <c r="AM96" s="839"/>
      <c r="AN96" s="969">
        <f>'1.BS (VND)'!AI70/$C$6</f>
        <v>0</v>
      </c>
      <c r="AO96" s="969">
        <f>'1.BS (VND)'!AJ70/$C$6</f>
        <v>0</v>
      </c>
      <c r="AP96" s="969">
        <f>'1.BS (VND)'!AK70/$C$6</f>
        <v>-10.749717626000001</v>
      </c>
      <c r="AQ96" s="969">
        <f>'1.BS (VND)'!AL70/$C$6</f>
        <v>-15.373321514000001</v>
      </c>
      <c r="AR96" s="839"/>
      <c r="AS96" s="969">
        <f>'1.BS (VND)'!AN70/$C$6</f>
        <v>0</v>
      </c>
      <c r="AT96" s="969">
        <f>'1.BS (VND)'!AO70/$C$6</f>
        <v>0</v>
      </c>
      <c r="AU96" s="969">
        <f>'1.BS (VND)'!AP70/$C$6</f>
        <v>-0.74154054899999999</v>
      </c>
      <c r="AV96" s="969">
        <f>'1.BS (VND)'!AQ70/$C$6</f>
        <v>-0.74154054899999999</v>
      </c>
      <c r="AW96" s="837"/>
      <c r="AX96" s="969">
        <f>'1.BS (VND)'!AS70/$C$6</f>
        <v>0</v>
      </c>
      <c r="AY96" s="969">
        <f>'1.BS (VND)'!AT70/$C$6</f>
        <v>0</v>
      </c>
      <c r="AZ96" s="969">
        <f>'1.BS (VND)'!AU70/$C$6</f>
        <v>-0.84688822900000005</v>
      </c>
      <c r="BA96" s="969">
        <f>'1.BS (VND)'!AV70/$C$6</f>
        <v>-5.7968882290000003</v>
      </c>
      <c r="BB96" s="837"/>
      <c r="BC96" s="969">
        <f>'1.BS (VND)'!AX70/$C$6</f>
        <v>0</v>
      </c>
      <c r="BD96" s="969">
        <f>'1.BS (VND)'!AY70/$C$6</f>
        <v>0</v>
      </c>
      <c r="BE96" s="969">
        <f>'1.BS (VND)'!AZ70/$C$6</f>
        <v>-1.2623553489999999</v>
      </c>
      <c r="BF96" s="969">
        <f>'1.BS (VND)'!BA70/$C$6</f>
        <v>-6.2623553489999999</v>
      </c>
      <c r="BG96" s="837"/>
      <c r="BH96" s="969">
        <f>'1.BS (VND)'!BC70/$C$6</f>
        <v>0</v>
      </c>
      <c r="BI96" s="969">
        <f>'1.BS (VND)'!BD70/$C$6</f>
        <v>0</v>
      </c>
      <c r="BJ96" s="969">
        <f>'1.BS (VND)'!BE70/$C$6</f>
        <v>0</v>
      </c>
      <c r="BK96" s="969">
        <f>'1.BS (VND)'!BF70/$C$6</f>
        <v>0</v>
      </c>
      <c r="BL96" s="837"/>
      <c r="BM96" s="969">
        <f>'1.BS (VND)'!BH70/$C$6</f>
        <v>0</v>
      </c>
      <c r="BN96" s="969">
        <f>'1.BS (VND)'!BI70/$C$6</f>
        <v>0</v>
      </c>
      <c r="BO96" s="969">
        <f>'1.BS (VND)'!BJ70/$C$6</f>
        <v>0</v>
      </c>
      <c r="BP96" s="969">
        <f>'1.BS (VND)'!BK70/$C$6</f>
        <v>0</v>
      </c>
      <c r="BQ96" s="838"/>
      <c r="BR96" s="969">
        <f t="shared" si="114"/>
        <v>245.70008859999999</v>
      </c>
      <c r="BS96" s="969">
        <f t="shared" si="115"/>
        <v>207.17686413499999</v>
      </c>
      <c r="BT96" s="969">
        <f t="shared" si="116"/>
        <v>229.905885227</v>
      </c>
      <c r="BU96" s="969">
        <f t="shared" si="117"/>
        <v>366.24293776899998</v>
      </c>
      <c r="BV96" s="839"/>
      <c r="BW96" s="969">
        <f t="shared" si="118"/>
        <v>4.0594891510000002</v>
      </c>
      <c r="BX96" s="969">
        <f t="shared" si="119"/>
        <v>53.478751189</v>
      </c>
      <c r="BY96" s="969">
        <f t="shared" si="120"/>
        <v>86.803983160999991</v>
      </c>
      <c r="BZ96" s="969">
        <f t="shared" si="121"/>
        <v>144.20332838599998</v>
      </c>
      <c r="CA96" s="837"/>
      <c r="CB96" s="969">
        <f t="shared" si="122"/>
        <v>57.981954109</v>
      </c>
      <c r="CC96" s="969">
        <f t="shared" si="123"/>
        <v>32.961773194999999</v>
      </c>
      <c r="CD96" s="969">
        <f t="shared" si="124"/>
        <v>62.697647822999997</v>
      </c>
      <c r="CE96" s="969">
        <f t="shared" si="125"/>
        <v>48.165552723999994</v>
      </c>
      <c r="CF96" s="837"/>
      <c r="CG96" s="969">
        <f t="shared" si="126"/>
        <v>38.206005439999998</v>
      </c>
      <c r="CH96" s="969">
        <f t="shared" si="127"/>
        <v>34.246112717000003</v>
      </c>
      <c r="CI96" s="969">
        <f t="shared" si="128"/>
        <v>35.192826890999996</v>
      </c>
      <c r="CJ96" s="969">
        <f t="shared" si="129"/>
        <v>64.784605470000002</v>
      </c>
      <c r="CK96" s="837"/>
      <c r="CL96" s="969">
        <f t="shared" si="130"/>
        <v>0</v>
      </c>
      <c r="CM96" s="969">
        <f t="shared" si="131"/>
        <v>0</v>
      </c>
      <c r="CN96" s="969">
        <f t="shared" si="132"/>
        <v>0</v>
      </c>
      <c r="CO96" s="969">
        <f t="shared" si="133"/>
        <v>0</v>
      </c>
      <c r="CP96" s="837"/>
      <c r="CQ96" s="969">
        <f t="shared" si="134"/>
        <v>0</v>
      </c>
      <c r="CR96" s="969">
        <f t="shared" si="135"/>
        <v>0</v>
      </c>
      <c r="CS96" s="969">
        <f t="shared" si="136"/>
        <v>0</v>
      </c>
      <c r="CT96" s="969">
        <f t="shared" si="137"/>
        <v>0</v>
      </c>
      <c r="CU96" s="839"/>
      <c r="CV96" s="969">
        <f t="shared" si="138"/>
        <v>345.94753730000002</v>
      </c>
      <c r="CW96" s="969">
        <f t="shared" si="138"/>
        <v>327.86350123599999</v>
      </c>
      <c r="CX96" s="969">
        <f t="shared" si="138"/>
        <v>414.60034310200001</v>
      </c>
      <c r="CY96" s="969">
        <f t="shared" si="138"/>
        <v>623.39642434899997</v>
      </c>
      <c r="CZ96" s="839"/>
      <c r="DA96" s="969">
        <f>'1.BS (VND)'!CV70/'1.BC_Ra Soat (ty) '!$C$6</f>
        <v>0</v>
      </c>
      <c r="DB96" s="969">
        <f>'1.BS (VND)'!CW70/'1.BC_Ra Soat (ty) '!$C$6</f>
        <v>0</v>
      </c>
      <c r="DC96" s="969">
        <f>'1.BS (VND)'!CX70/'1.BC_Ra Soat (ty) '!$C$6</f>
        <v>0</v>
      </c>
      <c r="DD96" s="969">
        <f>'1.BS (VND)'!CY70/'1.BC_Ra Soat (ty) '!$C$6</f>
        <v>0</v>
      </c>
      <c r="DE96" s="839"/>
      <c r="DF96" s="969">
        <f t="shared" si="110"/>
        <v>345.94753730000002</v>
      </c>
      <c r="DG96" s="969">
        <f t="shared" si="109"/>
        <v>327.86350123599999</v>
      </c>
      <c r="DH96" s="969">
        <f t="shared" si="109"/>
        <v>414.60034310200001</v>
      </c>
      <c r="DI96" s="969">
        <f t="shared" si="109"/>
        <v>623.39642434899997</v>
      </c>
      <c r="DJ96" s="267"/>
    </row>
    <row r="97" spans="1:114" s="441" customFormat="1" ht="15.75" x14ac:dyDescent="0.25">
      <c r="A97" s="447">
        <f t="shared" si="111"/>
        <v>1</v>
      </c>
      <c r="C97" s="456"/>
      <c r="D97" s="456"/>
      <c r="E97" s="457"/>
      <c r="F97" s="457"/>
      <c r="G97" s="457"/>
      <c r="H97" s="457"/>
      <c r="I97" s="455"/>
      <c r="J97" s="457"/>
      <c r="K97" s="457"/>
      <c r="L97" s="457"/>
      <c r="M97" s="457"/>
      <c r="N97" s="454"/>
      <c r="O97" s="457"/>
      <c r="P97" s="457"/>
      <c r="Q97" s="457"/>
      <c r="R97" s="457"/>
      <c r="S97" s="454"/>
      <c r="T97" s="457"/>
      <c r="U97" s="457"/>
      <c r="V97" s="457"/>
      <c r="W97" s="457"/>
      <c r="X97" s="454"/>
      <c r="Y97" s="457"/>
      <c r="Z97" s="457"/>
      <c r="AA97" s="457"/>
      <c r="AB97" s="457"/>
      <c r="AC97" s="454"/>
      <c r="AD97" s="457"/>
      <c r="AE97" s="457"/>
      <c r="AF97" s="457"/>
      <c r="AG97" s="457"/>
      <c r="AH97" s="454"/>
      <c r="AI97" s="457"/>
      <c r="AJ97" s="457"/>
      <c r="AK97" s="457"/>
      <c r="AL97" s="457"/>
      <c r="AM97" s="444"/>
      <c r="AN97" s="457"/>
      <c r="AO97" s="457"/>
      <c r="AP97" s="457"/>
      <c r="AQ97" s="457"/>
      <c r="AR97" s="455"/>
      <c r="AS97" s="457"/>
      <c r="AT97" s="457"/>
      <c r="AU97" s="457"/>
      <c r="AV97" s="457"/>
      <c r="AW97" s="454"/>
      <c r="AX97" s="457"/>
      <c r="AY97" s="457"/>
      <c r="AZ97" s="457"/>
      <c r="BA97" s="457"/>
      <c r="BB97" s="454"/>
      <c r="BC97" s="457"/>
      <c r="BD97" s="457"/>
      <c r="BE97" s="457"/>
      <c r="BF97" s="457"/>
      <c r="BG97" s="454"/>
      <c r="BH97" s="457"/>
      <c r="BI97" s="457"/>
      <c r="BJ97" s="457"/>
      <c r="BK97" s="457"/>
      <c r="BL97" s="454"/>
      <c r="BM97" s="457"/>
      <c r="BN97" s="457"/>
      <c r="BO97" s="457"/>
      <c r="BP97" s="457"/>
      <c r="BQ97" s="454"/>
      <c r="BR97" s="457"/>
      <c r="BS97" s="457"/>
      <c r="BT97" s="457"/>
      <c r="BU97" s="457"/>
      <c r="BV97" s="455"/>
      <c r="BW97" s="457"/>
      <c r="BX97" s="457"/>
      <c r="BY97" s="457"/>
      <c r="BZ97" s="457"/>
      <c r="CA97" s="454"/>
      <c r="CB97" s="457"/>
      <c r="CC97" s="457"/>
      <c r="CD97" s="457"/>
      <c r="CE97" s="457"/>
      <c r="CF97" s="454"/>
      <c r="CG97" s="457"/>
      <c r="CH97" s="457"/>
      <c r="CI97" s="457">
        <v>1</v>
      </c>
      <c r="CJ97" s="457"/>
      <c r="CK97" s="454"/>
      <c r="CL97" s="457"/>
      <c r="CM97" s="457"/>
      <c r="CN97" s="457"/>
      <c r="CO97" s="457"/>
      <c r="CP97" s="454"/>
      <c r="CQ97" s="457"/>
      <c r="CR97" s="457"/>
      <c r="CS97" s="457"/>
      <c r="CT97" s="457"/>
      <c r="CV97" s="457"/>
      <c r="CW97" s="457"/>
      <c r="CX97" s="457"/>
      <c r="CY97" s="457"/>
      <c r="DA97" s="457"/>
      <c r="DB97" s="457"/>
      <c r="DC97" s="457"/>
      <c r="DD97" s="457"/>
      <c r="DF97" s="457"/>
      <c r="DG97" s="457"/>
      <c r="DH97" s="457"/>
      <c r="DI97" s="457"/>
      <c r="DJ97" s="444"/>
    </row>
    <row r="98" spans="1:114" s="441" customFormat="1" ht="15.75" hidden="1" x14ac:dyDescent="0.25">
      <c r="A98" s="447" t="str">
        <f t="shared" si="111"/>
        <v>hide</v>
      </c>
      <c r="C98" s="866" t="s">
        <v>584</v>
      </c>
      <c r="D98" s="867"/>
      <c r="E98" s="458"/>
      <c r="F98" s="458"/>
      <c r="G98" s="458"/>
      <c r="H98" s="458"/>
      <c r="I98" s="455"/>
      <c r="J98" s="458"/>
      <c r="K98" s="458"/>
      <c r="L98" s="458"/>
      <c r="M98" s="458"/>
      <c r="N98" s="454"/>
      <c r="O98" s="458"/>
      <c r="P98" s="458"/>
      <c r="Q98" s="458"/>
      <c r="R98" s="458"/>
      <c r="S98" s="454"/>
      <c r="T98" s="458"/>
      <c r="U98" s="458"/>
      <c r="V98" s="458"/>
      <c r="W98" s="458"/>
      <c r="X98" s="454"/>
      <c r="Y98" s="458"/>
      <c r="Z98" s="458"/>
      <c r="AA98" s="458"/>
      <c r="AB98" s="458"/>
      <c r="AC98" s="454"/>
      <c r="AD98" s="458"/>
      <c r="AE98" s="458"/>
      <c r="AF98" s="458"/>
      <c r="AG98" s="458"/>
      <c r="AH98" s="454"/>
      <c r="AI98" s="458"/>
      <c r="AJ98" s="458"/>
      <c r="AK98" s="458"/>
      <c r="AL98" s="458"/>
      <c r="AM98" s="444"/>
      <c r="AN98" s="458"/>
      <c r="AO98" s="458"/>
      <c r="AP98" s="458"/>
      <c r="AQ98" s="458"/>
      <c r="AR98" s="455"/>
      <c r="AS98" s="458"/>
      <c r="AT98" s="458"/>
      <c r="AU98" s="458"/>
      <c r="AV98" s="458"/>
      <c r="AW98" s="454"/>
      <c r="AX98" s="458"/>
      <c r="AY98" s="458"/>
      <c r="AZ98" s="458"/>
      <c r="BA98" s="458"/>
      <c r="BB98" s="454"/>
      <c r="BC98" s="458"/>
      <c r="BD98" s="458"/>
      <c r="BE98" s="458"/>
      <c r="BF98" s="458"/>
      <c r="BG98" s="454"/>
      <c r="BH98" s="458"/>
      <c r="BI98" s="458"/>
      <c r="BJ98" s="458"/>
      <c r="BK98" s="458"/>
      <c r="BL98" s="454"/>
      <c r="BM98" s="458"/>
      <c r="BN98" s="458"/>
      <c r="BO98" s="458"/>
      <c r="BP98" s="458"/>
      <c r="BQ98" s="454"/>
      <c r="BR98" s="458"/>
      <c r="BS98" s="458"/>
      <c r="BT98" s="458"/>
      <c r="BU98" s="458"/>
      <c r="BV98" s="455"/>
      <c r="BW98" s="458"/>
      <c r="BX98" s="458"/>
      <c r="BY98" s="458"/>
      <c r="BZ98" s="458"/>
      <c r="CA98" s="454"/>
      <c r="CB98" s="458"/>
      <c r="CC98" s="458"/>
      <c r="CD98" s="458"/>
      <c r="CE98" s="458"/>
      <c r="CF98" s="454"/>
      <c r="CG98" s="458"/>
      <c r="CH98" s="458"/>
      <c r="CI98" s="458"/>
      <c r="CJ98" s="458"/>
      <c r="CK98" s="454"/>
      <c r="CL98" s="458"/>
      <c r="CM98" s="458"/>
      <c r="CN98" s="458"/>
      <c r="CO98" s="458"/>
      <c r="CP98" s="454"/>
      <c r="CQ98" s="458"/>
      <c r="CR98" s="458"/>
      <c r="CS98" s="458"/>
      <c r="CT98" s="458"/>
      <c r="CV98" s="458"/>
      <c r="CW98" s="458"/>
      <c r="CX98" s="458"/>
      <c r="CY98" s="458"/>
      <c r="DA98" s="458"/>
      <c r="DB98" s="458"/>
      <c r="DC98" s="458"/>
      <c r="DD98" s="458"/>
      <c r="DF98" s="458"/>
      <c r="DG98" s="458"/>
      <c r="DH98" s="458"/>
      <c r="DI98" s="458"/>
      <c r="DJ98" s="444"/>
    </row>
    <row r="99" spans="1:114" s="459" customFormat="1" ht="15.75" x14ac:dyDescent="0.25">
      <c r="A99" s="447">
        <f t="shared" si="111"/>
        <v>1</v>
      </c>
      <c r="C99" s="461" t="s">
        <v>585</v>
      </c>
      <c r="D99" s="462" t="s">
        <v>406</v>
      </c>
      <c r="E99" s="963">
        <f>'1.BS (VND)'!E73/$C$6</f>
        <v>215.83026061800001</v>
      </c>
      <c r="F99" s="963">
        <f>'1.BS (VND)'!F73/$C$6</f>
        <v>177.55600169900001</v>
      </c>
      <c r="G99" s="963">
        <f>'1.BS (VND)'!G73/$C$6</f>
        <v>190.84807209300001</v>
      </c>
      <c r="H99" s="963">
        <f>'1.BS (VND)'!H73/$C$6</f>
        <v>313.97162259700002</v>
      </c>
      <c r="I99" s="964"/>
      <c r="J99" s="963">
        <f>'1.BS (VND)'!J73/$C$6</f>
        <v>0</v>
      </c>
      <c r="K99" s="963">
        <f>'1.BS (VND)'!K73/$C$6</f>
        <v>39.270789405000002</v>
      </c>
      <c r="L99" s="963">
        <f>'1.BS (VND)'!L73/$C$6</f>
        <v>78.631156177999998</v>
      </c>
      <c r="M99" s="963">
        <f>'1.BS (VND)'!M73/$C$6</f>
        <v>105.287991679</v>
      </c>
      <c r="N99" s="965"/>
      <c r="O99" s="963">
        <f>'1.BS (VND)'!O73/$C$6</f>
        <v>54.588717569000003</v>
      </c>
      <c r="P99" s="963">
        <f>'1.BS (VND)'!P73/$C$6</f>
        <v>29.628812796999998</v>
      </c>
      <c r="Q99" s="963">
        <f>'1.BS (VND)'!Q73/$C$6</f>
        <v>49.182428264000002</v>
      </c>
      <c r="R99" s="963">
        <f>'1.BS (VND)'!R73/$C$6</f>
        <v>43.049801707999997</v>
      </c>
      <c r="S99" s="965"/>
      <c r="T99" s="963">
        <f>'1.BS (VND)'!T73/$C$6</f>
        <v>20.511989049</v>
      </c>
      <c r="U99" s="963">
        <f>'1.BS (VND)'!U73/$C$6</f>
        <v>16.531135185</v>
      </c>
      <c r="V99" s="963">
        <f>'1.BS (VND)'!V73/$C$6</f>
        <v>20.678767090000001</v>
      </c>
      <c r="W99" s="963">
        <f>'1.BS (VND)'!W73/$C$6</f>
        <v>57.247692966000002</v>
      </c>
      <c r="X99" s="965"/>
      <c r="Y99" s="963">
        <f>'1.BS (VND)'!Y73/$C$6</f>
        <v>0</v>
      </c>
      <c r="Z99" s="963">
        <f>'1.BS (VND)'!Z73/$C$6</f>
        <v>0</v>
      </c>
      <c r="AA99" s="963">
        <f>'1.BS (VND)'!AA73/$C$6</f>
        <v>0</v>
      </c>
      <c r="AB99" s="963">
        <f>'1.BS (VND)'!AB73/$C$6</f>
        <v>0</v>
      </c>
      <c r="AC99" s="965"/>
      <c r="AD99" s="963">
        <f>'1.BS (VND)'!AD73/$C$6</f>
        <v>0</v>
      </c>
      <c r="AE99" s="963">
        <f>'1.BS (VND)'!AE73/$C$6</f>
        <v>0</v>
      </c>
      <c r="AF99" s="963">
        <f>'1.BS (VND)'!AF73/$C$6</f>
        <v>0</v>
      </c>
      <c r="AG99" s="963">
        <f>'1.BS (VND)'!AG73/$C$6</f>
        <v>0</v>
      </c>
      <c r="AH99" s="966"/>
      <c r="AI99" s="963">
        <f t="shared" si="112"/>
        <v>290.93096723600001</v>
      </c>
      <c r="AJ99" s="963">
        <f t="shared" si="112"/>
        <v>262.986739086</v>
      </c>
      <c r="AK99" s="963">
        <f t="shared" si="112"/>
        <v>339.34042362500003</v>
      </c>
      <c r="AL99" s="963">
        <f t="shared" ref="AL99:AL149" si="140">SUM(H99,M99,R99,AG99,W99,AB99)</f>
        <v>519.55710895000004</v>
      </c>
      <c r="AM99" s="964"/>
      <c r="AN99" s="963">
        <f>'1.BS (VND)'!AI73/$C$6</f>
        <v>0</v>
      </c>
      <c r="AO99" s="963">
        <f>'1.BS (VND)'!AJ73/$C$6</f>
        <v>0</v>
      </c>
      <c r="AP99" s="963">
        <f>'1.BS (VND)'!AK73/$C$6</f>
        <v>0</v>
      </c>
      <c r="AQ99" s="963">
        <f>'1.BS (VND)'!AL73/$C$6</f>
        <v>0</v>
      </c>
      <c r="AR99" s="964"/>
      <c r="AS99" s="963">
        <f>'1.BS (VND)'!AN73/$C$6</f>
        <v>0</v>
      </c>
      <c r="AT99" s="963">
        <f>'1.BS (VND)'!AO73/$C$6</f>
        <v>0</v>
      </c>
      <c r="AU99" s="963">
        <f>'1.BS (VND)'!AP73/$C$6</f>
        <v>0</v>
      </c>
      <c r="AV99" s="963">
        <f>'1.BS (VND)'!AQ73/$C$6</f>
        <v>0</v>
      </c>
      <c r="AW99" s="965"/>
      <c r="AX99" s="963">
        <f>'1.BS (VND)'!AS73/$C$6</f>
        <v>0</v>
      </c>
      <c r="AY99" s="963">
        <f>'1.BS (VND)'!AT73/$C$6</f>
        <v>0</v>
      </c>
      <c r="AZ99" s="963">
        <f>'1.BS (VND)'!AU73/$C$6</f>
        <v>0</v>
      </c>
      <c r="BA99" s="963">
        <f>'1.BS (VND)'!AV73/$C$6</f>
        <v>0</v>
      </c>
      <c r="BB99" s="965"/>
      <c r="BC99" s="963">
        <f>'1.BS (VND)'!AX73/$C$6</f>
        <v>0</v>
      </c>
      <c r="BD99" s="963">
        <f>'1.BS (VND)'!AY73/$C$6</f>
        <v>0</v>
      </c>
      <c r="BE99" s="963">
        <f>'1.BS (VND)'!AZ73/$C$6</f>
        <v>0</v>
      </c>
      <c r="BF99" s="963">
        <f>'1.BS (VND)'!BA73/$C$6</f>
        <v>0</v>
      </c>
      <c r="BG99" s="965"/>
      <c r="BH99" s="963">
        <f>'1.BS (VND)'!BC73/$C$6</f>
        <v>0</v>
      </c>
      <c r="BI99" s="963">
        <f>'1.BS (VND)'!BD73/$C$6</f>
        <v>0</v>
      </c>
      <c r="BJ99" s="963">
        <f>'1.BS (VND)'!BE73/$C$6</f>
        <v>0</v>
      </c>
      <c r="BK99" s="963">
        <f>'1.BS (VND)'!BF73/$C$6</f>
        <v>0</v>
      </c>
      <c r="BL99" s="965"/>
      <c r="BM99" s="963">
        <f>'1.BS (VND)'!BH73/$C$6</f>
        <v>0</v>
      </c>
      <c r="BN99" s="963">
        <f>'1.BS (VND)'!BI73/$C$6</f>
        <v>0</v>
      </c>
      <c r="BO99" s="963">
        <f>'1.BS (VND)'!BJ73/$C$6</f>
        <v>0</v>
      </c>
      <c r="BP99" s="963">
        <f>'1.BS (VND)'!BK73/$C$6</f>
        <v>0</v>
      </c>
      <c r="BQ99" s="966"/>
      <c r="BR99" s="963">
        <f t="shared" ref="BR99:BR130" si="141">E99+AN99</f>
        <v>215.83026061800001</v>
      </c>
      <c r="BS99" s="963">
        <f t="shared" ref="BS99:BS130" si="142">F99+AO99</f>
        <v>177.55600169900001</v>
      </c>
      <c r="BT99" s="963">
        <f t="shared" ref="BT99:BT130" si="143">G99+AP99</f>
        <v>190.84807209300001</v>
      </c>
      <c r="BU99" s="963">
        <f t="shared" ref="BU99:BU130" si="144">H99+AQ99</f>
        <v>313.97162259700002</v>
      </c>
      <c r="BV99" s="964"/>
      <c r="BW99" s="963">
        <f t="shared" ref="BW99:BW130" si="145">J99+AS99</f>
        <v>0</v>
      </c>
      <c r="BX99" s="963">
        <f t="shared" ref="BX99:BX130" si="146">K99+AT99</f>
        <v>39.270789405000002</v>
      </c>
      <c r="BY99" s="963">
        <f t="shared" ref="BY99:BY130" si="147">L99+AU99</f>
        <v>78.631156177999998</v>
      </c>
      <c r="BZ99" s="963">
        <f t="shared" ref="BZ99:BZ130" si="148">M99+AV99</f>
        <v>105.287991679</v>
      </c>
      <c r="CA99" s="965"/>
      <c r="CB99" s="963">
        <f t="shared" ref="CB99:CB130" si="149">O99+AX99</f>
        <v>54.588717569000003</v>
      </c>
      <c r="CC99" s="963">
        <f t="shared" ref="CC99:CC130" si="150">P99+AY99</f>
        <v>29.628812796999998</v>
      </c>
      <c r="CD99" s="963">
        <f t="shared" ref="CD99:CD130" si="151">Q99+AZ99</f>
        <v>49.182428264000002</v>
      </c>
      <c r="CE99" s="963">
        <f t="shared" ref="CE99:CE130" si="152">R99+BA99</f>
        <v>43.049801707999997</v>
      </c>
      <c r="CF99" s="965"/>
      <c r="CG99" s="963">
        <f t="shared" ref="CG99:CG130" si="153">T99+BC99</f>
        <v>20.511989049</v>
      </c>
      <c r="CH99" s="963">
        <f t="shared" ref="CH99:CH130" si="154">U99+BD99</f>
        <v>16.531135185</v>
      </c>
      <c r="CI99" s="963">
        <f t="shared" ref="CI99:CI130" si="155">V99+BE99</f>
        <v>20.678767090000001</v>
      </c>
      <c r="CJ99" s="963">
        <f t="shared" ref="CJ99:CJ130" si="156">W99+BF99</f>
        <v>57.247692966000002</v>
      </c>
      <c r="CK99" s="965"/>
      <c r="CL99" s="963">
        <f t="shared" ref="CL99:CL130" si="157">Y99+BH99</f>
        <v>0</v>
      </c>
      <c r="CM99" s="963">
        <f t="shared" ref="CM99:CM130" si="158">Z99+BI99</f>
        <v>0</v>
      </c>
      <c r="CN99" s="963">
        <f t="shared" ref="CN99:CN130" si="159">AA99+BJ99</f>
        <v>0</v>
      </c>
      <c r="CO99" s="963">
        <f t="shared" ref="CO99:CO130" si="160">AB99+BK99</f>
        <v>0</v>
      </c>
      <c r="CP99" s="965"/>
      <c r="CQ99" s="963">
        <f t="shared" ref="CQ99:CQ130" si="161">AD99+BM99</f>
        <v>0</v>
      </c>
      <c r="CR99" s="963">
        <f t="shared" ref="CR99:CR130" si="162">AE99+BN99</f>
        <v>0</v>
      </c>
      <c r="CS99" s="963">
        <f t="shared" ref="CS99:CS130" si="163">AF99+BO99</f>
        <v>0</v>
      </c>
      <c r="CT99" s="963">
        <f t="shared" ref="CT99:CT130" si="164">AG99+BP99</f>
        <v>0</v>
      </c>
      <c r="CU99" s="964"/>
      <c r="CV99" s="963">
        <f t="shared" ref="CV99:CY118" si="165">SUMIF($BR$5:$CT$5,CV$5,$BR99:$CT99)</f>
        <v>290.93096723600001</v>
      </c>
      <c r="CW99" s="963">
        <f t="shared" si="165"/>
        <v>262.986739086</v>
      </c>
      <c r="CX99" s="963">
        <f t="shared" si="165"/>
        <v>339.34042362500003</v>
      </c>
      <c r="CY99" s="963">
        <f t="shared" si="165"/>
        <v>519.55710895000004</v>
      </c>
      <c r="CZ99" s="964"/>
      <c r="DA99" s="963">
        <f>'1.BS (VND)'!CV73/'1.BC_Ra Soat (ty) '!$C$6</f>
        <v>0</v>
      </c>
      <c r="DB99" s="963">
        <f>'1.BS (VND)'!CW73/'1.BC_Ra Soat (ty) '!$C$6</f>
        <v>0</v>
      </c>
      <c r="DC99" s="963">
        <f>'1.BS (VND)'!CX73/'1.BC_Ra Soat (ty) '!$C$6</f>
        <v>0</v>
      </c>
      <c r="DD99" s="963">
        <f>'1.BS (VND)'!CY73/'1.BC_Ra Soat (ty) '!$C$6</f>
        <v>0</v>
      </c>
      <c r="DE99" s="964"/>
      <c r="DF99" s="963">
        <f t="shared" ref="DF99:DI150" si="166">CV99+DA99</f>
        <v>290.93096723600001</v>
      </c>
      <c r="DG99" s="963">
        <f t="shared" si="166"/>
        <v>262.986739086</v>
      </c>
      <c r="DH99" s="963">
        <f t="shared" si="166"/>
        <v>339.34042362500003</v>
      </c>
      <c r="DI99" s="963">
        <f t="shared" si="166"/>
        <v>519.55710895000004</v>
      </c>
      <c r="DJ99" s="460"/>
    </row>
    <row r="100" spans="1:114" s="447" customFormat="1" ht="15.75" x14ac:dyDescent="0.25">
      <c r="A100" s="447">
        <f t="shared" ref="A100:A150" si="167">IF(SUM(E100:DI100)&lt;&gt;0,1,"hide")</f>
        <v>1</v>
      </c>
      <c r="C100" s="450" t="s">
        <v>407</v>
      </c>
      <c r="D100" s="451" t="s">
        <v>408</v>
      </c>
      <c r="E100" s="849">
        <f>'1.BS (VND)'!E74/$C$6</f>
        <v>215.83026061800001</v>
      </c>
      <c r="F100" s="849">
        <f>'1.BS (VND)'!F74/$C$6</f>
        <v>177.55600169900001</v>
      </c>
      <c r="G100" s="849">
        <f>'1.BS (VND)'!G74/$C$6</f>
        <v>190.84807209300001</v>
      </c>
      <c r="H100" s="849">
        <f>'1.BS (VND)'!H74/$C$6</f>
        <v>305.28037259500002</v>
      </c>
      <c r="I100" s="852"/>
      <c r="J100" s="849">
        <f>'1.BS (VND)'!J74/$C$6</f>
        <v>0</v>
      </c>
      <c r="K100" s="849">
        <f>'1.BS (VND)'!K74/$C$6</f>
        <v>39.270789405000002</v>
      </c>
      <c r="L100" s="849">
        <f>'1.BS (VND)'!L74/$C$6</f>
        <v>78.631156177999998</v>
      </c>
      <c r="M100" s="849">
        <f>'1.BS (VND)'!M74/$C$6</f>
        <v>84.293834982999996</v>
      </c>
      <c r="N100" s="850"/>
      <c r="O100" s="849">
        <f>'1.BS (VND)'!O74/$C$6</f>
        <v>54.588717569000003</v>
      </c>
      <c r="P100" s="849">
        <f>'1.BS (VND)'!P74/$C$6</f>
        <v>29.628812796999998</v>
      </c>
      <c r="Q100" s="849">
        <f>'1.BS (VND)'!Q74/$C$6</f>
        <v>49.182428264000002</v>
      </c>
      <c r="R100" s="849">
        <f>'1.BS (VND)'!R74/$C$6</f>
        <v>40.809801708000002</v>
      </c>
      <c r="S100" s="850"/>
      <c r="T100" s="849">
        <f>'1.BS (VND)'!T74/$C$6</f>
        <v>20.511989049</v>
      </c>
      <c r="U100" s="849">
        <f>'1.BS (VND)'!U74/$C$6</f>
        <v>16.531135185</v>
      </c>
      <c r="V100" s="849">
        <f>'1.BS (VND)'!V74/$C$6</f>
        <v>20.678767090000001</v>
      </c>
      <c r="W100" s="849">
        <f>'1.BS (VND)'!W74/$C$6</f>
        <v>57.247692966000002</v>
      </c>
      <c r="X100" s="850"/>
      <c r="Y100" s="849">
        <f>'1.BS (VND)'!Y74/$C$6</f>
        <v>0</v>
      </c>
      <c r="Z100" s="849">
        <f>'1.BS (VND)'!Z74/$C$6</f>
        <v>0</v>
      </c>
      <c r="AA100" s="849">
        <f>'1.BS (VND)'!AA74/$C$6</f>
        <v>0</v>
      </c>
      <c r="AB100" s="849">
        <f>'1.BS (VND)'!AB74/$C$6</f>
        <v>0</v>
      </c>
      <c r="AC100" s="850"/>
      <c r="AD100" s="849">
        <f>'1.BS (VND)'!AD74/$C$6</f>
        <v>0</v>
      </c>
      <c r="AE100" s="849">
        <f>'1.BS (VND)'!AE74/$C$6</f>
        <v>0</v>
      </c>
      <c r="AF100" s="849">
        <f>'1.BS (VND)'!AF74/$C$6</f>
        <v>0</v>
      </c>
      <c r="AG100" s="849">
        <f>'1.BS (VND)'!AG74/$C$6</f>
        <v>0</v>
      </c>
      <c r="AH100" s="851"/>
      <c r="AI100" s="849">
        <f t="shared" si="112"/>
        <v>290.93096723600001</v>
      </c>
      <c r="AJ100" s="849">
        <f t="shared" si="112"/>
        <v>262.986739086</v>
      </c>
      <c r="AK100" s="849">
        <f t="shared" si="112"/>
        <v>339.34042362500003</v>
      </c>
      <c r="AL100" s="849">
        <f t="shared" si="140"/>
        <v>487.63170225200003</v>
      </c>
      <c r="AM100" s="852"/>
      <c r="AN100" s="849">
        <f>'1.BS (VND)'!AI74/$C$6</f>
        <v>0</v>
      </c>
      <c r="AO100" s="849">
        <f>'1.BS (VND)'!AJ74/$C$6</f>
        <v>0</v>
      </c>
      <c r="AP100" s="849">
        <f>'1.BS (VND)'!AK74/$C$6</f>
        <v>0</v>
      </c>
      <c r="AQ100" s="849">
        <f>'1.BS (VND)'!AL74/$C$6</f>
        <v>0</v>
      </c>
      <c r="AR100" s="852"/>
      <c r="AS100" s="849">
        <f>'1.BS (VND)'!AN74/$C$6</f>
        <v>0</v>
      </c>
      <c r="AT100" s="849">
        <f>'1.BS (VND)'!AO74/$C$6</f>
        <v>0</v>
      </c>
      <c r="AU100" s="849">
        <f>'1.BS (VND)'!AP74/$C$6</f>
        <v>0</v>
      </c>
      <c r="AV100" s="849">
        <f>'1.BS (VND)'!AQ74/$C$6</f>
        <v>0</v>
      </c>
      <c r="AW100" s="850"/>
      <c r="AX100" s="849">
        <f>'1.BS (VND)'!AS74/$C$6</f>
        <v>0</v>
      </c>
      <c r="AY100" s="849">
        <f>'1.BS (VND)'!AT74/$C$6</f>
        <v>0</v>
      </c>
      <c r="AZ100" s="849">
        <f>'1.BS (VND)'!AU74/$C$6</f>
        <v>0</v>
      </c>
      <c r="BA100" s="849">
        <f>'1.BS (VND)'!AV74/$C$6</f>
        <v>0</v>
      </c>
      <c r="BB100" s="850"/>
      <c r="BC100" s="849">
        <f>'1.BS (VND)'!AX74/$C$6</f>
        <v>0</v>
      </c>
      <c r="BD100" s="849">
        <f>'1.BS (VND)'!AY74/$C$6</f>
        <v>0</v>
      </c>
      <c r="BE100" s="849">
        <f>'1.BS (VND)'!AZ74/$C$6</f>
        <v>0</v>
      </c>
      <c r="BF100" s="849">
        <f>'1.BS (VND)'!BA74/$C$6</f>
        <v>0</v>
      </c>
      <c r="BG100" s="850"/>
      <c r="BH100" s="849">
        <f>'1.BS (VND)'!BC74/$C$6</f>
        <v>0</v>
      </c>
      <c r="BI100" s="849">
        <f>'1.BS (VND)'!BD74/$C$6</f>
        <v>0</v>
      </c>
      <c r="BJ100" s="849">
        <f>'1.BS (VND)'!BE74/$C$6</f>
        <v>0</v>
      </c>
      <c r="BK100" s="849">
        <f>'1.BS (VND)'!BF74/$C$6</f>
        <v>0</v>
      </c>
      <c r="BL100" s="850"/>
      <c r="BM100" s="849">
        <f>'1.BS (VND)'!BH74/$C$6</f>
        <v>0</v>
      </c>
      <c r="BN100" s="849">
        <f>'1.BS (VND)'!BI74/$C$6</f>
        <v>0</v>
      </c>
      <c r="BO100" s="849">
        <f>'1.BS (VND)'!BJ74/$C$6</f>
        <v>0</v>
      </c>
      <c r="BP100" s="849">
        <f>'1.BS (VND)'!BK74/$C$6</f>
        <v>0</v>
      </c>
      <c r="BQ100" s="851"/>
      <c r="BR100" s="849">
        <f t="shared" si="141"/>
        <v>215.83026061800001</v>
      </c>
      <c r="BS100" s="849">
        <f t="shared" si="142"/>
        <v>177.55600169900001</v>
      </c>
      <c r="BT100" s="849">
        <f t="shared" si="143"/>
        <v>190.84807209300001</v>
      </c>
      <c r="BU100" s="849">
        <f t="shared" si="144"/>
        <v>305.28037259500002</v>
      </c>
      <c r="BV100" s="852"/>
      <c r="BW100" s="849">
        <f t="shared" si="145"/>
        <v>0</v>
      </c>
      <c r="BX100" s="849">
        <f t="shared" si="146"/>
        <v>39.270789405000002</v>
      </c>
      <c r="BY100" s="849">
        <f t="shared" si="147"/>
        <v>78.631156177999998</v>
      </c>
      <c r="BZ100" s="849">
        <f t="shared" si="148"/>
        <v>84.293834982999996</v>
      </c>
      <c r="CA100" s="850"/>
      <c r="CB100" s="849">
        <f t="shared" si="149"/>
        <v>54.588717569000003</v>
      </c>
      <c r="CC100" s="849">
        <f t="shared" si="150"/>
        <v>29.628812796999998</v>
      </c>
      <c r="CD100" s="849">
        <f t="shared" si="151"/>
        <v>49.182428264000002</v>
      </c>
      <c r="CE100" s="849">
        <f t="shared" si="152"/>
        <v>40.809801708000002</v>
      </c>
      <c r="CF100" s="850"/>
      <c r="CG100" s="849">
        <f t="shared" si="153"/>
        <v>20.511989049</v>
      </c>
      <c r="CH100" s="849">
        <f t="shared" si="154"/>
        <v>16.531135185</v>
      </c>
      <c r="CI100" s="849">
        <f t="shared" si="155"/>
        <v>20.678767090000001</v>
      </c>
      <c r="CJ100" s="849">
        <f t="shared" si="156"/>
        <v>57.247692966000002</v>
      </c>
      <c r="CK100" s="850"/>
      <c r="CL100" s="849">
        <f t="shared" si="157"/>
        <v>0</v>
      </c>
      <c r="CM100" s="849">
        <f t="shared" si="158"/>
        <v>0</v>
      </c>
      <c r="CN100" s="849">
        <f t="shared" si="159"/>
        <v>0</v>
      </c>
      <c r="CO100" s="849">
        <f t="shared" si="160"/>
        <v>0</v>
      </c>
      <c r="CP100" s="850"/>
      <c r="CQ100" s="849">
        <f t="shared" si="161"/>
        <v>0</v>
      </c>
      <c r="CR100" s="849">
        <f t="shared" si="162"/>
        <v>0</v>
      </c>
      <c r="CS100" s="849">
        <f t="shared" si="163"/>
        <v>0</v>
      </c>
      <c r="CT100" s="849">
        <f t="shared" si="164"/>
        <v>0</v>
      </c>
      <c r="CU100" s="852"/>
      <c r="CV100" s="849">
        <f t="shared" si="165"/>
        <v>290.93096723600001</v>
      </c>
      <c r="CW100" s="849">
        <f t="shared" si="165"/>
        <v>262.986739086</v>
      </c>
      <c r="CX100" s="849">
        <f t="shared" si="165"/>
        <v>339.34042362500003</v>
      </c>
      <c r="CY100" s="849">
        <f t="shared" si="165"/>
        <v>487.63170225200003</v>
      </c>
      <c r="CZ100" s="852"/>
      <c r="DA100" s="849">
        <f>'1.BS (VND)'!CV74/'1.BC_Ra Soat (ty) '!$C$6</f>
        <v>0</v>
      </c>
      <c r="DB100" s="849">
        <f>'1.BS (VND)'!CW74/'1.BC_Ra Soat (ty) '!$C$6</f>
        <v>0</v>
      </c>
      <c r="DC100" s="849">
        <f>'1.BS (VND)'!CX74/'1.BC_Ra Soat (ty) '!$C$6</f>
        <v>0</v>
      </c>
      <c r="DD100" s="849">
        <f>'1.BS (VND)'!CY74/'1.BC_Ra Soat (ty) '!$C$6</f>
        <v>0</v>
      </c>
      <c r="DE100" s="852"/>
      <c r="DF100" s="849">
        <f t="shared" si="166"/>
        <v>290.93096723600001</v>
      </c>
      <c r="DG100" s="849">
        <f t="shared" si="166"/>
        <v>262.986739086</v>
      </c>
      <c r="DH100" s="849">
        <f t="shared" si="166"/>
        <v>339.34042362500003</v>
      </c>
      <c r="DI100" s="849">
        <f t="shared" si="166"/>
        <v>487.63170225200003</v>
      </c>
      <c r="DJ100" s="444"/>
    </row>
    <row r="101" spans="1:114" s="441" customFormat="1" ht="15.75" x14ac:dyDescent="0.25">
      <c r="A101" s="447">
        <f t="shared" si="167"/>
        <v>1</v>
      </c>
      <c r="C101" s="452" t="s">
        <v>409</v>
      </c>
      <c r="D101" s="453" t="s">
        <v>410</v>
      </c>
      <c r="E101" s="835">
        <f>'1.BS (VND)'!E75/$C$6</f>
        <v>25.182752793999999</v>
      </c>
      <c r="F101" s="835">
        <f>'1.BS (VND)'!F75/$C$6</f>
        <v>29.417462758999999</v>
      </c>
      <c r="G101" s="835">
        <f>'1.BS (VND)'!G75/$C$6</f>
        <v>17.241856769000002</v>
      </c>
      <c r="H101" s="835">
        <f>'1.BS (VND)'!H75/$C$6</f>
        <v>113.03168562800001</v>
      </c>
      <c r="I101" s="842"/>
      <c r="J101" s="835">
        <f>'1.BS (VND)'!J75/$C$6</f>
        <v>0</v>
      </c>
      <c r="K101" s="835">
        <f>'1.BS (VND)'!K75/$C$6</f>
        <v>10.304978094999999</v>
      </c>
      <c r="L101" s="835">
        <f>'1.BS (VND)'!L75/$C$6</f>
        <v>44.818318388999998</v>
      </c>
      <c r="M101" s="835">
        <f>'1.BS (VND)'!M75/$C$6</f>
        <v>71.687454235999994</v>
      </c>
      <c r="N101" s="840"/>
      <c r="O101" s="835">
        <f>'1.BS (VND)'!O75/$C$6</f>
        <v>11.99997029</v>
      </c>
      <c r="P101" s="835">
        <f>'1.BS (VND)'!P75/$C$6</f>
        <v>4.9945369949999998</v>
      </c>
      <c r="Q101" s="835">
        <f>'1.BS (VND)'!Q75/$C$6</f>
        <v>17.744821596000001</v>
      </c>
      <c r="R101" s="835">
        <f>'1.BS (VND)'!R75/$C$6</f>
        <v>13.291862805999999</v>
      </c>
      <c r="S101" s="840"/>
      <c r="T101" s="835">
        <f>'1.BS (VND)'!T75/$C$6</f>
        <v>3.9004843249999999</v>
      </c>
      <c r="U101" s="835">
        <f>'1.BS (VND)'!U75/$C$6</f>
        <v>0.66779047599999997</v>
      </c>
      <c r="V101" s="835">
        <f>'1.BS (VND)'!V75/$C$6</f>
        <v>1.4173922059999999</v>
      </c>
      <c r="W101" s="835">
        <f>'1.BS (VND)'!W75/$C$6</f>
        <v>6.934955639</v>
      </c>
      <c r="X101" s="840"/>
      <c r="Y101" s="835">
        <f>'1.BS (VND)'!Y75/$C$6</f>
        <v>0</v>
      </c>
      <c r="Z101" s="835">
        <f>'1.BS (VND)'!Z75/$C$6</f>
        <v>0</v>
      </c>
      <c r="AA101" s="835">
        <f>'1.BS (VND)'!AA75/$C$6</f>
        <v>0</v>
      </c>
      <c r="AB101" s="835">
        <f>'1.BS (VND)'!AB75/$C$6</f>
        <v>0</v>
      </c>
      <c r="AC101" s="840"/>
      <c r="AD101" s="835">
        <f>'1.BS (VND)'!AD75/$C$6</f>
        <v>0</v>
      </c>
      <c r="AE101" s="835">
        <f>'1.BS (VND)'!AE75/$C$6</f>
        <v>0</v>
      </c>
      <c r="AF101" s="835">
        <f>'1.BS (VND)'!AF75/$C$6</f>
        <v>0</v>
      </c>
      <c r="AG101" s="835">
        <f>'1.BS (VND)'!AG75/$C$6</f>
        <v>0</v>
      </c>
      <c r="AH101" s="841"/>
      <c r="AI101" s="835">
        <f t="shared" si="112"/>
        <v>41.083207409000003</v>
      </c>
      <c r="AJ101" s="835">
        <f t="shared" si="112"/>
        <v>45.384768324999996</v>
      </c>
      <c r="AK101" s="835">
        <f t="shared" si="112"/>
        <v>81.222388960000004</v>
      </c>
      <c r="AL101" s="835">
        <f t="shared" si="140"/>
        <v>204.94595830900002</v>
      </c>
      <c r="AM101" s="852"/>
      <c r="AN101" s="835">
        <f>'1.BS (VND)'!AI75/$C$6</f>
        <v>0</v>
      </c>
      <c r="AO101" s="835">
        <f>'1.BS (VND)'!AJ75/$C$6</f>
        <v>0</v>
      </c>
      <c r="AP101" s="835">
        <f>'1.BS (VND)'!AK75/$C$6</f>
        <v>0</v>
      </c>
      <c r="AQ101" s="835">
        <f>'1.BS (VND)'!AL75/$C$6</f>
        <v>0</v>
      </c>
      <c r="AR101" s="842"/>
      <c r="AS101" s="835">
        <f>'1.BS (VND)'!AN75/$C$6</f>
        <v>0</v>
      </c>
      <c r="AT101" s="835">
        <f>'1.BS (VND)'!AO75/$C$6</f>
        <v>0</v>
      </c>
      <c r="AU101" s="835">
        <f>'1.BS (VND)'!AP75/$C$6</f>
        <v>0</v>
      </c>
      <c r="AV101" s="835">
        <f>'1.BS (VND)'!AQ75/$C$6</f>
        <v>0</v>
      </c>
      <c r="AW101" s="840"/>
      <c r="AX101" s="835">
        <f>'1.BS (VND)'!AS75/$C$6</f>
        <v>0</v>
      </c>
      <c r="AY101" s="835">
        <f>'1.BS (VND)'!AT75/$C$6</f>
        <v>0</v>
      </c>
      <c r="AZ101" s="835">
        <f>'1.BS (VND)'!AU75/$C$6</f>
        <v>0</v>
      </c>
      <c r="BA101" s="835">
        <f>'1.BS (VND)'!AV75/$C$6</f>
        <v>0</v>
      </c>
      <c r="BB101" s="840"/>
      <c r="BC101" s="835">
        <f>'1.BS (VND)'!AX75/$C$6</f>
        <v>0</v>
      </c>
      <c r="BD101" s="835">
        <f>'1.BS (VND)'!AY75/$C$6</f>
        <v>0</v>
      </c>
      <c r="BE101" s="835">
        <f>'1.BS (VND)'!AZ75/$C$6</f>
        <v>0</v>
      </c>
      <c r="BF101" s="835">
        <f>'1.BS (VND)'!BA75/$C$6</f>
        <v>0</v>
      </c>
      <c r="BG101" s="840"/>
      <c r="BH101" s="835">
        <f>'1.BS (VND)'!BC75/$C$6</f>
        <v>0</v>
      </c>
      <c r="BI101" s="835">
        <f>'1.BS (VND)'!BD75/$C$6</f>
        <v>0</v>
      </c>
      <c r="BJ101" s="835">
        <f>'1.BS (VND)'!BE75/$C$6</f>
        <v>0</v>
      </c>
      <c r="BK101" s="835">
        <f>'1.BS (VND)'!BF75/$C$6</f>
        <v>0</v>
      </c>
      <c r="BL101" s="840"/>
      <c r="BM101" s="835">
        <f>'1.BS (VND)'!BH75/$C$6</f>
        <v>0</v>
      </c>
      <c r="BN101" s="835">
        <f>'1.BS (VND)'!BI75/$C$6</f>
        <v>0</v>
      </c>
      <c r="BO101" s="835">
        <f>'1.BS (VND)'!BJ75/$C$6</f>
        <v>0</v>
      </c>
      <c r="BP101" s="835">
        <f>'1.BS (VND)'!BK75/$C$6</f>
        <v>0</v>
      </c>
      <c r="BQ101" s="841"/>
      <c r="BR101" s="835">
        <f t="shared" si="141"/>
        <v>25.182752793999999</v>
      </c>
      <c r="BS101" s="835">
        <f t="shared" si="142"/>
        <v>29.417462758999999</v>
      </c>
      <c r="BT101" s="835">
        <f t="shared" si="143"/>
        <v>17.241856769000002</v>
      </c>
      <c r="BU101" s="835">
        <f t="shared" si="144"/>
        <v>113.03168562800001</v>
      </c>
      <c r="BV101" s="842"/>
      <c r="BW101" s="835">
        <f t="shared" si="145"/>
        <v>0</v>
      </c>
      <c r="BX101" s="835">
        <f t="shared" si="146"/>
        <v>10.304978094999999</v>
      </c>
      <c r="BY101" s="835">
        <f t="shared" si="147"/>
        <v>44.818318388999998</v>
      </c>
      <c r="BZ101" s="835">
        <f t="shared" si="148"/>
        <v>71.687454235999994</v>
      </c>
      <c r="CA101" s="840"/>
      <c r="CB101" s="835">
        <f t="shared" si="149"/>
        <v>11.99997029</v>
      </c>
      <c r="CC101" s="835">
        <f t="shared" si="150"/>
        <v>4.9945369949999998</v>
      </c>
      <c r="CD101" s="835">
        <f t="shared" si="151"/>
        <v>17.744821596000001</v>
      </c>
      <c r="CE101" s="835">
        <f t="shared" si="152"/>
        <v>13.291862805999999</v>
      </c>
      <c r="CF101" s="840"/>
      <c r="CG101" s="835">
        <f t="shared" si="153"/>
        <v>3.9004843249999999</v>
      </c>
      <c r="CH101" s="835">
        <f t="shared" si="154"/>
        <v>0.66779047599999997</v>
      </c>
      <c r="CI101" s="835">
        <f t="shared" si="155"/>
        <v>1.4173922059999999</v>
      </c>
      <c r="CJ101" s="835">
        <f t="shared" si="156"/>
        <v>6.934955639</v>
      </c>
      <c r="CK101" s="840"/>
      <c r="CL101" s="835">
        <f t="shared" si="157"/>
        <v>0</v>
      </c>
      <c r="CM101" s="835">
        <f t="shared" si="158"/>
        <v>0</v>
      </c>
      <c r="CN101" s="835">
        <f t="shared" si="159"/>
        <v>0</v>
      </c>
      <c r="CO101" s="835">
        <f t="shared" si="160"/>
        <v>0</v>
      </c>
      <c r="CP101" s="840"/>
      <c r="CQ101" s="835">
        <f t="shared" si="161"/>
        <v>0</v>
      </c>
      <c r="CR101" s="835">
        <f t="shared" si="162"/>
        <v>0</v>
      </c>
      <c r="CS101" s="835">
        <f t="shared" si="163"/>
        <v>0</v>
      </c>
      <c r="CT101" s="835">
        <f t="shared" si="164"/>
        <v>0</v>
      </c>
      <c r="CU101" s="842"/>
      <c r="CV101" s="835">
        <f t="shared" si="165"/>
        <v>41.083207409000003</v>
      </c>
      <c r="CW101" s="835">
        <f t="shared" si="165"/>
        <v>45.384768324999996</v>
      </c>
      <c r="CX101" s="835">
        <f t="shared" si="165"/>
        <v>81.222388960000004</v>
      </c>
      <c r="CY101" s="835">
        <f t="shared" si="165"/>
        <v>204.94595830900002</v>
      </c>
      <c r="CZ101" s="842"/>
      <c r="DA101" s="835">
        <f>'1.BS (VND)'!CV75/'1.BC_Ra Soat (ty) '!$C$6</f>
        <v>0</v>
      </c>
      <c r="DB101" s="835">
        <f>'1.BS (VND)'!CW75/'1.BC_Ra Soat (ty) '!$C$6</f>
        <v>0</v>
      </c>
      <c r="DC101" s="835">
        <f>'1.BS (VND)'!CX75/'1.BC_Ra Soat (ty) '!$C$6</f>
        <v>0</v>
      </c>
      <c r="DD101" s="835">
        <f>'1.BS (VND)'!CY75/'1.BC_Ra Soat (ty) '!$C$6</f>
        <v>0</v>
      </c>
      <c r="DE101" s="842"/>
      <c r="DF101" s="835">
        <f t="shared" si="166"/>
        <v>41.083207409000003</v>
      </c>
      <c r="DG101" s="835">
        <f t="shared" si="166"/>
        <v>45.384768324999996</v>
      </c>
      <c r="DH101" s="835">
        <f t="shared" si="166"/>
        <v>81.222388960000004</v>
      </c>
      <c r="DI101" s="835">
        <f t="shared" si="166"/>
        <v>204.94595830900002</v>
      </c>
      <c r="DJ101" s="444"/>
    </row>
    <row r="102" spans="1:114" s="441" customFormat="1" ht="15.75" x14ac:dyDescent="0.25">
      <c r="A102" s="447">
        <f t="shared" si="167"/>
        <v>1</v>
      </c>
      <c r="C102" s="452" t="s">
        <v>411</v>
      </c>
      <c r="D102" s="453" t="s">
        <v>412</v>
      </c>
      <c r="E102" s="835">
        <f>'1.BS (VND)'!E76/$C$6</f>
        <v>8.1603091140000004</v>
      </c>
      <c r="F102" s="835">
        <f>'1.BS (VND)'!F76/$C$6</f>
        <v>0.72666275000000002</v>
      </c>
      <c r="G102" s="835">
        <f>'1.BS (VND)'!G76/$C$6</f>
        <v>5.7212521189999999</v>
      </c>
      <c r="H102" s="835">
        <f>'1.BS (VND)'!H76/$C$6</f>
        <v>48.627551537999999</v>
      </c>
      <c r="I102" s="842"/>
      <c r="J102" s="835">
        <f>'1.BS (VND)'!J76/$C$6</f>
        <v>0</v>
      </c>
      <c r="K102" s="835">
        <f>'1.BS (VND)'!K76/$C$6</f>
        <v>0.55052495000000001</v>
      </c>
      <c r="L102" s="835">
        <f>'1.BS (VND)'!L76/$C$6</f>
        <v>2.6353495000000001E-2</v>
      </c>
      <c r="M102" s="835">
        <f>'1.BS (VND)'!M76/$C$6</f>
        <v>3.6333409680000002</v>
      </c>
      <c r="N102" s="840"/>
      <c r="O102" s="835">
        <f>'1.BS (VND)'!O76/$C$6</f>
        <v>0</v>
      </c>
      <c r="P102" s="835">
        <f>'1.BS (VND)'!P76/$C$6</f>
        <v>0</v>
      </c>
      <c r="Q102" s="835">
        <f>'1.BS (VND)'!Q76/$C$6</f>
        <v>6.3753838939999996</v>
      </c>
      <c r="R102" s="835">
        <f>'1.BS (VND)'!R76/$C$6</f>
        <v>5.8668303249999996</v>
      </c>
      <c r="S102" s="840"/>
      <c r="T102" s="835">
        <f>'1.BS (VND)'!T76/$C$6</f>
        <v>1.1109701240000001</v>
      </c>
      <c r="U102" s="835">
        <f>'1.BS (VND)'!U76/$C$6</f>
        <v>0</v>
      </c>
      <c r="V102" s="835">
        <f>'1.BS (VND)'!V76/$C$6</f>
        <v>0.27458760500000001</v>
      </c>
      <c r="W102" s="835">
        <f>'1.BS (VND)'!W76/$C$6</f>
        <v>6.7393584000000006E-2</v>
      </c>
      <c r="X102" s="840"/>
      <c r="Y102" s="835">
        <f>'1.BS (VND)'!Y76/$C$6</f>
        <v>0</v>
      </c>
      <c r="Z102" s="835">
        <f>'1.BS (VND)'!Z76/$C$6</f>
        <v>0</v>
      </c>
      <c r="AA102" s="835">
        <f>'1.BS (VND)'!AA76/$C$6</f>
        <v>0</v>
      </c>
      <c r="AB102" s="835">
        <f>'1.BS (VND)'!AB76/$C$6</f>
        <v>0</v>
      </c>
      <c r="AC102" s="840"/>
      <c r="AD102" s="835">
        <f>'1.BS (VND)'!AD76/$C$6</f>
        <v>0</v>
      </c>
      <c r="AE102" s="835">
        <f>'1.BS (VND)'!AE76/$C$6</f>
        <v>0</v>
      </c>
      <c r="AF102" s="835">
        <f>'1.BS (VND)'!AF76/$C$6</f>
        <v>0</v>
      </c>
      <c r="AG102" s="835">
        <f>'1.BS (VND)'!AG76/$C$6</f>
        <v>0</v>
      </c>
      <c r="AH102" s="841"/>
      <c r="AI102" s="835">
        <f t="shared" si="112"/>
        <v>9.271279238</v>
      </c>
      <c r="AJ102" s="835">
        <f t="shared" si="112"/>
        <v>1.2771877</v>
      </c>
      <c r="AK102" s="835">
        <f t="shared" si="112"/>
        <v>12.397577113000001</v>
      </c>
      <c r="AL102" s="835">
        <f t="shared" si="140"/>
        <v>58.195116415000001</v>
      </c>
      <c r="AM102" s="852"/>
      <c r="AN102" s="835">
        <f>'1.BS (VND)'!AI76/$C$6</f>
        <v>0</v>
      </c>
      <c r="AO102" s="835">
        <f>'1.BS (VND)'!AJ76/$C$6</f>
        <v>0</v>
      </c>
      <c r="AP102" s="835">
        <f>'1.BS (VND)'!AK76/$C$6</f>
        <v>0</v>
      </c>
      <c r="AQ102" s="835">
        <f>'1.BS (VND)'!AL76/$C$6</f>
        <v>0</v>
      </c>
      <c r="AR102" s="842"/>
      <c r="AS102" s="835">
        <f>'1.BS (VND)'!AN76/$C$6</f>
        <v>0</v>
      </c>
      <c r="AT102" s="835">
        <f>'1.BS (VND)'!AO76/$C$6</f>
        <v>0</v>
      </c>
      <c r="AU102" s="835">
        <f>'1.BS (VND)'!AP76/$C$6</f>
        <v>0</v>
      </c>
      <c r="AV102" s="835">
        <f>'1.BS (VND)'!AQ76/$C$6</f>
        <v>0</v>
      </c>
      <c r="AW102" s="840"/>
      <c r="AX102" s="835">
        <f>'1.BS (VND)'!AS76/$C$6</f>
        <v>0</v>
      </c>
      <c r="AY102" s="835">
        <f>'1.BS (VND)'!AT76/$C$6</f>
        <v>0</v>
      </c>
      <c r="AZ102" s="835">
        <f>'1.BS (VND)'!AU76/$C$6</f>
        <v>0</v>
      </c>
      <c r="BA102" s="835">
        <f>'1.BS (VND)'!AV76/$C$6</f>
        <v>0</v>
      </c>
      <c r="BB102" s="840"/>
      <c r="BC102" s="835">
        <f>'1.BS (VND)'!AX76/$C$6</f>
        <v>0</v>
      </c>
      <c r="BD102" s="835">
        <f>'1.BS (VND)'!AY76/$C$6</f>
        <v>0</v>
      </c>
      <c r="BE102" s="835">
        <f>'1.BS (VND)'!AZ76/$C$6</f>
        <v>0</v>
      </c>
      <c r="BF102" s="835">
        <f>'1.BS (VND)'!BA76/$C$6</f>
        <v>0</v>
      </c>
      <c r="BG102" s="840"/>
      <c r="BH102" s="835">
        <f>'1.BS (VND)'!BC76/$C$6</f>
        <v>0</v>
      </c>
      <c r="BI102" s="835">
        <f>'1.BS (VND)'!BD76/$C$6</f>
        <v>0</v>
      </c>
      <c r="BJ102" s="835">
        <f>'1.BS (VND)'!BE76/$C$6</f>
        <v>0</v>
      </c>
      <c r="BK102" s="835">
        <f>'1.BS (VND)'!BF76/$C$6</f>
        <v>0</v>
      </c>
      <c r="BL102" s="840"/>
      <c r="BM102" s="835">
        <f>'1.BS (VND)'!BH76/$C$6</f>
        <v>0</v>
      </c>
      <c r="BN102" s="835">
        <f>'1.BS (VND)'!BI76/$C$6</f>
        <v>0</v>
      </c>
      <c r="BO102" s="835">
        <f>'1.BS (VND)'!BJ76/$C$6</f>
        <v>0</v>
      </c>
      <c r="BP102" s="835">
        <f>'1.BS (VND)'!BK76/$C$6</f>
        <v>0</v>
      </c>
      <c r="BQ102" s="841"/>
      <c r="BR102" s="835">
        <f t="shared" si="141"/>
        <v>8.1603091140000004</v>
      </c>
      <c r="BS102" s="835">
        <f t="shared" si="142"/>
        <v>0.72666275000000002</v>
      </c>
      <c r="BT102" s="835">
        <f t="shared" si="143"/>
        <v>5.7212521189999999</v>
      </c>
      <c r="BU102" s="835">
        <f t="shared" si="144"/>
        <v>48.627551537999999</v>
      </c>
      <c r="BV102" s="842"/>
      <c r="BW102" s="835">
        <f t="shared" si="145"/>
        <v>0</v>
      </c>
      <c r="BX102" s="835">
        <f t="shared" si="146"/>
        <v>0.55052495000000001</v>
      </c>
      <c r="BY102" s="835">
        <f t="shared" si="147"/>
        <v>2.6353495000000001E-2</v>
      </c>
      <c r="BZ102" s="835">
        <f t="shared" si="148"/>
        <v>3.6333409680000002</v>
      </c>
      <c r="CA102" s="840"/>
      <c r="CB102" s="835">
        <f t="shared" si="149"/>
        <v>0</v>
      </c>
      <c r="CC102" s="835">
        <f t="shared" si="150"/>
        <v>0</v>
      </c>
      <c r="CD102" s="835">
        <f t="shared" si="151"/>
        <v>6.3753838939999996</v>
      </c>
      <c r="CE102" s="835">
        <f t="shared" si="152"/>
        <v>5.8668303249999996</v>
      </c>
      <c r="CF102" s="840"/>
      <c r="CG102" s="835">
        <f t="shared" si="153"/>
        <v>1.1109701240000001</v>
      </c>
      <c r="CH102" s="835">
        <f t="shared" si="154"/>
        <v>0</v>
      </c>
      <c r="CI102" s="835">
        <f t="shared" si="155"/>
        <v>0.27458760500000001</v>
      </c>
      <c r="CJ102" s="835">
        <f t="shared" si="156"/>
        <v>6.7393584000000006E-2</v>
      </c>
      <c r="CK102" s="840"/>
      <c r="CL102" s="835">
        <f t="shared" si="157"/>
        <v>0</v>
      </c>
      <c r="CM102" s="835">
        <f t="shared" si="158"/>
        <v>0</v>
      </c>
      <c r="CN102" s="835">
        <f t="shared" si="159"/>
        <v>0</v>
      </c>
      <c r="CO102" s="835">
        <f t="shared" si="160"/>
        <v>0</v>
      </c>
      <c r="CP102" s="840"/>
      <c r="CQ102" s="835">
        <f t="shared" si="161"/>
        <v>0</v>
      </c>
      <c r="CR102" s="835">
        <f t="shared" si="162"/>
        <v>0</v>
      </c>
      <c r="CS102" s="835">
        <f t="shared" si="163"/>
        <v>0</v>
      </c>
      <c r="CT102" s="835">
        <f t="shared" si="164"/>
        <v>0</v>
      </c>
      <c r="CU102" s="842"/>
      <c r="CV102" s="835">
        <f>SUMIF($BR$5:$CT$5,CV$5,$BR102:$CT102)</f>
        <v>9.271279238</v>
      </c>
      <c r="CW102" s="835">
        <f t="shared" si="165"/>
        <v>1.2771877</v>
      </c>
      <c r="CX102" s="835">
        <f t="shared" si="165"/>
        <v>12.397577113000001</v>
      </c>
      <c r="CY102" s="835">
        <f t="shared" si="165"/>
        <v>58.195116415000001</v>
      </c>
      <c r="CZ102" s="842"/>
      <c r="DA102" s="835">
        <f>'1.BS (VND)'!CV76/'1.BC_Ra Soat (ty) '!$C$6</f>
        <v>0</v>
      </c>
      <c r="DB102" s="835">
        <f>'1.BS (VND)'!CW76/'1.BC_Ra Soat (ty) '!$C$6</f>
        <v>0</v>
      </c>
      <c r="DC102" s="835">
        <f>'1.BS (VND)'!CX76/'1.BC_Ra Soat (ty) '!$C$6</f>
        <v>0</v>
      </c>
      <c r="DD102" s="835">
        <f>'1.BS (VND)'!CY76/'1.BC_Ra Soat (ty) '!$C$6</f>
        <v>0</v>
      </c>
      <c r="DE102" s="842"/>
      <c r="DF102" s="835">
        <f t="shared" si="166"/>
        <v>9.271279238</v>
      </c>
      <c r="DG102" s="835">
        <f t="shared" si="166"/>
        <v>1.2771877</v>
      </c>
      <c r="DH102" s="835">
        <f t="shared" si="166"/>
        <v>12.397577113000001</v>
      </c>
      <c r="DI102" s="835">
        <f t="shared" si="166"/>
        <v>58.195116415000001</v>
      </c>
      <c r="DJ102" s="444"/>
    </row>
    <row r="103" spans="1:114" s="441" customFormat="1" ht="15.75" x14ac:dyDescent="0.25">
      <c r="A103" s="447">
        <f t="shared" si="167"/>
        <v>1</v>
      </c>
      <c r="C103" s="452" t="s">
        <v>413</v>
      </c>
      <c r="D103" s="453" t="s">
        <v>414</v>
      </c>
      <c r="E103" s="835">
        <f>'1.BS (VND)'!E77/$C$6</f>
        <v>0.52966708900000004</v>
      </c>
      <c r="F103" s="835">
        <f>'1.BS (VND)'!F77/$C$6</f>
        <v>7.9132332E-2</v>
      </c>
      <c r="G103" s="835">
        <f>'1.BS (VND)'!G77/$C$6</f>
        <v>5.1095087999999997E-2</v>
      </c>
      <c r="H103" s="835">
        <f>'1.BS (VND)'!H77/$C$6</f>
        <v>0.47102691499999999</v>
      </c>
      <c r="I103" s="842"/>
      <c r="J103" s="835">
        <f>'1.BS (VND)'!J77/$C$6</f>
        <v>0</v>
      </c>
      <c r="K103" s="835">
        <f>'1.BS (VND)'!K77/$C$6</f>
        <v>1.7</v>
      </c>
      <c r="L103" s="835">
        <f>'1.BS (VND)'!L77/$C$6</f>
        <v>1.7</v>
      </c>
      <c r="M103" s="835">
        <f>'1.BS (VND)'!M77/$C$6</f>
        <v>0</v>
      </c>
      <c r="N103" s="840"/>
      <c r="O103" s="835">
        <f>'1.BS (VND)'!O77/$C$6</f>
        <v>2.2120368000000001E-2</v>
      </c>
      <c r="P103" s="835">
        <f>'1.BS (VND)'!P77/$C$6</f>
        <v>1.0178927000000001E-2</v>
      </c>
      <c r="Q103" s="835">
        <f>'1.BS (VND)'!Q77/$C$6</f>
        <v>1.7465774E-2</v>
      </c>
      <c r="R103" s="835">
        <f>'1.BS (VND)'!R77/$C$6</f>
        <v>1.0178927000000001E-2</v>
      </c>
      <c r="S103" s="840"/>
      <c r="T103" s="835">
        <f>'1.BS (VND)'!T77/$C$6</f>
        <v>0</v>
      </c>
      <c r="U103" s="835">
        <f>'1.BS (VND)'!U77/$C$6</f>
        <v>3.4122789999999998E-3</v>
      </c>
      <c r="V103" s="835">
        <f>'1.BS (VND)'!V77/$C$6</f>
        <v>3.4122789999999998E-3</v>
      </c>
      <c r="W103" s="835">
        <f>'1.BS (VND)'!W77/$C$6</f>
        <v>3.4122789999999998E-3</v>
      </c>
      <c r="X103" s="840"/>
      <c r="Y103" s="835">
        <f>'1.BS (VND)'!Y77/$C$6</f>
        <v>0</v>
      </c>
      <c r="Z103" s="835">
        <f>'1.BS (VND)'!Z77/$C$6</f>
        <v>0</v>
      </c>
      <c r="AA103" s="835">
        <f>'1.BS (VND)'!AA77/$C$6</f>
        <v>0</v>
      </c>
      <c r="AB103" s="835">
        <f>'1.BS (VND)'!AB77/$C$6</f>
        <v>0</v>
      </c>
      <c r="AC103" s="840"/>
      <c r="AD103" s="835">
        <f>'1.BS (VND)'!AD77/$C$6</f>
        <v>0</v>
      </c>
      <c r="AE103" s="835">
        <f>'1.BS (VND)'!AE77/$C$6</f>
        <v>0</v>
      </c>
      <c r="AF103" s="835">
        <f>'1.BS (VND)'!AF77/$C$6</f>
        <v>0</v>
      </c>
      <c r="AG103" s="835">
        <f>'1.BS (VND)'!AG77/$C$6</f>
        <v>0</v>
      </c>
      <c r="AH103" s="841"/>
      <c r="AI103" s="835">
        <f t="shared" si="112"/>
        <v>0.55178745700000009</v>
      </c>
      <c r="AJ103" s="835">
        <f t="shared" si="112"/>
        <v>1.7927235379999997</v>
      </c>
      <c r="AK103" s="835">
        <f t="shared" si="112"/>
        <v>1.7719731409999999</v>
      </c>
      <c r="AL103" s="835">
        <f t="shared" si="140"/>
        <v>0.48461812100000001</v>
      </c>
      <c r="AM103" s="852"/>
      <c r="AN103" s="835">
        <f>'1.BS (VND)'!AI77/$C$6</f>
        <v>0</v>
      </c>
      <c r="AO103" s="835">
        <f>'1.BS (VND)'!AJ77/$C$6</f>
        <v>0</v>
      </c>
      <c r="AP103" s="835">
        <f>'1.BS (VND)'!AK77/$C$6</f>
        <v>0</v>
      </c>
      <c r="AQ103" s="835">
        <f>'1.BS (VND)'!AL77/$C$6</f>
        <v>0</v>
      </c>
      <c r="AR103" s="842"/>
      <c r="AS103" s="835">
        <f>'1.BS (VND)'!AN77/$C$6</f>
        <v>0</v>
      </c>
      <c r="AT103" s="835">
        <f>'1.BS (VND)'!AO77/$C$6</f>
        <v>0</v>
      </c>
      <c r="AU103" s="835">
        <f>'1.BS (VND)'!AP77/$C$6</f>
        <v>0</v>
      </c>
      <c r="AV103" s="835">
        <f>'1.BS (VND)'!AQ77/$C$6</f>
        <v>0</v>
      </c>
      <c r="AW103" s="840"/>
      <c r="AX103" s="835">
        <f>'1.BS (VND)'!AS77/$C$6</f>
        <v>0</v>
      </c>
      <c r="AY103" s="835">
        <f>'1.BS (VND)'!AT77/$C$6</f>
        <v>0</v>
      </c>
      <c r="AZ103" s="835">
        <f>'1.BS (VND)'!AU77/$C$6</f>
        <v>0</v>
      </c>
      <c r="BA103" s="835">
        <f>'1.BS (VND)'!AV77/$C$6</f>
        <v>0</v>
      </c>
      <c r="BB103" s="840"/>
      <c r="BC103" s="835">
        <f>'1.BS (VND)'!AX77/$C$6</f>
        <v>0</v>
      </c>
      <c r="BD103" s="835">
        <f>'1.BS (VND)'!AY77/$C$6</f>
        <v>0</v>
      </c>
      <c r="BE103" s="835">
        <f>'1.BS (VND)'!AZ77/$C$6</f>
        <v>0</v>
      </c>
      <c r="BF103" s="835">
        <f>'1.BS (VND)'!BA77/$C$6</f>
        <v>0</v>
      </c>
      <c r="BG103" s="840"/>
      <c r="BH103" s="835">
        <f>'1.BS (VND)'!BC77/$C$6</f>
        <v>0</v>
      </c>
      <c r="BI103" s="835">
        <f>'1.BS (VND)'!BD77/$C$6</f>
        <v>0</v>
      </c>
      <c r="BJ103" s="835">
        <f>'1.BS (VND)'!BE77/$C$6</f>
        <v>0</v>
      </c>
      <c r="BK103" s="835">
        <f>'1.BS (VND)'!BF77/$C$6</f>
        <v>0</v>
      </c>
      <c r="BL103" s="840"/>
      <c r="BM103" s="835">
        <f>'1.BS (VND)'!BH77/$C$6</f>
        <v>0</v>
      </c>
      <c r="BN103" s="835">
        <f>'1.BS (VND)'!BI77/$C$6</f>
        <v>0</v>
      </c>
      <c r="BO103" s="835">
        <f>'1.BS (VND)'!BJ77/$C$6</f>
        <v>0</v>
      </c>
      <c r="BP103" s="835">
        <f>'1.BS (VND)'!BK77/$C$6</f>
        <v>0</v>
      </c>
      <c r="BQ103" s="841"/>
      <c r="BR103" s="835">
        <f t="shared" si="141"/>
        <v>0.52966708900000004</v>
      </c>
      <c r="BS103" s="835">
        <f t="shared" si="142"/>
        <v>7.9132332E-2</v>
      </c>
      <c r="BT103" s="835">
        <f t="shared" si="143"/>
        <v>5.1095087999999997E-2</v>
      </c>
      <c r="BU103" s="835">
        <f t="shared" si="144"/>
        <v>0.47102691499999999</v>
      </c>
      <c r="BV103" s="842"/>
      <c r="BW103" s="835">
        <f t="shared" si="145"/>
        <v>0</v>
      </c>
      <c r="BX103" s="835">
        <f t="shared" si="146"/>
        <v>1.7</v>
      </c>
      <c r="BY103" s="835">
        <f t="shared" si="147"/>
        <v>1.7</v>
      </c>
      <c r="BZ103" s="835">
        <f t="shared" si="148"/>
        <v>0</v>
      </c>
      <c r="CA103" s="840"/>
      <c r="CB103" s="835">
        <f t="shared" si="149"/>
        <v>2.2120368000000001E-2</v>
      </c>
      <c r="CC103" s="835">
        <f t="shared" si="150"/>
        <v>1.0178927000000001E-2</v>
      </c>
      <c r="CD103" s="835">
        <f t="shared" si="151"/>
        <v>1.7465774E-2</v>
      </c>
      <c r="CE103" s="835">
        <f t="shared" si="152"/>
        <v>1.0178927000000001E-2</v>
      </c>
      <c r="CF103" s="840"/>
      <c r="CG103" s="835">
        <f t="shared" si="153"/>
        <v>0</v>
      </c>
      <c r="CH103" s="835">
        <f t="shared" si="154"/>
        <v>3.4122789999999998E-3</v>
      </c>
      <c r="CI103" s="835">
        <f t="shared" si="155"/>
        <v>3.4122789999999998E-3</v>
      </c>
      <c r="CJ103" s="835">
        <f t="shared" si="156"/>
        <v>3.4122789999999998E-3</v>
      </c>
      <c r="CK103" s="840"/>
      <c r="CL103" s="835">
        <f t="shared" si="157"/>
        <v>0</v>
      </c>
      <c r="CM103" s="835">
        <f t="shared" si="158"/>
        <v>0</v>
      </c>
      <c r="CN103" s="835">
        <f t="shared" si="159"/>
        <v>0</v>
      </c>
      <c r="CO103" s="835">
        <f t="shared" si="160"/>
        <v>0</v>
      </c>
      <c r="CP103" s="840"/>
      <c r="CQ103" s="835">
        <f t="shared" si="161"/>
        <v>0</v>
      </c>
      <c r="CR103" s="835">
        <f t="shared" si="162"/>
        <v>0</v>
      </c>
      <c r="CS103" s="835">
        <f t="shared" si="163"/>
        <v>0</v>
      </c>
      <c r="CT103" s="835">
        <f t="shared" si="164"/>
        <v>0</v>
      </c>
      <c r="CU103" s="842"/>
      <c r="CV103" s="835">
        <f t="shared" si="165"/>
        <v>0.55178745700000009</v>
      </c>
      <c r="CW103" s="835">
        <f t="shared" si="165"/>
        <v>1.7927235379999997</v>
      </c>
      <c r="CX103" s="835">
        <f t="shared" si="165"/>
        <v>1.7719731409999999</v>
      </c>
      <c r="CY103" s="835">
        <f t="shared" si="165"/>
        <v>0.48461812100000001</v>
      </c>
      <c r="CZ103" s="842"/>
      <c r="DA103" s="835">
        <f>'1.BS (VND)'!CV77/'1.BC_Ra Soat (ty) '!$C$6</f>
        <v>0</v>
      </c>
      <c r="DB103" s="835">
        <f>'1.BS (VND)'!CW77/'1.BC_Ra Soat (ty) '!$C$6</f>
        <v>0</v>
      </c>
      <c r="DC103" s="835">
        <f>'1.BS (VND)'!CX77/'1.BC_Ra Soat (ty) '!$C$6</f>
        <v>0</v>
      </c>
      <c r="DD103" s="835">
        <f>'1.BS (VND)'!CY77/'1.BC_Ra Soat (ty) '!$C$6</f>
        <v>0</v>
      </c>
      <c r="DE103" s="842"/>
      <c r="DF103" s="835">
        <f t="shared" si="166"/>
        <v>0.55178745700000009</v>
      </c>
      <c r="DG103" s="835">
        <f t="shared" si="166"/>
        <v>1.7927235379999997</v>
      </c>
      <c r="DH103" s="835">
        <f t="shared" si="166"/>
        <v>1.7719731409999999</v>
      </c>
      <c r="DI103" s="835">
        <f t="shared" si="166"/>
        <v>0.48461812100000001</v>
      </c>
      <c r="DJ103" s="444"/>
    </row>
    <row r="104" spans="1:114" s="441" customFormat="1" ht="15.75" x14ac:dyDescent="0.25">
      <c r="A104" s="447">
        <f t="shared" si="167"/>
        <v>1</v>
      </c>
      <c r="C104" s="452" t="s">
        <v>415</v>
      </c>
      <c r="D104" s="453" t="s">
        <v>416</v>
      </c>
      <c r="E104" s="835">
        <f>'1.BS (VND)'!E78/$C$6</f>
        <v>0</v>
      </c>
      <c r="F104" s="835">
        <f>'1.BS (VND)'!F78/$C$6</f>
        <v>0</v>
      </c>
      <c r="G104" s="835">
        <f>'1.BS (VND)'!G78/$C$6</f>
        <v>0</v>
      </c>
      <c r="H104" s="835">
        <f>'1.BS (VND)'!H78/$C$6</f>
        <v>-1.265968</v>
      </c>
      <c r="I104" s="842"/>
      <c r="J104" s="835">
        <f>'1.BS (VND)'!J78/$C$6</f>
        <v>0</v>
      </c>
      <c r="K104" s="835">
        <f>'1.BS (VND)'!K78/$C$6</f>
        <v>0</v>
      </c>
      <c r="L104" s="835">
        <f>'1.BS (VND)'!L78/$C$6</f>
        <v>0</v>
      </c>
      <c r="M104" s="835">
        <f>'1.BS (VND)'!M78/$C$6</f>
        <v>0</v>
      </c>
      <c r="N104" s="840"/>
      <c r="O104" s="835">
        <f>'1.BS (VND)'!O78/$C$6</f>
        <v>0</v>
      </c>
      <c r="P104" s="835">
        <f>'1.BS (VND)'!P78/$C$6</f>
        <v>0</v>
      </c>
      <c r="Q104" s="835">
        <f>'1.BS (VND)'!Q78/$C$6</f>
        <v>0</v>
      </c>
      <c r="R104" s="835">
        <f>'1.BS (VND)'!R78/$C$6</f>
        <v>0</v>
      </c>
      <c r="S104" s="840"/>
      <c r="T104" s="835">
        <f>'1.BS (VND)'!T78/$C$6</f>
        <v>0</v>
      </c>
      <c r="U104" s="835">
        <f>'1.BS (VND)'!U78/$C$6</f>
        <v>0</v>
      </c>
      <c r="V104" s="835">
        <f>'1.BS (VND)'!V78/$C$6</f>
        <v>0</v>
      </c>
      <c r="W104" s="835">
        <f>'1.BS (VND)'!W78/$C$6</f>
        <v>0</v>
      </c>
      <c r="X104" s="840"/>
      <c r="Y104" s="835">
        <f>'1.BS (VND)'!T78/$C$6</f>
        <v>0</v>
      </c>
      <c r="Z104" s="835">
        <f>'1.BS (VND)'!U78/$C$6</f>
        <v>0</v>
      </c>
      <c r="AA104" s="835">
        <f>'1.BS (VND)'!V78/$C$6</f>
        <v>0</v>
      </c>
      <c r="AB104" s="835">
        <f>'1.BS (VND)'!W78/$C$6</f>
        <v>0</v>
      </c>
      <c r="AC104" s="840"/>
      <c r="AD104" s="835">
        <f>'1.BS (VND)'!AD78/$C$6</f>
        <v>0</v>
      </c>
      <c r="AE104" s="835">
        <f>'1.BS (VND)'!AE78/$C$6</f>
        <v>0</v>
      </c>
      <c r="AF104" s="835">
        <f>'1.BS (VND)'!AF78/$C$6</f>
        <v>0</v>
      </c>
      <c r="AG104" s="835">
        <f>'1.BS (VND)'!AG78/$C$6</f>
        <v>0</v>
      </c>
      <c r="AH104" s="841"/>
      <c r="AI104" s="835">
        <f t="shared" si="112"/>
        <v>0</v>
      </c>
      <c r="AJ104" s="835">
        <f t="shared" si="112"/>
        <v>0</v>
      </c>
      <c r="AK104" s="835">
        <f t="shared" si="112"/>
        <v>0</v>
      </c>
      <c r="AL104" s="835">
        <f t="shared" si="140"/>
        <v>-1.265968</v>
      </c>
      <c r="AM104" s="852"/>
      <c r="AN104" s="835">
        <f>'1.BS (VND)'!AI78/$C$6</f>
        <v>0</v>
      </c>
      <c r="AO104" s="835">
        <f>'1.BS (VND)'!AJ78/$C$6</f>
        <v>0</v>
      </c>
      <c r="AP104" s="835">
        <f>'1.BS (VND)'!AK78/$C$6</f>
        <v>0</v>
      </c>
      <c r="AQ104" s="835">
        <f>'1.BS (VND)'!AL78/$C$6</f>
        <v>0</v>
      </c>
      <c r="AR104" s="842"/>
      <c r="AS104" s="835">
        <f>'1.BS (VND)'!AN78/$C$6</f>
        <v>0</v>
      </c>
      <c r="AT104" s="835">
        <f>'1.BS (VND)'!AO78/$C$6</f>
        <v>0</v>
      </c>
      <c r="AU104" s="835">
        <f>'1.BS (VND)'!AP78/$C$6</f>
        <v>0</v>
      </c>
      <c r="AV104" s="835">
        <f>'1.BS (VND)'!AQ78/$C$6</f>
        <v>0</v>
      </c>
      <c r="AW104" s="840"/>
      <c r="AX104" s="835">
        <f>'1.BS (VND)'!AS78/$C$6</f>
        <v>0</v>
      </c>
      <c r="AY104" s="835">
        <f>'1.BS (VND)'!AT78/$C$6</f>
        <v>0</v>
      </c>
      <c r="AZ104" s="835">
        <f>'1.BS (VND)'!AU78/$C$6</f>
        <v>0</v>
      </c>
      <c r="BA104" s="835">
        <f>'1.BS (VND)'!AV78/$C$6</f>
        <v>0</v>
      </c>
      <c r="BB104" s="840"/>
      <c r="BC104" s="835">
        <f>'1.BS (VND)'!AX78/$C$6</f>
        <v>0</v>
      </c>
      <c r="BD104" s="835">
        <f>'1.BS (VND)'!AY78/$C$6</f>
        <v>0</v>
      </c>
      <c r="BE104" s="835">
        <f>'1.BS (VND)'!AZ78/$C$6</f>
        <v>0</v>
      </c>
      <c r="BF104" s="835">
        <f>'1.BS (VND)'!BA78/$C$6</f>
        <v>0</v>
      </c>
      <c r="BG104" s="840"/>
      <c r="BH104" s="835">
        <f>'1.BS (VND)'!BC78/$C$6</f>
        <v>0</v>
      </c>
      <c r="BI104" s="835">
        <f>'1.BS (VND)'!BD78/$C$6</f>
        <v>0</v>
      </c>
      <c r="BJ104" s="835">
        <f>'1.BS (VND)'!BE78/$C$6</f>
        <v>0</v>
      </c>
      <c r="BK104" s="835">
        <f>'1.BS (VND)'!BF78/$C$6</f>
        <v>0</v>
      </c>
      <c r="BL104" s="840"/>
      <c r="BM104" s="835">
        <f>'1.BS (VND)'!BH78/$C$6</f>
        <v>0</v>
      </c>
      <c r="BN104" s="835">
        <f>'1.BS (VND)'!BI78/$C$6</f>
        <v>0</v>
      </c>
      <c r="BO104" s="835">
        <f>'1.BS (VND)'!BJ78/$C$6</f>
        <v>0</v>
      </c>
      <c r="BP104" s="835">
        <f>'1.BS (VND)'!BK78/$C$6</f>
        <v>0</v>
      </c>
      <c r="BQ104" s="841"/>
      <c r="BR104" s="835">
        <f t="shared" si="141"/>
        <v>0</v>
      </c>
      <c r="BS104" s="835">
        <f t="shared" si="142"/>
        <v>0</v>
      </c>
      <c r="BT104" s="835">
        <f t="shared" si="143"/>
        <v>0</v>
      </c>
      <c r="BU104" s="835">
        <f t="shared" si="144"/>
        <v>-1.265968</v>
      </c>
      <c r="BV104" s="842"/>
      <c r="BW104" s="835">
        <f t="shared" si="145"/>
        <v>0</v>
      </c>
      <c r="BX104" s="835">
        <f t="shared" si="146"/>
        <v>0</v>
      </c>
      <c r="BY104" s="835">
        <f t="shared" si="147"/>
        <v>0</v>
      </c>
      <c r="BZ104" s="835">
        <f t="shared" si="148"/>
        <v>0</v>
      </c>
      <c r="CA104" s="840"/>
      <c r="CB104" s="835">
        <f t="shared" si="149"/>
        <v>0</v>
      </c>
      <c r="CC104" s="835">
        <f t="shared" si="150"/>
        <v>0</v>
      </c>
      <c r="CD104" s="835">
        <f t="shared" si="151"/>
        <v>0</v>
      </c>
      <c r="CE104" s="835">
        <f t="shared" si="152"/>
        <v>0</v>
      </c>
      <c r="CF104" s="840"/>
      <c r="CG104" s="835">
        <f t="shared" si="153"/>
        <v>0</v>
      </c>
      <c r="CH104" s="835">
        <f t="shared" si="154"/>
        <v>0</v>
      </c>
      <c r="CI104" s="835">
        <f t="shared" si="155"/>
        <v>0</v>
      </c>
      <c r="CJ104" s="835">
        <f t="shared" si="156"/>
        <v>0</v>
      </c>
      <c r="CK104" s="840"/>
      <c r="CL104" s="835">
        <f t="shared" si="157"/>
        <v>0</v>
      </c>
      <c r="CM104" s="835">
        <f t="shared" si="158"/>
        <v>0</v>
      </c>
      <c r="CN104" s="835">
        <f t="shared" si="159"/>
        <v>0</v>
      </c>
      <c r="CO104" s="835">
        <f t="shared" si="160"/>
        <v>0</v>
      </c>
      <c r="CP104" s="840"/>
      <c r="CQ104" s="835">
        <f t="shared" si="161"/>
        <v>0</v>
      </c>
      <c r="CR104" s="835">
        <f t="shared" si="162"/>
        <v>0</v>
      </c>
      <c r="CS104" s="835">
        <f t="shared" si="163"/>
        <v>0</v>
      </c>
      <c r="CT104" s="835">
        <f t="shared" si="164"/>
        <v>0</v>
      </c>
      <c r="CU104" s="842"/>
      <c r="CV104" s="835">
        <f t="shared" si="165"/>
        <v>0</v>
      </c>
      <c r="CW104" s="835">
        <f t="shared" si="165"/>
        <v>0</v>
      </c>
      <c r="CX104" s="835">
        <f t="shared" si="165"/>
        <v>0</v>
      </c>
      <c r="CY104" s="835">
        <f t="shared" si="165"/>
        <v>-1.265968</v>
      </c>
      <c r="CZ104" s="842"/>
      <c r="DA104" s="835">
        <f>'1.BS (VND)'!CV78/'1.BC_Ra Soat (ty) '!$C$6</f>
        <v>0</v>
      </c>
      <c r="DB104" s="835">
        <f>'1.BS (VND)'!CW78/'1.BC_Ra Soat (ty) '!$C$6</f>
        <v>0</v>
      </c>
      <c r="DC104" s="835">
        <f>'1.BS (VND)'!CX78/'1.BC_Ra Soat (ty) '!$C$6</f>
        <v>0</v>
      </c>
      <c r="DD104" s="835">
        <f>'1.BS (VND)'!CY78/'1.BC_Ra Soat (ty) '!$C$6</f>
        <v>0</v>
      </c>
      <c r="DE104" s="842"/>
      <c r="DF104" s="835">
        <f t="shared" si="166"/>
        <v>0</v>
      </c>
      <c r="DG104" s="835">
        <f t="shared" si="166"/>
        <v>0</v>
      </c>
      <c r="DH104" s="835">
        <f t="shared" si="166"/>
        <v>0</v>
      </c>
      <c r="DI104" s="835">
        <f t="shared" si="166"/>
        <v>-1.265968</v>
      </c>
      <c r="DJ104" s="444"/>
    </row>
    <row r="105" spans="1:114" s="441" customFormat="1" ht="15.75" hidden="1" x14ac:dyDescent="0.25">
      <c r="A105" s="447" t="str">
        <f t="shared" si="167"/>
        <v>hide</v>
      </c>
      <c r="C105" s="452" t="s">
        <v>417</v>
      </c>
      <c r="D105" s="453" t="s">
        <v>418</v>
      </c>
      <c r="E105" s="835">
        <f>'1.BS (VND)'!E79/$C$6</f>
        <v>0</v>
      </c>
      <c r="F105" s="835">
        <f>'1.BS (VND)'!F79/$C$6</f>
        <v>0</v>
      </c>
      <c r="G105" s="835">
        <f>'1.BS (VND)'!G79/$C$6</f>
        <v>0</v>
      </c>
      <c r="H105" s="835">
        <f>'1.BS (VND)'!H79/$C$6</f>
        <v>0</v>
      </c>
      <c r="I105" s="842"/>
      <c r="J105" s="835">
        <f>'1.BS (VND)'!J79/$C$6</f>
        <v>0</v>
      </c>
      <c r="K105" s="835">
        <f>'1.BS (VND)'!K79/$C$6</f>
        <v>0</v>
      </c>
      <c r="L105" s="835">
        <f>'1.BS (VND)'!L79/$C$6</f>
        <v>0</v>
      </c>
      <c r="M105" s="835">
        <f>'1.BS (VND)'!M79/$C$6</f>
        <v>0</v>
      </c>
      <c r="N105" s="840"/>
      <c r="O105" s="835">
        <f>'1.BS (VND)'!O79/$C$6</f>
        <v>0</v>
      </c>
      <c r="P105" s="835">
        <f>'1.BS (VND)'!P79/$C$6</f>
        <v>0</v>
      </c>
      <c r="Q105" s="835">
        <f>'1.BS (VND)'!Q79/$C$6</f>
        <v>0</v>
      </c>
      <c r="R105" s="835">
        <f>'1.BS (VND)'!R79/$C$6</f>
        <v>0</v>
      </c>
      <c r="S105" s="840"/>
      <c r="T105" s="835">
        <f>'1.BS (VND)'!T79/$C$6</f>
        <v>0</v>
      </c>
      <c r="U105" s="835">
        <f>'1.BS (VND)'!U79/$C$6</f>
        <v>0</v>
      </c>
      <c r="V105" s="835">
        <f>'1.BS (VND)'!V79/$C$6</f>
        <v>0</v>
      </c>
      <c r="W105" s="835">
        <f>'1.BS (VND)'!W79/$C$6</f>
        <v>0</v>
      </c>
      <c r="X105" s="840"/>
      <c r="Y105" s="835">
        <f>'1.BS (VND)'!T79/$C$6</f>
        <v>0</v>
      </c>
      <c r="Z105" s="835">
        <f>'1.BS (VND)'!U79/$C$6</f>
        <v>0</v>
      </c>
      <c r="AA105" s="835">
        <f>'1.BS (VND)'!V79/$C$6</f>
        <v>0</v>
      </c>
      <c r="AB105" s="835">
        <f>'1.BS (VND)'!W79/$C$6</f>
        <v>0</v>
      </c>
      <c r="AC105" s="840"/>
      <c r="AD105" s="835">
        <f>'1.BS (VND)'!AD79/$C$6</f>
        <v>0</v>
      </c>
      <c r="AE105" s="835">
        <f>'1.BS (VND)'!AE79/$C$6</f>
        <v>0</v>
      </c>
      <c r="AF105" s="835">
        <f>'1.BS (VND)'!AF79/$C$6</f>
        <v>0</v>
      </c>
      <c r="AG105" s="835">
        <f>'1.BS (VND)'!AG79/$C$6</f>
        <v>0</v>
      </c>
      <c r="AH105" s="841"/>
      <c r="AI105" s="835">
        <f t="shared" si="112"/>
        <v>0</v>
      </c>
      <c r="AJ105" s="835">
        <f t="shared" si="112"/>
        <v>0</v>
      </c>
      <c r="AK105" s="835">
        <f t="shared" si="112"/>
        <v>0</v>
      </c>
      <c r="AL105" s="835">
        <f t="shared" si="140"/>
        <v>0</v>
      </c>
      <c r="AM105" s="852"/>
      <c r="AN105" s="835">
        <f>'1.BS (VND)'!AI79/$C$6</f>
        <v>0</v>
      </c>
      <c r="AO105" s="835">
        <f>'1.BS (VND)'!AJ79/$C$6</f>
        <v>0</v>
      </c>
      <c r="AP105" s="835">
        <f>'1.BS (VND)'!AK79/$C$6</f>
        <v>0</v>
      </c>
      <c r="AQ105" s="835">
        <f>'1.BS (VND)'!AL79/$C$6</f>
        <v>0</v>
      </c>
      <c r="AR105" s="842"/>
      <c r="AS105" s="835">
        <f>'1.BS (VND)'!AN79/$C$6</f>
        <v>0</v>
      </c>
      <c r="AT105" s="835">
        <f>'1.BS (VND)'!AO79/$C$6</f>
        <v>0</v>
      </c>
      <c r="AU105" s="835">
        <f>'1.BS (VND)'!AP79/$C$6</f>
        <v>0</v>
      </c>
      <c r="AV105" s="835">
        <f>'1.BS (VND)'!AQ79/$C$6</f>
        <v>0</v>
      </c>
      <c r="AW105" s="840"/>
      <c r="AX105" s="835">
        <f>'1.BS (VND)'!AS79/$C$6</f>
        <v>0</v>
      </c>
      <c r="AY105" s="835">
        <f>'1.BS (VND)'!AT79/$C$6</f>
        <v>0</v>
      </c>
      <c r="AZ105" s="835">
        <f>'1.BS (VND)'!AU79/$C$6</f>
        <v>0</v>
      </c>
      <c r="BA105" s="835">
        <f>'1.BS (VND)'!AV79/$C$6</f>
        <v>0</v>
      </c>
      <c r="BB105" s="840"/>
      <c r="BC105" s="835">
        <f>'1.BS (VND)'!AX79/$C$6</f>
        <v>0</v>
      </c>
      <c r="BD105" s="835">
        <f>'1.BS (VND)'!AY79/$C$6</f>
        <v>0</v>
      </c>
      <c r="BE105" s="835">
        <f>'1.BS (VND)'!AZ79/$C$6</f>
        <v>0</v>
      </c>
      <c r="BF105" s="835">
        <f>'1.BS (VND)'!BA79/$C$6</f>
        <v>0</v>
      </c>
      <c r="BG105" s="840"/>
      <c r="BH105" s="835">
        <f>'1.BS (VND)'!BC79/$C$6</f>
        <v>0</v>
      </c>
      <c r="BI105" s="835">
        <f>'1.BS (VND)'!BD79/$C$6</f>
        <v>0</v>
      </c>
      <c r="BJ105" s="835">
        <f>'1.BS (VND)'!BE79/$C$6</f>
        <v>0</v>
      </c>
      <c r="BK105" s="835">
        <f>'1.BS (VND)'!BF79/$C$6</f>
        <v>0</v>
      </c>
      <c r="BL105" s="840"/>
      <c r="BM105" s="835">
        <f>'1.BS (VND)'!BH79/$C$6</f>
        <v>0</v>
      </c>
      <c r="BN105" s="835">
        <f>'1.BS (VND)'!BI79/$C$6</f>
        <v>0</v>
      </c>
      <c r="BO105" s="835">
        <f>'1.BS (VND)'!BJ79/$C$6</f>
        <v>0</v>
      </c>
      <c r="BP105" s="835">
        <f>'1.BS (VND)'!BK79/$C$6</f>
        <v>0</v>
      </c>
      <c r="BQ105" s="841"/>
      <c r="BR105" s="835">
        <f t="shared" si="141"/>
        <v>0</v>
      </c>
      <c r="BS105" s="835">
        <f t="shared" si="142"/>
        <v>0</v>
      </c>
      <c r="BT105" s="835">
        <f t="shared" si="143"/>
        <v>0</v>
      </c>
      <c r="BU105" s="835">
        <f t="shared" si="144"/>
        <v>0</v>
      </c>
      <c r="BV105" s="842"/>
      <c r="BW105" s="835">
        <f t="shared" si="145"/>
        <v>0</v>
      </c>
      <c r="BX105" s="835">
        <f t="shared" si="146"/>
        <v>0</v>
      </c>
      <c r="BY105" s="835">
        <f t="shared" si="147"/>
        <v>0</v>
      </c>
      <c r="BZ105" s="835">
        <f t="shared" si="148"/>
        <v>0</v>
      </c>
      <c r="CA105" s="840"/>
      <c r="CB105" s="835">
        <f t="shared" si="149"/>
        <v>0</v>
      </c>
      <c r="CC105" s="835">
        <f t="shared" si="150"/>
        <v>0</v>
      </c>
      <c r="CD105" s="835">
        <f t="shared" si="151"/>
        <v>0</v>
      </c>
      <c r="CE105" s="835">
        <f t="shared" si="152"/>
        <v>0</v>
      </c>
      <c r="CF105" s="840"/>
      <c r="CG105" s="835">
        <f t="shared" si="153"/>
        <v>0</v>
      </c>
      <c r="CH105" s="835">
        <f t="shared" si="154"/>
        <v>0</v>
      </c>
      <c r="CI105" s="835">
        <f t="shared" si="155"/>
        <v>0</v>
      </c>
      <c r="CJ105" s="835">
        <f t="shared" si="156"/>
        <v>0</v>
      </c>
      <c r="CK105" s="840"/>
      <c r="CL105" s="835">
        <f t="shared" si="157"/>
        <v>0</v>
      </c>
      <c r="CM105" s="835">
        <f t="shared" si="158"/>
        <v>0</v>
      </c>
      <c r="CN105" s="835">
        <f t="shared" si="159"/>
        <v>0</v>
      </c>
      <c r="CO105" s="835">
        <f t="shared" si="160"/>
        <v>0</v>
      </c>
      <c r="CP105" s="840"/>
      <c r="CQ105" s="835">
        <f t="shared" si="161"/>
        <v>0</v>
      </c>
      <c r="CR105" s="835">
        <f t="shared" si="162"/>
        <v>0</v>
      </c>
      <c r="CS105" s="835">
        <f t="shared" si="163"/>
        <v>0</v>
      </c>
      <c r="CT105" s="835">
        <f t="shared" si="164"/>
        <v>0</v>
      </c>
      <c r="CU105" s="842"/>
      <c r="CV105" s="835">
        <f t="shared" si="165"/>
        <v>0</v>
      </c>
      <c r="CW105" s="835">
        <f t="shared" si="165"/>
        <v>0</v>
      </c>
      <c r="CX105" s="835">
        <f t="shared" si="165"/>
        <v>0</v>
      </c>
      <c r="CY105" s="835">
        <f t="shared" si="165"/>
        <v>0</v>
      </c>
      <c r="CZ105" s="842"/>
      <c r="DA105" s="835">
        <f>'1.BS (VND)'!CV79/'1.BC_Ra Soat (ty) '!$C$6</f>
        <v>0</v>
      </c>
      <c r="DB105" s="835">
        <f>'1.BS (VND)'!CW79/'1.BC_Ra Soat (ty) '!$C$6</f>
        <v>0</v>
      </c>
      <c r="DC105" s="835">
        <f>'1.BS (VND)'!CX79/'1.BC_Ra Soat (ty) '!$C$6</f>
        <v>0</v>
      </c>
      <c r="DD105" s="835">
        <f>'1.BS (VND)'!CY79/'1.BC_Ra Soat (ty) '!$C$6</f>
        <v>0</v>
      </c>
      <c r="DE105" s="842"/>
      <c r="DF105" s="835">
        <f t="shared" si="166"/>
        <v>0</v>
      </c>
      <c r="DG105" s="835">
        <f t="shared" si="166"/>
        <v>0</v>
      </c>
      <c r="DH105" s="835">
        <f t="shared" si="166"/>
        <v>0</v>
      </c>
      <c r="DI105" s="835">
        <f t="shared" si="166"/>
        <v>0</v>
      </c>
      <c r="DJ105" s="444"/>
    </row>
    <row r="106" spans="1:114" s="441" customFormat="1" ht="15.75" hidden="1" x14ac:dyDescent="0.25">
      <c r="A106" s="447" t="str">
        <f t="shared" si="167"/>
        <v>hide</v>
      </c>
      <c r="C106" s="452" t="s">
        <v>419</v>
      </c>
      <c r="D106" s="453" t="s">
        <v>420</v>
      </c>
      <c r="E106" s="835">
        <f>'1.BS (VND)'!E80/$C$6</f>
        <v>0</v>
      </c>
      <c r="F106" s="835">
        <f>'1.BS (VND)'!F80/$C$6</f>
        <v>0</v>
      </c>
      <c r="G106" s="835">
        <f>'1.BS (VND)'!G80/$C$6</f>
        <v>0</v>
      </c>
      <c r="H106" s="835">
        <f>'1.BS (VND)'!H80/$C$6</f>
        <v>0</v>
      </c>
      <c r="I106" s="842"/>
      <c r="J106" s="835">
        <f>'1.BS (VND)'!J80/$C$6</f>
        <v>0</v>
      </c>
      <c r="K106" s="835">
        <f>'1.BS (VND)'!K80/$C$6</f>
        <v>0</v>
      </c>
      <c r="L106" s="835">
        <f>'1.BS (VND)'!L80/$C$6</f>
        <v>0</v>
      </c>
      <c r="M106" s="835">
        <f>'1.BS (VND)'!M80/$C$6</f>
        <v>0</v>
      </c>
      <c r="N106" s="840"/>
      <c r="O106" s="835">
        <f>'1.BS (VND)'!O80/$C$6</f>
        <v>0</v>
      </c>
      <c r="P106" s="835">
        <f>'1.BS (VND)'!P80/$C$6</f>
        <v>0</v>
      </c>
      <c r="Q106" s="835">
        <f>'1.BS (VND)'!Q80/$C$6</f>
        <v>0</v>
      </c>
      <c r="R106" s="835">
        <f>'1.BS (VND)'!R80/$C$6</f>
        <v>0</v>
      </c>
      <c r="S106" s="840"/>
      <c r="T106" s="835">
        <f>'1.BS (VND)'!T80/$C$6</f>
        <v>0</v>
      </c>
      <c r="U106" s="835">
        <f>'1.BS (VND)'!U80/$C$6</f>
        <v>0</v>
      </c>
      <c r="V106" s="835">
        <f>'1.BS (VND)'!V80/$C$6</f>
        <v>0</v>
      </c>
      <c r="W106" s="835">
        <f>'1.BS (VND)'!W80/$C$6</f>
        <v>0</v>
      </c>
      <c r="X106" s="840"/>
      <c r="Y106" s="835">
        <f>'1.BS (VND)'!T80/$C$6</f>
        <v>0</v>
      </c>
      <c r="Z106" s="835">
        <f>'1.BS (VND)'!U80/$C$6</f>
        <v>0</v>
      </c>
      <c r="AA106" s="835">
        <f>'1.BS (VND)'!V80/$C$6</f>
        <v>0</v>
      </c>
      <c r="AB106" s="835">
        <f>'1.BS (VND)'!W80/$C$6</f>
        <v>0</v>
      </c>
      <c r="AC106" s="840"/>
      <c r="AD106" s="835">
        <f>'1.BS (VND)'!AD80/$C$6</f>
        <v>0</v>
      </c>
      <c r="AE106" s="835">
        <f>'1.BS (VND)'!AE80/$C$6</f>
        <v>0</v>
      </c>
      <c r="AF106" s="835">
        <f>'1.BS (VND)'!AF80/$C$6</f>
        <v>0</v>
      </c>
      <c r="AG106" s="835">
        <f>'1.BS (VND)'!AG80/$C$6</f>
        <v>0</v>
      </c>
      <c r="AH106" s="841"/>
      <c r="AI106" s="835">
        <f t="shared" si="112"/>
        <v>0</v>
      </c>
      <c r="AJ106" s="835">
        <f t="shared" si="112"/>
        <v>0</v>
      </c>
      <c r="AK106" s="835">
        <f t="shared" si="112"/>
        <v>0</v>
      </c>
      <c r="AL106" s="835">
        <f t="shared" si="140"/>
        <v>0</v>
      </c>
      <c r="AM106" s="842"/>
      <c r="AN106" s="835">
        <f>'1.BS (VND)'!AI80/$C$6</f>
        <v>0</v>
      </c>
      <c r="AO106" s="835">
        <f>'1.BS (VND)'!AJ80/$C$6</f>
        <v>0</v>
      </c>
      <c r="AP106" s="835">
        <f>'1.BS (VND)'!AK80/$C$6</f>
        <v>0</v>
      </c>
      <c r="AQ106" s="835">
        <f>'1.BS (VND)'!AL80/$C$6</f>
        <v>0</v>
      </c>
      <c r="AR106" s="842"/>
      <c r="AS106" s="835">
        <f>'1.BS (VND)'!AN80/$C$6</f>
        <v>0</v>
      </c>
      <c r="AT106" s="835">
        <f>'1.BS (VND)'!AO80/$C$6</f>
        <v>0</v>
      </c>
      <c r="AU106" s="835">
        <f>'1.BS (VND)'!AP80/$C$6</f>
        <v>0</v>
      </c>
      <c r="AV106" s="835">
        <f>'1.BS (VND)'!AQ80/$C$6</f>
        <v>0</v>
      </c>
      <c r="AW106" s="840"/>
      <c r="AX106" s="835">
        <f>'1.BS (VND)'!AS80/$C$6</f>
        <v>0</v>
      </c>
      <c r="AY106" s="835">
        <f>'1.BS (VND)'!AT80/$C$6</f>
        <v>0</v>
      </c>
      <c r="AZ106" s="835">
        <f>'1.BS (VND)'!AU80/$C$6</f>
        <v>0</v>
      </c>
      <c r="BA106" s="835">
        <f>'1.BS (VND)'!AV80/$C$6</f>
        <v>0</v>
      </c>
      <c r="BB106" s="840"/>
      <c r="BC106" s="835">
        <f>'1.BS (VND)'!AX80/$C$6</f>
        <v>0</v>
      </c>
      <c r="BD106" s="835">
        <f>'1.BS (VND)'!AY80/$C$6</f>
        <v>0</v>
      </c>
      <c r="BE106" s="835">
        <f>'1.BS (VND)'!AZ80/$C$6</f>
        <v>0</v>
      </c>
      <c r="BF106" s="835">
        <f>'1.BS (VND)'!BA80/$C$6</f>
        <v>0</v>
      </c>
      <c r="BG106" s="840"/>
      <c r="BH106" s="835">
        <f>'1.BS (VND)'!BC80/$C$6</f>
        <v>0</v>
      </c>
      <c r="BI106" s="835">
        <f>'1.BS (VND)'!BD80/$C$6</f>
        <v>0</v>
      </c>
      <c r="BJ106" s="835">
        <f>'1.BS (VND)'!BE80/$C$6</f>
        <v>0</v>
      </c>
      <c r="BK106" s="835">
        <f>'1.BS (VND)'!BF80/$C$6</f>
        <v>0</v>
      </c>
      <c r="BL106" s="840"/>
      <c r="BM106" s="835">
        <f>'1.BS (VND)'!BH80/$C$6</f>
        <v>0</v>
      </c>
      <c r="BN106" s="835">
        <f>'1.BS (VND)'!BI80/$C$6</f>
        <v>0</v>
      </c>
      <c r="BO106" s="835">
        <f>'1.BS (VND)'!BJ80/$C$6</f>
        <v>0</v>
      </c>
      <c r="BP106" s="835">
        <f>'1.BS (VND)'!BK80/$C$6</f>
        <v>0</v>
      </c>
      <c r="BQ106" s="841"/>
      <c r="BR106" s="835">
        <f t="shared" si="141"/>
        <v>0</v>
      </c>
      <c r="BS106" s="835">
        <f t="shared" si="142"/>
        <v>0</v>
      </c>
      <c r="BT106" s="835">
        <f t="shared" si="143"/>
        <v>0</v>
      </c>
      <c r="BU106" s="835">
        <f t="shared" si="144"/>
        <v>0</v>
      </c>
      <c r="BV106" s="842"/>
      <c r="BW106" s="835">
        <f t="shared" si="145"/>
        <v>0</v>
      </c>
      <c r="BX106" s="835">
        <f t="shared" si="146"/>
        <v>0</v>
      </c>
      <c r="BY106" s="835">
        <f t="shared" si="147"/>
        <v>0</v>
      </c>
      <c r="BZ106" s="835">
        <f t="shared" si="148"/>
        <v>0</v>
      </c>
      <c r="CA106" s="840"/>
      <c r="CB106" s="835">
        <f t="shared" si="149"/>
        <v>0</v>
      </c>
      <c r="CC106" s="835">
        <f t="shared" si="150"/>
        <v>0</v>
      </c>
      <c r="CD106" s="835">
        <f t="shared" si="151"/>
        <v>0</v>
      </c>
      <c r="CE106" s="835">
        <f t="shared" si="152"/>
        <v>0</v>
      </c>
      <c r="CF106" s="840"/>
      <c r="CG106" s="835">
        <f t="shared" si="153"/>
        <v>0</v>
      </c>
      <c r="CH106" s="835">
        <f t="shared" si="154"/>
        <v>0</v>
      </c>
      <c r="CI106" s="835">
        <f t="shared" si="155"/>
        <v>0</v>
      </c>
      <c r="CJ106" s="835">
        <f t="shared" si="156"/>
        <v>0</v>
      </c>
      <c r="CK106" s="840"/>
      <c r="CL106" s="835">
        <f t="shared" si="157"/>
        <v>0</v>
      </c>
      <c r="CM106" s="835">
        <f t="shared" si="158"/>
        <v>0</v>
      </c>
      <c r="CN106" s="835">
        <f t="shared" si="159"/>
        <v>0</v>
      </c>
      <c r="CO106" s="835">
        <f t="shared" si="160"/>
        <v>0</v>
      </c>
      <c r="CP106" s="840"/>
      <c r="CQ106" s="835">
        <f t="shared" si="161"/>
        <v>0</v>
      </c>
      <c r="CR106" s="835">
        <f t="shared" si="162"/>
        <v>0</v>
      </c>
      <c r="CS106" s="835">
        <f t="shared" si="163"/>
        <v>0</v>
      </c>
      <c r="CT106" s="835">
        <f t="shared" si="164"/>
        <v>0</v>
      </c>
      <c r="CU106" s="842"/>
      <c r="CV106" s="835">
        <f t="shared" si="165"/>
        <v>0</v>
      </c>
      <c r="CW106" s="835">
        <f t="shared" si="165"/>
        <v>0</v>
      </c>
      <c r="CX106" s="835">
        <f t="shared" si="165"/>
        <v>0</v>
      </c>
      <c r="CY106" s="835">
        <f t="shared" si="165"/>
        <v>0</v>
      </c>
      <c r="CZ106" s="842"/>
      <c r="DA106" s="835">
        <f>'1.BS (VND)'!CV80/'1.BC_Ra Soat (ty) '!$C$6</f>
        <v>0</v>
      </c>
      <c r="DB106" s="835">
        <f>'1.BS (VND)'!CW80/'1.BC_Ra Soat (ty) '!$C$6</f>
        <v>0</v>
      </c>
      <c r="DC106" s="835">
        <f>'1.BS (VND)'!CX80/'1.BC_Ra Soat (ty) '!$C$6</f>
        <v>0</v>
      </c>
      <c r="DD106" s="835">
        <f>'1.BS (VND)'!CY80/'1.BC_Ra Soat (ty) '!$C$6</f>
        <v>0</v>
      </c>
      <c r="DE106" s="842"/>
      <c r="DF106" s="835">
        <f t="shared" si="166"/>
        <v>0</v>
      </c>
      <c r="DG106" s="835">
        <f t="shared" si="166"/>
        <v>0</v>
      </c>
      <c r="DH106" s="835">
        <f t="shared" si="166"/>
        <v>0</v>
      </c>
      <c r="DI106" s="835">
        <f t="shared" si="166"/>
        <v>0</v>
      </c>
    </row>
    <row r="107" spans="1:114" s="441" customFormat="1" ht="15.75" hidden="1" x14ac:dyDescent="0.25">
      <c r="A107" s="447" t="str">
        <f t="shared" si="167"/>
        <v>hide</v>
      </c>
      <c r="C107" s="452" t="s">
        <v>421</v>
      </c>
      <c r="D107" s="453" t="s">
        <v>422</v>
      </c>
      <c r="E107" s="835">
        <f>'1.BS (VND)'!E81/$C$6</f>
        <v>0</v>
      </c>
      <c r="F107" s="835">
        <f>'1.BS (VND)'!F81/$C$6</f>
        <v>0</v>
      </c>
      <c r="G107" s="835">
        <f>'1.BS (VND)'!G81/$C$6</f>
        <v>0</v>
      </c>
      <c r="H107" s="835">
        <f>'1.BS (VND)'!H81/$C$6</f>
        <v>0</v>
      </c>
      <c r="I107" s="842"/>
      <c r="J107" s="835">
        <f>'1.BS (VND)'!J81/$C$6</f>
        <v>0</v>
      </c>
      <c r="K107" s="835">
        <f>'1.BS (VND)'!K81/$C$6</f>
        <v>0</v>
      </c>
      <c r="L107" s="835">
        <f>'1.BS (VND)'!L81/$C$6</f>
        <v>0</v>
      </c>
      <c r="M107" s="835">
        <f>'1.BS (VND)'!M81/$C$6</f>
        <v>0</v>
      </c>
      <c r="N107" s="840"/>
      <c r="O107" s="835">
        <f>'1.BS (VND)'!O81/$C$6</f>
        <v>0</v>
      </c>
      <c r="P107" s="835">
        <f>'1.BS (VND)'!P81/$C$6</f>
        <v>0</v>
      </c>
      <c r="Q107" s="835">
        <f>'1.BS (VND)'!Q81/$C$6</f>
        <v>0</v>
      </c>
      <c r="R107" s="835">
        <f>'1.BS (VND)'!R81/$C$6</f>
        <v>0</v>
      </c>
      <c r="S107" s="840"/>
      <c r="T107" s="835">
        <f>'1.BS (VND)'!T81/$C$6</f>
        <v>0</v>
      </c>
      <c r="U107" s="835">
        <f>'1.BS (VND)'!U81/$C$6</f>
        <v>0</v>
      </c>
      <c r="V107" s="835">
        <f>'1.BS (VND)'!V81/$C$6</f>
        <v>0</v>
      </c>
      <c r="W107" s="835">
        <f>'1.BS (VND)'!W81/$C$6</f>
        <v>0</v>
      </c>
      <c r="X107" s="840"/>
      <c r="Y107" s="835">
        <f>'1.BS (VND)'!T81/$C$6</f>
        <v>0</v>
      </c>
      <c r="Z107" s="835">
        <f>'1.BS (VND)'!U81/$C$6</f>
        <v>0</v>
      </c>
      <c r="AA107" s="835">
        <f>'1.BS (VND)'!V81/$C$6</f>
        <v>0</v>
      </c>
      <c r="AB107" s="835">
        <f>'1.BS (VND)'!W81/$C$6</f>
        <v>0</v>
      </c>
      <c r="AC107" s="840"/>
      <c r="AD107" s="835">
        <f>'1.BS (VND)'!AD81/$C$6</f>
        <v>0</v>
      </c>
      <c r="AE107" s="835">
        <f>'1.BS (VND)'!AE81/$C$6</f>
        <v>0</v>
      </c>
      <c r="AF107" s="835">
        <f>'1.BS (VND)'!AF81/$C$6</f>
        <v>0</v>
      </c>
      <c r="AG107" s="835">
        <f>'1.BS (VND)'!AG81/$C$6</f>
        <v>0</v>
      </c>
      <c r="AH107" s="841"/>
      <c r="AI107" s="835">
        <f t="shared" si="112"/>
        <v>0</v>
      </c>
      <c r="AJ107" s="835">
        <f t="shared" si="112"/>
        <v>0</v>
      </c>
      <c r="AK107" s="835">
        <f t="shared" si="112"/>
        <v>0</v>
      </c>
      <c r="AL107" s="835">
        <f t="shared" si="140"/>
        <v>0</v>
      </c>
      <c r="AM107" s="842"/>
      <c r="AN107" s="835">
        <f>'1.BS (VND)'!AI81/$C$6</f>
        <v>0</v>
      </c>
      <c r="AO107" s="835">
        <f>'1.BS (VND)'!AJ81/$C$6</f>
        <v>0</v>
      </c>
      <c r="AP107" s="835">
        <f>'1.BS (VND)'!AK81/$C$6</f>
        <v>0</v>
      </c>
      <c r="AQ107" s="835">
        <f>'1.BS (VND)'!AL81/$C$6</f>
        <v>0</v>
      </c>
      <c r="AR107" s="842"/>
      <c r="AS107" s="835">
        <f>'1.BS (VND)'!AN81/$C$6</f>
        <v>0</v>
      </c>
      <c r="AT107" s="835">
        <f>'1.BS (VND)'!AO81/$C$6</f>
        <v>0</v>
      </c>
      <c r="AU107" s="835">
        <f>'1.BS (VND)'!AP81/$C$6</f>
        <v>0</v>
      </c>
      <c r="AV107" s="835">
        <f>'1.BS (VND)'!AQ81/$C$6</f>
        <v>0</v>
      </c>
      <c r="AW107" s="840"/>
      <c r="AX107" s="835">
        <f>'1.BS (VND)'!AS81/$C$6</f>
        <v>0</v>
      </c>
      <c r="AY107" s="835">
        <f>'1.BS (VND)'!AT81/$C$6</f>
        <v>0</v>
      </c>
      <c r="AZ107" s="835">
        <f>'1.BS (VND)'!AU81/$C$6</f>
        <v>0</v>
      </c>
      <c r="BA107" s="835">
        <f>'1.BS (VND)'!AV81/$C$6</f>
        <v>0</v>
      </c>
      <c r="BB107" s="840"/>
      <c r="BC107" s="835">
        <f>'1.BS (VND)'!AX81/$C$6</f>
        <v>0</v>
      </c>
      <c r="BD107" s="835">
        <f>'1.BS (VND)'!AY81/$C$6</f>
        <v>0</v>
      </c>
      <c r="BE107" s="835">
        <f>'1.BS (VND)'!AZ81/$C$6</f>
        <v>0</v>
      </c>
      <c r="BF107" s="835">
        <f>'1.BS (VND)'!BA81/$C$6</f>
        <v>0</v>
      </c>
      <c r="BG107" s="840"/>
      <c r="BH107" s="835">
        <f>'1.BS (VND)'!BC81/$C$6</f>
        <v>0</v>
      </c>
      <c r="BI107" s="835">
        <f>'1.BS (VND)'!BD81/$C$6</f>
        <v>0</v>
      </c>
      <c r="BJ107" s="835">
        <f>'1.BS (VND)'!BE81/$C$6</f>
        <v>0</v>
      </c>
      <c r="BK107" s="835">
        <f>'1.BS (VND)'!BF81/$C$6</f>
        <v>0</v>
      </c>
      <c r="BL107" s="840"/>
      <c r="BM107" s="835">
        <f>'1.BS (VND)'!BH81/$C$6</f>
        <v>0</v>
      </c>
      <c r="BN107" s="835">
        <f>'1.BS (VND)'!BI81/$C$6</f>
        <v>0</v>
      </c>
      <c r="BO107" s="835">
        <f>'1.BS (VND)'!BJ81/$C$6</f>
        <v>0</v>
      </c>
      <c r="BP107" s="835">
        <f>'1.BS (VND)'!BK81/$C$6</f>
        <v>0</v>
      </c>
      <c r="BQ107" s="841"/>
      <c r="BR107" s="835">
        <f t="shared" si="141"/>
        <v>0</v>
      </c>
      <c r="BS107" s="835">
        <f t="shared" si="142"/>
        <v>0</v>
      </c>
      <c r="BT107" s="835">
        <f t="shared" si="143"/>
        <v>0</v>
      </c>
      <c r="BU107" s="835">
        <f t="shared" si="144"/>
        <v>0</v>
      </c>
      <c r="BV107" s="842"/>
      <c r="BW107" s="835">
        <f t="shared" si="145"/>
        <v>0</v>
      </c>
      <c r="BX107" s="835">
        <f t="shared" si="146"/>
        <v>0</v>
      </c>
      <c r="BY107" s="835">
        <f t="shared" si="147"/>
        <v>0</v>
      </c>
      <c r="BZ107" s="835">
        <f t="shared" si="148"/>
        <v>0</v>
      </c>
      <c r="CA107" s="840"/>
      <c r="CB107" s="835">
        <f t="shared" si="149"/>
        <v>0</v>
      </c>
      <c r="CC107" s="835">
        <f t="shared" si="150"/>
        <v>0</v>
      </c>
      <c r="CD107" s="835">
        <f t="shared" si="151"/>
        <v>0</v>
      </c>
      <c r="CE107" s="835">
        <f t="shared" si="152"/>
        <v>0</v>
      </c>
      <c r="CF107" s="840"/>
      <c r="CG107" s="835">
        <f t="shared" si="153"/>
        <v>0</v>
      </c>
      <c r="CH107" s="835">
        <f t="shared" si="154"/>
        <v>0</v>
      </c>
      <c r="CI107" s="835">
        <f t="shared" si="155"/>
        <v>0</v>
      </c>
      <c r="CJ107" s="835">
        <f t="shared" si="156"/>
        <v>0</v>
      </c>
      <c r="CK107" s="840"/>
      <c r="CL107" s="835">
        <f t="shared" si="157"/>
        <v>0</v>
      </c>
      <c r="CM107" s="835">
        <f t="shared" si="158"/>
        <v>0</v>
      </c>
      <c r="CN107" s="835">
        <f t="shared" si="159"/>
        <v>0</v>
      </c>
      <c r="CO107" s="835">
        <f t="shared" si="160"/>
        <v>0</v>
      </c>
      <c r="CP107" s="840"/>
      <c r="CQ107" s="835">
        <f t="shared" si="161"/>
        <v>0</v>
      </c>
      <c r="CR107" s="835">
        <f t="shared" si="162"/>
        <v>0</v>
      </c>
      <c r="CS107" s="835">
        <f t="shared" si="163"/>
        <v>0</v>
      </c>
      <c r="CT107" s="835">
        <f t="shared" si="164"/>
        <v>0</v>
      </c>
      <c r="CU107" s="842"/>
      <c r="CV107" s="835">
        <f t="shared" si="165"/>
        <v>0</v>
      </c>
      <c r="CW107" s="835">
        <f t="shared" si="165"/>
        <v>0</v>
      </c>
      <c r="CX107" s="835">
        <f t="shared" si="165"/>
        <v>0</v>
      </c>
      <c r="CY107" s="835">
        <f t="shared" si="165"/>
        <v>0</v>
      </c>
      <c r="CZ107" s="842"/>
      <c r="DA107" s="835">
        <f>'1.BS (VND)'!CV81/'1.BC_Ra Soat (ty) '!$C$6</f>
        <v>0</v>
      </c>
      <c r="DB107" s="835">
        <f>'1.BS (VND)'!CW81/'1.BC_Ra Soat (ty) '!$C$6</f>
        <v>0</v>
      </c>
      <c r="DC107" s="835">
        <f>'1.BS (VND)'!CX81/'1.BC_Ra Soat (ty) '!$C$6</f>
        <v>0</v>
      </c>
      <c r="DD107" s="835">
        <f>'1.BS (VND)'!CY81/'1.BC_Ra Soat (ty) '!$C$6</f>
        <v>0</v>
      </c>
      <c r="DE107" s="842"/>
      <c r="DF107" s="835">
        <f t="shared" si="166"/>
        <v>0</v>
      </c>
      <c r="DG107" s="835">
        <f t="shared" si="166"/>
        <v>0</v>
      </c>
      <c r="DH107" s="835">
        <f t="shared" si="166"/>
        <v>0</v>
      </c>
      <c r="DI107" s="835">
        <f t="shared" si="166"/>
        <v>0</v>
      </c>
    </row>
    <row r="108" spans="1:114" s="441" customFormat="1" ht="15.75" hidden="1" x14ac:dyDescent="0.25">
      <c r="A108" s="447" t="str">
        <f t="shared" si="167"/>
        <v>hide</v>
      </c>
      <c r="C108" s="452" t="s">
        <v>423</v>
      </c>
      <c r="D108" s="453" t="s">
        <v>424</v>
      </c>
      <c r="E108" s="835">
        <f>'1.BS (VND)'!E82/$C$6</f>
        <v>0</v>
      </c>
      <c r="F108" s="835">
        <f>'1.BS (VND)'!F82/$C$6</f>
        <v>0</v>
      </c>
      <c r="G108" s="835">
        <f>'1.BS (VND)'!G82/$C$6</f>
        <v>0</v>
      </c>
      <c r="H108" s="835">
        <f>'1.BS (VND)'!H82/$C$6</f>
        <v>0</v>
      </c>
      <c r="I108" s="842"/>
      <c r="J108" s="835">
        <f>'1.BS (VND)'!J82/$C$6</f>
        <v>0</v>
      </c>
      <c r="K108" s="835">
        <f>'1.BS (VND)'!K82/$C$6</f>
        <v>0</v>
      </c>
      <c r="L108" s="835">
        <f>'1.BS (VND)'!L82/$C$6</f>
        <v>0</v>
      </c>
      <c r="M108" s="835">
        <f>'1.BS (VND)'!M82/$C$6</f>
        <v>0</v>
      </c>
      <c r="N108" s="840"/>
      <c r="O108" s="835">
        <f>'1.BS (VND)'!O82/$C$6</f>
        <v>0</v>
      </c>
      <c r="P108" s="835">
        <f>'1.BS (VND)'!P82/$C$6</f>
        <v>0</v>
      </c>
      <c r="Q108" s="835">
        <f>'1.BS (VND)'!Q82/$C$6</f>
        <v>0</v>
      </c>
      <c r="R108" s="835">
        <f>'1.BS (VND)'!R82/$C$6</f>
        <v>0</v>
      </c>
      <c r="S108" s="840"/>
      <c r="T108" s="835">
        <f>'1.BS (VND)'!T82/$C$6</f>
        <v>0</v>
      </c>
      <c r="U108" s="835">
        <f>'1.BS (VND)'!U82/$C$6</f>
        <v>0</v>
      </c>
      <c r="V108" s="835">
        <f>'1.BS (VND)'!V82/$C$6</f>
        <v>0</v>
      </c>
      <c r="W108" s="835">
        <f>'1.BS (VND)'!W82/$C$6</f>
        <v>0</v>
      </c>
      <c r="X108" s="840"/>
      <c r="Y108" s="835">
        <f>'1.BS (VND)'!T82/$C$6</f>
        <v>0</v>
      </c>
      <c r="Z108" s="835">
        <f>'1.BS (VND)'!U82/$C$6</f>
        <v>0</v>
      </c>
      <c r="AA108" s="835">
        <f>'1.BS (VND)'!V82/$C$6</f>
        <v>0</v>
      </c>
      <c r="AB108" s="835">
        <f>'1.BS (VND)'!W82/$C$6</f>
        <v>0</v>
      </c>
      <c r="AC108" s="840"/>
      <c r="AD108" s="835">
        <f>'1.BS (VND)'!AD82/$C$6</f>
        <v>0</v>
      </c>
      <c r="AE108" s="835">
        <f>'1.BS (VND)'!AE82/$C$6</f>
        <v>0</v>
      </c>
      <c r="AF108" s="835">
        <f>'1.BS (VND)'!AF82/$C$6</f>
        <v>0</v>
      </c>
      <c r="AG108" s="835">
        <f>'1.BS (VND)'!AG82/$C$6</f>
        <v>0</v>
      </c>
      <c r="AH108" s="841"/>
      <c r="AI108" s="835">
        <f t="shared" si="112"/>
        <v>0</v>
      </c>
      <c r="AJ108" s="835">
        <f t="shared" si="112"/>
        <v>0</v>
      </c>
      <c r="AK108" s="835">
        <f t="shared" si="112"/>
        <v>0</v>
      </c>
      <c r="AL108" s="835">
        <f t="shared" si="140"/>
        <v>0</v>
      </c>
      <c r="AM108" s="842"/>
      <c r="AN108" s="835">
        <f>'1.BS (VND)'!AI82/$C$6</f>
        <v>0</v>
      </c>
      <c r="AO108" s="835">
        <f>'1.BS (VND)'!AJ82/$C$6</f>
        <v>0</v>
      </c>
      <c r="AP108" s="835">
        <f>'1.BS (VND)'!AK82/$C$6</f>
        <v>0</v>
      </c>
      <c r="AQ108" s="835">
        <f>'1.BS (VND)'!AL82/$C$6</f>
        <v>0</v>
      </c>
      <c r="AR108" s="842"/>
      <c r="AS108" s="835">
        <f>'1.BS (VND)'!AN82/$C$6</f>
        <v>0</v>
      </c>
      <c r="AT108" s="835">
        <f>'1.BS (VND)'!AO82/$C$6</f>
        <v>0</v>
      </c>
      <c r="AU108" s="835">
        <f>'1.BS (VND)'!AP82/$C$6</f>
        <v>0</v>
      </c>
      <c r="AV108" s="835">
        <f>'1.BS (VND)'!AQ82/$C$6</f>
        <v>0</v>
      </c>
      <c r="AW108" s="840"/>
      <c r="AX108" s="835">
        <f>'1.BS (VND)'!AS82/$C$6</f>
        <v>0</v>
      </c>
      <c r="AY108" s="835">
        <f>'1.BS (VND)'!AT82/$C$6</f>
        <v>0</v>
      </c>
      <c r="AZ108" s="835">
        <f>'1.BS (VND)'!AU82/$C$6</f>
        <v>0</v>
      </c>
      <c r="BA108" s="835">
        <f>'1.BS (VND)'!AV82/$C$6</f>
        <v>0</v>
      </c>
      <c r="BB108" s="840"/>
      <c r="BC108" s="835">
        <f>'1.BS (VND)'!AX82/$C$6</f>
        <v>0</v>
      </c>
      <c r="BD108" s="835">
        <f>'1.BS (VND)'!AY82/$C$6</f>
        <v>0</v>
      </c>
      <c r="BE108" s="835">
        <f>'1.BS (VND)'!AZ82/$C$6</f>
        <v>0</v>
      </c>
      <c r="BF108" s="835">
        <f>'1.BS (VND)'!BA82/$C$6</f>
        <v>0</v>
      </c>
      <c r="BG108" s="840"/>
      <c r="BH108" s="835">
        <f>'1.BS (VND)'!BC82/$C$6</f>
        <v>0</v>
      </c>
      <c r="BI108" s="835">
        <f>'1.BS (VND)'!BD82/$C$6</f>
        <v>0</v>
      </c>
      <c r="BJ108" s="835">
        <f>'1.BS (VND)'!BE82/$C$6</f>
        <v>0</v>
      </c>
      <c r="BK108" s="835">
        <f>'1.BS (VND)'!BF82/$C$6</f>
        <v>0</v>
      </c>
      <c r="BL108" s="840"/>
      <c r="BM108" s="835">
        <f>'1.BS (VND)'!BH82/$C$6</f>
        <v>0</v>
      </c>
      <c r="BN108" s="835">
        <f>'1.BS (VND)'!BI82/$C$6</f>
        <v>0</v>
      </c>
      <c r="BO108" s="835">
        <f>'1.BS (VND)'!BJ82/$C$6</f>
        <v>0</v>
      </c>
      <c r="BP108" s="835">
        <f>'1.BS (VND)'!BK82/$C$6</f>
        <v>0</v>
      </c>
      <c r="BQ108" s="841"/>
      <c r="BR108" s="835">
        <f t="shared" si="141"/>
        <v>0</v>
      </c>
      <c r="BS108" s="835">
        <f t="shared" si="142"/>
        <v>0</v>
      </c>
      <c r="BT108" s="835">
        <f t="shared" si="143"/>
        <v>0</v>
      </c>
      <c r="BU108" s="835">
        <f t="shared" si="144"/>
        <v>0</v>
      </c>
      <c r="BV108" s="842"/>
      <c r="BW108" s="835">
        <f t="shared" si="145"/>
        <v>0</v>
      </c>
      <c r="BX108" s="835">
        <f t="shared" si="146"/>
        <v>0</v>
      </c>
      <c r="BY108" s="835">
        <f t="shared" si="147"/>
        <v>0</v>
      </c>
      <c r="BZ108" s="835">
        <f t="shared" si="148"/>
        <v>0</v>
      </c>
      <c r="CA108" s="840"/>
      <c r="CB108" s="835">
        <f t="shared" si="149"/>
        <v>0</v>
      </c>
      <c r="CC108" s="835">
        <f t="shared" si="150"/>
        <v>0</v>
      </c>
      <c r="CD108" s="835">
        <f t="shared" si="151"/>
        <v>0</v>
      </c>
      <c r="CE108" s="835">
        <f t="shared" si="152"/>
        <v>0</v>
      </c>
      <c r="CF108" s="840"/>
      <c r="CG108" s="835">
        <f t="shared" si="153"/>
        <v>0</v>
      </c>
      <c r="CH108" s="835">
        <f t="shared" si="154"/>
        <v>0</v>
      </c>
      <c r="CI108" s="835">
        <f t="shared" si="155"/>
        <v>0</v>
      </c>
      <c r="CJ108" s="835">
        <f t="shared" si="156"/>
        <v>0</v>
      </c>
      <c r="CK108" s="840"/>
      <c r="CL108" s="835">
        <f t="shared" si="157"/>
        <v>0</v>
      </c>
      <c r="CM108" s="835">
        <f t="shared" si="158"/>
        <v>0</v>
      </c>
      <c r="CN108" s="835">
        <f t="shared" si="159"/>
        <v>0</v>
      </c>
      <c r="CO108" s="835">
        <f t="shared" si="160"/>
        <v>0</v>
      </c>
      <c r="CP108" s="840"/>
      <c r="CQ108" s="835">
        <f t="shared" si="161"/>
        <v>0</v>
      </c>
      <c r="CR108" s="835">
        <f t="shared" si="162"/>
        <v>0</v>
      </c>
      <c r="CS108" s="835">
        <f t="shared" si="163"/>
        <v>0</v>
      </c>
      <c r="CT108" s="835">
        <f t="shared" si="164"/>
        <v>0</v>
      </c>
      <c r="CU108" s="842"/>
      <c r="CV108" s="835">
        <f t="shared" si="165"/>
        <v>0</v>
      </c>
      <c r="CW108" s="835">
        <f t="shared" si="165"/>
        <v>0</v>
      </c>
      <c r="CX108" s="835">
        <f t="shared" si="165"/>
        <v>0</v>
      </c>
      <c r="CY108" s="835">
        <f t="shared" si="165"/>
        <v>0</v>
      </c>
      <c r="CZ108" s="842"/>
      <c r="DA108" s="835">
        <f>'1.BS (VND)'!CV82/'1.BC_Ra Soat (ty) '!$C$6</f>
        <v>0</v>
      </c>
      <c r="DB108" s="835">
        <f>'1.BS (VND)'!CW82/'1.BC_Ra Soat (ty) '!$C$6</f>
        <v>0</v>
      </c>
      <c r="DC108" s="835">
        <f>'1.BS (VND)'!CX82/'1.BC_Ra Soat (ty) '!$C$6</f>
        <v>0</v>
      </c>
      <c r="DD108" s="835">
        <f>'1.BS (VND)'!CY82/'1.BC_Ra Soat (ty) '!$C$6</f>
        <v>0</v>
      </c>
      <c r="DE108" s="842"/>
      <c r="DF108" s="835">
        <f t="shared" si="166"/>
        <v>0</v>
      </c>
      <c r="DG108" s="835">
        <f t="shared" si="166"/>
        <v>0</v>
      </c>
      <c r="DH108" s="835">
        <f t="shared" si="166"/>
        <v>0</v>
      </c>
      <c r="DI108" s="835">
        <f t="shared" si="166"/>
        <v>0</v>
      </c>
    </row>
    <row r="109" spans="1:114" s="441" customFormat="1" ht="15.75" x14ac:dyDescent="0.25">
      <c r="A109" s="447">
        <f t="shared" si="167"/>
        <v>1</v>
      </c>
      <c r="C109" s="452" t="s">
        <v>425</v>
      </c>
      <c r="D109" s="453" t="s">
        <v>426</v>
      </c>
      <c r="E109" s="835">
        <f>'1.BS (VND)'!E83/$C$6</f>
        <v>1.9806575999999999E-2</v>
      </c>
      <c r="F109" s="835">
        <f>'1.BS (VND)'!F83/$C$6</f>
        <v>0</v>
      </c>
      <c r="G109" s="835">
        <f>'1.BS (VND)'!G83/$C$6</f>
        <v>0</v>
      </c>
      <c r="H109" s="835">
        <f>'1.BS (VND)'!H83/$C$6</f>
        <v>0</v>
      </c>
      <c r="I109" s="842"/>
      <c r="J109" s="835">
        <f>'1.BS (VND)'!J83/$C$6</f>
        <v>0</v>
      </c>
      <c r="K109" s="835">
        <f>'1.BS (VND)'!K83/$C$6</f>
        <v>0</v>
      </c>
      <c r="L109" s="835">
        <f>'1.BS (VND)'!L83/$C$6</f>
        <v>0</v>
      </c>
      <c r="M109" s="835">
        <f>'1.BS (VND)'!M83/$C$6</f>
        <v>2.3614052999999999E-2</v>
      </c>
      <c r="N109" s="840"/>
      <c r="O109" s="835">
        <f>'1.BS (VND)'!O83/$C$6</f>
        <v>2.1666390000000002E-3</v>
      </c>
      <c r="P109" s="835">
        <f>'1.BS (VND)'!P83/$C$6</f>
        <v>0</v>
      </c>
      <c r="Q109" s="835">
        <f>'1.BS (VND)'!Q83/$C$6</f>
        <v>0</v>
      </c>
      <c r="R109" s="835">
        <f>'1.BS (VND)'!R83/$C$6</f>
        <v>0</v>
      </c>
      <c r="S109" s="840"/>
      <c r="T109" s="835">
        <f>'1.BS (VND)'!T83/$C$6</f>
        <v>0</v>
      </c>
      <c r="U109" s="835">
        <f>'1.BS (VND)'!U83/$C$6</f>
        <v>0</v>
      </c>
      <c r="V109" s="835">
        <f>'1.BS (VND)'!V83/$C$6</f>
        <v>1</v>
      </c>
      <c r="W109" s="835">
        <f>'1.BS (VND)'!W83/$C$6</f>
        <v>33.1</v>
      </c>
      <c r="X109" s="840"/>
      <c r="Y109" s="835">
        <f>'1.BS (VND)'!Y83/$C$6</f>
        <v>0</v>
      </c>
      <c r="Z109" s="835">
        <f>'1.BS (VND)'!Z83/$C$6</f>
        <v>0</v>
      </c>
      <c r="AA109" s="835">
        <f>'1.BS (VND)'!AA83/$C$6</f>
        <v>0</v>
      </c>
      <c r="AB109" s="835">
        <f>'1.BS (VND)'!AB83/$C$6</f>
        <v>0</v>
      </c>
      <c r="AC109" s="840"/>
      <c r="AD109" s="835">
        <f>'1.BS (VND)'!AD83/$C$6</f>
        <v>0</v>
      </c>
      <c r="AE109" s="835">
        <f>'1.BS (VND)'!AE83/$C$6</f>
        <v>0</v>
      </c>
      <c r="AF109" s="835">
        <f>'1.BS (VND)'!AF83/$C$6</f>
        <v>0</v>
      </c>
      <c r="AG109" s="835">
        <f>'1.BS (VND)'!AG83/$C$6</f>
        <v>0</v>
      </c>
      <c r="AH109" s="841"/>
      <c r="AI109" s="835">
        <f t="shared" si="112"/>
        <v>2.1973215000000001E-2</v>
      </c>
      <c r="AJ109" s="835">
        <f t="shared" si="112"/>
        <v>0</v>
      </c>
      <c r="AK109" s="835">
        <f t="shared" si="112"/>
        <v>1</v>
      </c>
      <c r="AL109" s="835">
        <f t="shared" si="140"/>
        <v>33.123614053000004</v>
      </c>
      <c r="AM109" s="852"/>
      <c r="AN109" s="835">
        <f>'1.BS (VND)'!AI83/$C$6</f>
        <v>0</v>
      </c>
      <c r="AO109" s="835">
        <f>'1.BS (VND)'!AJ83/$C$6</f>
        <v>0</v>
      </c>
      <c r="AP109" s="835">
        <f>'1.BS (VND)'!AK83/$C$6</f>
        <v>0</v>
      </c>
      <c r="AQ109" s="835">
        <f>'1.BS (VND)'!AL83/$C$6</f>
        <v>0</v>
      </c>
      <c r="AR109" s="842"/>
      <c r="AS109" s="835">
        <f>'1.BS (VND)'!AN83/$C$6</f>
        <v>0</v>
      </c>
      <c r="AT109" s="835">
        <f>'1.BS (VND)'!AO83/$C$6</f>
        <v>0</v>
      </c>
      <c r="AU109" s="835">
        <f>'1.BS (VND)'!AP83/$C$6</f>
        <v>0</v>
      </c>
      <c r="AV109" s="835">
        <f>'1.BS (VND)'!AQ83/$C$6</f>
        <v>0</v>
      </c>
      <c r="AW109" s="840"/>
      <c r="AX109" s="835">
        <f>'1.BS (VND)'!AS83/$C$6</f>
        <v>0</v>
      </c>
      <c r="AY109" s="835">
        <f>'1.BS (VND)'!AT83/$C$6</f>
        <v>0</v>
      </c>
      <c r="AZ109" s="835">
        <f>'1.BS (VND)'!AU83/$C$6</f>
        <v>0</v>
      </c>
      <c r="BA109" s="835">
        <f>'1.BS (VND)'!AV83/$C$6</f>
        <v>0</v>
      </c>
      <c r="BB109" s="840"/>
      <c r="BC109" s="835">
        <f>'1.BS (VND)'!AX83/$C$6</f>
        <v>0</v>
      </c>
      <c r="BD109" s="835">
        <f>'1.BS (VND)'!AY83/$C$6</f>
        <v>0</v>
      </c>
      <c r="BE109" s="835">
        <f>'1.BS (VND)'!AZ83/$C$6</f>
        <v>0</v>
      </c>
      <c r="BF109" s="835">
        <f>'1.BS (VND)'!BA83/$C$6</f>
        <v>0</v>
      </c>
      <c r="BG109" s="840"/>
      <c r="BH109" s="835">
        <f>'1.BS (VND)'!BC83/$C$6</f>
        <v>0</v>
      </c>
      <c r="BI109" s="835">
        <f>'1.BS (VND)'!BD83/$C$6</f>
        <v>0</v>
      </c>
      <c r="BJ109" s="835">
        <f>'1.BS (VND)'!BE83/$C$6</f>
        <v>0</v>
      </c>
      <c r="BK109" s="835">
        <f>'1.BS (VND)'!BF83/$C$6</f>
        <v>0</v>
      </c>
      <c r="BL109" s="840"/>
      <c r="BM109" s="835">
        <f>'1.BS (VND)'!BH83/$C$6</f>
        <v>0</v>
      </c>
      <c r="BN109" s="835">
        <f>'1.BS (VND)'!BI83/$C$6</f>
        <v>0</v>
      </c>
      <c r="BO109" s="835">
        <f>'1.BS (VND)'!BJ83/$C$6</f>
        <v>0</v>
      </c>
      <c r="BP109" s="835">
        <f>'1.BS (VND)'!BK83/$C$6</f>
        <v>0</v>
      </c>
      <c r="BQ109" s="841"/>
      <c r="BR109" s="835">
        <f t="shared" si="141"/>
        <v>1.9806575999999999E-2</v>
      </c>
      <c r="BS109" s="835">
        <f t="shared" si="142"/>
        <v>0</v>
      </c>
      <c r="BT109" s="835">
        <f t="shared" si="143"/>
        <v>0</v>
      </c>
      <c r="BU109" s="835">
        <f t="shared" si="144"/>
        <v>0</v>
      </c>
      <c r="BV109" s="842"/>
      <c r="BW109" s="835">
        <f t="shared" si="145"/>
        <v>0</v>
      </c>
      <c r="BX109" s="835">
        <f t="shared" si="146"/>
        <v>0</v>
      </c>
      <c r="BY109" s="835">
        <f t="shared" si="147"/>
        <v>0</v>
      </c>
      <c r="BZ109" s="835">
        <f t="shared" si="148"/>
        <v>2.3614052999999999E-2</v>
      </c>
      <c r="CA109" s="840"/>
      <c r="CB109" s="835">
        <f t="shared" si="149"/>
        <v>2.1666390000000002E-3</v>
      </c>
      <c r="CC109" s="835">
        <f t="shared" si="150"/>
        <v>0</v>
      </c>
      <c r="CD109" s="835">
        <f t="shared" si="151"/>
        <v>0</v>
      </c>
      <c r="CE109" s="835">
        <f t="shared" si="152"/>
        <v>0</v>
      </c>
      <c r="CF109" s="840"/>
      <c r="CG109" s="835">
        <f t="shared" si="153"/>
        <v>0</v>
      </c>
      <c r="CH109" s="835">
        <f t="shared" si="154"/>
        <v>0</v>
      </c>
      <c r="CI109" s="835">
        <f t="shared" si="155"/>
        <v>1</v>
      </c>
      <c r="CJ109" s="835">
        <f t="shared" si="156"/>
        <v>33.1</v>
      </c>
      <c r="CK109" s="840"/>
      <c r="CL109" s="835">
        <f t="shared" si="157"/>
        <v>0</v>
      </c>
      <c r="CM109" s="835">
        <f t="shared" si="158"/>
        <v>0</v>
      </c>
      <c r="CN109" s="835">
        <f t="shared" si="159"/>
        <v>0</v>
      </c>
      <c r="CO109" s="835">
        <f t="shared" si="160"/>
        <v>0</v>
      </c>
      <c r="CP109" s="840"/>
      <c r="CQ109" s="835">
        <f t="shared" si="161"/>
        <v>0</v>
      </c>
      <c r="CR109" s="835">
        <f t="shared" si="162"/>
        <v>0</v>
      </c>
      <c r="CS109" s="835">
        <f t="shared" si="163"/>
        <v>0</v>
      </c>
      <c r="CT109" s="835">
        <f t="shared" si="164"/>
        <v>0</v>
      </c>
      <c r="CU109" s="842"/>
      <c r="CV109" s="835">
        <f t="shared" si="165"/>
        <v>2.1973215000000001E-2</v>
      </c>
      <c r="CW109" s="835">
        <f t="shared" si="165"/>
        <v>0</v>
      </c>
      <c r="CX109" s="835">
        <f t="shared" si="165"/>
        <v>1</v>
      </c>
      <c r="CY109" s="835">
        <f t="shared" si="165"/>
        <v>33.123614053000004</v>
      </c>
      <c r="CZ109" s="842"/>
      <c r="DA109" s="835">
        <f>'1.BS (VND)'!CV83/'1.BC_Ra Soat (ty) '!$C$6</f>
        <v>0</v>
      </c>
      <c r="DB109" s="835">
        <f>'1.BS (VND)'!CW83/'1.BC_Ra Soat (ty) '!$C$6</f>
        <v>0</v>
      </c>
      <c r="DC109" s="835">
        <f>'1.BS (VND)'!CX83/'1.BC_Ra Soat (ty) '!$C$6</f>
        <v>0</v>
      </c>
      <c r="DD109" s="835">
        <f>'1.BS (VND)'!CY83/'1.BC_Ra Soat (ty) '!$C$6</f>
        <v>0</v>
      </c>
      <c r="DE109" s="842"/>
      <c r="DF109" s="835">
        <f t="shared" si="166"/>
        <v>2.1973215000000001E-2</v>
      </c>
      <c r="DG109" s="835">
        <f t="shared" si="166"/>
        <v>0</v>
      </c>
      <c r="DH109" s="835">
        <f t="shared" si="166"/>
        <v>1</v>
      </c>
      <c r="DI109" s="835">
        <f t="shared" si="166"/>
        <v>33.123614053000004</v>
      </c>
      <c r="DJ109" s="444"/>
    </row>
    <row r="110" spans="1:114" s="441" customFormat="1" ht="15.75" x14ac:dyDescent="0.25">
      <c r="A110" s="447">
        <f t="shared" si="167"/>
        <v>1</v>
      </c>
      <c r="C110" s="452" t="s">
        <v>427</v>
      </c>
      <c r="D110" s="453" t="s">
        <v>428</v>
      </c>
      <c r="E110" s="835">
        <f>'1.BS (VND)'!E84/$C$6</f>
        <v>181.93772504500001</v>
      </c>
      <c r="F110" s="835">
        <f>'1.BS (VND)'!F84/$C$6</f>
        <v>147.33274385799999</v>
      </c>
      <c r="G110" s="835">
        <f>'1.BS (VND)'!G84/$C$6</f>
        <v>167.83386811700001</v>
      </c>
      <c r="H110" s="835">
        <f>'1.BS (VND)'!H84/$C$6</f>
        <v>144.416076514</v>
      </c>
      <c r="I110" s="842"/>
      <c r="J110" s="835">
        <f>'1.BS (VND)'!J84/$C$6</f>
        <v>0</v>
      </c>
      <c r="K110" s="835">
        <f>'1.BS (VND)'!K84/$C$6</f>
        <v>26.71528636</v>
      </c>
      <c r="L110" s="835">
        <f>'1.BS (VND)'!L84/$C$6</f>
        <v>32.086484294000002</v>
      </c>
      <c r="M110" s="835">
        <f>'1.BS (VND)'!M84/$C$6</f>
        <v>8.9494257259999994</v>
      </c>
      <c r="N110" s="840"/>
      <c r="O110" s="835">
        <f>'1.BS (VND)'!O84/$C$6</f>
        <v>42.564460271999998</v>
      </c>
      <c r="P110" s="835">
        <f>'1.BS (VND)'!P84/$C$6</f>
        <v>24.624096874999999</v>
      </c>
      <c r="Q110" s="835">
        <f>'1.BS (VND)'!Q84/$C$6</f>
        <v>25.044757000000001</v>
      </c>
      <c r="R110" s="835">
        <f>'1.BS (VND)'!R84/$C$6</f>
        <v>21.64092965</v>
      </c>
      <c r="S110" s="840"/>
      <c r="T110" s="835">
        <f>'1.BS (VND)'!T84/$C$6</f>
        <v>15.5005346</v>
      </c>
      <c r="U110" s="835">
        <f>'1.BS (VND)'!U84/$C$6</f>
        <v>15.859932430000001</v>
      </c>
      <c r="V110" s="835">
        <f>'1.BS (VND)'!V84/$C$6</f>
        <v>17.983374999999999</v>
      </c>
      <c r="W110" s="835">
        <f>'1.BS (VND)'!W84/$C$6</f>
        <v>17.141931463999999</v>
      </c>
      <c r="X110" s="840"/>
      <c r="Y110" s="835">
        <f>'1.BS (VND)'!Y84/$C$6</f>
        <v>0</v>
      </c>
      <c r="Z110" s="835">
        <f>'1.BS (VND)'!Z84/$C$6</f>
        <v>0</v>
      </c>
      <c r="AA110" s="835">
        <f>'1.BS (VND)'!AA84/$C$6</f>
        <v>0</v>
      </c>
      <c r="AB110" s="835">
        <f>'1.BS (VND)'!AB84/$C$6</f>
        <v>0</v>
      </c>
      <c r="AC110" s="840"/>
      <c r="AD110" s="835">
        <f>'1.BS (VND)'!AD84/$C$6</f>
        <v>0</v>
      </c>
      <c r="AE110" s="835">
        <f>'1.BS (VND)'!AE84/$C$6</f>
        <v>0</v>
      </c>
      <c r="AF110" s="835">
        <f>'1.BS (VND)'!AF84/$C$6</f>
        <v>0</v>
      </c>
      <c r="AG110" s="835">
        <f>'1.BS (VND)'!AG84/$C$6</f>
        <v>0</v>
      </c>
      <c r="AH110" s="841"/>
      <c r="AI110" s="835">
        <f t="shared" si="112"/>
        <v>240.00271991700001</v>
      </c>
      <c r="AJ110" s="835">
        <f t="shared" si="112"/>
        <v>214.53205952299999</v>
      </c>
      <c r="AK110" s="835">
        <f t="shared" si="112"/>
        <v>242.94848441100001</v>
      </c>
      <c r="AL110" s="835">
        <f t="shared" si="140"/>
        <v>192.148363354</v>
      </c>
      <c r="AM110" s="852"/>
      <c r="AN110" s="835">
        <f>'1.BS (VND)'!AI84/$C$6</f>
        <v>0</v>
      </c>
      <c r="AO110" s="835">
        <f>'1.BS (VND)'!AJ84/$C$6</f>
        <v>0</v>
      </c>
      <c r="AP110" s="835">
        <f>'1.BS (VND)'!AK84/$C$6</f>
        <v>0</v>
      </c>
      <c r="AQ110" s="835">
        <f>'1.BS (VND)'!AL84/$C$6</f>
        <v>0</v>
      </c>
      <c r="AR110" s="842"/>
      <c r="AS110" s="835">
        <f>'1.BS (VND)'!AN84/$C$6</f>
        <v>0</v>
      </c>
      <c r="AT110" s="835">
        <f>'1.BS (VND)'!AO84/$C$6</f>
        <v>0</v>
      </c>
      <c r="AU110" s="835">
        <f>'1.BS (VND)'!AP84/$C$6</f>
        <v>0</v>
      </c>
      <c r="AV110" s="835">
        <f>'1.BS (VND)'!AQ84/$C$6</f>
        <v>0</v>
      </c>
      <c r="AW110" s="840"/>
      <c r="AX110" s="835">
        <f>'1.BS (VND)'!AS84/$C$6</f>
        <v>0</v>
      </c>
      <c r="AY110" s="835">
        <f>'1.BS (VND)'!AT84/$C$6</f>
        <v>0</v>
      </c>
      <c r="AZ110" s="835">
        <f>'1.BS (VND)'!AU84/$C$6</f>
        <v>0</v>
      </c>
      <c r="BA110" s="835">
        <f>'1.BS (VND)'!AV84/$C$6</f>
        <v>0</v>
      </c>
      <c r="BB110" s="840"/>
      <c r="BC110" s="835">
        <f>'1.BS (VND)'!AX84/$C$6</f>
        <v>0</v>
      </c>
      <c r="BD110" s="835">
        <f>'1.BS (VND)'!AY84/$C$6</f>
        <v>0</v>
      </c>
      <c r="BE110" s="835">
        <f>'1.BS (VND)'!AZ84/$C$6</f>
        <v>0</v>
      </c>
      <c r="BF110" s="835">
        <f>'1.BS (VND)'!BA84/$C$6</f>
        <v>0</v>
      </c>
      <c r="BG110" s="840"/>
      <c r="BH110" s="835">
        <f>'1.BS (VND)'!BC84/$C$6</f>
        <v>0</v>
      </c>
      <c r="BI110" s="835">
        <f>'1.BS (VND)'!BD84/$C$6</f>
        <v>0</v>
      </c>
      <c r="BJ110" s="835">
        <f>'1.BS (VND)'!BE84/$C$6</f>
        <v>0</v>
      </c>
      <c r="BK110" s="835">
        <f>'1.BS (VND)'!BF84/$C$6</f>
        <v>0</v>
      </c>
      <c r="BL110" s="840"/>
      <c r="BM110" s="835">
        <f>'1.BS (VND)'!BH84/$C$6</f>
        <v>0</v>
      </c>
      <c r="BN110" s="835">
        <f>'1.BS (VND)'!BI84/$C$6</f>
        <v>0</v>
      </c>
      <c r="BO110" s="835">
        <f>'1.BS (VND)'!BJ84/$C$6</f>
        <v>0</v>
      </c>
      <c r="BP110" s="835">
        <f>'1.BS (VND)'!BK84/$C$6</f>
        <v>0</v>
      </c>
      <c r="BQ110" s="841"/>
      <c r="BR110" s="835">
        <f t="shared" si="141"/>
        <v>181.93772504500001</v>
      </c>
      <c r="BS110" s="835">
        <f t="shared" si="142"/>
        <v>147.33274385799999</v>
      </c>
      <c r="BT110" s="835">
        <f t="shared" si="143"/>
        <v>167.83386811700001</v>
      </c>
      <c r="BU110" s="835">
        <f t="shared" si="144"/>
        <v>144.416076514</v>
      </c>
      <c r="BV110" s="842"/>
      <c r="BW110" s="835">
        <f t="shared" si="145"/>
        <v>0</v>
      </c>
      <c r="BX110" s="835">
        <f t="shared" si="146"/>
        <v>26.71528636</v>
      </c>
      <c r="BY110" s="835">
        <f t="shared" si="147"/>
        <v>32.086484294000002</v>
      </c>
      <c r="BZ110" s="835">
        <f t="shared" si="148"/>
        <v>8.9494257259999994</v>
      </c>
      <c r="CA110" s="840"/>
      <c r="CB110" s="835">
        <f t="shared" si="149"/>
        <v>42.564460271999998</v>
      </c>
      <c r="CC110" s="835">
        <f t="shared" si="150"/>
        <v>24.624096874999999</v>
      </c>
      <c r="CD110" s="835">
        <f t="shared" si="151"/>
        <v>25.044757000000001</v>
      </c>
      <c r="CE110" s="835">
        <f t="shared" si="152"/>
        <v>21.64092965</v>
      </c>
      <c r="CF110" s="840"/>
      <c r="CG110" s="835">
        <f t="shared" si="153"/>
        <v>15.5005346</v>
      </c>
      <c r="CH110" s="835">
        <f t="shared" si="154"/>
        <v>15.859932430000001</v>
      </c>
      <c r="CI110" s="835">
        <f t="shared" si="155"/>
        <v>17.983374999999999</v>
      </c>
      <c r="CJ110" s="835">
        <f t="shared" si="156"/>
        <v>17.141931463999999</v>
      </c>
      <c r="CK110" s="840"/>
      <c r="CL110" s="835">
        <f t="shared" si="157"/>
        <v>0</v>
      </c>
      <c r="CM110" s="835">
        <f t="shared" si="158"/>
        <v>0</v>
      </c>
      <c r="CN110" s="835">
        <f t="shared" si="159"/>
        <v>0</v>
      </c>
      <c r="CO110" s="835">
        <f t="shared" si="160"/>
        <v>0</v>
      </c>
      <c r="CP110" s="840"/>
      <c r="CQ110" s="835">
        <f t="shared" si="161"/>
        <v>0</v>
      </c>
      <c r="CR110" s="835">
        <f t="shared" si="162"/>
        <v>0</v>
      </c>
      <c r="CS110" s="835">
        <f t="shared" si="163"/>
        <v>0</v>
      </c>
      <c r="CT110" s="835">
        <f t="shared" si="164"/>
        <v>0</v>
      </c>
      <c r="CU110" s="842"/>
      <c r="CV110" s="835">
        <f t="shared" si="165"/>
        <v>240.00271991700001</v>
      </c>
      <c r="CW110" s="835">
        <f t="shared" si="165"/>
        <v>214.53205952299999</v>
      </c>
      <c r="CX110" s="835">
        <f t="shared" si="165"/>
        <v>242.94848441100001</v>
      </c>
      <c r="CY110" s="835">
        <f t="shared" si="165"/>
        <v>192.148363354</v>
      </c>
      <c r="CZ110" s="842"/>
      <c r="DA110" s="835">
        <f>'1.BS (VND)'!CV84/'1.BC_Ra Soat (ty) '!$C$6</f>
        <v>0</v>
      </c>
      <c r="DB110" s="835">
        <f>'1.BS (VND)'!CW84/'1.BC_Ra Soat (ty) '!$C$6</f>
        <v>0</v>
      </c>
      <c r="DC110" s="835">
        <f>'1.BS (VND)'!CX84/'1.BC_Ra Soat (ty) '!$C$6</f>
        <v>0</v>
      </c>
      <c r="DD110" s="835">
        <f>'1.BS (VND)'!CY84/'1.BC_Ra Soat (ty) '!$C$6</f>
        <v>0</v>
      </c>
      <c r="DE110" s="842"/>
      <c r="DF110" s="835">
        <f t="shared" si="166"/>
        <v>240.00271991700001</v>
      </c>
      <c r="DG110" s="835">
        <f t="shared" si="166"/>
        <v>214.53205952299999</v>
      </c>
      <c r="DH110" s="835">
        <f t="shared" si="166"/>
        <v>242.94848441100001</v>
      </c>
      <c r="DI110" s="835">
        <f t="shared" si="166"/>
        <v>192.148363354</v>
      </c>
      <c r="DJ110" s="444"/>
    </row>
    <row r="111" spans="1:114" s="441" customFormat="1" ht="15.75" hidden="1" x14ac:dyDescent="0.25">
      <c r="A111" s="447" t="str">
        <f t="shared" si="167"/>
        <v>hide</v>
      </c>
      <c r="C111" s="452" t="s">
        <v>429</v>
      </c>
      <c r="D111" s="453" t="s">
        <v>430</v>
      </c>
      <c r="E111" s="835">
        <f>'1.BS (VND)'!E85/$C$6</f>
        <v>0</v>
      </c>
      <c r="F111" s="835">
        <f>'1.BS (VND)'!F85/$C$6</f>
        <v>0</v>
      </c>
      <c r="G111" s="835">
        <f>'1.BS (VND)'!G85/$C$6</f>
        <v>0</v>
      </c>
      <c r="H111" s="835">
        <f>'1.BS (VND)'!H85/$C$6</f>
        <v>0</v>
      </c>
      <c r="I111" s="842"/>
      <c r="J111" s="835">
        <f>'1.BS (VND)'!J85/$C$6</f>
        <v>0</v>
      </c>
      <c r="K111" s="835">
        <f>'1.BS (VND)'!K85/$C$6</f>
        <v>0</v>
      </c>
      <c r="L111" s="835">
        <f>'1.BS (VND)'!L85/$C$6</f>
        <v>0</v>
      </c>
      <c r="M111" s="835">
        <f>'1.BS (VND)'!M85/$C$6</f>
        <v>0</v>
      </c>
      <c r="N111" s="840"/>
      <c r="O111" s="835">
        <f>'1.BS (VND)'!O85/$C$6</f>
        <v>0</v>
      </c>
      <c r="P111" s="835">
        <f>'1.BS (VND)'!P85/$C$6</f>
        <v>0</v>
      </c>
      <c r="Q111" s="835">
        <f>'1.BS (VND)'!Q85/$C$6</f>
        <v>0</v>
      </c>
      <c r="R111" s="835">
        <f>'1.BS (VND)'!R85/$C$6</f>
        <v>0</v>
      </c>
      <c r="S111" s="840"/>
      <c r="T111" s="835">
        <f>'1.BS (VND)'!T85/$C$6</f>
        <v>0</v>
      </c>
      <c r="U111" s="835">
        <f>'1.BS (VND)'!U85/$C$6</f>
        <v>0</v>
      </c>
      <c r="V111" s="835">
        <f>'1.BS (VND)'!V85/$C$6</f>
        <v>0</v>
      </c>
      <c r="W111" s="835">
        <f>'1.BS (VND)'!W85/$C$6</f>
        <v>0</v>
      </c>
      <c r="X111" s="840"/>
      <c r="Y111" s="835">
        <f>'1.BS (VND)'!T85/$C$6</f>
        <v>0</v>
      </c>
      <c r="Z111" s="835">
        <f>'1.BS (VND)'!U85/$C$6</f>
        <v>0</v>
      </c>
      <c r="AA111" s="835">
        <f>'1.BS (VND)'!V85/$C$6</f>
        <v>0</v>
      </c>
      <c r="AB111" s="835">
        <f>'1.BS (VND)'!W85/$C$6</f>
        <v>0</v>
      </c>
      <c r="AC111" s="840"/>
      <c r="AD111" s="835">
        <f>'1.BS (VND)'!AD85/$C$6</f>
        <v>0</v>
      </c>
      <c r="AE111" s="835">
        <f>'1.BS (VND)'!AE85/$C$6</f>
        <v>0</v>
      </c>
      <c r="AF111" s="835">
        <f>'1.BS (VND)'!AF85/$C$6</f>
        <v>0</v>
      </c>
      <c r="AG111" s="835">
        <f>'1.BS (VND)'!AG85/$C$6</f>
        <v>0</v>
      </c>
      <c r="AH111" s="841"/>
      <c r="AI111" s="835">
        <f t="shared" si="112"/>
        <v>0</v>
      </c>
      <c r="AJ111" s="835">
        <f t="shared" si="112"/>
        <v>0</v>
      </c>
      <c r="AK111" s="835">
        <f t="shared" si="112"/>
        <v>0</v>
      </c>
      <c r="AL111" s="835">
        <f t="shared" si="140"/>
        <v>0</v>
      </c>
      <c r="AM111" s="842"/>
      <c r="AN111" s="835">
        <f>'1.BS (VND)'!AI85/$C$6</f>
        <v>0</v>
      </c>
      <c r="AO111" s="835">
        <f>'1.BS (VND)'!AJ85/$C$6</f>
        <v>0</v>
      </c>
      <c r="AP111" s="835">
        <f>'1.BS (VND)'!AK85/$C$6</f>
        <v>0</v>
      </c>
      <c r="AQ111" s="835">
        <f>'1.BS (VND)'!AL85/$C$6</f>
        <v>0</v>
      </c>
      <c r="AR111" s="842"/>
      <c r="AS111" s="835">
        <f>'1.BS (VND)'!AN85/$C$6</f>
        <v>0</v>
      </c>
      <c r="AT111" s="835">
        <f>'1.BS (VND)'!AO85/$C$6</f>
        <v>0</v>
      </c>
      <c r="AU111" s="835">
        <f>'1.BS (VND)'!AP85/$C$6</f>
        <v>0</v>
      </c>
      <c r="AV111" s="835">
        <f>'1.BS (VND)'!AQ85/$C$6</f>
        <v>0</v>
      </c>
      <c r="AW111" s="840"/>
      <c r="AX111" s="835">
        <f>'1.BS (VND)'!AS85/$C$6</f>
        <v>0</v>
      </c>
      <c r="AY111" s="835">
        <f>'1.BS (VND)'!AT85/$C$6</f>
        <v>0</v>
      </c>
      <c r="AZ111" s="835">
        <f>'1.BS (VND)'!AU85/$C$6</f>
        <v>0</v>
      </c>
      <c r="BA111" s="835">
        <f>'1.BS (VND)'!AV85/$C$6</f>
        <v>0</v>
      </c>
      <c r="BB111" s="840"/>
      <c r="BC111" s="835">
        <f>'1.BS (VND)'!AX85/$C$6</f>
        <v>0</v>
      </c>
      <c r="BD111" s="835">
        <f>'1.BS (VND)'!AY85/$C$6</f>
        <v>0</v>
      </c>
      <c r="BE111" s="835">
        <f>'1.BS (VND)'!AZ85/$C$6</f>
        <v>0</v>
      </c>
      <c r="BF111" s="835">
        <f>'1.BS (VND)'!BA85/$C$6</f>
        <v>0</v>
      </c>
      <c r="BG111" s="840"/>
      <c r="BH111" s="835">
        <f>'1.BS (VND)'!BC85/$C$6</f>
        <v>0</v>
      </c>
      <c r="BI111" s="835">
        <f>'1.BS (VND)'!BD85/$C$6</f>
        <v>0</v>
      </c>
      <c r="BJ111" s="835">
        <f>'1.BS (VND)'!BE85/$C$6</f>
        <v>0</v>
      </c>
      <c r="BK111" s="835">
        <f>'1.BS (VND)'!BF85/$C$6</f>
        <v>0</v>
      </c>
      <c r="BL111" s="840"/>
      <c r="BM111" s="835">
        <f>'1.BS (VND)'!BH85/$C$6</f>
        <v>0</v>
      </c>
      <c r="BN111" s="835">
        <f>'1.BS (VND)'!BI85/$C$6</f>
        <v>0</v>
      </c>
      <c r="BO111" s="835">
        <f>'1.BS (VND)'!BJ85/$C$6</f>
        <v>0</v>
      </c>
      <c r="BP111" s="835">
        <f>'1.BS (VND)'!BK85/$C$6</f>
        <v>0</v>
      </c>
      <c r="BQ111" s="841"/>
      <c r="BR111" s="835">
        <f t="shared" si="141"/>
        <v>0</v>
      </c>
      <c r="BS111" s="835">
        <f t="shared" si="142"/>
        <v>0</v>
      </c>
      <c r="BT111" s="835">
        <f t="shared" si="143"/>
        <v>0</v>
      </c>
      <c r="BU111" s="835">
        <f t="shared" si="144"/>
        <v>0</v>
      </c>
      <c r="BV111" s="842"/>
      <c r="BW111" s="835">
        <f t="shared" si="145"/>
        <v>0</v>
      </c>
      <c r="BX111" s="835">
        <f t="shared" si="146"/>
        <v>0</v>
      </c>
      <c r="BY111" s="835">
        <f t="shared" si="147"/>
        <v>0</v>
      </c>
      <c r="BZ111" s="835">
        <f t="shared" si="148"/>
        <v>0</v>
      </c>
      <c r="CA111" s="840"/>
      <c r="CB111" s="835">
        <f t="shared" si="149"/>
        <v>0</v>
      </c>
      <c r="CC111" s="835">
        <f t="shared" si="150"/>
        <v>0</v>
      </c>
      <c r="CD111" s="835">
        <f t="shared" si="151"/>
        <v>0</v>
      </c>
      <c r="CE111" s="835">
        <f t="shared" si="152"/>
        <v>0</v>
      </c>
      <c r="CF111" s="840"/>
      <c r="CG111" s="835">
        <f t="shared" si="153"/>
        <v>0</v>
      </c>
      <c r="CH111" s="835">
        <f t="shared" si="154"/>
        <v>0</v>
      </c>
      <c r="CI111" s="835">
        <f t="shared" si="155"/>
        <v>0</v>
      </c>
      <c r="CJ111" s="835">
        <f t="shared" si="156"/>
        <v>0</v>
      </c>
      <c r="CK111" s="840"/>
      <c r="CL111" s="835">
        <f t="shared" si="157"/>
        <v>0</v>
      </c>
      <c r="CM111" s="835">
        <f t="shared" si="158"/>
        <v>0</v>
      </c>
      <c r="CN111" s="835">
        <f t="shared" si="159"/>
        <v>0</v>
      </c>
      <c r="CO111" s="835">
        <f t="shared" si="160"/>
        <v>0</v>
      </c>
      <c r="CP111" s="840"/>
      <c r="CQ111" s="835">
        <f t="shared" si="161"/>
        <v>0</v>
      </c>
      <c r="CR111" s="835">
        <f t="shared" si="162"/>
        <v>0</v>
      </c>
      <c r="CS111" s="835">
        <f t="shared" si="163"/>
        <v>0</v>
      </c>
      <c r="CT111" s="835">
        <f t="shared" si="164"/>
        <v>0</v>
      </c>
      <c r="CU111" s="842"/>
      <c r="CV111" s="835">
        <f t="shared" si="165"/>
        <v>0</v>
      </c>
      <c r="CW111" s="835">
        <f t="shared" si="165"/>
        <v>0</v>
      </c>
      <c r="CX111" s="835">
        <f t="shared" si="165"/>
        <v>0</v>
      </c>
      <c r="CY111" s="835">
        <f t="shared" si="165"/>
        <v>0</v>
      </c>
      <c r="CZ111" s="842"/>
      <c r="DA111" s="835">
        <f>'1.BS (VND)'!CV85/'1.BC_Ra Soat (ty) '!$C$6</f>
        <v>0</v>
      </c>
      <c r="DB111" s="835">
        <f>'1.BS (VND)'!CW85/'1.BC_Ra Soat (ty) '!$C$6</f>
        <v>0</v>
      </c>
      <c r="DC111" s="835">
        <f>'1.BS (VND)'!CX85/'1.BC_Ra Soat (ty) '!$C$6</f>
        <v>0</v>
      </c>
      <c r="DD111" s="835">
        <f>'1.BS (VND)'!CY85/'1.BC_Ra Soat (ty) '!$C$6</f>
        <v>0</v>
      </c>
      <c r="DE111" s="842"/>
      <c r="DF111" s="835">
        <f t="shared" si="166"/>
        <v>0</v>
      </c>
      <c r="DG111" s="835">
        <f t="shared" si="166"/>
        <v>0</v>
      </c>
      <c r="DH111" s="835">
        <f t="shared" si="166"/>
        <v>0</v>
      </c>
      <c r="DI111" s="835">
        <f t="shared" si="166"/>
        <v>0</v>
      </c>
    </row>
    <row r="112" spans="1:114" s="441" customFormat="1" ht="15.75" hidden="1" x14ac:dyDescent="0.25">
      <c r="A112" s="447" t="str">
        <f t="shared" si="167"/>
        <v>hide</v>
      </c>
      <c r="C112" s="452" t="s">
        <v>431</v>
      </c>
      <c r="D112" s="453" t="s">
        <v>432</v>
      </c>
      <c r="E112" s="835">
        <f>'1.BS (VND)'!E86/$C$6</f>
        <v>0</v>
      </c>
      <c r="F112" s="835">
        <f>'1.BS (VND)'!F86/$C$6</f>
        <v>0</v>
      </c>
      <c r="G112" s="835">
        <f>'1.BS (VND)'!G86/$C$6</f>
        <v>0</v>
      </c>
      <c r="H112" s="835">
        <f>'1.BS (VND)'!H86/$C$6</f>
        <v>0</v>
      </c>
      <c r="I112" s="842"/>
      <c r="J112" s="835">
        <f>'1.BS (VND)'!J86/$C$6</f>
        <v>0</v>
      </c>
      <c r="K112" s="835">
        <f>'1.BS (VND)'!K86/$C$6</f>
        <v>0</v>
      </c>
      <c r="L112" s="835">
        <f>'1.BS (VND)'!L86/$C$6</f>
        <v>0</v>
      </c>
      <c r="M112" s="835">
        <f>'1.BS (VND)'!M86/$C$6</f>
        <v>0</v>
      </c>
      <c r="N112" s="840"/>
      <c r="O112" s="835">
        <f>'1.BS (VND)'!O86/$C$6</f>
        <v>0</v>
      </c>
      <c r="P112" s="835">
        <f>'1.BS (VND)'!P86/$C$6</f>
        <v>0</v>
      </c>
      <c r="Q112" s="835">
        <f>'1.BS (VND)'!Q86/$C$6</f>
        <v>0</v>
      </c>
      <c r="R112" s="835">
        <f>'1.BS (VND)'!R86/$C$6</f>
        <v>0</v>
      </c>
      <c r="S112" s="840"/>
      <c r="T112" s="835">
        <f>'1.BS (VND)'!T86/$C$6</f>
        <v>0</v>
      </c>
      <c r="U112" s="835">
        <f>'1.BS (VND)'!U86/$C$6</f>
        <v>0</v>
      </c>
      <c r="V112" s="835">
        <f>'1.BS (VND)'!V86/$C$6</f>
        <v>0</v>
      </c>
      <c r="W112" s="835">
        <f>'1.BS (VND)'!W86/$C$6</f>
        <v>0</v>
      </c>
      <c r="X112" s="840"/>
      <c r="Y112" s="835">
        <f>'1.BS (VND)'!T86/$C$6</f>
        <v>0</v>
      </c>
      <c r="Z112" s="835">
        <f>'1.BS (VND)'!U86/$C$6</f>
        <v>0</v>
      </c>
      <c r="AA112" s="835">
        <f>'1.BS (VND)'!V86/$C$6</f>
        <v>0</v>
      </c>
      <c r="AB112" s="835">
        <f>'1.BS (VND)'!W86/$C$6</f>
        <v>0</v>
      </c>
      <c r="AC112" s="840"/>
      <c r="AD112" s="835">
        <f>'1.BS (VND)'!AD86/$C$6</f>
        <v>0</v>
      </c>
      <c r="AE112" s="835">
        <f>'1.BS (VND)'!AE86/$C$6</f>
        <v>0</v>
      </c>
      <c r="AF112" s="835">
        <f>'1.BS (VND)'!AF86/$C$6</f>
        <v>0</v>
      </c>
      <c r="AG112" s="835">
        <f>'1.BS (VND)'!AG86/$C$6</f>
        <v>0</v>
      </c>
      <c r="AH112" s="841"/>
      <c r="AI112" s="835">
        <f t="shared" si="112"/>
        <v>0</v>
      </c>
      <c r="AJ112" s="835">
        <f t="shared" si="112"/>
        <v>0</v>
      </c>
      <c r="AK112" s="835">
        <f t="shared" si="112"/>
        <v>0</v>
      </c>
      <c r="AL112" s="835">
        <f t="shared" si="140"/>
        <v>0</v>
      </c>
      <c r="AM112" s="842"/>
      <c r="AN112" s="835">
        <f>'1.BS (VND)'!AI86/$C$6</f>
        <v>0</v>
      </c>
      <c r="AO112" s="835">
        <f>'1.BS (VND)'!AJ86/$C$6</f>
        <v>0</v>
      </c>
      <c r="AP112" s="835">
        <f>'1.BS (VND)'!AK86/$C$6</f>
        <v>0</v>
      </c>
      <c r="AQ112" s="835">
        <f>'1.BS (VND)'!AL86/$C$6</f>
        <v>0</v>
      </c>
      <c r="AR112" s="842"/>
      <c r="AS112" s="835">
        <f>'1.BS (VND)'!AN86/$C$6</f>
        <v>0</v>
      </c>
      <c r="AT112" s="835">
        <f>'1.BS (VND)'!AO86/$C$6</f>
        <v>0</v>
      </c>
      <c r="AU112" s="835">
        <f>'1.BS (VND)'!AP86/$C$6</f>
        <v>0</v>
      </c>
      <c r="AV112" s="835">
        <f>'1.BS (VND)'!AQ86/$C$6</f>
        <v>0</v>
      </c>
      <c r="AW112" s="840"/>
      <c r="AX112" s="835">
        <f>'1.BS (VND)'!AS86/$C$6</f>
        <v>0</v>
      </c>
      <c r="AY112" s="835">
        <f>'1.BS (VND)'!AT86/$C$6</f>
        <v>0</v>
      </c>
      <c r="AZ112" s="835">
        <f>'1.BS (VND)'!AU86/$C$6</f>
        <v>0</v>
      </c>
      <c r="BA112" s="835">
        <f>'1.BS (VND)'!AV86/$C$6</f>
        <v>0</v>
      </c>
      <c r="BB112" s="840"/>
      <c r="BC112" s="835">
        <f>'1.BS (VND)'!AX86/$C$6</f>
        <v>0</v>
      </c>
      <c r="BD112" s="835">
        <f>'1.BS (VND)'!AY86/$C$6</f>
        <v>0</v>
      </c>
      <c r="BE112" s="835">
        <f>'1.BS (VND)'!AZ86/$C$6</f>
        <v>0</v>
      </c>
      <c r="BF112" s="835">
        <f>'1.BS (VND)'!BA86/$C$6</f>
        <v>0</v>
      </c>
      <c r="BG112" s="840"/>
      <c r="BH112" s="835">
        <f>'1.BS (VND)'!BC86/$C$6</f>
        <v>0</v>
      </c>
      <c r="BI112" s="835">
        <f>'1.BS (VND)'!BD86/$C$6</f>
        <v>0</v>
      </c>
      <c r="BJ112" s="835">
        <f>'1.BS (VND)'!BE86/$C$6</f>
        <v>0</v>
      </c>
      <c r="BK112" s="835">
        <f>'1.BS (VND)'!BF86/$C$6</f>
        <v>0</v>
      </c>
      <c r="BL112" s="840"/>
      <c r="BM112" s="835">
        <f>'1.BS (VND)'!BH86/$C$6</f>
        <v>0</v>
      </c>
      <c r="BN112" s="835">
        <f>'1.BS (VND)'!BI86/$C$6</f>
        <v>0</v>
      </c>
      <c r="BO112" s="835">
        <f>'1.BS (VND)'!BJ86/$C$6</f>
        <v>0</v>
      </c>
      <c r="BP112" s="835">
        <f>'1.BS (VND)'!BK86/$C$6</f>
        <v>0</v>
      </c>
      <c r="BQ112" s="841"/>
      <c r="BR112" s="835">
        <f t="shared" si="141"/>
        <v>0</v>
      </c>
      <c r="BS112" s="835">
        <f t="shared" si="142"/>
        <v>0</v>
      </c>
      <c r="BT112" s="835">
        <f t="shared" si="143"/>
        <v>0</v>
      </c>
      <c r="BU112" s="835">
        <f t="shared" si="144"/>
        <v>0</v>
      </c>
      <c r="BV112" s="842"/>
      <c r="BW112" s="835">
        <f t="shared" si="145"/>
        <v>0</v>
      </c>
      <c r="BX112" s="835">
        <f t="shared" si="146"/>
        <v>0</v>
      </c>
      <c r="BY112" s="835">
        <f t="shared" si="147"/>
        <v>0</v>
      </c>
      <c r="BZ112" s="835">
        <f t="shared" si="148"/>
        <v>0</v>
      </c>
      <c r="CA112" s="840"/>
      <c r="CB112" s="835">
        <f t="shared" si="149"/>
        <v>0</v>
      </c>
      <c r="CC112" s="835">
        <f t="shared" si="150"/>
        <v>0</v>
      </c>
      <c r="CD112" s="835">
        <f t="shared" si="151"/>
        <v>0</v>
      </c>
      <c r="CE112" s="835">
        <f t="shared" si="152"/>
        <v>0</v>
      </c>
      <c r="CF112" s="840"/>
      <c r="CG112" s="835">
        <f t="shared" si="153"/>
        <v>0</v>
      </c>
      <c r="CH112" s="835">
        <f t="shared" si="154"/>
        <v>0</v>
      </c>
      <c r="CI112" s="835">
        <f t="shared" si="155"/>
        <v>0</v>
      </c>
      <c r="CJ112" s="835">
        <f t="shared" si="156"/>
        <v>0</v>
      </c>
      <c r="CK112" s="840"/>
      <c r="CL112" s="835">
        <f t="shared" si="157"/>
        <v>0</v>
      </c>
      <c r="CM112" s="835">
        <f t="shared" si="158"/>
        <v>0</v>
      </c>
      <c r="CN112" s="835">
        <f t="shared" si="159"/>
        <v>0</v>
      </c>
      <c r="CO112" s="835">
        <f t="shared" si="160"/>
        <v>0</v>
      </c>
      <c r="CP112" s="840"/>
      <c r="CQ112" s="835">
        <f t="shared" si="161"/>
        <v>0</v>
      </c>
      <c r="CR112" s="835">
        <f t="shared" si="162"/>
        <v>0</v>
      </c>
      <c r="CS112" s="835">
        <f t="shared" si="163"/>
        <v>0</v>
      </c>
      <c r="CT112" s="835">
        <f t="shared" si="164"/>
        <v>0</v>
      </c>
      <c r="CU112" s="842"/>
      <c r="CV112" s="835">
        <f t="shared" si="165"/>
        <v>0</v>
      </c>
      <c r="CW112" s="835">
        <f t="shared" si="165"/>
        <v>0</v>
      </c>
      <c r="CX112" s="835">
        <f t="shared" si="165"/>
        <v>0</v>
      </c>
      <c r="CY112" s="835">
        <f t="shared" si="165"/>
        <v>0</v>
      </c>
      <c r="CZ112" s="842"/>
      <c r="DA112" s="835">
        <f>'1.BS (VND)'!CV86/'1.BC_Ra Soat (ty) '!$C$6</f>
        <v>0</v>
      </c>
      <c r="DB112" s="835">
        <f>'1.BS (VND)'!CW86/'1.BC_Ra Soat (ty) '!$C$6</f>
        <v>0</v>
      </c>
      <c r="DC112" s="835">
        <f>'1.BS (VND)'!CX86/'1.BC_Ra Soat (ty) '!$C$6</f>
        <v>0</v>
      </c>
      <c r="DD112" s="835">
        <f>'1.BS (VND)'!CY86/'1.BC_Ra Soat (ty) '!$C$6</f>
        <v>0</v>
      </c>
      <c r="DE112" s="842"/>
      <c r="DF112" s="835">
        <f t="shared" si="166"/>
        <v>0</v>
      </c>
      <c r="DG112" s="835">
        <f t="shared" si="166"/>
        <v>0</v>
      </c>
      <c r="DH112" s="835">
        <f t="shared" si="166"/>
        <v>0</v>
      </c>
      <c r="DI112" s="835">
        <f t="shared" si="166"/>
        <v>0</v>
      </c>
    </row>
    <row r="113" spans="1:114" s="441" customFormat="1" ht="15.75" hidden="1" x14ac:dyDescent="0.25">
      <c r="A113" s="447" t="str">
        <f t="shared" si="167"/>
        <v>hide</v>
      </c>
      <c r="C113" s="452" t="s">
        <v>433</v>
      </c>
      <c r="D113" s="453" t="s">
        <v>434</v>
      </c>
      <c r="E113" s="835">
        <f>'1.BS (VND)'!E87/$C$6</f>
        <v>0</v>
      </c>
      <c r="F113" s="835">
        <f>'1.BS (VND)'!F87/$C$6</f>
        <v>0</v>
      </c>
      <c r="G113" s="835">
        <f>'1.BS (VND)'!G87/$C$6</f>
        <v>0</v>
      </c>
      <c r="H113" s="835">
        <f>'1.BS (VND)'!H87/$C$6</f>
        <v>0</v>
      </c>
      <c r="I113" s="842"/>
      <c r="J113" s="835">
        <f>'1.BS (VND)'!J87/$C$6</f>
        <v>0</v>
      </c>
      <c r="K113" s="835">
        <f>'1.BS (VND)'!K87/$C$6</f>
        <v>0</v>
      </c>
      <c r="L113" s="835">
        <f>'1.BS (VND)'!L87/$C$6</f>
        <v>0</v>
      </c>
      <c r="M113" s="835">
        <f>'1.BS (VND)'!M87/$C$6</f>
        <v>0</v>
      </c>
      <c r="N113" s="840"/>
      <c r="O113" s="835">
        <f>'1.BS (VND)'!O87/$C$6</f>
        <v>0</v>
      </c>
      <c r="P113" s="835">
        <f>'1.BS (VND)'!P87/$C$6</f>
        <v>0</v>
      </c>
      <c r="Q113" s="835">
        <f>'1.BS (VND)'!Q87/$C$6</f>
        <v>0</v>
      </c>
      <c r="R113" s="835">
        <f>'1.BS (VND)'!R87/$C$6</f>
        <v>0</v>
      </c>
      <c r="S113" s="840"/>
      <c r="T113" s="835">
        <f>'1.BS (VND)'!T87/$C$6</f>
        <v>0</v>
      </c>
      <c r="U113" s="835">
        <f>'1.BS (VND)'!U87/$C$6</f>
        <v>0</v>
      </c>
      <c r="V113" s="835">
        <f>'1.BS (VND)'!V87/$C$6</f>
        <v>0</v>
      </c>
      <c r="W113" s="835">
        <f>'1.BS (VND)'!W87/$C$6</f>
        <v>0</v>
      </c>
      <c r="X113" s="840"/>
      <c r="Y113" s="835">
        <f>'1.BS (VND)'!T87/$C$6</f>
        <v>0</v>
      </c>
      <c r="Z113" s="835">
        <f>'1.BS (VND)'!U87/$C$6</f>
        <v>0</v>
      </c>
      <c r="AA113" s="835">
        <f>'1.BS (VND)'!V87/$C$6</f>
        <v>0</v>
      </c>
      <c r="AB113" s="835">
        <f>'1.BS (VND)'!W87/$C$6</f>
        <v>0</v>
      </c>
      <c r="AC113" s="840"/>
      <c r="AD113" s="835">
        <f>'1.BS (VND)'!AD87/$C$6</f>
        <v>0</v>
      </c>
      <c r="AE113" s="835">
        <f>'1.BS (VND)'!AE87/$C$6</f>
        <v>0</v>
      </c>
      <c r="AF113" s="835">
        <f>'1.BS (VND)'!AF87/$C$6</f>
        <v>0</v>
      </c>
      <c r="AG113" s="835">
        <f>'1.BS (VND)'!AG87/$C$6</f>
        <v>0</v>
      </c>
      <c r="AH113" s="841"/>
      <c r="AI113" s="835">
        <f t="shared" si="112"/>
        <v>0</v>
      </c>
      <c r="AJ113" s="835">
        <f t="shared" si="112"/>
        <v>0</v>
      </c>
      <c r="AK113" s="835">
        <f t="shared" si="112"/>
        <v>0</v>
      </c>
      <c r="AL113" s="835">
        <f t="shared" si="140"/>
        <v>0</v>
      </c>
      <c r="AM113" s="842"/>
      <c r="AN113" s="835">
        <f>'1.BS (VND)'!AI87/$C$6</f>
        <v>0</v>
      </c>
      <c r="AO113" s="835">
        <f>'1.BS (VND)'!AJ87/$C$6</f>
        <v>0</v>
      </c>
      <c r="AP113" s="835">
        <f>'1.BS (VND)'!AK87/$C$6</f>
        <v>0</v>
      </c>
      <c r="AQ113" s="835">
        <f>'1.BS (VND)'!AL87/$C$6</f>
        <v>0</v>
      </c>
      <c r="AR113" s="842"/>
      <c r="AS113" s="835">
        <f>'1.BS (VND)'!AN87/$C$6</f>
        <v>0</v>
      </c>
      <c r="AT113" s="835">
        <f>'1.BS (VND)'!AO87/$C$6</f>
        <v>0</v>
      </c>
      <c r="AU113" s="835">
        <f>'1.BS (VND)'!AP87/$C$6</f>
        <v>0</v>
      </c>
      <c r="AV113" s="835">
        <f>'1.BS (VND)'!AQ87/$C$6</f>
        <v>0</v>
      </c>
      <c r="AW113" s="840"/>
      <c r="AX113" s="835">
        <f>'1.BS (VND)'!AS87/$C$6</f>
        <v>0</v>
      </c>
      <c r="AY113" s="835">
        <f>'1.BS (VND)'!AT87/$C$6</f>
        <v>0</v>
      </c>
      <c r="AZ113" s="835">
        <f>'1.BS (VND)'!AU87/$C$6</f>
        <v>0</v>
      </c>
      <c r="BA113" s="835">
        <f>'1.BS (VND)'!AV87/$C$6</f>
        <v>0</v>
      </c>
      <c r="BB113" s="840"/>
      <c r="BC113" s="835">
        <f>'1.BS (VND)'!AX87/$C$6</f>
        <v>0</v>
      </c>
      <c r="BD113" s="835">
        <f>'1.BS (VND)'!AY87/$C$6</f>
        <v>0</v>
      </c>
      <c r="BE113" s="835">
        <f>'1.BS (VND)'!AZ87/$C$6</f>
        <v>0</v>
      </c>
      <c r="BF113" s="835">
        <f>'1.BS (VND)'!BA87/$C$6</f>
        <v>0</v>
      </c>
      <c r="BG113" s="840"/>
      <c r="BH113" s="835">
        <f>'1.BS (VND)'!BC87/$C$6</f>
        <v>0</v>
      </c>
      <c r="BI113" s="835">
        <f>'1.BS (VND)'!BD87/$C$6</f>
        <v>0</v>
      </c>
      <c r="BJ113" s="835">
        <f>'1.BS (VND)'!BE87/$C$6</f>
        <v>0</v>
      </c>
      <c r="BK113" s="835">
        <f>'1.BS (VND)'!BF87/$C$6</f>
        <v>0</v>
      </c>
      <c r="BL113" s="840"/>
      <c r="BM113" s="835">
        <f>'1.BS (VND)'!BH87/$C$6</f>
        <v>0</v>
      </c>
      <c r="BN113" s="835">
        <f>'1.BS (VND)'!BI87/$C$6</f>
        <v>0</v>
      </c>
      <c r="BO113" s="835">
        <f>'1.BS (VND)'!BJ87/$C$6</f>
        <v>0</v>
      </c>
      <c r="BP113" s="835">
        <f>'1.BS (VND)'!BK87/$C$6</f>
        <v>0</v>
      </c>
      <c r="BQ113" s="841"/>
      <c r="BR113" s="835">
        <f t="shared" si="141"/>
        <v>0</v>
      </c>
      <c r="BS113" s="835">
        <f t="shared" si="142"/>
        <v>0</v>
      </c>
      <c r="BT113" s="835">
        <f t="shared" si="143"/>
        <v>0</v>
      </c>
      <c r="BU113" s="835">
        <f t="shared" si="144"/>
        <v>0</v>
      </c>
      <c r="BV113" s="842"/>
      <c r="BW113" s="835">
        <f t="shared" si="145"/>
        <v>0</v>
      </c>
      <c r="BX113" s="835">
        <f t="shared" si="146"/>
        <v>0</v>
      </c>
      <c r="BY113" s="835">
        <f t="shared" si="147"/>
        <v>0</v>
      </c>
      <c r="BZ113" s="835">
        <f t="shared" si="148"/>
        <v>0</v>
      </c>
      <c r="CA113" s="840"/>
      <c r="CB113" s="835">
        <f t="shared" si="149"/>
        <v>0</v>
      </c>
      <c r="CC113" s="835">
        <f t="shared" si="150"/>
        <v>0</v>
      </c>
      <c r="CD113" s="835">
        <f t="shared" si="151"/>
        <v>0</v>
      </c>
      <c r="CE113" s="835">
        <f t="shared" si="152"/>
        <v>0</v>
      </c>
      <c r="CF113" s="840"/>
      <c r="CG113" s="835">
        <f t="shared" si="153"/>
        <v>0</v>
      </c>
      <c r="CH113" s="835">
        <f t="shared" si="154"/>
        <v>0</v>
      </c>
      <c r="CI113" s="835">
        <f t="shared" si="155"/>
        <v>0</v>
      </c>
      <c r="CJ113" s="835">
        <f t="shared" si="156"/>
        <v>0</v>
      </c>
      <c r="CK113" s="840"/>
      <c r="CL113" s="835">
        <f t="shared" si="157"/>
        <v>0</v>
      </c>
      <c r="CM113" s="835">
        <f t="shared" si="158"/>
        <v>0</v>
      </c>
      <c r="CN113" s="835">
        <f t="shared" si="159"/>
        <v>0</v>
      </c>
      <c r="CO113" s="835">
        <f t="shared" si="160"/>
        <v>0</v>
      </c>
      <c r="CP113" s="840"/>
      <c r="CQ113" s="835">
        <f t="shared" si="161"/>
        <v>0</v>
      </c>
      <c r="CR113" s="835">
        <f t="shared" si="162"/>
        <v>0</v>
      </c>
      <c r="CS113" s="835">
        <f t="shared" si="163"/>
        <v>0</v>
      </c>
      <c r="CT113" s="835">
        <f t="shared" si="164"/>
        <v>0</v>
      </c>
      <c r="CU113" s="842"/>
      <c r="CV113" s="835">
        <f t="shared" si="165"/>
        <v>0</v>
      </c>
      <c r="CW113" s="835">
        <f t="shared" si="165"/>
        <v>0</v>
      </c>
      <c r="CX113" s="835">
        <f t="shared" si="165"/>
        <v>0</v>
      </c>
      <c r="CY113" s="835">
        <f t="shared" si="165"/>
        <v>0</v>
      </c>
      <c r="CZ113" s="842"/>
      <c r="DA113" s="835">
        <f>'1.BS (VND)'!CV87/'1.BC_Ra Soat (ty) '!$C$6</f>
        <v>0</v>
      </c>
      <c r="DB113" s="835">
        <f>'1.BS (VND)'!CW87/'1.BC_Ra Soat (ty) '!$C$6</f>
        <v>0</v>
      </c>
      <c r="DC113" s="835">
        <f>'1.BS (VND)'!CX87/'1.BC_Ra Soat (ty) '!$C$6</f>
        <v>0</v>
      </c>
      <c r="DD113" s="835">
        <f>'1.BS (VND)'!CY87/'1.BC_Ra Soat (ty) '!$C$6</f>
        <v>0</v>
      </c>
      <c r="DE113" s="842"/>
      <c r="DF113" s="835">
        <f t="shared" si="166"/>
        <v>0</v>
      </c>
      <c r="DG113" s="835">
        <f t="shared" si="166"/>
        <v>0</v>
      </c>
      <c r="DH113" s="835">
        <f t="shared" si="166"/>
        <v>0</v>
      </c>
      <c r="DI113" s="835">
        <f t="shared" si="166"/>
        <v>0</v>
      </c>
    </row>
    <row r="114" spans="1:114" s="441" customFormat="1" ht="15.75" hidden="1" x14ac:dyDescent="0.25">
      <c r="A114" s="447" t="str">
        <f t="shared" si="167"/>
        <v>hide</v>
      </c>
      <c r="C114" s="452" t="s">
        <v>435</v>
      </c>
      <c r="D114" s="453" t="s">
        <v>436</v>
      </c>
      <c r="E114" s="835">
        <f>'1.BS (VND)'!E88/$C$6</f>
        <v>0</v>
      </c>
      <c r="F114" s="835">
        <f>'1.BS (VND)'!F88/$C$6</f>
        <v>0</v>
      </c>
      <c r="G114" s="835">
        <f>'1.BS (VND)'!G88/$C$6</f>
        <v>0</v>
      </c>
      <c r="H114" s="835">
        <f>'1.BS (VND)'!H88/$C$6</f>
        <v>0</v>
      </c>
      <c r="I114" s="842"/>
      <c r="J114" s="835">
        <f>'1.BS (VND)'!J88/$C$6</f>
        <v>0</v>
      </c>
      <c r="K114" s="835">
        <f>'1.BS (VND)'!K88/$C$6</f>
        <v>0</v>
      </c>
      <c r="L114" s="835">
        <f>'1.BS (VND)'!L88/$C$6</f>
        <v>0</v>
      </c>
      <c r="M114" s="835">
        <f>'1.BS (VND)'!M88/$C$6</f>
        <v>0</v>
      </c>
      <c r="N114" s="840"/>
      <c r="O114" s="835">
        <f>'1.BS (VND)'!O88/$C$6</f>
        <v>0</v>
      </c>
      <c r="P114" s="835">
        <f>'1.BS (VND)'!P88/$C$6</f>
        <v>0</v>
      </c>
      <c r="Q114" s="835">
        <f>'1.BS (VND)'!Q88/$C$6</f>
        <v>0</v>
      </c>
      <c r="R114" s="835">
        <f>'1.BS (VND)'!R88/$C$6</f>
        <v>0</v>
      </c>
      <c r="S114" s="840"/>
      <c r="T114" s="835">
        <f>'1.BS (VND)'!T88/$C$6</f>
        <v>0</v>
      </c>
      <c r="U114" s="835">
        <f>'1.BS (VND)'!U88/$C$6</f>
        <v>0</v>
      </c>
      <c r="V114" s="835">
        <f>'1.BS (VND)'!V88/$C$6</f>
        <v>0</v>
      </c>
      <c r="W114" s="835">
        <f>'1.BS (VND)'!W88/$C$6</f>
        <v>0</v>
      </c>
      <c r="X114" s="840"/>
      <c r="Y114" s="835">
        <f>'1.BS (VND)'!T88/$C$6</f>
        <v>0</v>
      </c>
      <c r="Z114" s="835">
        <f>'1.BS (VND)'!U88/$C$6</f>
        <v>0</v>
      </c>
      <c r="AA114" s="835">
        <f>'1.BS (VND)'!V88/$C$6</f>
        <v>0</v>
      </c>
      <c r="AB114" s="835">
        <f>'1.BS (VND)'!W88/$C$6</f>
        <v>0</v>
      </c>
      <c r="AC114" s="840"/>
      <c r="AD114" s="835">
        <f>'1.BS (VND)'!AD88/$C$6</f>
        <v>0</v>
      </c>
      <c r="AE114" s="835">
        <f>'1.BS (VND)'!AE88/$C$6</f>
        <v>0</v>
      </c>
      <c r="AF114" s="835">
        <f>'1.BS (VND)'!AF88/$C$6</f>
        <v>0</v>
      </c>
      <c r="AG114" s="835">
        <f>'1.BS (VND)'!AG88/$C$6</f>
        <v>0</v>
      </c>
      <c r="AH114" s="841"/>
      <c r="AI114" s="835">
        <f t="shared" ref="AI114:AK150" si="168">SUMIF($E$5:$AG$5,AI$5,$E114:$AG114)</f>
        <v>0</v>
      </c>
      <c r="AJ114" s="835">
        <f t="shared" si="168"/>
        <v>0</v>
      </c>
      <c r="AK114" s="835">
        <f t="shared" si="168"/>
        <v>0</v>
      </c>
      <c r="AL114" s="835">
        <f t="shared" si="140"/>
        <v>0</v>
      </c>
      <c r="AM114" s="842"/>
      <c r="AN114" s="835">
        <f>'1.BS (VND)'!AI88/$C$6</f>
        <v>0</v>
      </c>
      <c r="AO114" s="835">
        <f>'1.BS (VND)'!AJ88/$C$6</f>
        <v>0</v>
      </c>
      <c r="AP114" s="835">
        <f>'1.BS (VND)'!AK88/$C$6</f>
        <v>0</v>
      </c>
      <c r="AQ114" s="835">
        <f>'1.BS (VND)'!AL88/$C$6</f>
        <v>0</v>
      </c>
      <c r="AR114" s="842"/>
      <c r="AS114" s="835">
        <f>'1.BS (VND)'!AN88/$C$6</f>
        <v>0</v>
      </c>
      <c r="AT114" s="835">
        <f>'1.BS (VND)'!AO88/$C$6</f>
        <v>0</v>
      </c>
      <c r="AU114" s="835">
        <f>'1.BS (VND)'!AP88/$C$6</f>
        <v>0</v>
      </c>
      <c r="AV114" s="835">
        <f>'1.BS (VND)'!AQ88/$C$6</f>
        <v>0</v>
      </c>
      <c r="AW114" s="840"/>
      <c r="AX114" s="835">
        <f>'1.BS (VND)'!AS88/$C$6</f>
        <v>0</v>
      </c>
      <c r="AY114" s="835">
        <f>'1.BS (VND)'!AT88/$C$6</f>
        <v>0</v>
      </c>
      <c r="AZ114" s="835">
        <f>'1.BS (VND)'!AU88/$C$6</f>
        <v>0</v>
      </c>
      <c r="BA114" s="835">
        <f>'1.BS (VND)'!AV88/$C$6</f>
        <v>0</v>
      </c>
      <c r="BB114" s="840"/>
      <c r="BC114" s="835">
        <f>'1.BS (VND)'!AX88/$C$6</f>
        <v>0</v>
      </c>
      <c r="BD114" s="835">
        <f>'1.BS (VND)'!AY88/$C$6</f>
        <v>0</v>
      </c>
      <c r="BE114" s="835">
        <f>'1.BS (VND)'!AZ88/$C$6</f>
        <v>0</v>
      </c>
      <c r="BF114" s="835">
        <f>'1.BS (VND)'!BA88/$C$6</f>
        <v>0</v>
      </c>
      <c r="BG114" s="840"/>
      <c r="BH114" s="835">
        <f>'1.BS (VND)'!BC88/$C$6</f>
        <v>0</v>
      </c>
      <c r="BI114" s="835">
        <f>'1.BS (VND)'!BD88/$C$6</f>
        <v>0</v>
      </c>
      <c r="BJ114" s="835">
        <f>'1.BS (VND)'!BE88/$C$6</f>
        <v>0</v>
      </c>
      <c r="BK114" s="835">
        <f>'1.BS (VND)'!BF88/$C$6</f>
        <v>0</v>
      </c>
      <c r="BL114" s="840"/>
      <c r="BM114" s="835">
        <f>'1.BS (VND)'!BH88/$C$6</f>
        <v>0</v>
      </c>
      <c r="BN114" s="835">
        <f>'1.BS (VND)'!BI88/$C$6</f>
        <v>0</v>
      </c>
      <c r="BO114" s="835">
        <f>'1.BS (VND)'!BJ88/$C$6</f>
        <v>0</v>
      </c>
      <c r="BP114" s="835">
        <f>'1.BS (VND)'!BK88/$C$6</f>
        <v>0</v>
      </c>
      <c r="BQ114" s="841"/>
      <c r="BR114" s="835">
        <f t="shared" si="141"/>
        <v>0</v>
      </c>
      <c r="BS114" s="835">
        <f t="shared" si="142"/>
        <v>0</v>
      </c>
      <c r="BT114" s="835">
        <f t="shared" si="143"/>
        <v>0</v>
      </c>
      <c r="BU114" s="835">
        <f t="shared" si="144"/>
        <v>0</v>
      </c>
      <c r="BV114" s="842"/>
      <c r="BW114" s="835">
        <f t="shared" si="145"/>
        <v>0</v>
      </c>
      <c r="BX114" s="835">
        <f t="shared" si="146"/>
        <v>0</v>
      </c>
      <c r="BY114" s="835">
        <f t="shared" si="147"/>
        <v>0</v>
      </c>
      <c r="BZ114" s="835">
        <f t="shared" si="148"/>
        <v>0</v>
      </c>
      <c r="CA114" s="840"/>
      <c r="CB114" s="835">
        <f t="shared" si="149"/>
        <v>0</v>
      </c>
      <c r="CC114" s="835">
        <f t="shared" si="150"/>
        <v>0</v>
      </c>
      <c r="CD114" s="835">
        <f t="shared" si="151"/>
        <v>0</v>
      </c>
      <c r="CE114" s="835">
        <f t="shared" si="152"/>
        <v>0</v>
      </c>
      <c r="CF114" s="840"/>
      <c r="CG114" s="835">
        <f t="shared" si="153"/>
        <v>0</v>
      </c>
      <c r="CH114" s="835">
        <f t="shared" si="154"/>
        <v>0</v>
      </c>
      <c r="CI114" s="835">
        <f t="shared" si="155"/>
        <v>0</v>
      </c>
      <c r="CJ114" s="835">
        <f t="shared" si="156"/>
        <v>0</v>
      </c>
      <c r="CK114" s="840"/>
      <c r="CL114" s="835">
        <f t="shared" si="157"/>
        <v>0</v>
      </c>
      <c r="CM114" s="835">
        <f t="shared" si="158"/>
        <v>0</v>
      </c>
      <c r="CN114" s="835">
        <f t="shared" si="159"/>
        <v>0</v>
      </c>
      <c r="CO114" s="835">
        <f t="shared" si="160"/>
        <v>0</v>
      </c>
      <c r="CP114" s="840"/>
      <c r="CQ114" s="835">
        <f t="shared" si="161"/>
        <v>0</v>
      </c>
      <c r="CR114" s="835">
        <f t="shared" si="162"/>
        <v>0</v>
      </c>
      <c r="CS114" s="835">
        <f t="shared" si="163"/>
        <v>0</v>
      </c>
      <c r="CT114" s="835">
        <f t="shared" si="164"/>
        <v>0</v>
      </c>
      <c r="CU114" s="842"/>
      <c r="CV114" s="835">
        <f t="shared" si="165"/>
        <v>0</v>
      </c>
      <c r="CW114" s="835">
        <f t="shared" si="165"/>
        <v>0</v>
      </c>
      <c r="CX114" s="835">
        <f t="shared" si="165"/>
        <v>0</v>
      </c>
      <c r="CY114" s="835">
        <f t="shared" si="165"/>
        <v>0</v>
      </c>
      <c r="CZ114" s="842"/>
      <c r="DA114" s="835">
        <f>'1.BS (VND)'!CV88/'1.BC_Ra Soat (ty) '!$C$6</f>
        <v>0</v>
      </c>
      <c r="DB114" s="835">
        <f>'1.BS (VND)'!CW88/'1.BC_Ra Soat (ty) '!$C$6</f>
        <v>0</v>
      </c>
      <c r="DC114" s="835">
        <f>'1.BS (VND)'!CX88/'1.BC_Ra Soat (ty) '!$C$6</f>
        <v>0</v>
      </c>
      <c r="DD114" s="835">
        <f>'1.BS (VND)'!CY88/'1.BC_Ra Soat (ty) '!$C$6</f>
        <v>0</v>
      </c>
      <c r="DE114" s="842"/>
      <c r="DF114" s="835">
        <f t="shared" si="166"/>
        <v>0</v>
      </c>
      <c r="DG114" s="835">
        <f t="shared" si="166"/>
        <v>0</v>
      </c>
      <c r="DH114" s="835">
        <f t="shared" si="166"/>
        <v>0</v>
      </c>
      <c r="DI114" s="835">
        <f t="shared" si="166"/>
        <v>0</v>
      </c>
    </row>
    <row r="115" spans="1:114" s="447" customFormat="1" ht="15.75" hidden="1" x14ac:dyDescent="0.25">
      <c r="A115" s="447">
        <f t="shared" si="167"/>
        <v>1</v>
      </c>
      <c r="C115" s="450" t="s">
        <v>437</v>
      </c>
      <c r="D115" s="451" t="s">
        <v>438</v>
      </c>
      <c r="E115" s="849">
        <f>'1.BS (VND)'!E89/$C$6</f>
        <v>0</v>
      </c>
      <c r="F115" s="849">
        <f>'1.BS (VND)'!F89/$C$6</f>
        <v>0</v>
      </c>
      <c r="G115" s="849">
        <f>'1.BS (VND)'!G89/$C$6</f>
        <v>0</v>
      </c>
      <c r="H115" s="849">
        <f>'1.BS (VND)'!H89/$C$6</f>
        <v>8.6912500020000003</v>
      </c>
      <c r="I115" s="852"/>
      <c r="J115" s="849">
        <f>'1.BS (VND)'!J89/$C$6</f>
        <v>0</v>
      </c>
      <c r="K115" s="849">
        <f>'1.BS (VND)'!K89/$C$6</f>
        <v>0</v>
      </c>
      <c r="L115" s="849">
        <f>'1.BS (VND)'!L89/$C$6</f>
        <v>0</v>
      </c>
      <c r="M115" s="849">
        <f>'1.BS (VND)'!M89/$C$6</f>
        <v>20.994156696000001</v>
      </c>
      <c r="N115" s="850"/>
      <c r="O115" s="849">
        <f>'1.BS (VND)'!O89/$C$6</f>
        <v>0</v>
      </c>
      <c r="P115" s="849">
        <f>'1.BS (VND)'!P89/$C$6</f>
        <v>0</v>
      </c>
      <c r="Q115" s="849">
        <f>'1.BS (VND)'!Q89/$C$6</f>
        <v>0</v>
      </c>
      <c r="R115" s="849">
        <f>'1.BS (VND)'!R89/$C$6</f>
        <v>2.2400000000000002</v>
      </c>
      <c r="S115" s="850"/>
      <c r="T115" s="849">
        <f>'1.BS (VND)'!T89/$C$6</f>
        <v>0</v>
      </c>
      <c r="U115" s="849">
        <f>'1.BS (VND)'!U89/$C$6</f>
        <v>0</v>
      </c>
      <c r="V115" s="849">
        <f>'1.BS (VND)'!V89/$C$6</f>
        <v>0</v>
      </c>
      <c r="W115" s="849">
        <f>'1.BS (VND)'!W89/$C$6</f>
        <v>0</v>
      </c>
      <c r="X115" s="850"/>
      <c r="Y115" s="849">
        <f>'1.BS (VND)'!T89/$C$6</f>
        <v>0</v>
      </c>
      <c r="Z115" s="849">
        <f>'1.BS (VND)'!U89/$C$6</f>
        <v>0</v>
      </c>
      <c r="AA115" s="849">
        <f>'1.BS (VND)'!V89/$C$6</f>
        <v>0</v>
      </c>
      <c r="AB115" s="849">
        <f>'1.BS (VND)'!W89/$C$6</f>
        <v>0</v>
      </c>
      <c r="AC115" s="850"/>
      <c r="AD115" s="849">
        <f>'1.BS (VND)'!AD89/$C$6</f>
        <v>0</v>
      </c>
      <c r="AE115" s="849">
        <f>'1.BS (VND)'!AE89/$C$6</f>
        <v>0</v>
      </c>
      <c r="AF115" s="849">
        <f>'1.BS (VND)'!AF89/$C$6</f>
        <v>0</v>
      </c>
      <c r="AG115" s="849">
        <f>'1.BS (VND)'!AG89/$C$6</f>
        <v>0</v>
      </c>
      <c r="AH115" s="851"/>
      <c r="AI115" s="849">
        <f t="shared" si="168"/>
        <v>0</v>
      </c>
      <c r="AJ115" s="849">
        <f t="shared" si="168"/>
        <v>0</v>
      </c>
      <c r="AK115" s="849">
        <f t="shared" si="168"/>
        <v>0</v>
      </c>
      <c r="AL115" s="849">
        <f t="shared" si="140"/>
        <v>31.925406698000003</v>
      </c>
      <c r="AM115" s="852"/>
      <c r="AN115" s="849">
        <f>'1.BS (VND)'!AI89/$C$6</f>
        <v>0</v>
      </c>
      <c r="AO115" s="849">
        <f>'1.BS (VND)'!AJ89/$C$6</f>
        <v>0</v>
      </c>
      <c r="AP115" s="849">
        <f>'1.BS (VND)'!AK89/$C$6</f>
        <v>0</v>
      </c>
      <c r="AQ115" s="849">
        <f>'1.BS (VND)'!AL89/$C$6</f>
        <v>0</v>
      </c>
      <c r="AR115" s="852"/>
      <c r="AS115" s="849">
        <f>'1.BS (VND)'!AN89/$C$6</f>
        <v>0</v>
      </c>
      <c r="AT115" s="849">
        <f>'1.BS (VND)'!AO89/$C$6</f>
        <v>0</v>
      </c>
      <c r="AU115" s="849">
        <f>'1.BS (VND)'!AP89/$C$6</f>
        <v>0</v>
      </c>
      <c r="AV115" s="849">
        <f>'1.BS (VND)'!AQ89/$C$6</f>
        <v>0</v>
      </c>
      <c r="AW115" s="850"/>
      <c r="AX115" s="849">
        <f>'1.BS (VND)'!AS89/$C$6</f>
        <v>0</v>
      </c>
      <c r="AY115" s="849">
        <f>'1.BS (VND)'!AT89/$C$6</f>
        <v>0</v>
      </c>
      <c r="AZ115" s="849">
        <f>'1.BS (VND)'!AU89/$C$6</f>
        <v>0</v>
      </c>
      <c r="BA115" s="849">
        <f>'1.BS (VND)'!AV89/$C$6</f>
        <v>0</v>
      </c>
      <c r="BB115" s="850"/>
      <c r="BC115" s="849">
        <f>'1.BS (VND)'!AX89/$C$6</f>
        <v>0</v>
      </c>
      <c r="BD115" s="849">
        <f>'1.BS (VND)'!AY89/$C$6</f>
        <v>0</v>
      </c>
      <c r="BE115" s="849">
        <f>'1.BS (VND)'!AZ89/$C$6</f>
        <v>0</v>
      </c>
      <c r="BF115" s="849">
        <f>'1.BS (VND)'!BA89/$C$6</f>
        <v>0</v>
      </c>
      <c r="BG115" s="850"/>
      <c r="BH115" s="849">
        <f>'1.BS (VND)'!BC89/$C$6</f>
        <v>0</v>
      </c>
      <c r="BI115" s="849">
        <f>'1.BS (VND)'!BD89/$C$6</f>
        <v>0</v>
      </c>
      <c r="BJ115" s="849">
        <f>'1.BS (VND)'!BE89/$C$6</f>
        <v>0</v>
      </c>
      <c r="BK115" s="849">
        <f>'1.BS (VND)'!BF89/$C$6</f>
        <v>0</v>
      </c>
      <c r="BL115" s="850"/>
      <c r="BM115" s="849">
        <f>'1.BS (VND)'!BH89/$C$6</f>
        <v>0</v>
      </c>
      <c r="BN115" s="849">
        <f>'1.BS (VND)'!BI89/$C$6</f>
        <v>0</v>
      </c>
      <c r="BO115" s="849">
        <f>'1.BS (VND)'!BJ89/$C$6</f>
        <v>0</v>
      </c>
      <c r="BP115" s="849">
        <f>'1.BS (VND)'!BK89/$C$6</f>
        <v>0</v>
      </c>
      <c r="BQ115" s="851"/>
      <c r="BR115" s="849">
        <f t="shared" si="141"/>
        <v>0</v>
      </c>
      <c r="BS115" s="849">
        <f t="shared" si="142"/>
        <v>0</v>
      </c>
      <c r="BT115" s="849">
        <f t="shared" si="143"/>
        <v>0</v>
      </c>
      <c r="BU115" s="849">
        <f t="shared" si="144"/>
        <v>8.6912500020000003</v>
      </c>
      <c r="BV115" s="852"/>
      <c r="BW115" s="849">
        <f t="shared" si="145"/>
        <v>0</v>
      </c>
      <c r="BX115" s="849">
        <f t="shared" si="146"/>
        <v>0</v>
      </c>
      <c r="BY115" s="849">
        <f t="shared" si="147"/>
        <v>0</v>
      </c>
      <c r="BZ115" s="849">
        <f t="shared" si="148"/>
        <v>20.994156696000001</v>
      </c>
      <c r="CA115" s="850"/>
      <c r="CB115" s="849">
        <f t="shared" si="149"/>
        <v>0</v>
      </c>
      <c r="CC115" s="849">
        <f t="shared" si="150"/>
        <v>0</v>
      </c>
      <c r="CD115" s="849">
        <f t="shared" si="151"/>
        <v>0</v>
      </c>
      <c r="CE115" s="849">
        <f t="shared" si="152"/>
        <v>2.2400000000000002</v>
      </c>
      <c r="CF115" s="850"/>
      <c r="CG115" s="849">
        <f t="shared" si="153"/>
        <v>0</v>
      </c>
      <c r="CH115" s="849">
        <f t="shared" si="154"/>
        <v>0</v>
      </c>
      <c r="CI115" s="849">
        <f t="shared" si="155"/>
        <v>0</v>
      </c>
      <c r="CJ115" s="849">
        <f t="shared" si="156"/>
        <v>0</v>
      </c>
      <c r="CK115" s="850"/>
      <c r="CL115" s="849">
        <f t="shared" si="157"/>
        <v>0</v>
      </c>
      <c r="CM115" s="849">
        <f t="shared" si="158"/>
        <v>0</v>
      </c>
      <c r="CN115" s="849">
        <f t="shared" si="159"/>
        <v>0</v>
      </c>
      <c r="CO115" s="849">
        <f t="shared" si="160"/>
        <v>0</v>
      </c>
      <c r="CP115" s="850"/>
      <c r="CQ115" s="849">
        <f t="shared" si="161"/>
        <v>0</v>
      </c>
      <c r="CR115" s="849">
        <f t="shared" si="162"/>
        <v>0</v>
      </c>
      <c r="CS115" s="849">
        <f t="shared" si="163"/>
        <v>0</v>
      </c>
      <c r="CT115" s="849">
        <f t="shared" si="164"/>
        <v>0</v>
      </c>
      <c r="CU115" s="852"/>
      <c r="CV115" s="849">
        <f t="shared" si="165"/>
        <v>0</v>
      </c>
      <c r="CW115" s="849">
        <f t="shared" si="165"/>
        <v>0</v>
      </c>
      <c r="CX115" s="849">
        <f t="shared" si="165"/>
        <v>0</v>
      </c>
      <c r="CY115" s="849">
        <f t="shared" si="165"/>
        <v>31.925406698000003</v>
      </c>
      <c r="CZ115" s="852"/>
      <c r="DA115" s="849">
        <f>'1.BS (VND)'!CV89/'1.BC_Ra Soat (ty) '!$C$6</f>
        <v>0</v>
      </c>
      <c r="DB115" s="849">
        <f>'1.BS (VND)'!CW89/'1.BC_Ra Soat (ty) '!$C$6</f>
        <v>0</v>
      </c>
      <c r="DC115" s="849">
        <f>'1.BS (VND)'!CX89/'1.BC_Ra Soat (ty) '!$C$6</f>
        <v>0</v>
      </c>
      <c r="DD115" s="849">
        <f>'1.BS (VND)'!CY89/'1.BC_Ra Soat (ty) '!$C$6</f>
        <v>0</v>
      </c>
      <c r="DE115" s="852"/>
      <c r="DF115" s="849">
        <f t="shared" si="166"/>
        <v>0</v>
      </c>
      <c r="DG115" s="849">
        <f t="shared" si="166"/>
        <v>0</v>
      </c>
      <c r="DH115" s="849">
        <f t="shared" si="166"/>
        <v>0</v>
      </c>
      <c r="DI115" s="849">
        <f t="shared" si="166"/>
        <v>31.925406698000003</v>
      </c>
      <c r="DJ115" s="444"/>
    </row>
    <row r="116" spans="1:114" s="441" customFormat="1" ht="15.75" hidden="1" x14ac:dyDescent="0.25">
      <c r="A116" s="447" t="str">
        <f t="shared" si="167"/>
        <v>hide</v>
      </c>
      <c r="C116" s="452" t="s">
        <v>439</v>
      </c>
      <c r="D116" s="453" t="s">
        <v>440</v>
      </c>
      <c r="E116" s="835">
        <f>'1.BS (VND)'!E90/$C$6</f>
        <v>0</v>
      </c>
      <c r="F116" s="835">
        <f>'1.BS (VND)'!F90/$C$6</f>
        <v>0</v>
      </c>
      <c r="G116" s="835">
        <f>'1.BS (VND)'!G90/$C$6</f>
        <v>0</v>
      </c>
      <c r="H116" s="835">
        <f>'1.BS (VND)'!H90/$C$6</f>
        <v>0</v>
      </c>
      <c r="I116" s="842"/>
      <c r="J116" s="835">
        <f>'1.BS (VND)'!J90/$C$6</f>
        <v>0</v>
      </c>
      <c r="K116" s="835">
        <f>'1.BS (VND)'!K90/$C$6</f>
        <v>0</v>
      </c>
      <c r="L116" s="835">
        <f>'1.BS (VND)'!L90/$C$6</f>
        <v>0</v>
      </c>
      <c r="M116" s="835">
        <f>'1.BS (VND)'!M90/$C$6</f>
        <v>0</v>
      </c>
      <c r="N116" s="840"/>
      <c r="O116" s="835">
        <f>'1.BS (VND)'!O90/$C$6</f>
        <v>0</v>
      </c>
      <c r="P116" s="835">
        <f>'1.BS (VND)'!P90/$C$6</f>
        <v>0</v>
      </c>
      <c r="Q116" s="835">
        <f>'1.BS (VND)'!Q90/$C$6</f>
        <v>0</v>
      </c>
      <c r="R116" s="835">
        <f>'1.BS (VND)'!R90/$C$6</f>
        <v>0</v>
      </c>
      <c r="S116" s="840"/>
      <c r="T116" s="835">
        <f>'1.BS (VND)'!T90/$C$6</f>
        <v>0</v>
      </c>
      <c r="U116" s="835">
        <f>'1.BS (VND)'!U90/$C$6</f>
        <v>0</v>
      </c>
      <c r="V116" s="835">
        <f>'1.BS (VND)'!V90/$C$6</f>
        <v>0</v>
      </c>
      <c r="W116" s="835">
        <f>'1.BS (VND)'!W90/$C$6</f>
        <v>0</v>
      </c>
      <c r="X116" s="840"/>
      <c r="Y116" s="835">
        <f>'1.BS (VND)'!T90/$C$6</f>
        <v>0</v>
      </c>
      <c r="Z116" s="835">
        <f>'1.BS (VND)'!U90/$C$6</f>
        <v>0</v>
      </c>
      <c r="AA116" s="835">
        <f>'1.BS (VND)'!V90/$C$6</f>
        <v>0</v>
      </c>
      <c r="AB116" s="835">
        <f>'1.BS (VND)'!W90/$C$6</f>
        <v>0</v>
      </c>
      <c r="AC116" s="840"/>
      <c r="AD116" s="835">
        <f>'1.BS (VND)'!AD90/$C$6</f>
        <v>0</v>
      </c>
      <c r="AE116" s="835">
        <f>'1.BS (VND)'!AE90/$C$6</f>
        <v>0</v>
      </c>
      <c r="AF116" s="835">
        <f>'1.BS (VND)'!AF90/$C$6</f>
        <v>0</v>
      </c>
      <c r="AG116" s="835">
        <f>'1.BS (VND)'!AG90/$C$6</f>
        <v>0</v>
      </c>
      <c r="AH116" s="841"/>
      <c r="AI116" s="835">
        <f t="shared" si="168"/>
        <v>0</v>
      </c>
      <c r="AJ116" s="835">
        <f t="shared" si="168"/>
        <v>0</v>
      </c>
      <c r="AK116" s="835">
        <f t="shared" si="168"/>
        <v>0</v>
      </c>
      <c r="AL116" s="835">
        <f t="shared" si="140"/>
        <v>0</v>
      </c>
      <c r="AM116" s="842"/>
      <c r="AN116" s="835">
        <f>'1.BS (VND)'!AI90/$C$6</f>
        <v>0</v>
      </c>
      <c r="AO116" s="835">
        <f>'1.BS (VND)'!AJ90/$C$6</f>
        <v>0</v>
      </c>
      <c r="AP116" s="835">
        <f>'1.BS (VND)'!AK90/$C$6</f>
        <v>0</v>
      </c>
      <c r="AQ116" s="835">
        <f>'1.BS (VND)'!AL90/$C$6</f>
        <v>0</v>
      </c>
      <c r="AR116" s="842"/>
      <c r="AS116" s="835">
        <f>'1.BS (VND)'!AN90/$C$6</f>
        <v>0</v>
      </c>
      <c r="AT116" s="835">
        <f>'1.BS (VND)'!AO90/$C$6</f>
        <v>0</v>
      </c>
      <c r="AU116" s="835">
        <f>'1.BS (VND)'!AP90/$C$6</f>
        <v>0</v>
      </c>
      <c r="AV116" s="835">
        <f>'1.BS (VND)'!AQ90/$C$6</f>
        <v>0</v>
      </c>
      <c r="AW116" s="840"/>
      <c r="AX116" s="835">
        <f>'1.BS (VND)'!AS90/$C$6</f>
        <v>0</v>
      </c>
      <c r="AY116" s="835">
        <f>'1.BS (VND)'!AT90/$C$6</f>
        <v>0</v>
      </c>
      <c r="AZ116" s="835">
        <f>'1.BS (VND)'!AU90/$C$6</f>
        <v>0</v>
      </c>
      <c r="BA116" s="835">
        <f>'1.BS (VND)'!AV90/$C$6</f>
        <v>0</v>
      </c>
      <c r="BB116" s="840"/>
      <c r="BC116" s="835">
        <f>'1.BS (VND)'!AX90/$C$6</f>
        <v>0</v>
      </c>
      <c r="BD116" s="835">
        <f>'1.BS (VND)'!AY90/$C$6</f>
        <v>0</v>
      </c>
      <c r="BE116" s="835">
        <f>'1.BS (VND)'!AZ90/$C$6</f>
        <v>0</v>
      </c>
      <c r="BF116" s="835">
        <f>'1.BS (VND)'!BA90/$C$6</f>
        <v>0</v>
      </c>
      <c r="BG116" s="840"/>
      <c r="BH116" s="835">
        <f>'1.BS (VND)'!BC90/$C$6</f>
        <v>0</v>
      </c>
      <c r="BI116" s="835">
        <f>'1.BS (VND)'!BD90/$C$6</f>
        <v>0</v>
      </c>
      <c r="BJ116" s="835">
        <f>'1.BS (VND)'!BE90/$C$6</f>
        <v>0</v>
      </c>
      <c r="BK116" s="835">
        <f>'1.BS (VND)'!BF90/$C$6</f>
        <v>0</v>
      </c>
      <c r="BL116" s="840"/>
      <c r="BM116" s="835">
        <f>'1.BS (VND)'!BH90/$C$6</f>
        <v>0</v>
      </c>
      <c r="BN116" s="835">
        <f>'1.BS (VND)'!BI90/$C$6</f>
        <v>0</v>
      </c>
      <c r="BO116" s="835">
        <f>'1.BS (VND)'!BJ90/$C$6</f>
        <v>0</v>
      </c>
      <c r="BP116" s="835">
        <f>'1.BS (VND)'!BK90/$C$6</f>
        <v>0</v>
      </c>
      <c r="BQ116" s="841"/>
      <c r="BR116" s="835">
        <f t="shared" si="141"/>
        <v>0</v>
      </c>
      <c r="BS116" s="835">
        <f t="shared" si="142"/>
        <v>0</v>
      </c>
      <c r="BT116" s="835">
        <f t="shared" si="143"/>
        <v>0</v>
      </c>
      <c r="BU116" s="835">
        <f t="shared" si="144"/>
        <v>0</v>
      </c>
      <c r="BV116" s="842"/>
      <c r="BW116" s="835">
        <f t="shared" si="145"/>
        <v>0</v>
      </c>
      <c r="BX116" s="835">
        <f t="shared" si="146"/>
        <v>0</v>
      </c>
      <c r="BY116" s="835">
        <f t="shared" si="147"/>
        <v>0</v>
      </c>
      <c r="BZ116" s="835">
        <f t="shared" si="148"/>
        <v>0</v>
      </c>
      <c r="CA116" s="840"/>
      <c r="CB116" s="835">
        <f t="shared" si="149"/>
        <v>0</v>
      </c>
      <c r="CC116" s="835">
        <f t="shared" si="150"/>
        <v>0</v>
      </c>
      <c r="CD116" s="835">
        <f t="shared" si="151"/>
        <v>0</v>
      </c>
      <c r="CE116" s="835">
        <f t="shared" si="152"/>
        <v>0</v>
      </c>
      <c r="CF116" s="840"/>
      <c r="CG116" s="835">
        <f t="shared" si="153"/>
        <v>0</v>
      </c>
      <c r="CH116" s="835">
        <f t="shared" si="154"/>
        <v>0</v>
      </c>
      <c r="CI116" s="835">
        <f t="shared" si="155"/>
        <v>0</v>
      </c>
      <c r="CJ116" s="835">
        <f t="shared" si="156"/>
        <v>0</v>
      </c>
      <c r="CK116" s="840"/>
      <c r="CL116" s="835">
        <f t="shared" si="157"/>
        <v>0</v>
      </c>
      <c r="CM116" s="835">
        <f t="shared" si="158"/>
        <v>0</v>
      </c>
      <c r="CN116" s="835">
        <f t="shared" si="159"/>
        <v>0</v>
      </c>
      <c r="CO116" s="835">
        <f t="shared" si="160"/>
        <v>0</v>
      </c>
      <c r="CP116" s="840"/>
      <c r="CQ116" s="835">
        <f t="shared" si="161"/>
        <v>0</v>
      </c>
      <c r="CR116" s="835">
        <f t="shared" si="162"/>
        <v>0</v>
      </c>
      <c r="CS116" s="835">
        <f t="shared" si="163"/>
        <v>0</v>
      </c>
      <c r="CT116" s="835">
        <f t="shared" si="164"/>
        <v>0</v>
      </c>
      <c r="CU116" s="842"/>
      <c r="CV116" s="835">
        <f t="shared" si="165"/>
        <v>0</v>
      </c>
      <c r="CW116" s="835">
        <f t="shared" si="165"/>
        <v>0</v>
      </c>
      <c r="CX116" s="835">
        <f t="shared" si="165"/>
        <v>0</v>
      </c>
      <c r="CY116" s="835">
        <f t="shared" si="165"/>
        <v>0</v>
      </c>
      <c r="CZ116" s="842"/>
      <c r="DA116" s="835">
        <f>'1.BS (VND)'!CV90/'1.BC_Ra Soat (ty) '!$C$6</f>
        <v>0</v>
      </c>
      <c r="DB116" s="835">
        <f>'1.BS (VND)'!CW90/'1.BC_Ra Soat (ty) '!$C$6</f>
        <v>0</v>
      </c>
      <c r="DC116" s="835">
        <f>'1.BS (VND)'!CX90/'1.BC_Ra Soat (ty) '!$C$6</f>
        <v>0</v>
      </c>
      <c r="DD116" s="835">
        <f>'1.BS (VND)'!CY90/'1.BC_Ra Soat (ty) '!$C$6</f>
        <v>0</v>
      </c>
      <c r="DE116" s="842"/>
      <c r="DF116" s="835">
        <f t="shared" si="166"/>
        <v>0</v>
      </c>
      <c r="DG116" s="835">
        <f t="shared" si="166"/>
        <v>0</v>
      </c>
      <c r="DH116" s="835">
        <f t="shared" si="166"/>
        <v>0</v>
      </c>
      <c r="DI116" s="835">
        <f t="shared" si="166"/>
        <v>0</v>
      </c>
    </row>
    <row r="117" spans="1:114" s="441" customFormat="1" ht="15.75" hidden="1" x14ac:dyDescent="0.25">
      <c r="A117" s="447" t="str">
        <f t="shared" si="167"/>
        <v>hide</v>
      </c>
      <c r="C117" s="452" t="s">
        <v>441</v>
      </c>
      <c r="D117" s="453" t="s">
        <v>442</v>
      </c>
      <c r="E117" s="835">
        <f>'1.BS (VND)'!E91/$C$6</f>
        <v>0</v>
      </c>
      <c r="F117" s="835">
        <f>'1.BS (VND)'!F91/$C$6</f>
        <v>0</v>
      </c>
      <c r="G117" s="835">
        <f>'1.BS (VND)'!G91/$C$6</f>
        <v>0</v>
      </c>
      <c r="H117" s="835">
        <f>'1.BS (VND)'!H91/$C$6</f>
        <v>0</v>
      </c>
      <c r="I117" s="842"/>
      <c r="J117" s="835">
        <f>'1.BS (VND)'!J91/$C$6</f>
        <v>0</v>
      </c>
      <c r="K117" s="835">
        <f>'1.BS (VND)'!K91/$C$6</f>
        <v>0</v>
      </c>
      <c r="L117" s="835">
        <f>'1.BS (VND)'!L91/$C$6</f>
        <v>0</v>
      </c>
      <c r="M117" s="835">
        <f>'1.BS (VND)'!M91/$C$6</f>
        <v>0</v>
      </c>
      <c r="N117" s="840"/>
      <c r="O117" s="835">
        <f>'1.BS (VND)'!O91/$C$6</f>
        <v>0</v>
      </c>
      <c r="P117" s="835">
        <f>'1.BS (VND)'!P91/$C$6</f>
        <v>0</v>
      </c>
      <c r="Q117" s="835">
        <f>'1.BS (VND)'!Q91/$C$6</f>
        <v>0</v>
      </c>
      <c r="R117" s="835">
        <f>'1.BS (VND)'!R91/$C$6</f>
        <v>0</v>
      </c>
      <c r="S117" s="840"/>
      <c r="T117" s="835">
        <f>'1.BS (VND)'!T91/$C$6</f>
        <v>0</v>
      </c>
      <c r="U117" s="835">
        <f>'1.BS (VND)'!U91/$C$6</f>
        <v>0</v>
      </c>
      <c r="V117" s="835">
        <f>'1.BS (VND)'!V91/$C$6</f>
        <v>0</v>
      </c>
      <c r="W117" s="835">
        <f>'1.BS (VND)'!W91/$C$6</f>
        <v>0</v>
      </c>
      <c r="X117" s="840"/>
      <c r="Y117" s="835">
        <f>'1.BS (VND)'!T91/$C$6</f>
        <v>0</v>
      </c>
      <c r="Z117" s="835">
        <f>'1.BS (VND)'!U91/$C$6</f>
        <v>0</v>
      </c>
      <c r="AA117" s="835">
        <f>'1.BS (VND)'!V91/$C$6</f>
        <v>0</v>
      </c>
      <c r="AB117" s="835">
        <f>'1.BS (VND)'!W91/$C$6</f>
        <v>0</v>
      </c>
      <c r="AC117" s="840"/>
      <c r="AD117" s="835">
        <f>'1.BS (VND)'!AD91/$C$6</f>
        <v>0</v>
      </c>
      <c r="AE117" s="835">
        <f>'1.BS (VND)'!AE91/$C$6</f>
        <v>0</v>
      </c>
      <c r="AF117" s="835">
        <f>'1.BS (VND)'!AF91/$C$6</f>
        <v>0</v>
      </c>
      <c r="AG117" s="835">
        <f>'1.BS (VND)'!AG91/$C$6</f>
        <v>0</v>
      </c>
      <c r="AH117" s="841"/>
      <c r="AI117" s="835">
        <f t="shared" si="168"/>
        <v>0</v>
      </c>
      <c r="AJ117" s="835">
        <f t="shared" si="168"/>
        <v>0</v>
      </c>
      <c r="AK117" s="835">
        <f t="shared" si="168"/>
        <v>0</v>
      </c>
      <c r="AL117" s="835">
        <f t="shared" si="140"/>
        <v>0</v>
      </c>
      <c r="AM117" s="842"/>
      <c r="AN117" s="835">
        <f>'1.BS (VND)'!AI91/$C$6</f>
        <v>0</v>
      </c>
      <c r="AO117" s="835">
        <f>'1.BS (VND)'!AJ91/$C$6</f>
        <v>0</v>
      </c>
      <c r="AP117" s="835">
        <f>'1.BS (VND)'!AK91/$C$6</f>
        <v>0</v>
      </c>
      <c r="AQ117" s="835">
        <f>'1.BS (VND)'!AL91/$C$6</f>
        <v>0</v>
      </c>
      <c r="AR117" s="842"/>
      <c r="AS117" s="835">
        <f>'1.BS (VND)'!AN91/$C$6</f>
        <v>0</v>
      </c>
      <c r="AT117" s="835">
        <f>'1.BS (VND)'!AO91/$C$6</f>
        <v>0</v>
      </c>
      <c r="AU117" s="835">
        <f>'1.BS (VND)'!AP91/$C$6</f>
        <v>0</v>
      </c>
      <c r="AV117" s="835">
        <f>'1.BS (VND)'!AQ91/$C$6</f>
        <v>0</v>
      </c>
      <c r="AW117" s="840"/>
      <c r="AX117" s="835">
        <f>'1.BS (VND)'!AS91/$C$6</f>
        <v>0</v>
      </c>
      <c r="AY117" s="835">
        <f>'1.BS (VND)'!AT91/$C$6</f>
        <v>0</v>
      </c>
      <c r="AZ117" s="835">
        <f>'1.BS (VND)'!AU91/$C$6</f>
        <v>0</v>
      </c>
      <c r="BA117" s="835">
        <f>'1.BS (VND)'!AV91/$C$6</f>
        <v>0</v>
      </c>
      <c r="BB117" s="840"/>
      <c r="BC117" s="835">
        <f>'1.BS (VND)'!AX91/$C$6</f>
        <v>0</v>
      </c>
      <c r="BD117" s="835">
        <f>'1.BS (VND)'!AY91/$C$6</f>
        <v>0</v>
      </c>
      <c r="BE117" s="835">
        <f>'1.BS (VND)'!AZ91/$C$6</f>
        <v>0</v>
      </c>
      <c r="BF117" s="835">
        <f>'1.BS (VND)'!BA91/$C$6</f>
        <v>0</v>
      </c>
      <c r="BG117" s="840"/>
      <c r="BH117" s="835">
        <f>'1.BS (VND)'!BC91/$C$6</f>
        <v>0</v>
      </c>
      <c r="BI117" s="835">
        <f>'1.BS (VND)'!BD91/$C$6</f>
        <v>0</v>
      </c>
      <c r="BJ117" s="835">
        <f>'1.BS (VND)'!BE91/$C$6</f>
        <v>0</v>
      </c>
      <c r="BK117" s="835">
        <f>'1.BS (VND)'!BF91/$C$6</f>
        <v>0</v>
      </c>
      <c r="BL117" s="840"/>
      <c r="BM117" s="835">
        <f>'1.BS (VND)'!BH91/$C$6</f>
        <v>0</v>
      </c>
      <c r="BN117" s="835">
        <f>'1.BS (VND)'!BI91/$C$6</f>
        <v>0</v>
      </c>
      <c r="BO117" s="835">
        <f>'1.BS (VND)'!BJ91/$C$6</f>
        <v>0</v>
      </c>
      <c r="BP117" s="835">
        <f>'1.BS (VND)'!BK91/$C$6</f>
        <v>0</v>
      </c>
      <c r="BQ117" s="841"/>
      <c r="BR117" s="835">
        <f t="shared" si="141"/>
        <v>0</v>
      </c>
      <c r="BS117" s="835">
        <f t="shared" si="142"/>
        <v>0</v>
      </c>
      <c r="BT117" s="835">
        <f t="shared" si="143"/>
        <v>0</v>
      </c>
      <c r="BU117" s="835">
        <f t="shared" si="144"/>
        <v>0</v>
      </c>
      <c r="BV117" s="842"/>
      <c r="BW117" s="835">
        <f t="shared" si="145"/>
        <v>0</v>
      </c>
      <c r="BX117" s="835">
        <f t="shared" si="146"/>
        <v>0</v>
      </c>
      <c r="BY117" s="835">
        <f t="shared" si="147"/>
        <v>0</v>
      </c>
      <c r="BZ117" s="835">
        <f t="shared" si="148"/>
        <v>0</v>
      </c>
      <c r="CA117" s="840"/>
      <c r="CB117" s="835">
        <f t="shared" si="149"/>
        <v>0</v>
      </c>
      <c r="CC117" s="835">
        <f t="shared" si="150"/>
        <v>0</v>
      </c>
      <c r="CD117" s="835">
        <f t="shared" si="151"/>
        <v>0</v>
      </c>
      <c r="CE117" s="835">
        <f t="shared" si="152"/>
        <v>0</v>
      </c>
      <c r="CF117" s="840"/>
      <c r="CG117" s="835">
        <f t="shared" si="153"/>
        <v>0</v>
      </c>
      <c r="CH117" s="835">
        <f t="shared" si="154"/>
        <v>0</v>
      </c>
      <c r="CI117" s="835">
        <f t="shared" si="155"/>
        <v>0</v>
      </c>
      <c r="CJ117" s="835">
        <f t="shared" si="156"/>
        <v>0</v>
      </c>
      <c r="CK117" s="840"/>
      <c r="CL117" s="835">
        <f t="shared" si="157"/>
        <v>0</v>
      </c>
      <c r="CM117" s="835">
        <f t="shared" si="158"/>
        <v>0</v>
      </c>
      <c r="CN117" s="835">
        <f t="shared" si="159"/>
        <v>0</v>
      </c>
      <c r="CO117" s="835">
        <f t="shared" si="160"/>
        <v>0</v>
      </c>
      <c r="CP117" s="840"/>
      <c r="CQ117" s="835">
        <f t="shared" si="161"/>
        <v>0</v>
      </c>
      <c r="CR117" s="835">
        <f t="shared" si="162"/>
        <v>0</v>
      </c>
      <c r="CS117" s="835">
        <f t="shared" si="163"/>
        <v>0</v>
      </c>
      <c r="CT117" s="835">
        <f t="shared" si="164"/>
        <v>0</v>
      </c>
      <c r="CU117" s="842"/>
      <c r="CV117" s="835">
        <f t="shared" si="165"/>
        <v>0</v>
      </c>
      <c r="CW117" s="835">
        <f t="shared" si="165"/>
        <v>0</v>
      </c>
      <c r="CX117" s="835">
        <f t="shared" si="165"/>
        <v>0</v>
      </c>
      <c r="CY117" s="835">
        <f t="shared" si="165"/>
        <v>0</v>
      </c>
      <c r="CZ117" s="842"/>
      <c r="DA117" s="835">
        <f>'1.BS (VND)'!CV91/'1.BC_Ra Soat (ty) '!$C$6</f>
        <v>0</v>
      </c>
      <c r="DB117" s="835">
        <f>'1.BS (VND)'!CW91/'1.BC_Ra Soat (ty) '!$C$6</f>
        <v>0</v>
      </c>
      <c r="DC117" s="835">
        <f>'1.BS (VND)'!CX91/'1.BC_Ra Soat (ty) '!$C$6</f>
        <v>0</v>
      </c>
      <c r="DD117" s="835">
        <f>'1.BS (VND)'!CY91/'1.BC_Ra Soat (ty) '!$C$6</f>
        <v>0</v>
      </c>
      <c r="DE117" s="842"/>
      <c r="DF117" s="835">
        <f t="shared" si="166"/>
        <v>0</v>
      </c>
      <c r="DG117" s="835">
        <f t="shared" si="166"/>
        <v>0</v>
      </c>
      <c r="DH117" s="835">
        <f t="shared" si="166"/>
        <v>0</v>
      </c>
      <c r="DI117" s="835">
        <f t="shared" si="166"/>
        <v>0</v>
      </c>
    </row>
    <row r="118" spans="1:114" s="441" customFormat="1" ht="15.75" hidden="1" x14ac:dyDescent="0.25">
      <c r="A118" s="447" t="str">
        <f t="shared" si="167"/>
        <v>hide</v>
      </c>
      <c r="C118" s="452" t="s">
        <v>443</v>
      </c>
      <c r="D118" s="453" t="s">
        <v>444</v>
      </c>
      <c r="E118" s="835">
        <f>'1.BS (VND)'!E92/$C$6</f>
        <v>0</v>
      </c>
      <c r="F118" s="835">
        <f>'1.BS (VND)'!F92/$C$6</f>
        <v>0</v>
      </c>
      <c r="G118" s="835">
        <f>'1.BS (VND)'!G92/$C$6</f>
        <v>0</v>
      </c>
      <c r="H118" s="835">
        <f>'1.BS (VND)'!H92/$C$6</f>
        <v>0</v>
      </c>
      <c r="I118" s="842"/>
      <c r="J118" s="835">
        <f>'1.BS (VND)'!J92/$C$6</f>
        <v>0</v>
      </c>
      <c r="K118" s="835">
        <f>'1.BS (VND)'!K92/$C$6</f>
        <v>0</v>
      </c>
      <c r="L118" s="835">
        <f>'1.BS (VND)'!L92/$C$6</f>
        <v>0</v>
      </c>
      <c r="M118" s="835">
        <f>'1.BS (VND)'!M92/$C$6</f>
        <v>0</v>
      </c>
      <c r="N118" s="840"/>
      <c r="O118" s="835">
        <f>'1.BS (VND)'!O92/$C$6</f>
        <v>0</v>
      </c>
      <c r="P118" s="835">
        <f>'1.BS (VND)'!P92/$C$6</f>
        <v>0</v>
      </c>
      <c r="Q118" s="835">
        <f>'1.BS (VND)'!Q92/$C$6</f>
        <v>0</v>
      </c>
      <c r="R118" s="835">
        <f>'1.BS (VND)'!R92/$C$6</f>
        <v>0</v>
      </c>
      <c r="S118" s="840"/>
      <c r="T118" s="835">
        <f>'1.BS (VND)'!T92/$C$6</f>
        <v>0</v>
      </c>
      <c r="U118" s="835">
        <f>'1.BS (VND)'!U92/$C$6</f>
        <v>0</v>
      </c>
      <c r="V118" s="835">
        <f>'1.BS (VND)'!V92/$C$6</f>
        <v>0</v>
      </c>
      <c r="W118" s="835">
        <f>'1.BS (VND)'!W92/$C$6</f>
        <v>0</v>
      </c>
      <c r="X118" s="840"/>
      <c r="Y118" s="835">
        <f>'1.BS (VND)'!T92/$C$6</f>
        <v>0</v>
      </c>
      <c r="Z118" s="835">
        <f>'1.BS (VND)'!U92/$C$6</f>
        <v>0</v>
      </c>
      <c r="AA118" s="835">
        <f>'1.BS (VND)'!V92/$C$6</f>
        <v>0</v>
      </c>
      <c r="AB118" s="835">
        <f>'1.BS (VND)'!W92/$C$6</f>
        <v>0</v>
      </c>
      <c r="AC118" s="840"/>
      <c r="AD118" s="835">
        <f>'1.BS (VND)'!AD92/$C$6</f>
        <v>0</v>
      </c>
      <c r="AE118" s="835">
        <f>'1.BS (VND)'!AE92/$C$6</f>
        <v>0</v>
      </c>
      <c r="AF118" s="835">
        <f>'1.BS (VND)'!AF92/$C$6</f>
        <v>0</v>
      </c>
      <c r="AG118" s="835">
        <f>'1.BS (VND)'!AG92/$C$6</f>
        <v>0</v>
      </c>
      <c r="AH118" s="841"/>
      <c r="AI118" s="835">
        <f t="shared" si="168"/>
        <v>0</v>
      </c>
      <c r="AJ118" s="835">
        <f t="shared" si="168"/>
        <v>0</v>
      </c>
      <c r="AK118" s="835">
        <f t="shared" si="168"/>
        <v>0</v>
      </c>
      <c r="AL118" s="835">
        <f t="shared" si="140"/>
        <v>0</v>
      </c>
      <c r="AM118" s="842"/>
      <c r="AN118" s="835">
        <f>'1.BS (VND)'!AI92/$C$6</f>
        <v>0</v>
      </c>
      <c r="AO118" s="835">
        <f>'1.BS (VND)'!AJ92/$C$6</f>
        <v>0</v>
      </c>
      <c r="AP118" s="835">
        <f>'1.BS (VND)'!AK92/$C$6</f>
        <v>0</v>
      </c>
      <c r="AQ118" s="835">
        <f>'1.BS (VND)'!AL92/$C$6</f>
        <v>0</v>
      </c>
      <c r="AR118" s="842"/>
      <c r="AS118" s="835">
        <f>'1.BS (VND)'!AN92/$C$6</f>
        <v>0</v>
      </c>
      <c r="AT118" s="835">
        <f>'1.BS (VND)'!AO92/$C$6</f>
        <v>0</v>
      </c>
      <c r="AU118" s="835">
        <f>'1.BS (VND)'!AP92/$C$6</f>
        <v>0</v>
      </c>
      <c r="AV118" s="835">
        <f>'1.BS (VND)'!AQ92/$C$6</f>
        <v>0</v>
      </c>
      <c r="AW118" s="840"/>
      <c r="AX118" s="835">
        <f>'1.BS (VND)'!AS92/$C$6</f>
        <v>0</v>
      </c>
      <c r="AY118" s="835">
        <f>'1.BS (VND)'!AT92/$C$6</f>
        <v>0</v>
      </c>
      <c r="AZ118" s="835">
        <f>'1.BS (VND)'!AU92/$C$6</f>
        <v>0</v>
      </c>
      <c r="BA118" s="835">
        <f>'1.BS (VND)'!AV92/$C$6</f>
        <v>0</v>
      </c>
      <c r="BB118" s="840"/>
      <c r="BC118" s="835">
        <f>'1.BS (VND)'!AX92/$C$6</f>
        <v>0</v>
      </c>
      <c r="BD118" s="835">
        <f>'1.BS (VND)'!AY92/$C$6</f>
        <v>0</v>
      </c>
      <c r="BE118" s="835">
        <f>'1.BS (VND)'!AZ92/$C$6</f>
        <v>0</v>
      </c>
      <c r="BF118" s="835">
        <f>'1.BS (VND)'!BA92/$C$6</f>
        <v>0</v>
      </c>
      <c r="BG118" s="840"/>
      <c r="BH118" s="835">
        <f>'1.BS (VND)'!BC92/$C$6</f>
        <v>0</v>
      </c>
      <c r="BI118" s="835">
        <f>'1.BS (VND)'!BD92/$C$6</f>
        <v>0</v>
      </c>
      <c r="BJ118" s="835">
        <f>'1.BS (VND)'!BE92/$C$6</f>
        <v>0</v>
      </c>
      <c r="BK118" s="835">
        <f>'1.BS (VND)'!BF92/$C$6</f>
        <v>0</v>
      </c>
      <c r="BL118" s="840"/>
      <c r="BM118" s="835">
        <f>'1.BS (VND)'!BH92/$C$6</f>
        <v>0</v>
      </c>
      <c r="BN118" s="835">
        <f>'1.BS (VND)'!BI92/$C$6</f>
        <v>0</v>
      </c>
      <c r="BO118" s="835">
        <f>'1.BS (VND)'!BJ92/$C$6</f>
        <v>0</v>
      </c>
      <c r="BP118" s="835">
        <f>'1.BS (VND)'!BK92/$C$6</f>
        <v>0</v>
      </c>
      <c r="BQ118" s="841"/>
      <c r="BR118" s="835">
        <f t="shared" si="141"/>
        <v>0</v>
      </c>
      <c r="BS118" s="835">
        <f t="shared" si="142"/>
        <v>0</v>
      </c>
      <c r="BT118" s="835">
        <f t="shared" si="143"/>
        <v>0</v>
      </c>
      <c r="BU118" s="835">
        <f t="shared" si="144"/>
        <v>0</v>
      </c>
      <c r="BV118" s="842"/>
      <c r="BW118" s="835">
        <f t="shared" si="145"/>
        <v>0</v>
      </c>
      <c r="BX118" s="835">
        <f t="shared" si="146"/>
        <v>0</v>
      </c>
      <c r="BY118" s="835">
        <f t="shared" si="147"/>
        <v>0</v>
      </c>
      <c r="BZ118" s="835">
        <f t="shared" si="148"/>
        <v>0</v>
      </c>
      <c r="CA118" s="840"/>
      <c r="CB118" s="835">
        <f t="shared" si="149"/>
        <v>0</v>
      </c>
      <c r="CC118" s="835">
        <f t="shared" si="150"/>
        <v>0</v>
      </c>
      <c r="CD118" s="835">
        <f t="shared" si="151"/>
        <v>0</v>
      </c>
      <c r="CE118" s="835">
        <f t="shared" si="152"/>
        <v>0</v>
      </c>
      <c r="CF118" s="840"/>
      <c r="CG118" s="835">
        <f t="shared" si="153"/>
        <v>0</v>
      </c>
      <c r="CH118" s="835">
        <f t="shared" si="154"/>
        <v>0</v>
      </c>
      <c r="CI118" s="835">
        <f t="shared" si="155"/>
        <v>0</v>
      </c>
      <c r="CJ118" s="835">
        <f t="shared" si="156"/>
        <v>0</v>
      </c>
      <c r="CK118" s="840"/>
      <c r="CL118" s="835">
        <f t="shared" si="157"/>
        <v>0</v>
      </c>
      <c r="CM118" s="835">
        <f t="shared" si="158"/>
        <v>0</v>
      </c>
      <c r="CN118" s="835">
        <f t="shared" si="159"/>
        <v>0</v>
      </c>
      <c r="CO118" s="835">
        <f t="shared" si="160"/>
        <v>0</v>
      </c>
      <c r="CP118" s="840"/>
      <c r="CQ118" s="835">
        <f t="shared" si="161"/>
        <v>0</v>
      </c>
      <c r="CR118" s="835">
        <f t="shared" si="162"/>
        <v>0</v>
      </c>
      <c r="CS118" s="835">
        <f t="shared" si="163"/>
        <v>0</v>
      </c>
      <c r="CT118" s="835">
        <f t="shared" si="164"/>
        <v>0</v>
      </c>
      <c r="CU118" s="842"/>
      <c r="CV118" s="835">
        <f t="shared" si="165"/>
        <v>0</v>
      </c>
      <c r="CW118" s="835">
        <f t="shared" si="165"/>
        <v>0</v>
      </c>
      <c r="CX118" s="835">
        <f t="shared" si="165"/>
        <v>0</v>
      </c>
      <c r="CY118" s="835">
        <f t="shared" si="165"/>
        <v>0</v>
      </c>
      <c r="CZ118" s="842"/>
      <c r="DA118" s="835">
        <f>'1.BS (VND)'!CV92/'1.BC_Ra Soat (ty) '!$C$6</f>
        <v>0</v>
      </c>
      <c r="DB118" s="835">
        <f>'1.BS (VND)'!CW92/'1.BC_Ra Soat (ty) '!$C$6</f>
        <v>0</v>
      </c>
      <c r="DC118" s="835">
        <f>'1.BS (VND)'!CX92/'1.BC_Ra Soat (ty) '!$C$6</f>
        <v>0</v>
      </c>
      <c r="DD118" s="835">
        <f>'1.BS (VND)'!CY92/'1.BC_Ra Soat (ty) '!$C$6</f>
        <v>0</v>
      </c>
      <c r="DE118" s="842"/>
      <c r="DF118" s="835">
        <f t="shared" si="166"/>
        <v>0</v>
      </c>
      <c r="DG118" s="835">
        <f t="shared" si="166"/>
        <v>0</v>
      </c>
      <c r="DH118" s="835">
        <f t="shared" si="166"/>
        <v>0</v>
      </c>
      <c r="DI118" s="835">
        <f t="shared" si="166"/>
        <v>0</v>
      </c>
    </row>
    <row r="119" spans="1:114" s="441" customFormat="1" ht="15.75" hidden="1" x14ac:dyDescent="0.25">
      <c r="A119" s="447" t="str">
        <f t="shared" si="167"/>
        <v>hide</v>
      </c>
      <c r="C119" s="452" t="s">
        <v>445</v>
      </c>
      <c r="D119" s="453" t="s">
        <v>446</v>
      </c>
      <c r="E119" s="835">
        <f>'1.BS (VND)'!E93/$C$6</f>
        <v>0</v>
      </c>
      <c r="F119" s="835">
        <f>'1.BS (VND)'!F93/$C$6</f>
        <v>0</v>
      </c>
      <c r="G119" s="835">
        <f>'1.BS (VND)'!G93/$C$6</f>
        <v>0</v>
      </c>
      <c r="H119" s="835">
        <f>'1.BS (VND)'!H93/$C$6</f>
        <v>0</v>
      </c>
      <c r="I119" s="842"/>
      <c r="J119" s="835">
        <f>'1.BS (VND)'!J93/$C$6</f>
        <v>0</v>
      </c>
      <c r="K119" s="835">
        <f>'1.BS (VND)'!K93/$C$6</f>
        <v>0</v>
      </c>
      <c r="L119" s="835">
        <f>'1.BS (VND)'!L93/$C$6</f>
        <v>0</v>
      </c>
      <c r="M119" s="835">
        <f>'1.BS (VND)'!M93/$C$6</f>
        <v>0</v>
      </c>
      <c r="N119" s="840"/>
      <c r="O119" s="835">
        <f>'1.BS (VND)'!O93/$C$6</f>
        <v>0</v>
      </c>
      <c r="P119" s="835">
        <f>'1.BS (VND)'!P93/$C$6</f>
        <v>0</v>
      </c>
      <c r="Q119" s="835">
        <f>'1.BS (VND)'!Q93/$C$6</f>
        <v>0</v>
      </c>
      <c r="R119" s="835">
        <f>'1.BS (VND)'!R93/$C$6</f>
        <v>0</v>
      </c>
      <c r="S119" s="840"/>
      <c r="T119" s="835">
        <f>'1.BS (VND)'!T93/$C$6</f>
        <v>0</v>
      </c>
      <c r="U119" s="835">
        <f>'1.BS (VND)'!U93/$C$6</f>
        <v>0</v>
      </c>
      <c r="V119" s="835">
        <f>'1.BS (VND)'!V93/$C$6</f>
        <v>0</v>
      </c>
      <c r="W119" s="835">
        <f>'1.BS (VND)'!W93/$C$6</f>
        <v>0</v>
      </c>
      <c r="X119" s="840"/>
      <c r="Y119" s="835">
        <f>'1.BS (VND)'!T93/$C$6</f>
        <v>0</v>
      </c>
      <c r="Z119" s="835">
        <f>'1.BS (VND)'!U93/$C$6</f>
        <v>0</v>
      </c>
      <c r="AA119" s="835">
        <f>'1.BS (VND)'!V93/$C$6</f>
        <v>0</v>
      </c>
      <c r="AB119" s="835">
        <f>'1.BS (VND)'!W93/$C$6</f>
        <v>0</v>
      </c>
      <c r="AC119" s="840"/>
      <c r="AD119" s="835">
        <f>'1.BS (VND)'!AD93/$C$6</f>
        <v>0</v>
      </c>
      <c r="AE119" s="835">
        <f>'1.BS (VND)'!AE93/$C$6</f>
        <v>0</v>
      </c>
      <c r="AF119" s="835">
        <f>'1.BS (VND)'!AF93/$C$6</f>
        <v>0</v>
      </c>
      <c r="AG119" s="835">
        <f>'1.BS (VND)'!AG93/$C$6</f>
        <v>0</v>
      </c>
      <c r="AH119" s="841"/>
      <c r="AI119" s="835">
        <f t="shared" si="168"/>
        <v>0</v>
      </c>
      <c r="AJ119" s="835">
        <f t="shared" si="168"/>
        <v>0</v>
      </c>
      <c r="AK119" s="835">
        <f t="shared" si="168"/>
        <v>0</v>
      </c>
      <c r="AL119" s="835">
        <f t="shared" si="140"/>
        <v>0</v>
      </c>
      <c r="AM119" s="842"/>
      <c r="AN119" s="835">
        <f>'1.BS (VND)'!AI93/$C$6</f>
        <v>0</v>
      </c>
      <c r="AO119" s="835">
        <f>'1.BS (VND)'!AJ93/$C$6</f>
        <v>0</v>
      </c>
      <c r="AP119" s="835">
        <f>'1.BS (VND)'!AK93/$C$6</f>
        <v>0</v>
      </c>
      <c r="AQ119" s="835">
        <f>'1.BS (VND)'!AL93/$C$6</f>
        <v>0</v>
      </c>
      <c r="AR119" s="842"/>
      <c r="AS119" s="835">
        <f>'1.BS (VND)'!AN93/$C$6</f>
        <v>0</v>
      </c>
      <c r="AT119" s="835">
        <f>'1.BS (VND)'!AO93/$C$6</f>
        <v>0</v>
      </c>
      <c r="AU119" s="835">
        <f>'1.BS (VND)'!AP93/$C$6</f>
        <v>0</v>
      </c>
      <c r="AV119" s="835">
        <f>'1.BS (VND)'!AQ93/$C$6</f>
        <v>0</v>
      </c>
      <c r="AW119" s="840"/>
      <c r="AX119" s="835">
        <f>'1.BS (VND)'!AS93/$C$6</f>
        <v>0</v>
      </c>
      <c r="AY119" s="835">
        <f>'1.BS (VND)'!AT93/$C$6</f>
        <v>0</v>
      </c>
      <c r="AZ119" s="835">
        <f>'1.BS (VND)'!AU93/$C$6</f>
        <v>0</v>
      </c>
      <c r="BA119" s="835">
        <f>'1.BS (VND)'!AV93/$C$6</f>
        <v>0</v>
      </c>
      <c r="BB119" s="840"/>
      <c r="BC119" s="835">
        <f>'1.BS (VND)'!AX93/$C$6</f>
        <v>0</v>
      </c>
      <c r="BD119" s="835">
        <f>'1.BS (VND)'!AY93/$C$6</f>
        <v>0</v>
      </c>
      <c r="BE119" s="835">
        <f>'1.BS (VND)'!AZ93/$C$6</f>
        <v>0</v>
      </c>
      <c r="BF119" s="835">
        <f>'1.BS (VND)'!BA93/$C$6</f>
        <v>0</v>
      </c>
      <c r="BG119" s="840"/>
      <c r="BH119" s="835">
        <f>'1.BS (VND)'!BC93/$C$6</f>
        <v>0</v>
      </c>
      <c r="BI119" s="835">
        <f>'1.BS (VND)'!BD93/$C$6</f>
        <v>0</v>
      </c>
      <c r="BJ119" s="835">
        <f>'1.BS (VND)'!BE93/$C$6</f>
        <v>0</v>
      </c>
      <c r="BK119" s="835">
        <f>'1.BS (VND)'!BF93/$C$6</f>
        <v>0</v>
      </c>
      <c r="BL119" s="840"/>
      <c r="BM119" s="835">
        <f>'1.BS (VND)'!BH93/$C$6</f>
        <v>0</v>
      </c>
      <c r="BN119" s="835">
        <f>'1.BS (VND)'!BI93/$C$6</f>
        <v>0</v>
      </c>
      <c r="BO119" s="835">
        <f>'1.BS (VND)'!BJ93/$C$6</f>
        <v>0</v>
      </c>
      <c r="BP119" s="835">
        <f>'1.BS (VND)'!BK93/$C$6</f>
        <v>0</v>
      </c>
      <c r="BQ119" s="841"/>
      <c r="BR119" s="835">
        <f t="shared" si="141"/>
        <v>0</v>
      </c>
      <c r="BS119" s="835">
        <f t="shared" si="142"/>
        <v>0</v>
      </c>
      <c r="BT119" s="835">
        <f t="shared" si="143"/>
        <v>0</v>
      </c>
      <c r="BU119" s="835">
        <f t="shared" si="144"/>
        <v>0</v>
      </c>
      <c r="BV119" s="842"/>
      <c r="BW119" s="835">
        <f t="shared" si="145"/>
        <v>0</v>
      </c>
      <c r="BX119" s="835">
        <f t="shared" si="146"/>
        <v>0</v>
      </c>
      <c r="BY119" s="835">
        <f t="shared" si="147"/>
        <v>0</v>
      </c>
      <c r="BZ119" s="835">
        <f t="shared" si="148"/>
        <v>0</v>
      </c>
      <c r="CA119" s="840"/>
      <c r="CB119" s="835">
        <f t="shared" si="149"/>
        <v>0</v>
      </c>
      <c r="CC119" s="835">
        <f t="shared" si="150"/>
        <v>0</v>
      </c>
      <c r="CD119" s="835">
        <f t="shared" si="151"/>
        <v>0</v>
      </c>
      <c r="CE119" s="835">
        <f t="shared" si="152"/>
        <v>0</v>
      </c>
      <c r="CF119" s="840"/>
      <c r="CG119" s="835">
        <f t="shared" si="153"/>
        <v>0</v>
      </c>
      <c r="CH119" s="835">
        <f t="shared" si="154"/>
        <v>0</v>
      </c>
      <c r="CI119" s="835">
        <f t="shared" si="155"/>
        <v>0</v>
      </c>
      <c r="CJ119" s="835">
        <f t="shared" si="156"/>
        <v>0</v>
      </c>
      <c r="CK119" s="840"/>
      <c r="CL119" s="835">
        <f t="shared" si="157"/>
        <v>0</v>
      </c>
      <c r="CM119" s="835">
        <f t="shared" si="158"/>
        <v>0</v>
      </c>
      <c r="CN119" s="835">
        <f t="shared" si="159"/>
        <v>0</v>
      </c>
      <c r="CO119" s="835">
        <f t="shared" si="160"/>
        <v>0</v>
      </c>
      <c r="CP119" s="840"/>
      <c r="CQ119" s="835">
        <f t="shared" si="161"/>
        <v>0</v>
      </c>
      <c r="CR119" s="835">
        <f t="shared" si="162"/>
        <v>0</v>
      </c>
      <c r="CS119" s="835">
        <f t="shared" si="163"/>
        <v>0</v>
      </c>
      <c r="CT119" s="835">
        <f t="shared" si="164"/>
        <v>0</v>
      </c>
      <c r="CU119" s="842"/>
      <c r="CV119" s="835">
        <f t="shared" ref="CV119:CY138" si="169">SUMIF($BR$5:$CT$5,CV$5,$BR119:$CT119)</f>
        <v>0</v>
      </c>
      <c r="CW119" s="835">
        <f t="shared" si="169"/>
        <v>0</v>
      </c>
      <c r="CX119" s="835">
        <f t="shared" si="169"/>
        <v>0</v>
      </c>
      <c r="CY119" s="835">
        <f t="shared" si="169"/>
        <v>0</v>
      </c>
      <c r="CZ119" s="842"/>
      <c r="DA119" s="835">
        <f>'1.BS (VND)'!CV93/'1.BC_Ra Soat (ty) '!$C$6</f>
        <v>0</v>
      </c>
      <c r="DB119" s="835">
        <f>'1.BS (VND)'!CW93/'1.BC_Ra Soat (ty) '!$C$6</f>
        <v>0</v>
      </c>
      <c r="DC119" s="835">
        <f>'1.BS (VND)'!CX93/'1.BC_Ra Soat (ty) '!$C$6</f>
        <v>0</v>
      </c>
      <c r="DD119" s="835">
        <f>'1.BS (VND)'!CY93/'1.BC_Ra Soat (ty) '!$C$6</f>
        <v>0</v>
      </c>
      <c r="DE119" s="842"/>
      <c r="DF119" s="835">
        <f t="shared" si="166"/>
        <v>0</v>
      </c>
      <c r="DG119" s="835">
        <f t="shared" si="166"/>
        <v>0</v>
      </c>
      <c r="DH119" s="835">
        <f t="shared" si="166"/>
        <v>0</v>
      </c>
      <c r="DI119" s="835">
        <f t="shared" si="166"/>
        <v>0</v>
      </c>
    </row>
    <row r="120" spans="1:114" s="441" customFormat="1" ht="15.75" hidden="1" x14ac:dyDescent="0.25">
      <c r="A120" s="447" t="str">
        <f t="shared" si="167"/>
        <v>hide</v>
      </c>
      <c r="C120" s="452" t="s">
        <v>447</v>
      </c>
      <c r="D120" s="453" t="s">
        <v>448</v>
      </c>
      <c r="E120" s="835">
        <f>'1.BS (VND)'!E94/$C$6</f>
        <v>0</v>
      </c>
      <c r="F120" s="835">
        <f>'1.BS (VND)'!F94/$C$6</f>
        <v>0</v>
      </c>
      <c r="G120" s="835">
        <f>'1.BS (VND)'!G94/$C$6</f>
        <v>0</v>
      </c>
      <c r="H120" s="835">
        <f>'1.BS (VND)'!H94/$C$6</f>
        <v>0</v>
      </c>
      <c r="I120" s="842"/>
      <c r="J120" s="835">
        <f>'1.BS (VND)'!J94/$C$6</f>
        <v>0</v>
      </c>
      <c r="K120" s="835">
        <f>'1.BS (VND)'!K94/$C$6</f>
        <v>0</v>
      </c>
      <c r="L120" s="835">
        <f>'1.BS (VND)'!L94/$C$6</f>
        <v>0</v>
      </c>
      <c r="M120" s="835">
        <f>'1.BS (VND)'!M94/$C$6</f>
        <v>0</v>
      </c>
      <c r="N120" s="840"/>
      <c r="O120" s="835">
        <f>'1.BS (VND)'!O94/$C$6</f>
        <v>0</v>
      </c>
      <c r="P120" s="835">
        <f>'1.BS (VND)'!P94/$C$6</f>
        <v>0</v>
      </c>
      <c r="Q120" s="835">
        <f>'1.BS (VND)'!Q94/$C$6</f>
        <v>0</v>
      </c>
      <c r="R120" s="835">
        <f>'1.BS (VND)'!R94/$C$6</f>
        <v>0</v>
      </c>
      <c r="S120" s="840"/>
      <c r="T120" s="835">
        <f>'1.BS (VND)'!T94/$C$6</f>
        <v>0</v>
      </c>
      <c r="U120" s="835">
        <f>'1.BS (VND)'!U94/$C$6</f>
        <v>0</v>
      </c>
      <c r="V120" s="835">
        <f>'1.BS (VND)'!V94/$C$6</f>
        <v>0</v>
      </c>
      <c r="W120" s="835">
        <f>'1.BS (VND)'!W94/$C$6</f>
        <v>0</v>
      </c>
      <c r="X120" s="840"/>
      <c r="Y120" s="835">
        <f>'1.BS (VND)'!T94/$C$6</f>
        <v>0</v>
      </c>
      <c r="Z120" s="835">
        <f>'1.BS (VND)'!U94/$C$6</f>
        <v>0</v>
      </c>
      <c r="AA120" s="835">
        <f>'1.BS (VND)'!V94/$C$6</f>
        <v>0</v>
      </c>
      <c r="AB120" s="835">
        <f>'1.BS (VND)'!W94/$C$6</f>
        <v>0</v>
      </c>
      <c r="AC120" s="840"/>
      <c r="AD120" s="835">
        <f>'1.BS (VND)'!AD94/$C$6</f>
        <v>0</v>
      </c>
      <c r="AE120" s="835">
        <f>'1.BS (VND)'!AE94/$C$6</f>
        <v>0</v>
      </c>
      <c r="AF120" s="835">
        <f>'1.BS (VND)'!AF94/$C$6</f>
        <v>0</v>
      </c>
      <c r="AG120" s="835">
        <f>'1.BS (VND)'!AG94/$C$6</f>
        <v>0</v>
      </c>
      <c r="AH120" s="841"/>
      <c r="AI120" s="835">
        <f t="shared" si="168"/>
        <v>0</v>
      </c>
      <c r="AJ120" s="835">
        <f t="shared" si="168"/>
        <v>0</v>
      </c>
      <c r="AK120" s="835">
        <f t="shared" si="168"/>
        <v>0</v>
      </c>
      <c r="AL120" s="835">
        <f t="shared" si="140"/>
        <v>0</v>
      </c>
      <c r="AM120" s="842"/>
      <c r="AN120" s="835">
        <f>'1.BS (VND)'!AI94/$C$6</f>
        <v>0</v>
      </c>
      <c r="AO120" s="835">
        <f>'1.BS (VND)'!AJ94/$C$6</f>
        <v>0</v>
      </c>
      <c r="AP120" s="835">
        <f>'1.BS (VND)'!AK94/$C$6</f>
        <v>0</v>
      </c>
      <c r="AQ120" s="835">
        <f>'1.BS (VND)'!AL94/$C$6</f>
        <v>0</v>
      </c>
      <c r="AR120" s="842"/>
      <c r="AS120" s="835">
        <f>'1.BS (VND)'!AN94/$C$6</f>
        <v>0</v>
      </c>
      <c r="AT120" s="835">
        <f>'1.BS (VND)'!AO94/$C$6</f>
        <v>0</v>
      </c>
      <c r="AU120" s="835">
        <f>'1.BS (VND)'!AP94/$C$6</f>
        <v>0</v>
      </c>
      <c r="AV120" s="835">
        <f>'1.BS (VND)'!AQ94/$C$6</f>
        <v>0</v>
      </c>
      <c r="AW120" s="840"/>
      <c r="AX120" s="835">
        <f>'1.BS (VND)'!AS94/$C$6</f>
        <v>0</v>
      </c>
      <c r="AY120" s="835">
        <f>'1.BS (VND)'!AT94/$C$6</f>
        <v>0</v>
      </c>
      <c r="AZ120" s="835">
        <f>'1.BS (VND)'!AU94/$C$6</f>
        <v>0</v>
      </c>
      <c r="BA120" s="835">
        <f>'1.BS (VND)'!AV94/$C$6</f>
        <v>0</v>
      </c>
      <c r="BB120" s="840"/>
      <c r="BC120" s="835">
        <f>'1.BS (VND)'!AX94/$C$6</f>
        <v>0</v>
      </c>
      <c r="BD120" s="835">
        <f>'1.BS (VND)'!AY94/$C$6</f>
        <v>0</v>
      </c>
      <c r="BE120" s="835">
        <f>'1.BS (VND)'!AZ94/$C$6</f>
        <v>0</v>
      </c>
      <c r="BF120" s="835">
        <f>'1.BS (VND)'!BA94/$C$6</f>
        <v>0</v>
      </c>
      <c r="BG120" s="840"/>
      <c r="BH120" s="835">
        <f>'1.BS (VND)'!BC94/$C$6</f>
        <v>0</v>
      </c>
      <c r="BI120" s="835">
        <f>'1.BS (VND)'!BD94/$C$6</f>
        <v>0</v>
      </c>
      <c r="BJ120" s="835">
        <f>'1.BS (VND)'!BE94/$C$6</f>
        <v>0</v>
      </c>
      <c r="BK120" s="835">
        <f>'1.BS (VND)'!BF94/$C$6</f>
        <v>0</v>
      </c>
      <c r="BL120" s="840"/>
      <c r="BM120" s="835">
        <f>'1.BS (VND)'!BH94/$C$6</f>
        <v>0</v>
      </c>
      <c r="BN120" s="835">
        <f>'1.BS (VND)'!BI94/$C$6</f>
        <v>0</v>
      </c>
      <c r="BO120" s="835">
        <f>'1.BS (VND)'!BJ94/$C$6</f>
        <v>0</v>
      </c>
      <c r="BP120" s="835">
        <f>'1.BS (VND)'!BK94/$C$6</f>
        <v>0</v>
      </c>
      <c r="BQ120" s="841"/>
      <c r="BR120" s="835">
        <f t="shared" si="141"/>
        <v>0</v>
      </c>
      <c r="BS120" s="835">
        <f t="shared" si="142"/>
        <v>0</v>
      </c>
      <c r="BT120" s="835">
        <f t="shared" si="143"/>
        <v>0</v>
      </c>
      <c r="BU120" s="835">
        <f t="shared" si="144"/>
        <v>0</v>
      </c>
      <c r="BV120" s="842"/>
      <c r="BW120" s="835">
        <f t="shared" si="145"/>
        <v>0</v>
      </c>
      <c r="BX120" s="835">
        <f t="shared" si="146"/>
        <v>0</v>
      </c>
      <c r="BY120" s="835">
        <f t="shared" si="147"/>
        <v>0</v>
      </c>
      <c r="BZ120" s="835">
        <f t="shared" si="148"/>
        <v>0</v>
      </c>
      <c r="CA120" s="840"/>
      <c r="CB120" s="835">
        <f t="shared" si="149"/>
        <v>0</v>
      </c>
      <c r="CC120" s="835">
        <f t="shared" si="150"/>
        <v>0</v>
      </c>
      <c r="CD120" s="835">
        <f t="shared" si="151"/>
        <v>0</v>
      </c>
      <c r="CE120" s="835">
        <f t="shared" si="152"/>
        <v>0</v>
      </c>
      <c r="CF120" s="840"/>
      <c r="CG120" s="835">
        <f t="shared" si="153"/>
        <v>0</v>
      </c>
      <c r="CH120" s="835">
        <f t="shared" si="154"/>
        <v>0</v>
      </c>
      <c r="CI120" s="835">
        <f t="shared" si="155"/>
        <v>0</v>
      </c>
      <c r="CJ120" s="835">
        <f t="shared" si="156"/>
        <v>0</v>
      </c>
      <c r="CK120" s="840"/>
      <c r="CL120" s="835">
        <f t="shared" si="157"/>
        <v>0</v>
      </c>
      <c r="CM120" s="835">
        <f t="shared" si="158"/>
        <v>0</v>
      </c>
      <c r="CN120" s="835">
        <f t="shared" si="159"/>
        <v>0</v>
      </c>
      <c r="CO120" s="835">
        <f t="shared" si="160"/>
        <v>0</v>
      </c>
      <c r="CP120" s="840"/>
      <c r="CQ120" s="835">
        <f t="shared" si="161"/>
        <v>0</v>
      </c>
      <c r="CR120" s="835">
        <f t="shared" si="162"/>
        <v>0</v>
      </c>
      <c r="CS120" s="835">
        <f t="shared" si="163"/>
        <v>0</v>
      </c>
      <c r="CT120" s="835">
        <f t="shared" si="164"/>
        <v>0</v>
      </c>
      <c r="CU120" s="842"/>
      <c r="CV120" s="835">
        <f t="shared" si="169"/>
        <v>0</v>
      </c>
      <c r="CW120" s="835">
        <f t="shared" si="169"/>
        <v>0</v>
      </c>
      <c r="CX120" s="835">
        <f t="shared" si="169"/>
        <v>0</v>
      </c>
      <c r="CY120" s="835">
        <f t="shared" si="169"/>
        <v>0</v>
      </c>
      <c r="CZ120" s="842"/>
      <c r="DA120" s="835">
        <f>'1.BS (VND)'!CV94/'1.BC_Ra Soat (ty) '!$C$6</f>
        <v>0</v>
      </c>
      <c r="DB120" s="835">
        <f>'1.BS (VND)'!CW94/'1.BC_Ra Soat (ty) '!$C$6</f>
        <v>0</v>
      </c>
      <c r="DC120" s="835">
        <f>'1.BS (VND)'!CX94/'1.BC_Ra Soat (ty) '!$C$6</f>
        <v>0</v>
      </c>
      <c r="DD120" s="835">
        <f>'1.BS (VND)'!CY94/'1.BC_Ra Soat (ty) '!$C$6</f>
        <v>0</v>
      </c>
      <c r="DE120" s="842"/>
      <c r="DF120" s="835">
        <f t="shared" si="166"/>
        <v>0</v>
      </c>
      <c r="DG120" s="835">
        <f t="shared" si="166"/>
        <v>0</v>
      </c>
      <c r="DH120" s="835">
        <f t="shared" si="166"/>
        <v>0</v>
      </c>
      <c r="DI120" s="835">
        <f t="shared" si="166"/>
        <v>0</v>
      </c>
    </row>
    <row r="121" spans="1:114" s="441" customFormat="1" ht="15.75" hidden="1" x14ac:dyDescent="0.25">
      <c r="A121" s="447" t="str">
        <f t="shared" si="167"/>
        <v>hide</v>
      </c>
      <c r="C121" s="452" t="s">
        <v>449</v>
      </c>
      <c r="D121" s="453" t="s">
        <v>450</v>
      </c>
      <c r="E121" s="835">
        <f>'1.BS (VND)'!E95/$C$6</f>
        <v>0</v>
      </c>
      <c r="F121" s="835">
        <f>'1.BS (VND)'!F95/$C$6</f>
        <v>0</v>
      </c>
      <c r="G121" s="835">
        <f>'1.BS (VND)'!G95/$C$6</f>
        <v>0</v>
      </c>
      <c r="H121" s="835">
        <f>'1.BS (VND)'!H95/$C$6</f>
        <v>0</v>
      </c>
      <c r="I121" s="842"/>
      <c r="J121" s="835">
        <f>'1.BS (VND)'!J95/$C$6</f>
        <v>0</v>
      </c>
      <c r="K121" s="835">
        <f>'1.BS (VND)'!K95/$C$6</f>
        <v>0</v>
      </c>
      <c r="L121" s="835">
        <f>'1.BS (VND)'!L95/$C$6</f>
        <v>0</v>
      </c>
      <c r="M121" s="835">
        <f>'1.BS (VND)'!M95/$C$6</f>
        <v>0</v>
      </c>
      <c r="N121" s="840"/>
      <c r="O121" s="835">
        <f>'1.BS (VND)'!O95/$C$6</f>
        <v>0</v>
      </c>
      <c r="P121" s="835">
        <f>'1.BS (VND)'!P95/$C$6</f>
        <v>0</v>
      </c>
      <c r="Q121" s="835">
        <f>'1.BS (VND)'!Q95/$C$6</f>
        <v>0</v>
      </c>
      <c r="R121" s="835">
        <f>'1.BS (VND)'!R95/$C$6</f>
        <v>0</v>
      </c>
      <c r="S121" s="840"/>
      <c r="T121" s="835">
        <f>'1.BS (VND)'!T95/$C$6</f>
        <v>0</v>
      </c>
      <c r="U121" s="835">
        <f>'1.BS (VND)'!U95/$C$6</f>
        <v>0</v>
      </c>
      <c r="V121" s="835">
        <f>'1.BS (VND)'!V95/$C$6</f>
        <v>0</v>
      </c>
      <c r="W121" s="835">
        <f>'1.BS (VND)'!W95/$C$6</f>
        <v>0</v>
      </c>
      <c r="X121" s="840"/>
      <c r="Y121" s="835">
        <f>'1.BS (VND)'!T95/$C$6</f>
        <v>0</v>
      </c>
      <c r="Z121" s="835">
        <f>'1.BS (VND)'!U95/$C$6</f>
        <v>0</v>
      </c>
      <c r="AA121" s="835">
        <f>'1.BS (VND)'!V95/$C$6</f>
        <v>0</v>
      </c>
      <c r="AB121" s="835">
        <f>'1.BS (VND)'!W95/$C$6</f>
        <v>0</v>
      </c>
      <c r="AC121" s="840"/>
      <c r="AD121" s="835">
        <f>'1.BS (VND)'!AD95/$C$6</f>
        <v>0</v>
      </c>
      <c r="AE121" s="835">
        <f>'1.BS (VND)'!AE95/$C$6</f>
        <v>0</v>
      </c>
      <c r="AF121" s="835">
        <f>'1.BS (VND)'!AF95/$C$6</f>
        <v>0</v>
      </c>
      <c r="AG121" s="835">
        <f>'1.BS (VND)'!AG95/$C$6</f>
        <v>0</v>
      </c>
      <c r="AH121" s="841"/>
      <c r="AI121" s="835">
        <f t="shared" si="168"/>
        <v>0</v>
      </c>
      <c r="AJ121" s="835">
        <f t="shared" si="168"/>
        <v>0</v>
      </c>
      <c r="AK121" s="835">
        <f t="shared" si="168"/>
        <v>0</v>
      </c>
      <c r="AL121" s="835">
        <f t="shared" si="140"/>
        <v>0</v>
      </c>
      <c r="AM121" s="842"/>
      <c r="AN121" s="835">
        <f>'1.BS (VND)'!AI95/$C$6</f>
        <v>0</v>
      </c>
      <c r="AO121" s="835">
        <f>'1.BS (VND)'!AJ95/$C$6</f>
        <v>0</v>
      </c>
      <c r="AP121" s="835">
        <f>'1.BS (VND)'!AK95/$C$6</f>
        <v>0</v>
      </c>
      <c r="AQ121" s="835">
        <f>'1.BS (VND)'!AL95/$C$6</f>
        <v>0</v>
      </c>
      <c r="AR121" s="842"/>
      <c r="AS121" s="835">
        <f>'1.BS (VND)'!AN95/$C$6</f>
        <v>0</v>
      </c>
      <c r="AT121" s="835">
        <f>'1.BS (VND)'!AO95/$C$6</f>
        <v>0</v>
      </c>
      <c r="AU121" s="835">
        <f>'1.BS (VND)'!AP95/$C$6</f>
        <v>0</v>
      </c>
      <c r="AV121" s="835">
        <f>'1.BS (VND)'!AQ95/$C$6</f>
        <v>0</v>
      </c>
      <c r="AW121" s="840"/>
      <c r="AX121" s="835">
        <f>'1.BS (VND)'!AS95/$C$6</f>
        <v>0</v>
      </c>
      <c r="AY121" s="835">
        <f>'1.BS (VND)'!AT95/$C$6</f>
        <v>0</v>
      </c>
      <c r="AZ121" s="835">
        <f>'1.BS (VND)'!AU95/$C$6</f>
        <v>0</v>
      </c>
      <c r="BA121" s="835">
        <f>'1.BS (VND)'!AV95/$C$6</f>
        <v>0</v>
      </c>
      <c r="BB121" s="840"/>
      <c r="BC121" s="835">
        <f>'1.BS (VND)'!AX95/$C$6</f>
        <v>0</v>
      </c>
      <c r="BD121" s="835">
        <f>'1.BS (VND)'!AY95/$C$6</f>
        <v>0</v>
      </c>
      <c r="BE121" s="835">
        <f>'1.BS (VND)'!AZ95/$C$6</f>
        <v>0</v>
      </c>
      <c r="BF121" s="835">
        <f>'1.BS (VND)'!BA95/$C$6</f>
        <v>0</v>
      </c>
      <c r="BG121" s="840"/>
      <c r="BH121" s="835">
        <f>'1.BS (VND)'!BC95/$C$6</f>
        <v>0</v>
      </c>
      <c r="BI121" s="835">
        <f>'1.BS (VND)'!BD95/$C$6</f>
        <v>0</v>
      </c>
      <c r="BJ121" s="835">
        <f>'1.BS (VND)'!BE95/$C$6</f>
        <v>0</v>
      </c>
      <c r="BK121" s="835">
        <f>'1.BS (VND)'!BF95/$C$6</f>
        <v>0</v>
      </c>
      <c r="BL121" s="840"/>
      <c r="BM121" s="835">
        <f>'1.BS (VND)'!BH95/$C$6</f>
        <v>0</v>
      </c>
      <c r="BN121" s="835">
        <f>'1.BS (VND)'!BI95/$C$6</f>
        <v>0</v>
      </c>
      <c r="BO121" s="835">
        <f>'1.BS (VND)'!BJ95/$C$6</f>
        <v>0</v>
      </c>
      <c r="BP121" s="835">
        <f>'1.BS (VND)'!BK95/$C$6</f>
        <v>0</v>
      </c>
      <c r="BQ121" s="841"/>
      <c r="BR121" s="835">
        <f t="shared" si="141"/>
        <v>0</v>
      </c>
      <c r="BS121" s="835">
        <f t="shared" si="142"/>
        <v>0</v>
      </c>
      <c r="BT121" s="835">
        <f t="shared" si="143"/>
        <v>0</v>
      </c>
      <c r="BU121" s="835">
        <f t="shared" si="144"/>
        <v>0</v>
      </c>
      <c r="BV121" s="842"/>
      <c r="BW121" s="835">
        <f t="shared" si="145"/>
        <v>0</v>
      </c>
      <c r="BX121" s="835">
        <f t="shared" si="146"/>
        <v>0</v>
      </c>
      <c r="BY121" s="835">
        <f t="shared" si="147"/>
        <v>0</v>
      </c>
      <c r="BZ121" s="835">
        <f t="shared" si="148"/>
        <v>0</v>
      </c>
      <c r="CA121" s="840"/>
      <c r="CB121" s="835">
        <f t="shared" si="149"/>
        <v>0</v>
      </c>
      <c r="CC121" s="835">
        <f t="shared" si="150"/>
        <v>0</v>
      </c>
      <c r="CD121" s="835">
        <f t="shared" si="151"/>
        <v>0</v>
      </c>
      <c r="CE121" s="835">
        <f t="shared" si="152"/>
        <v>0</v>
      </c>
      <c r="CF121" s="840"/>
      <c r="CG121" s="835">
        <f t="shared" si="153"/>
        <v>0</v>
      </c>
      <c r="CH121" s="835">
        <f t="shared" si="154"/>
        <v>0</v>
      </c>
      <c r="CI121" s="835">
        <f t="shared" si="155"/>
        <v>0</v>
      </c>
      <c r="CJ121" s="835">
        <f t="shared" si="156"/>
        <v>0</v>
      </c>
      <c r="CK121" s="840"/>
      <c r="CL121" s="835">
        <f t="shared" si="157"/>
        <v>0</v>
      </c>
      <c r="CM121" s="835">
        <f t="shared" si="158"/>
        <v>0</v>
      </c>
      <c r="CN121" s="835">
        <f t="shared" si="159"/>
        <v>0</v>
      </c>
      <c r="CO121" s="835">
        <f t="shared" si="160"/>
        <v>0</v>
      </c>
      <c r="CP121" s="840"/>
      <c r="CQ121" s="835">
        <f t="shared" si="161"/>
        <v>0</v>
      </c>
      <c r="CR121" s="835">
        <f t="shared" si="162"/>
        <v>0</v>
      </c>
      <c r="CS121" s="835">
        <f t="shared" si="163"/>
        <v>0</v>
      </c>
      <c r="CT121" s="835">
        <f t="shared" si="164"/>
        <v>0</v>
      </c>
      <c r="CU121" s="842"/>
      <c r="CV121" s="835">
        <f t="shared" si="169"/>
        <v>0</v>
      </c>
      <c r="CW121" s="835">
        <f t="shared" si="169"/>
        <v>0</v>
      </c>
      <c r="CX121" s="835">
        <f t="shared" si="169"/>
        <v>0</v>
      </c>
      <c r="CY121" s="835">
        <f t="shared" si="169"/>
        <v>0</v>
      </c>
      <c r="CZ121" s="842"/>
      <c r="DA121" s="835">
        <f>'1.BS (VND)'!CV95/'1.BC_Ra Soat (ty) '!$C$6</f>
        <v>0</v>
      </c>
      <c r="DB121" s="835">
        <f>'1.BS (VND)'!CW95/'1.BC_Ra Soat (ty) '!$C$6</f>
        <v>0</v>
      </c>
      <c r="DC121" s="835">
        <f>'1.BS (VND)'!CX95/'1.BC_Ra Soat (ty) '!$C$6</f>
        <v>0</v>
      </c>
      <c r="DD121" s="835">
        <f>'1.BS (VND)'!CY95/'1.BC_Ra Soat (ty) '!$C$6</f>
        <v>0</v>
      </c>
      <c r="DE121" s="842"/>
      <c r="DF121" s="835">
        <f t="shared" si="166"/>
        <v>0</v>
      </c>
      <c r="DG121" s="835">
        <f t="shared" si="166"/>
        <v>0</v>
      </c>
      <c r="DH121" s="835">
        <f t="shared" si="166"/>
        <v>0</v>
      </c>
      <c r="DI121" s="835">
        <f t="shared" si="166"/>
        <v>0</v>
      </c>
    </row>
    <row r="122" spans="1:114" s="441" customFormat="1" ht="15.75" hidden="1" x14ac:dyDescent="0.25">
      <c r="A122" s="447" t="str">
        <f t="shared" si="167"/>
        <v>hide</v>
      </c>
      <c r="C122" s="452" t="s">
        <v>451</v>
      </c>
      <c r="D122" s="453" t="s">
        <v>452</v>
      </c>
      <c r="E122" s="835">
        <f>'1.BS (VND)'!E96/$C$6</f>
        <v>0</v>
      </c>
      <c r="F122" s="835">
        <f>'1.BS (VND)'!F96/$C$6</f>
        <v>0</v>
      </c>
      <c r="G122" s="835">
        <f>'1.BS (VND)'!G96/$C$6</f>
        <v>0</v>
      </c>
      <c r="H122" s="835">
        <f>'1.BS (VND)'!H96/$C$6</f>
        <v>0</v>
      </c>
      <c r="I122" s="842"/>
      <c r="J122" s="835">
        <f>'1.BS (VND)'!J96/$C$6</f>
        <v>0</v>
      </c>
      <c r="K122" s="835">
        <f>'1.BS (VND)'!K96/$C$6</f>
        <v>0</v>
      </c>
      <c r="L122" s="835">
        <f>'1.BS (VND)'!L96/$C$6</f>
        <v>0</v>
      </c>
      <c r="M122" s="835">
        <f>'1.BS (VND)'!M96/$C$6</f>
        <v>0</v>
      </c>
      <c r="N122" s="840"/>
      <c r="O122" s="835">
        <f>'1.BS (VND)'!O96/$C$6</f>
        <v>0</v>
      </c>
      <c r="P122" s="835">
        <f>'1.BS (VND)'!P96/$C$6</f>
        <v>0</v>
      </c>
      <c r="Q122" s="835">
        <f>'1.BS (VND)'!Q96/$C$6</f>
        <v>0</v>
      </c>
      <c r="R122" s="835">
        <f>'1.BS (VND)'!R96/$C$6</f>
        <v>0</v>
      </c>
      <c r="S122" s="840"/>
      <c r="T122" s="835">
        <f>'1.BS (VND)'!T96/$C$6</f>
        <v>0</v>
      </c>
      <c r="U122" s="835">
        <f>'1.BS (VND)'!U96/$C$6</f>
        <v>0</v>
      </c>
      <c r="V122" s="835">
        <f>'1.BS (VND)'!V96/$C$6</f>
        <v>0</v>
      </c>
      <c r="W122" s="835">
        <f>'1.BS (VND)'!W96/$C$6</f>
        <v>0</v>
      </c>
      <c r="X122" s="840"/>
      <c r="Y122" s="835">
        <f>'1.BS (VND)'!T96/$C$6</f>
        <v>0</v>
      </c>
      <c r="Z122" s="835">
        <f>'1.BS (VND)'!U96/$C$6</f>
        <v>0</v>
      </c>
      <c r="AA122" s="835">
        <f>'1.BS (VND)'!V96/$C$6</f>
        <v>0</v>
      </c>
      <c r="AB122" s="835">
        <f>'1.BS (VND)'!W96/$C$6</f>
        <v>0</v>
      </c>
      <c r="AC122" s="840"/>
      <c r="AD122" s="835">
        <f>'1.BS (VND)'!AD96/$C$6</f>
        <v>0</v>
      </c>
      <c r="AE122" s="835">
        <f>'1.BS (VND)'!AE96/$C$6</f>
        <v>0</v>
      </c>
      <c r="AF122" s="835">
        <f>'1.BS (VND)'!AF96/$C$6</f>
        <v>0</v>
      </c>
      <c r="AG122" s="835">
        <f>'1.BS (VND)'!AG96/$C$6</f>
        <v>0</v>
      </c>
      <c r="AH122" s="841"/>
      <c r="AI122" s="835">
        <f t="shared" si="168"/>
        <v>0</v>
      </c>
      <c r="AJ122" s="835">
        <f t="shared" si="168"/>
        <v>0</v>
      </c>
      <c r="AK122" s="835">
        <f t="shared" si="168"/>
        <v>0</v>
      </c>
      <c r="AL122" s="835">
        <f t="shared" si="140"/>
        <v>0</v>
      </c>
      <c r="AM122" s="852"/>
      <c r="AN122" s="835">
        <f>'1.BS (VND)'!AI96/$C$6</f>
        <v>0</v>
      </c>
      <c r="AO122" s="835">
        <f>'1.BS (VND)'!AJ96/$C$6</f>
        <v>0</v>
      </c>
      <c r="AP122" s="835">
        <f>'1.BS (VND)'!AK96/$C$6</f>
        <v>0</v>
      </c>
      <c r="AQ122" s="835">
        <f>'1.BS (VND)'!AL96/$C$6</f>
        <v>0</v>
      </c>
      <c r="AR122" s="842"/>
      <c r="AS122" s="835">
        <f>'1.BS (VND)'!AN96/$C$6</f>
        <v>0</v>
      </c>
      <c r="AT122" s="835">
        <f>'1.BS (VND)'!AO96/$C$6</f>
        <v>0</v>
      </c>
      <c r="AU122" s="835">
        <f>'1.BS (VND)'!AP96/$C$6</f>
        <v>0</v>
      </c>
      <c r="AV122" s="835">
        <f>'1.BS (VND)'!AQ96/$C$6</f>
        <v>0</v>
      </c>
      <c r="AW122" s="840"/>
      <c r="AX122" s="835">
        <f>'1.BS (VND)'!AS96/$C$6</f>
        <v>0</v>
      </c>
      <c r="AY122" s="835">
        <f>'1.BS (VND)'!AT96/$C$6</f>
        <v>0</v>
      </c>
      <c r="AZ122" s="835">
        <f>'1.BS (VND)'!AU96/$C$6</f>
        <v>0</v>
      </c>
      <c r="BA122" s="835">
        <f>'1.BS (VND)'!AV96/$C$6</f>
        <v>0</v>
      </c>
      <c r="BB122" s="840"/>
      <c r="BC122" s="835">
        <f>'1.BS (VND)'!AX96/$C$6</f>
        <v>0</v>
      </c>
      <c r="BD122" s="835">
        <f>'1.BS (VND)'!AY96/$C$6</f>
        <v>0</v>
      </c>
      <c r="BE122" s="835">
        <f>'1.BS (VND)'!AZ96/$C$6</f>
        <v>0</v>
      </c>
      <c r="BF122" s="835">
        <f>'1.BS (VND)'!BA96/$C$6</f>
        <v>0</v>
      </c>
      <c r="BG122" s="840"/>
      <c r="BH122" s="835">
        <f>'1.BS (VND)'!BC96/$C$6</f>
        <v>0</v>
      </c>
      <c r="BI122" s="835">
        <f>'1.BS (VND)'!BD96/$C$6</f>
        <v>0</v>
      </c>
      <c r="BJ122" s="835">
        <f>'1.BS (VND)'!BE96/$C$6</f>
        <v>0</v>
      </c>
      <c r="BK122" s="835">
        <f>'1.BS (VND)'!BF96/$C$6</f>
        <v>0</v>
      </c>
      <c r="BL122" s="840"/>
      <c r="BM122" s="835">
        <f>'1.BS (VND)'!BH96/$C$6</f>
        <v>0</v>
      </c>
      <c r="BN122" s="835">
        <f>'1.BS (VND)'!BI96/$C$6</f>
        <v>0</v>
      </c>
      <c r="BO122" s="835">
        <f>'1.BS (VND)'!BJ96/$C$6</f>
        <v>0</v>
      </c>
      <c r="BP122" s="835">
        <f>'1.BS (VND)'!BK96/$C$6</f>
        <v>0</v>
      </c>
      <c r="BQ122" s="841"/>
      <c r="BR122" s="835">
        <f t="shared" si="141"/>
        <v>0</v>
      </c>
      <c r="BS122" s="835">
        <f t="shared" si="142"/>
        <v>0</v>
      </c>
      <c r="BT122" s="835">
        <f t="shared" si="143"/>
        <v>0</v>
      </c>
      <c r="BU122" s="835">
        <f t="shared" si="144"/>
        <v>0</v>
      </c>
      <c r="BV122" s="842"/>
      <c r="BW122" s="835">
        <f t="shared" si="145"/>
        <v>0</v>
      </c>
      <c r="BX122" s="835">
        <f t="shared" si="146"/>
        <v>0</v>
      </c>
      <c r="BY122" s="835">
        <f t="shared" si="147"/>
        <v>0</v>
      </c>
      <c r="BZ122" s="835">
        <f t="shared" si="148"/>
        <v>0</v>
      </c>
      <c r="CA122" s="840"/>
      <c r="CB122" s="835">
        <f t="shared" si="149"/>
        <v>0</v>
      </c>
      <c r="CC122" s="835">
        <f t="shared" si="150"/>
        <v>0</v>
      </c>
      <c r="CD122" s="835">
        <f t="shared" si="151"/>
        <v>0</v>
      </c>
      <c r="CE122" s="835">
        <f t="shared" si="152"/>
        <v>0</v>
      </c>
      <c r="CF122" s="840"/>
      <c r="CG122" s="835">
        <f t="shared" si="153"/>
        <v>0</v>
      </c>
      <c r="CH122" s="835">
        <f t="shared" si="154"/>
        <v>0</v>
      </c>
      <c r="CI122" s="835">
        <f t="shared" si="155"/>
        <v>0</v>
      </c>
      <c r="CJ122" s="835">
        <f t="shared" si="156"/>
        <v>0</v>
      </c>
      <c r="CK122" s="840"/>
      <c r="CL122" s="835">
        <f t="shared" si="157"/>
        <v>0</v>
      </c>
      <c r="CM122" s="835">
        <f t="shared" si="158"/>
        <v>0</v>
      </c>
      <c r="CN122" s="835">
        <f t="shared" si="159"/>
        <v>0</v>
      </c>
      <c r="CO122" s="835">
        <f t="shared" si="160"/>
        <v>0</v>
      </c>
      <c r="CP122" s="840"/>
      <c r="CQ122" s="835">
        <f t="shared" si="161"/>
        <v>0</v>
      </c>
      <c r="CR122" s="835">
        <f t="shared" si="162"/>
        <v>0</v>
      </c>
      <c r="CS122" s="835">
        <f t="shared" si="163"/>
        <v>0</v>
      </c>
      <c r="CT122" s="835">
        <f t="shared" si="164"/>
        <v>0</v>
      </c>
      <c r="CU122" s="842"/>
      <c r="CV122" s="835">
        <f t="shared" si="169"/>
        <v>0</v>
      </c>
      <c r="CW122" s="835">
        <f t="shared" si="169"/>
        <v>0</v>
      </c>
      <c r="CX122" s="835">
        <f t="shared" si="169"/>
        <v>0</v>
      </c>
      <c r="CY122" s="835">
        <f t="shared" si="169"/>
        <v>0</v>
      </c>
      <c r="CZ122" s="842"/>
      <c r="DA122" s="835">
        <f>'1.BS (VND)'!CV96/'1.BC_Ra Soat (ty) '!$C$6</f>
        <v>0</v>
      </c>
      <c r="DB122" s="835">
        <f>'1.BS (VND)'!CW96/'1.BC_Ra Soat (ty) '!$C$6</f>
        <v>0</v>
      </c>
      <c r="DC122" s="835">
        <f>'1.BS (VND)'!CX96/'1.BC_Ra Soat (ty) '!$C$6</f>
        <v>0</v>
      </c>
      <c r="DD122" s="835">
        <f>'1.BS (VND)'!CY96/'1.BC_Ra Soat (ty) '!$C$6</f>
        <v>0</v>
      </c>
      <c r="DE122" s="842"/>
      <c r="DF122" s="835">
        <f t="shared" si="166"/>
        <v>0</v>
      </c>
      <c r="DG122" s="835">
        <f t="shared" si="166"/>
        <v>0</v>
      </c>
      <c r="DH122" s="835">
        <f t="shared" si="166"/>
        <v>0</v>
      </c>
      <c r="DI122" s="835">
        <f t="shared" si="166"/>
        <v>0</v>
      </c>
    </row>
    <row r="123" spans="1:114" s="441" customFormat="1" ht="15.75" hidden="1" x14ac:dyDescent="0.25">
      <c r="A123" s="447">
        <f t="shared" si="167"/>
        <v>1</v>
      </c>
      <c r="C123" s="452" t="s">
        <v>453</v>
      </c>
      <c r="D123" s="453" t="s">
        <v>454</v>
      </c>
      <c r="E123" s="835">
        <f>'1.BS (VND)'!E97/$C$6</f>
        <v>0</v>
      </c>
      <c r="F123" s="835">
        <f>'1.BS (VND)'!F97/$C$6</f>
        <v>0</v>
      </c>
      <c r="G123" s="835">
        <f>'1.BS (VND)'!G97/$C$6</f>
        <v>0</v>
      </c>
      <c r="H123" s="835">
        <f>'1.BS (VND)'!H97/$C$6</f>
        <v>8.6912500020000003</v>
      </c>
      <c r="I123" s="842"/>
      <c r="J123" s="835">
        <f>'1.BS (VND)'!J97/$C$6</f>
        <v>0</v>
      </c>
      <c r="K123" s="835">
        <f>'1.BS (VND)'!K97/$C$6</f>
        <v>0</v>
      </c>
      <c r="L123" s="835">
        <f>'1.BS (VND)'!L97/$C$6</f>
        <v>0</v>
      </c>
      <c r="M123" s="835">
        <f>'1.BS (VND)'!M97/$C$6</f>
        <v>20.994156696000001</v>
      </c>
      <c r="N123" s="840"/>
      <c r="O123" s="835">
        <f>'1.BS (VND)'!O97/$C$6</f>
        <v>0</v>
      </c>
      <c r="P123" s="835">
        <f>'1.BS (VND)'!P97/$C$6</f>
        <v>0</v>
      </c>
      <c r="Q123" s="835">
        <f>'1.BS (VND)'!Q97/$C$6</f>
        <v>0</v>
      </c>
      <c r="R123" s="835">
        <f>'1.BS (VND)'!R97/$C$6</f>
        <v>2.2400000000000002</v>
      </c>
      <c r="S123" s="840"/>
      <c r="T123" s="835">
        <f>'1.BS (VND)'!T97/$C$6</f>
        <v>0</v>
      </c>
      <c r="U123" s="835">
        <f>'1.BS (VND)'!U97/$C$6</f>
        <v>0</v>
      </c>
      <c r="V123" s="835">
        <f>'1.BS (VND)'!V97/$C$6</f>
        <v>0</v>
      </c>
      <c r="W123" s="835">
        <f>'1.BS (VND)'!W97/$C$6</f>
        <v>0</v>
      </c>
      <c r="X123" s="840"/>
      <c r="Y123" s="835">
        <f>'1.BS (VND)'!T97/$C$6</f>
        <v>0</v>
      </c>
      <c r="Z123" s="835">
        <f>'1.BS (VND)'!U97/$C$6</f>
        <v>0</v>
      </c>
      <c r="AA123" s="835">
        <f>'1.BS (VND)'!V97/$C$6</f>
        <v>0</v>
      </c>
      <c r="AB123" s="835">
        <f>'1.BS (VND)'!W97/$C$6</f>
        <v>0</v>
      </c>
      <c r="AC123" s="840"/>
      <c r="AD123" s="835">
        <f>'1.BS (VND)'!AD97/$C$6</f>
        <v>0</v>
      </c>
      <c r="AE123" s="835">
        <f>'1.BS (VND)'!AE97/$C$6</f>
        <v>0</v>
      </c>
      <c r="AF123" s="835">
        <f>'1.BS (VND)'!AF97/$C$6</f>
        <v>0</v>
      </c>
      <c r="AG123" s="835">
        <f>'1.BS (VND)'!AG97/$C$6</f>
        <v>0</v>
      </c>
      <c r="AH123" s="841"/>
      <c r="AI123" s="835">
        <f t="shared" si="168"/>
        <v>0</v>
      </c>
      <c r="AJ123" s="835">
        <f t="shared" si="168"/>
        <v>0</v>
      </c>
      <c r="AK123" s="835">
        <f t="shared" si="168"/>
        <v>0</v>
      </c>
      <c r="AL123" s="835">
        <f t="shared" si="140"/>
        <v>31.925406698000003</v>
      </c>
      <c r="AM123" s="852"/>
      <c r="AN123" s="835">
        <f>'1.BS (VND)'!AI97/$C$6</f>
        <v>0</v>
      </c>
      <c r="AO123" s="835">
        <f>'1.BS (VND)'!AJ97/$C$6</f>
        <v>0</v>
      </c>
      <c r="AP123" s="835">
        <f>'1.BS (VND)'!AK97/$C$6</f>
        <v>0</v>
      </c>
      <c r="AQ123" s="835">
        <f>'1.BS (VND)'!AL97/$C$6</f>
        <v>0</v>
      </c>
      <c r="AR123" s="842"/>
      <c r="AS123" s="835">
        <f>'1.BS (VND)'!AN97/$C$6</f>
        <v>0</v>
      </c>
      <c r="AT123" s="835">
        <f>'1.BS (VND)'!AO97/$C$6</f>
        <v>0</v>
      </c>
      <c r="AU123" s="835">
        <f>'1.BS (VND)'!AP97/$C$6</f>
        <v>0</v>
      </c>
      <c r="AV123" s="835">
        <f>'1.BS (VND)'!AQ97/$C$6</f>
        <v>0</v>
      </c>
      <c r="AW123" s="840"/>
      <c r="AX123" s="835">
        <f>'1.BS (VND)'!AS97/$C$6</f>
        <v>0</v>
      </c>
      <c r="AY123" s="835">
        <f>'1.BS (VND)'!AT97/$C$6</f>
        <v>0</v>
      </c>
      <c r="AZ123" s="835">
        <f>'1.BS (VND)'!AU97/$C$6</f>
        <v>0</v>
      </c>
      <c r="BA123" s="835">
        <f>'1.BS (VND)'!AV97/$C$6</f>
        <v>0</v>
      </c>
      <c r="BB123" s="840"/>
      <c r="BC123" s="835">
        <f>'1.BS (VND)'!AX97/$C$6</f>
        <v>0</v>
      </c>
      <c r="BD123" s="835">
        <f>'1.BS (VND)'!AY97/$C$6</f>
        <v>0</v>
      </c>
      <c r="BE123" s="835">
        <f>'1.BS (VND)'!AZ97/$C$6</f>
        <v>0</v>
      </c>
      <c r="BF123" s="835">
        <f>'1.BS (VND)'!BA97/$C$6</f>
        <v>0</v>
      </c>
      <c r="BG123" s="840"/>
      <c r="BH123" s="835">
        <f>'1.BS (VND)'!BC97/$C$6</f>
        <v>0</v>
      </c>
      <c r="BI123" s="835">
        <f>'1.BS (VND)'!BD97/$C$6</f>
        <v>0</v>
      </c>
      <c r="BJ123" s="835">
        <f>'1.BS (VND)'!BE97/$C$6</f>
        <v>0</v>
      </c>
      <c r="BK123" s="835">
        <f>'1.BS (VND)'!BF97/$C$6</f>
        <v>0</v>
      </c>
      <c r="BL123" s="840"/>
      <c r="BM123" s="835">
        <f>'1.BS (VND)'!BH97/$C$6</f>
        <v>0</v>
      </c>
      <c r="BN123" s="835">
        <f>'1.BS (VND)'!BI97/$C$6</f>
        <v>0</v>
      </c>
      <c r="BO123" s="835">
        <f>'1.BS (VND)'!BJ97/$C$6</f>
        <v>0</v>
      </c>
      <c r="BP123" s="835">
        <f>'1.BS (VND)'!BK97/$C$6</f>
        <v>0</v>
      </c>
      <c r="BQ123" s="841"/>
      <c r="BR123" s="835">
        <f t="shared" si="141"/>
        <v>0</v>
      </c>
      <c r="BS123" s="835">
        <f t="shared" si="142"/>
        <v>0</v>
      </c>
      <c r="BT123" s="835">
        <f t="shared" si="143"/>
        <v>0</v>
      </c>
      <c r="BU123" s="835">
        <f t="shared" si="144"/>
        <v>8.6912500020000003</v>
      </c>
      <c r="BV123" s="842"/>
      <c r="BW123" s="835">
        <f t="shared" si="145"/>
        <v>0</v>
      </c>
      <c r="BX123" s="835">
        <f t="shared" si="146"/>
        <v>0</v>
      </c>
      <c r="BY123" s="835">
        <f t="shared" si="147"/>
        <v>0</v>
      </c>
      <c r="BZ123" s="835">
        <f t="shared" si="148"/>
        <v>20.994156696000001</v>
      </c>
      <c r="CA123" s="840"/>
      <c r="CB123" s="835">
        <f t="shared" si="149"/>
        <v>0</v>
      </c>
      <c r="CC123" s="835">
        <f t="shared" si="150"/>
        <v>0</v>
      </c>
      <c r="CD123" s="835">
        <f t="shared" si="151"/>
        <v>0</v>
      </c>
      <c r="CE123" s="835">
        <f t="shared" si="152"/>
        <v>2.2400000000000002</v>
      </c>
      <c r="CF123" s="840"/>
      <c r="CG123" s="835">
        <f t="shared" si="153"/>
        <v>0</v>
      </c>
      <c r="CH123" s="835">
        <f t="shared" si="154"/>
        <v>0</v>
      </c>
      <c r="CI123" s="835">
        <f t="shared" si="155"/>
        <v>0</v>
      </c>
      <c r="CJ123" s="835">
        <f t="shared" si="156"/>
        <v>0</v>
      </c>
      <c r="CK123" s="840"/>
      <c r="CL123" s="835">
        <f t="shared" si="157"/>
        <v>0</v>
      </c>
      <c r="CM123" s="835">
        <f t="shared" si="158"/>
        <v>0</v>
      </c>
      <c r="CN123" s="835">
        <f t="shared" si="159"/>
        <v>0</v>
      </c>
      <c r="CO123" s="835">
        <f t="shared" si="160"/>
        <v>0</v>
      </c>
      <c r="CP123" s="840"/>
      <c r="CQ123" s="835">
        <f t="shared" si="161"/>
        <v>0</v>
      </c>
      <c r="CR123" s="835">
        <f t="shared" si="162"/>
        <v>0</v>
      </c>
      <c r="CS123" s="835">
        <f t="shared" si="163"/>
        <v>0</v>
      </c>
      <c r="CT123" s="835">
        <f t="shared" si="164"/>
        <v>0</v>
      </c>
      <c r="CU123" s="842"/>
      <c r="CV123" s="835">
        <f t="shared" si="169"/>
        <v>0</v>
      </c>
      <c r="CW123" s="835">
        <f t="shared" si="169"/>
        <v>0</v>
      </c>
      <c r="CX123" s="835">
        <f t="shared" si="169"/>
        <v>0</v>
      </c>
      <c r="CY123" s="835">
        <f t="shared" si="169"/>
        <v>31.925406698000003</v>
      </c>
      <c r="CZ123" s="842"/>
      <c r="DA123" s="835">
        <f>'1.BS (VND)'!CV97/'1.BC_Ra Soat (ty) '!$C$6</f>
        <v>0</v>
      </c>
      <c r="DB123" s="835">
        <f>'1.BS (VND)'!CW97/'1.BC_Ra Soat (ty) '!$C$6</f>
        <v>0</v>
      </c>
      <c r="DC123" s="835">
        <f>'1.BS (VND)'!CX97/'1.BC_Ra Soat (ty) '!$C$6</f>
        <v>0</v>
      </c>
      <c r="DD123" s="835">
        <f>'1.BS (VND)'!CY97/'1.BC_Ra Soat (ty) '!$C$6</f>
        <v>0</v>
      </c>
      <c r="DE123" s="842"/>
      <c r="DF123" s="835">
        <f>CV123+DA123</f>
        <v>0</v>
      </c>
      <c r="DG123" s="835">
        <f t="shared" si="166"/>
        <v>0</v>
      </c>
      <c r="DH123" s="835">
        <f t="shared" si="166"/>
        <v>0</v>
      </c>
      <c r="DI123" s="835">
        <f t="shared" si="166"/>
        <v>31.925406698000003</v>
      </c>
      <c r="DJ123" s="444"/>
    </row>
    <row r="124" spans="1:114" s="441" customFormat="1" ht="15.75" hidden="1" x14ac:dyDescent="0.25">
      <c r="A124" s="447" t="str">
        <f t="shared" si="167"/>
        <v>hide</v>
      </c>
      <c r="C124" s="452" t="s">
        <v>455</v>
      </c>
      <c r="D124" s="453" t="s">
        <v>456</v>
      </c>
      <c r="E124" s="835">
        <f>'1.BS (VND)'!E98/$C$6</f>
        <v>0</v>
      </c>
      <c r="F124" s="835">
        <f>'1.BS (VND)'!F98/$C$6</f>
        <v>0</v>
      </c>
      <c r="G124" s="835">
        <f>'1.BS (VND)'!G98/$C$6</f>
        <v>0</v>
      </c>
      <c r="H124" s="835">
        <f>'1.BS (VND)'!H98/$C$6</f>
        <v>0</v>
      </c>
      <c r="I124" s="842"/>
      <c r="J124" s="835">
        <f>'1.BS (VND)'!J98/$C$6</f>
        <v>0</v>
      </c>
      <c r="K124" s="835">
        <f>'1.BS (VND)'!K98/$C$6</f>
        <v>0</v>
      </c>
      <c r="L124" s="835">
        <f>'1.BS (VND)'!L98/$C$6</f>
        <v>0</v>
      </c>
      <c r="M124" s="835">
        <f>'1.BS (VND)'!M98/$C$6</f>
        <v>0</v>
      </c>
      <c r="N124" s="840"/>
      <c r="O124" s="835">
        <f>'1.BS (VND)'!O98/$C$6</f>
        <v>0</v>
      </c>
      <c r="P124" s="835">
        <f>'1.BS (VND)'!P98/$C$6</f>
        <v>0</v>
      </c>
      <c r="Q124" s="835">
        <f>'1.BS (VND)'!Q98/$C$6</f>
        <v>0</v>
      </c>
      <c r="R124" s="835">
        <f>'1.BS (VND)'!R98/$C$6</f>
        <v>0</v>
      </c>
      <c r="S124" s="840"/>
      <c r="T124" s="835">
        <f>'1.BS (VND)'!T98/$C$6</f>
        <v>0</v>
      </c>
      <c r="U124" s="835">
        <f>'1.BS (VND)'!U98/$C$6</f>
        <v>0</v>
      </c>
      <c r="V124" s="835">
        <f>'1.BS (VND)'!V98/$C$6</f>
        <v>0</v>
      </c>
      <c r="W124" s="835">
        <f>'1.BS (VND)'!W98/$C$6</f>
        <v>0</v>
      </c>
      <c r="X124" s="840"/>
      <c r="Y124" s="835">
        <f>'1.BS (VND)'!T98/$C$6</f>
        <v>0</v>
      </c>
      <c r="Z124" s="835">
        <f>'1.BS (VND)'!U98/$C$6</f>
        <v>0</v>
      </c>
      <c r="AA124" s="835">
        <f>'1.BS (VND)'!V98/$C$6</f>
        <v>0</v>
      </c>
      <c r="AB124" s="835">
        <f>'1.BS (VND)'!W98/$C$6</f>
        <v>0</v>
      </c>
      <c r="AC124" s="840"/>
      <c r="AD124" s="835">
        <f>'1.BS (VND)'!AD98/$C$6</f>
        <v>0</v>
      </c>
      <c r="AE124" s="835">
        <f>'1.BS (VND)'!AE98/$C$6</f>
        <v>0</v>
      </c>
      <c r="AF124" s="835">
        <f>'1.BS (VND)'!AF98/$C$6</f>
        <v>0</v>
      </c>
      <c r="AG124" s="835">
        <f>'1.BS (VND)'!AG98/$C$6</f>
        <v>0</v>
      </c>
      <c r="AH124" s="841"/>
      <c r="AI124" s="835">
        <f t="shared" si="168"/>
        <v>0</v>
      </c>
      <c r="AJ124" s="835">
        <f t="shared" si="168"/>
        <v>0</v>
      </c>
      <c r="AK124" s="835">
        <f t="shared" si="168"/>
        <v>0</v>
      </c>
      <c r="AL124" s="835">
        <f t="shared" si="140"/>
        <v>0</v>
      </c>
      <c r="AM124" s="842"/>
      <c r="AN124" s="835">
        <f>'1.BS (VND)'!AI98/$C$6</f>
        <v>0</v>
      </c>
      <c r="AO124" s="835">
        <f>'1.BS (VND)'!AJ98/$C$6</f>
        <v>0</v>
      </c>
      <c r="AP124" s="835">
        <f>'1.BS (VND)'!AK98/$C$6</f>
        <v>0</v>
      </c>
      <c r="AQ124" s="835">
        <f>'1.BS (VND)'!AL98/$C$6</f>
        <v>0</v>
      </c>
      <c r="AR124" s="842"/>
      <c r="AS124" s="835">
        <f>'1.BS (VND)'!AN98/$C$6</f>
        <v>0</v>
      </c>
      <c r="AT124" s="835">
        <f>'1.BS (VND)'!AO98/$C$6</f>
        <v>0</v>
      </c>
      <c r="AU124" s="835">
        <f>'1.BS (VND)'!AP98/$C$6</f>
        <v>0</v>
      </c>
      <c r="AV124" s="835">
        <f>'1.BS (VND)'!AQ98/$C$6</f>
        <v>0</v>
      </c>
      <c r="AW124" s="840"/>
      <c r="AX124" s="835">
        <f>'1.BS (VND)'!AS98/$C$6</f>
        <v>0</v>
      </c>
      <c r="AY124" s="835">
        <f>'1.BS (VND)'!AT98/$C$6</f>
        <v>0</v>
      </c>
      <c r="AZ124" s="835">
        <f>'1.BS (VND)'!AU98/$C$6</f>
        <v>0</v>
      </c>
      <c r="BA124" s="835">
        <f>'1.BS (VND)'!AV98/$C$6</f>
        <v>0</v>
      </c>
      <c r="BB124" s="840"/>
      <c r="BC124" s="835">
        <f>'1.BS (VND)'!AX98/$C$6</f>
        <v>0</v>
      </c>
      <c r="BD124" s="835">
        <f>'1.BS (VND)'!AY98/$C$6</f>
        <v>0</v>
      </c>
      <c r="BE124" s="835">
        <f>'1.BS (VND)'!AZ98/$C$6</f>
        <v>0</v>
      </c>
      <c r="BF124" s="835">
        <f>'1.BS (VND)'!BA98/$C$6</f>
        <v>0</v>
      </c>
      <c r="BG124" s="840"/>
      <c r="BH124" s="835">
        <f>'1.BS (VND)'!BC98/$C$6</f>
        <v>0</v>
      </c>
      <c r="BI124" s="835">
        <f>'1.BS (VND)'!BD98/$C$6</f>
        <v>0</v>
      </c>
      <c r="BJ124" s="835">
        <f>'1.BS (VND)'!BE98/$C$6</f>
        <v>0</v>
      </c>
      <c r="BK124" s="835">
        <f>'1.BS (VND)'!BF98/$C$6</f>
        <v>0</v>
      </c>
      <c r="BL124" s="840"/>
      <c r="BM124" s="835">
        <f>'1.BS (VND)'!BH98/$C$6</f>
        <v>0</v>
      </c>
      <c r="BN124" s="835">
        <f>'1.BS (VND)'!BI98/$C$6</f>
        <v>0</v>
      </c>
      <c r="BO124" s="835">
        <f>'1.BS (VND)'!BJ98/$C$6</f>
        <v>0</v>
      </c>
      <c r="BP124" s="835">
        <f>'1.BS (VND)'!BK98/$C$6</f>
        <v>0</v>
      </c>
      <c r="BQ124" s="841"/>
      <c r="BR124" s="835">
        <f t="shared" si="141"/>
        <v>0</v>
      </c>
      <c r="BS124" s="835">
        <f t="shared" si="142"/>
        <v>0</v>
      </c>
      <c r="BT124" s="835">
        <f t="shared" si="143"/>
        <v>0</v>
      </c>
      <c r="BU124" s="835">
        <f t="shared" si="144"/>
        <v>0</v>
      </c>
      <c r="BV124" s="842"/>
      <c r="BW124" s="835">
        <f t="shared" si="145"/>
        <v>0</v>
      </c>
      <c r="BX124" s="835">
        <f t="shared" si="146"/>
        <v>0</v>
      </c>
      <c r="BY124" s="835">
        <f t="shared" si="147"/>
        <v>0</v>
      </c>
      <c r="BZ124" s="835">
        <f t="shared" si="148"/>
        <v>0</v>
      </c>
      <c r="CA124" s="840"/>
      <c r="CB124" s="835">
        <f t="shared" si="149"/>
        <v>0</v>
      </c>
      <c r="CC124" s="835">
        <f t="shared" si="150"/>
        <v>0</v>
      </c>
      <c r="CD124" s="835">
        <f t="shared" si="151"/>
        <v>0</v>
      </c>
      <c r="CE124" s="835">
        <f t="shared" si="152"/>
        <v>0</v>
      </c>
      <c r="CF124" s="840"/>
      <c r="CG124" s="835">
        <f t="shared" si="153"/>
        <v>0</v>
      </c>
      <c r="CH124" s="835">
        <f t="shared" si="154"/>
        <v>0</v>
      </c>
      <c r="CI124" s="835">
        <f t="shared" si="155"/>
        <v>0</v>
      </c>
      <c r="CJ124" s="835">
        <f t="shared" si="156"/>
        <v>0</v>
      </c>
      <c r="CK124" s="840"/>
      <c r="CL124" s="835">
        <f t="shared" si="157"/>
        <v>0</v>
      </c>
      <c r="CM124" s="835">
        <f t="shared" si="158"/>
        <v>0</v>
      </c>
      <c r="CN124" s="835">
        <f t="shared" si="159"/>
        <v>0</v>
      </c>
      <c r="CO124" s="835">
        <f t="shared" si="160"/>
        <v>0</v>
      </c>
      <c r="CP124" s="840"/>
      <c r="CQ124" s="835">
        <f t="shared" si="161"/>
        <v>0</v>
      </c>
      <c r="CR124" s="835">
        <f t="shared" si="162"/>
        <v>0</v>
      </c>
      <c r="CS124" s="835">
        <f t="shared" si="163"/>
        <v>0</v>
      </c>
      <c r="CT124" s="835">
        <f t="shared" si="164"/>
        <v>0</v>
      </c>
      <c r="CU124" s="842"/>
      <c r="CV124" s="835">
        <f t="shared" si="169"/>
        <v>0</v>
      </c>
      <c r="CW124" s="835">
        <f t="shared" si="169"/>
        <v>0</v>
      </c>
      <c r="CX124" s="835">
        <f t="shared" si="169"/>
        <v>0</v>
      </c>
      <c r="CY124" s="835">
        <f t="shared" si="169"/>
        <v>0</v>
      </c>
      <c r="CZ124" s="842"/>
      <c r="DA124" s="835">
        <f>'1.BS (VND)'!CV98/'1.BC_Ra Soat (ty) '!$C$6</f>
        <v>0</v>
      </c>
      <c r="DB124" s="835">
        <f>'1.BS (VND)'!CW98/'1.BC_Ra Soat (ty) '!$C$6</f>
        <v>0</v>
      </c>
      <c r="DC124" s="835">
        <f>'1.BS (VND)'!CX98/'1.BC_Ra Soat (ty) '!$C$6</f>
        <v>0</v>
      </c>
      <c r="DD124" s="835">
        <f>'1.BS (VND)'!CY98/'1.BC_Ra Soat (ty) '!$C$6</f>
        <v>0</v>
      </c>
      <c r="DE124" s="842"/>
      <c r="DF124" s="835">
        <f t="shared" si="166"/>
        <v>0</v>
      </c>
      <c r="DG124" s="835">
        <f t="shared" si="166"/>
        <v>0</v>
      </c>
      <c r="DH124" s="835">
        <f t="shared" si="166"/>
        <v>0</v>
      </c>
      <c r="DI124" s="835">
        <f t="shared" si="166"/>
        <v>0</v>
      </c>
    </row>
    <row r="125" spans="1:114" s="441" customFormat="1" ht="15.75" hidden="1" x14ac:dyDescent="0.25">
      <c r="A125" s="447" t="str">
        <f t="shared" si="167"/>
        <v>hide</v>
      </c>
      <c r="C125" s="452" t="s">
        <v>457</v>
      </c>
      <c r="D125" s="453" t="s">
        <v>458</v>
      </c>
      <c r="E125" s="835">
        <f>'1.BS (VND)'!E99/$C$6</f>
        <v>0</v>
      </c>
      <c r="F125" s="835">
        <f>'1.BS (VND)'!F99/$C$6</f>
        <v>0</v>
      </c>
      <c r="G125" s="835">
        <f>'1.BS (VND)'!G99/$C$6</f>
        <v>0</v>
      </c>
      <c r="H125" s="835">
        <f>'1.BS (VND)'!H99/$C$6</f>
        <v>0</v>
      </c>
      <c r="I125" s="842"/>
      <c r="J125" s="835">
        <f>'1.BS (VND)'!J99/$C$6</f>
        <v>0</v>
      </c>
      <c r="K125" s="835">
        <f>'1.BS (VND)'!K99/$C$6</f>
        <v>0</v>
      </c>
      <c r="L125" s="835">
        <f>'1.BS (VND)'!L99/$C$6</f>
        <v>0</v>
      </c>
      <c r="M125" s="835">
        <f>'1.BS (VND)'!M99/$C$6</f>
        <v>0</v>
      </c>
      <c r="N125" s="840"/>
      <c r="O125" s="835">
        <f>'1.BS (VND)'!O99/$C$6</f>
        <v>0</v>
      </c>
      <c r="P125" s="835">
        <f>'1.BS (VND)'!P99/$C$6</f>
        <v>0</v>
      </c>
      <c r="Q125" s="835">
        <f>'1.BS (VND)'!Q99/$C$6</f>
        <v>0</v>
      </c>
      <c r="R125" s="835">
        <f>'1.BS (VND)'!R99/$C$6</f>
        <v>0</v>
      </c>
      <c r="S125" s="840"/>
      <c r="T125" s="835">
        <f>'1.BS (VND)'!T99/$C$6</f>
        <v>0</v>
      </c>
      <c r="U125" s="835">
        <f>'1.BS (VND)'!U99/$C$6</f>
        <v>0</v>
      </c>
      <c r="V125" s="835">
        <f>'1.BS (VND)'!V99/$C$6</f>
        <v>0</v>
      </c>
      <c r="W125" s="835">
        <f>'1.BS (VND)'!W99/$C$6</f>
        <v>0</v>
      </c>
      <c r="X125" s="840"/>
      <c r="Y125" s="835">
        <f>'1.BS (VND)'!T99/$C$6</f>
        <v>0</v>
      </c>
      <c r="Z125" s="835">
        <f>'1.BS (VND)'!U99/$C$6</f>
        <v>0</v>
      </c>
      <c r="AA125" s="835">
        <f>'1.BS (VND)'!V99/$C$6</f>
        <v>0</v>
      </c>
      <c r="AB125" s="835">
        <f>'1.BS (VND)'!W99/$C$6</f>
        <v>0</v>
      </c>
      <c r="AC125" s="840"/>
      <c r="AD125" s="835">
        <f>'1.BS (VND)'!AD99/$C$6</f>
        <v>0</v>
      </c>
      <c r="AE125" s="835">
        <f>'1.BS (VND)'!AE99/$C$6</f>
        <v>0</v>
      </c>
      <c r="AF125" s="835">
        <f>'1.BS (VND)'!AF99/$C$6</f>
        <v>0</v>
      </c>
      <c r="AG125" s="835">
        <f>'1.BS (VND)'!AG99/$C$6</f>
        <v>0</v>
      </c>
      <c r="AH125" s="841"/>
      <c r="AI125" s="835">
        <f t="shared" si="168"/>
        <v>0</v>
      </c>
      <c r="AJ125" s="835">
        <f t="shared" si="168"/>
        <v>0</v>
      </c>
      <c r="AK125" s="835">
        <f t="shared" si="168"/>
        <v>0</v>
      </c>
      <c r="AL125" s="835">
        <f t="shared" si="140"/>
        <v>0</v>
      </c>
      <c r="AM125" s="842"/>
      <c r="AN125" s="835">
        <f>'1.BS (VND)'!AI99/$C$6</f>
        <v>0</v>
      </c>
      <c r="AO125" s="835">
        <f>'1.BS (VND)'!AJ99/$C$6</f>
        <v>0</v>
      </c>
      <c r="AP125" s="835">
        <f>'1.BS (VND)'!AK99/$C$6</f>
        <v>0</v>
      </c>
      <c r="AQ125" s="835">
        <f>'1.BS (VND)'!AL99/$C$6</f>
        <v>0</v>
      </c>
      <c r="AR125" s="842"/>
      <c r="AS125" s="835">
        <f>'1.BS (VND)'!AN99/$C$6</f>
        <v>0</v>
      </c>
      <c r="AT125" s="835">
        <f>'1.BS (VND)'!AO99/$C$6</f>
        <v>0</v>
      </c>
      <c r="AU125" s="835">
        <f>'1.BS (VND)'!AP99/$C$6</f>
        <v>0</v>
      </c>
      <c r="AV125" s="835">
        <f>'1.BS (VND)'!AQ99/$C$6</f>
        <v>0</v>
      </c>
      <c r="AW125" s="840"/>
      <c r="AX125" s="835">
        <f>'1.BS (VND)'!AS99/$C$6</f>
        <v>0</v>
      </c>
      <c r="AY125" s="835">
        <f>'1.BS (VND)'!AT99/$C$6</f>
        <v>0</v>
      </c>
      <c r="AZ125" s="835">
        <f>'1.BS (VND)'!AU99/$C$6</f>
        <v>0</v>
      </c>
      <c r="BA125" s="835">
        <f>'1.BS (VND)'!AV99/$C$6</f>
        <v>0</v>
      </c>
      <c r="BB125" s="840"/>
      <c r="BC125" s="835">
        <f>'1.BS (VND)'!AX99/$C$6</f>
        <v>0</v>
      </c>
      <c r="BD125" s="835">
        <f>'1.BS (VND)'!AY99/$C$6</f>
        <v>0</v>
      </c>
      <c r="BE125" s="835">
        <f>'1.BS (VND)'!AZ99/$C$6</f>
        <v>0</v>
      </c>
      <c r="BF125" s="835">
        <f>'1.BS (VND)'!BA99/$C$6</f>
        <v>0</v>
      </c>
      <c r="BG125" s="840"/>
      <c r="BH125" s="835">
        <f>'1.BS (VND)'!BC99/$C$6</f>
        <v>0</v>
      </c>
      <c r="BI125" s="835">
        <f>'1.BS (VND)'!BD99/$C$6</f>
        <v>0</v>
      </c>
      <c r="BJ125" s="835">
        <f>'1.BS (VND)'!BE99/$C$6</f>
        <v>0</v>
      </c>
      <c r="BK125" s="835">
        <f>'1.BS (VND)'!BF99/$C$6</f>
        <v>0</v>
      </c>
      <c r="BL125" s="840"/>
      <c r="BM125" s="835">
        <f>'1.BS (VND)'!BH99/$C$6</f>
        <v>0</v>
      </c>
      <c r="BN125" s="835">
        <f>'1.BS (VND)'!BI99/$C$6</f>
        <v>0</v>
      </c>
      <c r="BO125" s="835">
        <f>'1.BS (VND)'!BJ99/$C$6</f>
        <v>0</v>
      </c>
      <c r="BP125" s="835">
        <f>'1.BS (VND)'!BK99/$C$6</f>
        <v>0</v>
      </c>
      <c r="BQ125" s="841"/>
      <c r="BR125" s="835">
        <f t="shared" si="141"/>
        <v>0</v>
      </c>
      <c r="BS125" s="835">
        <f t="shared" si="142"/>
        <v>0</v>
      </c>
      <c r="BT125" s="835">
        <f t="shared" si="143"/>
        <v>0</v>
      </c>
      <c r="BU125" s="835">
        <f t="shared" si="144"/>
        <v>0</v>
      </c>
      <c r="BV125" s="842"/>
      <c r="BW125" s="835">
        <f t="shared" si="145"/>
        <v>0</v>
      </c>
      <c r="BX125" s="835">
        <f t="shared" si="146"/>
        <v>0</v>
      </c>
      <c r="BY125" s="835">
        <f t="shared" si="147"/>
        <v>0</v>
      </c>
      <c r="BZ125" s="835">
        <f t="shared" si="148"/>
        <v>0</v>
      </c>
      <c r="CA125" s="840"/>
      <c r="CB125" s="835">
        <f t="shared" si="149"/>
        <v>0</v>
      </c>
      <c r="CC125" s="835">
        <f t="shared" si="150"/>
        <v>0</v>
      </c>
      <c r="CD125" s="835">
        <f t="shared" si="151"/>
        <v>0</v>
      </c>
      <c r="CE125" s="835">
        <f t="shared" si="152"/>
        <v>0</v>
      </c>
      <c r="CF125" s="840"/>
      <c r="CG125" s="835">
        <f t="shared" si="153"/>
        <v>0</v>
      </c>
      <c r="CH125" s="835">
        <f t="shared" si="154"/>
        <v>0</v>
      </c>
      <c r="CI125" s="835">
        <f t="shared" si="155"/>
        <v>0</v>
      </c>
      <c r="CJ125" s="835">
        <f t="shared" si="156"/>
        <v>0</v>
      </c>
      <c r="CK125" s="840"/>
      <c r="CL125" s="835">
        <f t="shared" si="157"/>
        <v>0</v>
      </c>
      <c r="CM125" s="835">
        <f t="shared" si="158"/>
        <v>0</v>
      </c>
      <c r="CN125" s="835">
        <f t="shared" si="159"/>
        <v>0</v>
      </c>
      <c r="CO125" s="835">
        <f t="shared" si="160"/>
        <v>0</v>
      </c>
      <c r="CP125" s="840"/>
      <c r="CQ125" s="835">
        <f t="shared" si="161"/>
        <v>0</v>
      </c>
      <c r="CR125" s="835">
        <f t="shared" si="162"/>
        <v>0</v>
      </c>
      <c r="CS125" s="835">
        <f t="shared" si="163"/>
        <v>0</v>
      </c>
      <c r="CT125" s="835">
        <f t="shared" si="164"/>
        <v>0</v>
      </c>
      <c r="CU125" s="842"/>
      <c r="CV125" s="835">
        <f t="shared" si="169"/>
        <v>0</v>
      </c>
      <c r="CW125" s="835">
        <f t="shared" si="169"/>
        <v>0</v>
      </c>
      <c r="CX125" s="835">
        <f t="shared" si="169"/>
        <v>0</v>
      </c>
      <c r="CY125" s="835">
        <f t="shared" si="169"/>
        <v>0</v>
      </c>
      <c r="CZ125" s="842"/>
      <c r="DA125" s="835">
        <f>'1.BS (VND)'!CV99/'1.BC_Ra Soat (ty) '!$C$6</f>
        <v>0</v>
      </c>
      <c r="DB125" s="835">
        <f>'1.BS (VND)'!CW99/'1.BC_Ra Soat (ty) '!$C$6</f>
        <v>0</v>
      </c>
      <c r="DC125" s="835">
        <f>'1.BS (VND)'!CX99/'1.BC_Ra Soat (ty) '!$C$6</f>
        <v>0</v>
      </c>
      <c r="DD125" s="835">
        <f>'1.BS (VND)'!CY99/'1.BC_Ra Soat (ty) '!$C$6</f>
        <v>0</v>
      </c>
      <c r="DE125" s="842"/>
      <c r="DF125" s="835">
        <f t="shared" si="166"/>
        <v>0</v>
      </c>
      <c r="DG125" s="835">
        <f t="shared" si="166"/>
        <v>0</v>
      </c>
      <c r="DH125" s="835">
        <f t="shared" si="166"/>
        <v>0</v>
      </c>
      <c r="DI125" s="835">
        <f t="shared" si="166"/>
        <v>0</v>
      </c>
    </row>
    <row r="126" spans="1:114" s="441" customFormat="1" ht="15.75" hidden="1" x14ac:dyDescent="0.25">
      <c r="A126" s="447" t="str">
        <f t="shared" si="167"/>
        <v>hide</v>
      </c>
      <c r="C126" s="452" t="s">
        <v>586</v>
      </c>
      <c r="D126" s="453" t="s">
        <v>459</v>
      </c>
      <c r="E126" s="835">
        <f>'1.BS (VND)'!E100/$C$6</f>
        <v>0</v>
      </c>
      <c r="F126" s="835">
        <f>'1.BS (VND)'!F100/$C$6</f>
        <v>0</v>
      </c>
      <c r="G126" s="835">
        <f>'1.BS (VND)'!G100/$C$6</f>
        <v>0</v>
      </c>
      <c r="H126" s="835">
        <f>'1.BS (VND)'!H100/$C$6</f>
        <v>0</v>
      </c>
      <c r="I126" s="842"/>
      <c r="J126" s="835">
        <f>'1.BS (VND)'!J100/$C$6</f>
        <v>0</v>
      </c>
      <c r="K126" s="835">
        <f>'1.BS (VND)'!K100/$C$6</f>
        <v>0</v>
      </c>
      <c r="L126" s="835">
        <f>'1.BS (VND)'!L100/$C$6</f>
        <v>0</v>
      </c>
      <c r="M126" s="835">
        <f>'1.BS (VND)'!M100/$C$6</f>
        <v>0</v>
      </c>
      <c r="N126" s="840"/>
      <c r="O126" s="835">
        <f>'1.BS (VND)'!O100/$C$6</f>
        <v>0</v>
      </c>
      <c r="P126" s="835">
        <f>'1.BS (VND)'!P100/$C$6</f>
        <v>0</v>
      </c>
      <c r="Q126" s="835">
        <f>'1.BS (VND)'!Q100/$C$6</f>
        <v>0</v>
      </c>
      <c r="R126" s="835">
        <f>'1.BS (VND)'!R100/$C$6</f>
        <v>0</v>
      </c>
      <c r="S126" s="840"/>
      <c r="T126" s="835">
        <f>'1.BS (VND)'!T100/$C$6</f>
        <v>0</v>
      </c>
      <c r="U126" s="835">
        <f>'1.BS (VND)'!U100/$C$6</f>
        <v>0</v>
      </c>
      <c r="V126" s="835">
        <f>'1.BS (VND)'!V100/$C$6</f>
        <v>0</v>
      </c>
      <c r="W126" s="835">
        <f>'1.BS (VND)'!W100/$C$6</f>
        <v>0</v>
      </c>
      <c r="X126" s="840"/>
      <c r="Y126" s="835">
        <f>'1.BS (VND)'!T100/$C$6</f>
        <v>0</v>
      </c>
      <c r="Z126" s="835">
        <f>'1.BS (VND)'!U100/$C$6</f>
        <v>0</v>
      </c>
      <c r="AA126" s="835">
        <f>'1.BS (VND)'!V100/$C$6</f>
        <v>0</v>
      </c>
      <c r="AB126" s="835">
        <f>'1.BS (VND)'!W100/$C$6</f>
        <v>0</v>
      </c>
      <c r="AC126" s="840"/>
      <c r="AD126" s="835">
        <f>'1.BS (VND)'!AD100/$C$6</f>
        <v>0</v>
      </c>
      <c r="AE126" s="835">
        <f>'1.BS (VND)'!AE100/$C$6</f>
        <v>0</v>
      </c>
      <c r="AF126" s="835">
        <f>'1.BS (VND)'!AF100/$C$6</f>
        <v>0</v>
      </c>
      <c r="AG126" s="835">
        <f>'1.BS (VND)'!AG100/$C$6</f>
        <v>0</v>
      </c>
      <c r="AH126" s="841"/>
      <c r="AI126" s="835">
        <f t="shared" si="168"/>
        <v>0</v>
      </c>
      <c r="AJ126" s="835">
        <f t="shared" si="168"/>
        <v>0</v>
      </c>
      <c r="AK126" s="835">
        <f t="shared" si="168"/>
        <v>0</v>
      </c>
      <c r="AL126" s="835">
        <f t="shared" si="140"/>
        <v>0</v>
      </c>
      <c r="AM126" s="842"/>
      <c r="AN126" s="835">
        <f>'1.BS (VND)'!AI100/$C$6</f>
        <v>0</v>
      </c>
      <c r="AO126" s="835">
        <f>'1.BS (VND)'!AJ100/$C$6</f>
        <v>0</v>
      </c>
      <c r="AP126" s="835">
        <f>'1.BS (VND)'!AK100/$C$6</f>
        <v>0</v>
      </c>
      <c r="AQ126" s="835">
        <f>'1.BS (VND)'!AL100/$C$6</f>
        <v>0</v>
      </c>
      <c r="AR126" s="842"/>
      <c r="AS126" s="835">
        <f>'1.BS (VND)'!AN100/$C$6</f>
        <v>0</v>
      </c>
      <c r="AT126" s="835">
        <f>'1.BS (VND)'!AO100/$C$6</f>
        <v>0</v>
      </c>
      <c r="AU126" s="835">
        <f>'1.BS (VND)'!AP100/$C$6</f>
        <v>0</v>
      </c>
      <c r="AV126" s="835">
        <f>'1.BS (VND)'!AQ100/$C$6</f>
        <v>0</v>
      </c>
      <c r="AW126" s="840"/>
      <c r="AX126" s="835">
        <f>'1.BS (VND)'!AS100/$C$6</f>
        <v>0</v>
      </c>
      <c r="AY126" s="835">
        <f>'1.BS (VND)'!AT100/$C$6</f>
        <v>0</v>
      </c>
      <c r="AZ126" s="835">
        <f>'1.BS (VND)'!AU100/$C$6</f>
        <v>0</v>
      </c>
      <c r="BA126" s="835">
        <f>'1.BS (VND)'!AV100/$C$6</f>
        <v>0</v>
      </c>
      <c r="BB126" s="840"/>
      <c r="BC126" s="835">
        <f>'1.BS (VND)'!AX100/$C$6</f>
        <v>0</v>
      </c>
      <c r="BD126" s="835">
        <f>'1.BS (VND)'!AY100/$C$6</f>
        <v>0</v>
      </c>
      <c r="BE126" s="835">
        <f>'1.BS (VND)'!AZ100/$C$6</f>
        <v>0</v>
      </c>
      <c r="BF126" s="835">
        <f>'1.BS (VND)'!BA100/$C$6</f>
        <v>0</v>
      </c>
      <c r="BG126" s="840"/>
      <c r="BH126" s="835">
        <f>'1.BS (VND)'!BC100/$C$6</f>
        <v>0</v>
      </c>
      <c r="BI126" s="835">
        <f>'1.BS (VND)'!BD100/$C$6</f>
        <v>0</v>
      </c>
      <c r="BJ126" s="835">
        <f>'1.BS (VND)'!BE100/$C$6</f>
        <v>0</v>
      </c>
      <c r="BK126" s="835">
        <f>'1.BS (VND)'!BF100/$C$6</f>
        <v>0</v>
      </c>
      <c r="BL126" s="840"/>
      <c r="BM126" s="835">
        <f>'1.BS (VND)'!BH100/$C$6</f>
        <v>0</v>
      </c>
      <c r="BN126" s="835">
        <f>'1.BS (VND)'!BI100/$C$6</f>
        <v>0</v>
      </c>
      <c r="BO126" s="835">
        <f>'1.BS (VND)'!BJ100/$C$6</f>
        <v>0</v>
      </c>
      <c r="BP126" s="835">
        <f>'1.BS (VND)'!BK100/$C$6</f>
        <v>0</v>
      </c>
      <c r="BQ126" s="841"/>
      <c r="BR126" s="835">
        <f t="shared" si="141"/>
        <v>0</v>
      </c>
      <c r="BS126" s="835">
        <f t="shared" si="142"/>
        <v>0</v>
      </c>
      <c r="BT126" s="835">
        <f t="shared" si="143"/>
        <v>0</v>
      </c>
      <c r="BU126" s="835">
        <f t="shared" si="144"/>
        <v>0</v>
      </c>
      <c r="BV126" s="842"/>
      <c r="BW126" s="835">
        <f t="shared" si="145"/>
        <v>0</v>
      </c>
      <c r="BX126" s="835">
        <f t="shared" si="146"/>
        <v>0</v>
      </c>
      <c r="BY126" s="835">
        <f t="shared" si="147"/>
        <v>0</v>
      </c>
      <c r="BZ126" s="835">
        <f t="shared" si="148"/>
        <v>0</v>
      </c>
      <c r="CA126" s="840"/>
      <c r="CB126" s="835">
        <f t="shared" si="149"/>
        <v>0</v>
      </c>
      <c r="CC126" s="835">
        <f t="shared" si="150"/>
        <v>0</v>
      </c>
      <c r="CD126" s="835">
        <f t="shared" si="151"/>
        <v>0</v>
      </c>
      <c r="CE126" s="835">
        <f t="shared" si="152"/>
        <v>0</v>
      </c>
      <c r="CF126" s="840"/>
      <c r="CG126" s="835">
        <f t="shared" si="153"/>
        <v>0</v>
      </c>
      <c r="CH126" s="835">
        <f t="shared" si="154"/>
        <v>0</v>
      </c>
      <c r="CI126" s="835">
        <f t="shared" si="155"/>
        <v>0</v>
      </c>
      <c r="CJ126" s="835">
        <f t="shared" si="156"/>
        <v>0</v>
      </c>
      <c r="CK126" s="840"/>
      <c r="CL126" s="835">
        <f t="shared" si="157"/>
        <v>0</v>
      </c>
      <c r="CM126" s="835">
        <f t="shared" si="158"/>
        <v>0</v>
      </c>
      <c r="CN126" s="835">
        <f t="shared" si="159"/>
        <v>0</v>
      </c>
      <c r="CO126" s="835">
        <f t="shared" si="160"/>
        <v>0</v>
      </c>
      <c r="CP126" s="840"/>
      <c r="CQ126" s="835">
        <f t="shared" si="161"/>
        <v>0</v>
      </c>
      <c r="CR126" s="835">
        <f t="shared" si="162"/>
        <v>0</v>
      </c>
      <c r="CS126" s="835">
        <f t="shared" si="163"/>
        <v>0</v>
      </c>
      <c r="CT126" s="835">
        <f t="shared" si="164"/>
        <v>0</v>
      </c>
      <c r="CU126" s="842"/>
      <c r="CV126" s="835">
        <f t="shared" si="169"/>
        <v>0</v>
      </c>
      <c r="CW126" s="835">
        <f t="shared" si="169"/>
        <v>0</v>
      </c>
      <c r="CX126" s="835">
        <f t="shared" si="169"/>
        <v>0</v>
      </c>
      <c r="CY126" s="835">
        <f t="shared" si="169"/>
        <v>0</v>
      </c>
      <c r="CZ126" s="842"/>
      <c r="DA126" s="835">
        <f>'1.BS (VND)'!CV100/'1.BC_Ra Soat (ty) '!$C$6</f>
        <v>0</v>
      </c>
      <c r="DB126" s="835">
        <f>'1.BS (VND)'!CW100/'1.BC_Ra Soat (ty) '!$C$6</f>
        <v>0</v>
      </c>
      <c r="DC126" s="835">
        <f>'1.BS (VND)'!CX100/'1.BC_Ra Soat (ty) '!$C$6</f>
        <v>0</v>
      </c>
      <c r="DD126" s="835">
        <f>'1.BS (VND)'!CY100/'1.BC_Ra Soat (ty) '!$C$6</f>
        <v>0</v>
      </c>
      <c r="DE126" s="842"/>
      <c r="DF126" s="835">
        <f t="shared" si="166"/>
        <v>0</v>
      </c>
      <c r="DG126" s="835">
        <f t="shared" si="166"/>
        <v>0</v>
      </c>
      <c r="DH126" s="835">
        <f t="shared" si="166"/>
        <v>0</v>
      </c>
      <c r="DI126" s="835">
        <f t="shared" si="166"/>
        <v>0</v>
      </c>
    </row>
    <row r="127" spans="1:114" s="441" customFormat="1" ht="15.75" hidden="1" x14ac:dyDescent="0.25">
      <c r="A127" s="447" t="str">
        <f t="shared" si="167"/>
        <v>hide</v>
      </c>
      <c r="C127" s="452" t="s">
        <v>460</v>
      </c>
      <c r="D127" s="453" t="s">
        <v>461</v>
      </c>
      <c r="E127" s="835">
        <f>'1.BS (VND)'!E101/$C$6</f>
        <v>0</v>
      </c>
      <c r="F127" s="835">
        <f>'1.BS (VND)'!F101/$C$6</f>
        <v>0</v>
      </c>
      <c r="G127" s="835">
        <f>'1.BS (VND)'!G101/$C$6</f>
        <v>0</v>
      </c>
      <c r="H127" s="835">
        <f>'1.BS (VND)'!H101/$C$6</f>
        <v>0</v>
      </c>
      <c r="I127" s="842"/>
      <c r="J127" s="835">
        <f>'1.BS (VND)'!J101/$C$6</f>
        <v>0</v>
      </c>
      <c r="K127" s="835">
        <f>'1.BS (VND)'!K101/$C$6</f>
        <v>0</v>
      </c>
      <c r="L127" s="835">
        <f>'1.BS (VND)'!L101/$C$6</f>
        <v>0</v>
      </c>
      <c r="M127" s="835">
        <f>'1.BS (VND)'!M101/$C$6</f>
        <v>0</v>
      </c>
      <c r="N127" s="840"/>
      <c r="O127" s="835">
        <f>'1.BS (VND)'!O101/$C$6</f>
        <v>0</v>
      </c>
      <c r="P127" s="835">
        <f>'1.BS (VND)'!P101/$C$6</f>
        <v>0</v>
      </c>
      <c r="Q127" s="835">
        <f>'1.BS (VND)'!Q101/$C$6</f>
        <v>0</v>
      </c>
      <c r="R127" s="835">
        <f>'1.BS (VND)'!R101/$C$6</f>
        <v>0</v>
      </c>
      <c r="S127" s="840"/>
      <c r="T127" s="835">
        <f>'1.BS (VND)'!T101/$C$6</f>
        <v>0</v>
      </c>
      <c r="U127" s="835">
        <f>'1.BS (VND)'!U101/$C$6</f>
        <v>0</v>
      </c>
      <c r="V127" s="835">
        <f>'1.BS (VND)'!V101/$C$6</f>
        <v>0</v>
      </c>
      <c r="W127" s="835">
        <f>'1.BS (VND)'!W101/$C$6</f>
        <v>0</v>
      </c>
      <c r="X127" s="840"/>
      <c r="Y127" s="835">
        <f>'1.BS (VND)'!T101/$C$6</f>
        <v>0</v>
      </c>
      <c r="Z127" s="835">
        <f>'1.BS (VND)'!U101/$C$6</f>
        <v>0</v>
      </c>
      <c r="AA127" s="835">
        <f>'1.BS (VND)'!V101/$C$6</f>
        <v>0</v>
      </c>
      <c r="AB127" s="835">
        <f>'1.BS (VND)'!W101/$C$6</f>
        <v>0</v>
      </c>
      <c r="AC127" s="840"/>
      <c r="AD127" s="835">
        <f>'1.BS (VND)'!AD101/$C$6</f>
        <v>0</v>
      </c>
      <c r="AE127" s="835">
        <f>'1.BS (VND)'!AE101/$C$6</f>
        <v>0</v>
      </c>
      <c r="AF127" s="835">
        <f>'1.BS (VND)'!AF101/$C$6</f>
        <v>0</v>
      </c>
      <c r="AG127" s="835">
        <f>'1.BS (VND)'!AG101/$C$6</f>
        <v>0</v>
      </c>
      <c r="AH127" s="841"/>
      <c r="AI127" s="835">
        <f t="shared" si="168"/>
        <v>0</v>
      </c>
      <c r="AJ127" s="835">
        <f t="shared" si="168"/>
        <v>0</v>
      </c>
      <c r="AK127" s="835">
        <f t="shared" si="168"/>
        <v>0</v>
      </c>
      <c r="AL127" s="835">
        <f t="shared" si="140"/>
        <v>0</v>
      </c>
      <c r="AM127" s="842"/>
      <c r="AN127" s="835">
        <f>'1.BS (VND)'!AI101/$C$6</f>
        <v>0</v>
      </c>
      <c r="AO127" s="835">
        <f>'1.BS (VND)'!AJ101/$C$6</f>
        <v>0</v>
      </c>
      <c r="AP127" s="835">
        <f>'1.BS (VND)'!AK101/$C$6</f>
        <v>0</v>
      </c>
      <c r="AQ127" s="835">
        <f>'1.BS (VND)'!AL101/$C$6</f>
        <v>0</v>
      </c>
      <c r="AR127" s="842"/>
      <c r="AS127" s="835">
        <f>'1.BS (VND)'!AN101/$C$6</f>
        <v>0</v>
      </c>
      <c r="AT127" s="835">
        <f>'1.BS (VND)'!AO101/$C$6</f>
        <v>0</v>
      </c>
      <c r="AU127" s="835">
        <f>'1.BS (VND)'!AP101/$C$6</f>
        <v>0</v>
      </c>
      <c r="AV127" s="835">
        <f>'1.BS (VND)'!AQ101/$C$6</f>
        <v>0</v>
      </c>
      <c r="AW127" s="840"/>
      <c r="AX127" s="835">
        <f>'1.BS (VND)'!AS101/$C$6</f>
        <v>0</v>
      </c>
      <c r="AY127" s="835">
        <f>'1.BS (VND)'!AT101/$C$6</f>
        <v>0</v>
      </c>
      <c r="AZ127" s="835">
        <f>'1.BS (VND)'!AU101/$C$6</f>
        <v>0</v>
      </c>
      <c r="BA127" s="835">
        <f>'1.BS (VND)'!AV101/$C$6</f>
        <v>0</v>
      </c>
      <c r="BB127" s="840"/>
      <c r="BC127" s="835">
        <f>'1.BS (VND)'!AX101/$C$6</f>
        <v>0</v>
      </c>
      <c r="BD127" s="835">
        <f>'1.BS (VND)'!AY101/$C$6</f>
        <v>0</v>
      </c>
      <c r="BE127" s="835">
        <f>'1.BS (VND)'!AZ101/$C$6</f>
        <v>0</v>
      </c>
      <c r="BF127" s="835">
        <f>'1.BS (VND)'!BA101/$C$6</f>
        <v>0</v>
      </c>
      <c r="BG127" s="840"/>
      <c r="BH127" s="835">
        <f>'1.BS (VND)'!BC101/$C$6</f>
        <v>0</v>
      </c>
      <c r="BI127" s="835">
        <f>'1.BS (VND)'!BD101/$C$6</f>
        <v>0</v>
      </c>
      <c r="BJ127" s="835">
        <f>'1.BS (VND)'!BE101/$C$6</f>
        <v>0</v>
      </c>
      <c r="BK127" s="835">
        <f>'1.BS (VND)'!BF101/$C$6</f>
        <v>0</v>
      </c>
      <c r="BL127" s="840"/>
      <c r="BM127" s="835">
        <f>'1.BS (VND)'!BH101/$C$6</f>
        <v>0</v>
      </c>
      <c r="BN127" s="835">
        <f>'1.BS (VND)'!BI101/$C$6</f>
        <v>0</v>
      </c>
      <c r="BO127" s="835">
        <f>'1.BS (VND)'!BJ101/$C$6</f>
        <v>0</v>
      </c>
      <c r="BP127" s="835">
        <f>'1.BS (VND)'!BK101/$C$6</f>
        <v>0</v>
      </c>
      <c r="BQ127" s="841"/>
      <c r="BR127" s="835">
        <f t="shared" si="141"/>
        <v>0</v>
      </c>
      <c r="BS127" s="835">
        <f t="shared" si="142"/>
        <v>0</v>
      </c>
      <c r="BT127" s="835">
        <f t="shared" si="143"/>
        <v>0</v>
      </c>
      <c r="BU127" s="835">
        <f t="shared" si="144"/>
        <v>0</v>
      </c>
      <c r="BV127" s="842"/>
      <c r="BW127" s="835">
        <f t="shared" si="145"/>
        <v>0</v>
      </c>
      <c r="BX127" s="835">
        <f t="shared" si="146"/>
        <v>0</v>
      </c>
      <c r="BY127" s="835">
        <f t="shared" si="147"/>
        <v>0</v>
      </c>
      <c r="BZ127" s="835">
        <f t="shared" si="148"/>
        <v>0</v>
      </c>
      <c r="CA127" s="840"/>
      <c r="CB127" s="835">
        <f t="shared" si="149"/>
        <v>0</v>
      </c>
      <c r="CC127" s="835">
        <f t="shared" si="150"/>
        <v>0</v>
      </c>
      <c r="CD127" s="835">
        <f t="shared" si="151"/>
        <v>0</v>
      </c>
      <c r="CE127" s="835">
        <f t="shared" si="152"/>
        <v>0</v>
      </c>
      <c r="CF127" s="840"/>
      <c r="CG127" s="835">
        <f t="shared" si="153"/>
        <v>0</v>
      </c>
      <c r="CH127" s="835">
        <f t="shared" si="154"/>
        <v>0</v>
      </c>
      <c r="CI127" s="835">
        <f t="shared" si="155"/>
        <v>0</v>
      </c>
      <c r="CJ127" s="835">
        <f t="shared" si="156"/>
        <v>0</v>
      </c>
      <c r="CK127" s="840"/>
      <c r="CL127" s="835">
        <f t="shared" si="157"/>
        <v>0</v>
      </c>
      <c r="CM127" s="835">
        <f t="shared" si="158"/>
        <v>0</v>
      </c>
      <c r="CN127" s="835">
        <f t="shared" si="159"/>
        <v>0</v>
      </c>
      <c r="CO127" s="835">
        <f t="shared" si="160"/>
        <v>0</v>
      </c>
      <c r="CP127" s="840"/>
      <c r="CQ127" s="835">
        <f t="shared" si="161"/>
        <v>0</v>
      </c>
      <c r="CR127" s="835">
        <f t="shared" si="162"/>
        <v>0</v>
      </c>
      <c r="CS127" s="835">
        <f t="shared" si="163"/>
        <v>0</v>
      </c>
      <c r="CT127" s="835">
        <f t="shared" si="164"/>
        <v>0</v>
      </c>
      <c r="CU127" s="842"/>
      <c r="CV127" s="835">
        <f t="shared" si="169"/>
        <v>0</v>
      </c>
      <c r="CW127" s="835">
        <f t="shared" si="169"/>
        <v>0</v>
      </c>
      <c r="CX127" s="835">
        <f t="shared" si="169"/>
        <v>0</v>
      </c>
      <c r="CY127" s="835">
        <f t="shared" si="169"/>
        <v>0</v>
      </c>
      <c r="CZ127" s="842"/>
      <c r="DA127" s="835">
        <f>'1.BS (VND)'!CV101/'1.BC_Ra Soat (ty) '!$C$6</f>
        <v>0</v>
      </c>
      <c r="DB127" s="835">
        <f>'1.BS (VND)'!CW101/'1.BC_Ra Soat (ty) '!$C$6</f>
        <v>0</v>
      </c>
      <c r="DC127" s="835">
        <f>'1.BS (VND)'!CX101/'1.BC_Ra Soat (ty) '!$C$6</f>
        <v>0</v>
      </c>
      <c r="DD127" s="835">
        <f>'1.BS (VND)'!CY101/'1.BC_Ra Soat (ty) '!$C$6</f>
        <v>0</v>
      </c>
      <c r="DE127" s="842"/>
      <c r="DF127" s="835">
        <f t="shared" si="166"/>
        <v>0</v>
      </c>
      <c r="DG127" s="835">
        <f t="shared" si="166"/>
        <v>0</v>
      </c>
      <c r="DH127" s="835">
        <f t="shared" si="166"/>
        <v>0</v>
      </c>
      <c r="DI127" s="835">
        <f t="shared" si="166"/>
        <v>0</v>
      </c>
    </row>
    <row r="128" spans="1:114" s="441" customFormat="1" ht="15.75" hidden="1" x14ac:dyDescent="0.25">
      <c r="A128" s="447" t="str">
        <f t="shared" si="167"/>
        <v>hide</v>
      </c>
      <c r="C128" s="452" t="s">
        <v>462</v>
      </c>
      <c r="D128" s="453" t="s">
        <v>463</v>
      </c>
      <c r="E128" s="835">
        <f>'1.BS (VND)'!E102/$C$6</f>
        <v>0</v>
      </c>
      <c r="F128" s="835">
        <f>'1.BS (VND)'!F102/$C$6</f>
        <v>0</v>
      </c>
      <c r="G128" s="835">
        <f>'1.BS (VND)'!G102/$C$6</f>
        <v>0</v>
      </c>
      <c r="H128" s="835">
        <f>'1.BS (VND)'!H102/$C$6</f>
        <v>0</v>
      </c>
      <c r="I128" s="842"/>
      <c r="J128" s="835">
        <f>'1.BS (VND)'!J102/$C$6</f>
        <v>0</v>
      </c>
      <c r="K128" s="835">
        <f>'1.BS (VND)'!K102/$C$6</f>
        <v>0</v>
      </c>
      <c r="L128" s="835">
        <f>'1.BS (VND)'!L102/$C$6</f>
        <v>0</v>
      </c>
      <c r="M128" s="835">
        <f>'1.BS (VND)'!M102/$C$6</f>
        <v>0</v>
      </c>
      <c r="N128" s="840"/>
      <c r="O128" s="835">
        <f>'1.BS (VND)'!O102/$C$6</f>
        <v>0</v>
      </c>
      <c r="P128" s="835">
        <f>'1.BS (VND)'!P102/$C$6</f>
        <v>0</v>
      </c>
      <c r="Q128" s="835">
        <f>'1.BS (VND)'!Q102/$C$6</f>
        <v>0</v>
      </c>
      <c r="R128" s="835">
        <f>'1.BS (VND)'!R102/$C$6</f>
        <v>0</v>
      </c>
      <c r="S128" s="840"/>
      <c r="T128" s="835">
        <f>'1.BS (VND)'!T102/$C$6</f>
        <v>0</v>
      </c>
      <c r="U128" s="835">
        <f>'1.BS (VND)'!U102/$C$6</f>
        <v>0</v>
      </c>
      <c r="V128" s="835">
        <f>'1.BS (VND)'!V102/$C$6</f>
        <v>0</v>
      </c>
      <c r="W128" s="835">
        <f>'1.BS (VND)'!W102/$C$6</f>
        <v>0</v>
      </c>
      <c r="X128" s="840"/>
      <c r="Y128" s="835">
        <f>'1.BS (VND)'!T102/$C$6</f>
        <v>0</v>
      </c>
      <c r="Z128" s="835">
        <f>'1.BS (VND)'!U102/$C$6</f>
        <v>0</v>
      </c>
      <c r="AA128" s="835">
        <f>'1.BS (VND)'!V102/$C$6</f>
        <v>0</v>
      </c>
      <c r="AB128" s="835">
        <f>'1.BS (VND)'!W102/$C$6</f>
        <v>0</v>
      </c>
      <c r="AC128" s="840"/>
      <c r="AD128" s="835">
        <f>'1.BS (VND)'!AD102/$C$6</f>
        <v>0</v>
      </c>
      <c r="AE128" s="835">
        <f>'1.BS (VND)'!AE102/$C$6</f>
        <v>0</v>
      </c>
      <c r="AF128" s="835">
        <f>'1.BS (VND)'!AF102/$C$6</f>
        <v>0</v>
      </c>
      <c r="AG128" s="835">
        <f>'1.BS (VND)'!AG102/$C$6</f>
        <v>0</v>
      </c>
      <c r="AH128" s="841"/>
      <c r="AI128" s="835">
        <f t="shared" si="168"/>
        <v>0</v>
      </c>
      <c r="AJ128" s="835">
        <f t="shared" si="168"/>
        <v>0</v>
      </c>
      <c r="AK128" s="835">
        <f t="shared" si="168"/>
        <v>0</v>
      </c>
      <c r="AL128" s="835">
        <f t="shared" si="140"/>
        <v>0</v>
      </c>
      <c r="AM128" s="842"/>
      <c r="AN128" s="835">
        <f>'1.BS (VND)'!AI102/$C$6</f>
        <v>0</v>
      </c>
      <c r="AO128" s="835">
        <f>'1.BS (VND)'!AJ102/$C$6</f>
        <v>0</v>
      </c>
      <c r="AP128" s="835">
        <f>'1.BS (VND)'!AK102/$C$6</f>
        <v>0</v>
      </c>
      <c r="AQ128" s="835">
        <f>'1.BS (VND)'!AL102/$C$6</f>
        <v>0</v>
      </c>
      <c r="AR128" s="842"/>
      <c r="AS128" s="835">
        <f>'1.BS (VND)'!AN102/$C$6</f>
        <v>0</v>
      </c>
      <c r="AT128" s="835">
        <f>'1.BS (VND)'!AO102/$C$6</f>
        <v>0</v>
      </c>
      <c r="AU128" s="835">
        <f>'1.BS (VND)'!AP102/$C$6</f>
        <v>0</v>
      </c>
      <c r="AV128" s="835">
        <f>'1.BS (VND)'!AQ102/$C$6</f>
        <v>0</v>
      </c>
      <c r="AW128" s="840"/>
      <c r="AX128" s="835">
        <f>'1.BS (VND)'!AS102/$C$6</f>
        <v>0</v>
      </c>
      <c r="AY128" s="835">
        <f>'1.BS (VND)'!AT102/$C$6</f>
        <v>0</v>
      </c>
      <c r="AZ128" s="835">
        <f>'1.BS (VND)'!AU102/$C$6</f>
        <v>0</v>
      </c>
      <c r="BA128" s="835">
        <f>'1.BS (VND)'!AV102/$C$6</f>
        <v>0</v>
      </c>
      <c r="BB128" s="840"/>
      <c r="BC128" s="835">
        <f>'1.BS (VND)'!AX102/$C$6</f>
        <v>0</v>
      </c>
      <c r="BD128" s="835">
        <f>'1.BS (VND)'!AY102/$C$6</f>
        <v>0</v>
      </c>
      <c r="BE128" s="835">
        <f>'1.BS (VND)'!AZ102/$C$6</f>
        <v>0</v>
      </c>
      <c r="BF128" s="835">
        <f>'1.BS (VND)'!BA102/$C$6</f>
        <v>0</v>
      </c>
      <c r="BG128" s="840"/>
      <c r="BH128" s="835">
        <f>'1.BS (VND)'!BC102/$C$6</f>
        <v>0</v>
      </c>
      <c r="BI128" s="835">
        <f>'1.BS (VND)'!BD102/$C$6</f>
        <v>0</v>
      </c>
      <c r="BJ128" s="835">
        <f>'1.BS (VND)'!BE102/$C$6</f>
        <v>0</v>
      </c>
      <c r="BK128" s="835">
        <f>'1.BS (VND)'!BF102/$C$6</f>
        <v>0</v>
      </c>
      <c r="BL128" s="840"/>
      <c r="BM128" s="835">
        <f>'1.BS (VND)'!BH102/$C$6</f>
        <v>0</v>
      </c>
      <c r="BN128" s="835">
        <f>'1.BS (VND)'!BI102/$C$6</f>
        <v>0</v>
      </c>
      <c r="BO128" s="835">
        <f>'1.BS (VND)'!BJ102/$C$6</f>
        <v>0</v>
      </c>
      <c r="BP128" s="835">
        <f>'1.BS (VND)'!BK102/$C$6</f>
        <v>0</v>
      </c>
      <c r="BQ128" s="841"/>
      <c r="BR128" s="835">
        <f t="shared" si="141"/>
        <v>0</v>
      </c>
      <c r="BS128" s="835">
        <f t="shared" si="142"/>
        <v>0</v>
      </c>
      <c r="BT128" s="835">
        <f t="shared" si="143"/>
        <v>0</v>
      </c>
      <c r="BU128" s="835">
        <f t="shared" si="144"/>
        <v>0</v>
      </c>
      <c r="BV128" s="842"/>
      <c r="BW128" s="835">
        <f t="shared" si="145"/>
        <v>0</v>
      </c>
      <c r="BX128" s="835">
        <f t="shared" si="146"/>
        <v>0</v>
      </c>
      <c r="BY128" s="835">
        <f t="shared" si="147"/>
        <v>0</v>
      </c>
      <c r="BZ128" s="835">
        <f t="shared" si="148"/>
        <v>0</v>
      </c>
      <c r="CA128" s="840"/>
      <c r="CB128" s="835">
        <f t="shared" si="149"/>
        <v>0</v>
      </c>
      <c r="CC128" s="835">
        <f t="shared" si="150"/>
        <v>0</v>
      </c>
      <c r="CD128" s="835">
        <f t="shared" si="151"/>
        <v>0</v>
      </c>
      <c r="CE128" s="835">
        <f t="shared" si="152"/>
        <v>0</v>
      </c>
      <c r="CF128" s="840"/>
      <c r="CG128" s="835">
        <f t="shared" si="153"/>
        <v>0</v>
      </c>
      <c r="CH128" s="835">
        <f t="shared" si="154"/>
        <v>0</v>
      </c>
      <c r="CI128" s="835">
        <f t="shared" si="155"/>
        <v>0</v>
      </c>
      <c r="CJ128" s="835">
        <f t="shared" si="156"/>
        <v>0</v>
      </c>
      <c r="CK128" s="840"/>
      <c r="CL128" s="835">
        <f t="shared" si="157"/>
        <v>0</v>
      </c>
      <c r="CM128" s="835">
        <f t="shared" si="158"/>
        <v>0</v>
      </c>
      <c r="CN128" s="835">
        <f t="shared" si="159"/>
        <v>0</v>
      </c>
      <c r="CO128" s="835">
        <f t="shared" si="160"/>
        <v>0</v>
      </c>
      <c r="CP128" s="840"/>
      <c r="CQ128" s="835">
        <f t="shared" si="161"/>
        <v>0</v>
      </c>
      <c r="CR128" s="835">
        <f t="shared" si="162"/>
        <v>0</v>
      </c>
      <c r="CS128" s="835">
        <f t="shared" si="163"/>
        <v>0</v>
      </c>
      <c r="CT128" s="835">
        <f t="shared" si="164"/>
        <v>0</v>
      </c>
      <c r="CU128" s="842"/>
      <c r="CV128" s="835">
        <f t="shared" si="169"/>
        <v>0</v>
      </c>
      <c r="CW128" s="835">
        <f t="shared" si="169"/>
        <v>0</v>
      </c>
      <c r="CX128" s="835">
        <f t="shared" si="169"/>
        <v>0</v>
      </c>
      <c r="CY128" s="835">
        <f t="shared" si="169"/>
        <v>0</v>
      </c>
      <c r="CZ128" s="842"/>
      <c r="DA128" s="835">
        <f>'1.BS (VND)'!CV102/'1.BC_Ra Soat (ty) '!$C$6</f>
        <v>0</v>
      </c>
      <c r="DB128" s="835">
        <f>'1.BS (VND)'!CW102/'1.BC_Ra Soat (ty) '!$C$6</f>
        <v>0</v>
      </c>
      <c r="DC128" s="835">
        <f>'1.BS (VND)'!CX102/'1.BC_Ra Soat (ty) '!$C$6</f>
        <v>0</v>
      </c>
      <c r="DD128" s="835">
        <f>'1.BS (VND)'!CY102/'1.BC_Ra Soat (ty) '!$C$6</f>
        <v>0</v>
      </c>
      <c r="DE128" s="842"/>
      <c r="DF128" s="835">
        <f t="shared" si="166"/>
        <v>0</v>
      </c>
      <c r="DG128" s="835">
        <f t="shared" si="166"/>
        <v>0</v>
      </c>
      <c r="DH128" s="835">
        <f t="shared" si="166"/>
        <v>0</v>
      </c>
      <c r="DI128" s="835">
        <f t="shared" si="166"/>
        <v>0</v>
      </c>
    </row>
    <row r="129" spans="1:114" s="459" customFormat="1" ht="15.75" x14ac:dyDescent="0.25">
      <c r="A129" s="447">
        <f t="shared" si="167"/>
        <v>1</v>
      </c>
      <c r="C129" s="461" t="s">
        <v>587</v>
      </c>
      <c r="D129" s="462" t="s">
        <v>464</v>
      </c>
      <c r="E129" s="963">
        <f>'1.BS (VND)'!E103/$C$6</f>
        <v>29.869827982</v>
      </c>
      <c r="F129" s="963">
        <f>'1.BS (VND)'!F103/$C$6</f>
        <v>29.620862435999999</v>
      </c>
      <c r="G129" s="963">
        <f>'1.BS (VND)'!G103/$C$6</f>
        <v>49.807530759999999</v>
      </c>
      <c r="H129" s="963">
        <f>'1.BS (VND)'!H103/$C$6</f>
        <v>49.807530759999999</v>
      </c>
      <c r="I129" s="964"/>
      <c r="J129" s="963">
        <f>'1.BS (VND)'!J103/$C$6</f>
        <v>4.0594891510000002</v>
      </c>
      <c r="K129" s="963">
        <f>'1.BS (VND)'!K103/$C$6</f>
        <v>14.207961784</v>
      </c>
      <c r="L129" s="963">
        <f>'1.BS (VND)'!L103/$C$6</f>
        <v>8.9140842520000003</v>
      </c>
      <c r="M129" s="963">
        <f>'1.BS (VND)'!M103/$C$6</f>
        <v>8.9140842520000003</v>
      </c>
      <c r="N129" s="965"/>
      <c r="O129" s="963">
        <f>'1.BS (VND)'!O103/$C$6</f>
        <v>3.3932365400000002</v>
      </c>
      <c r="P129" s="963">
        <f>'1.BS (VND)'!P103/$C$6</f>
        <v>3.332960398</v>
      </c>
      <c r="Q129" s="963">
        <f>'1.BS (VND)'!Q103/$C$6</f>
        <v>14.362107787999999</v>
      </c>
      <c r="R129" s="963">
        <f>'1.BS (VND)'!R103/$C$6</f>
        <v>10.912639244999999</v>
      </c>
      <c r="S129" s="965"/>
      <c r="T129" s="963">
        <f>'1.BS (VND)'!T103/$C$6</f>
        <v>17.694016391000002</v>
      </c>
      <c r="U129" s="963">
        <f>'1.BS (VND)'!U103/$C$6</f>
        <v>17.714977531999999</v>
      </c>
      <c r="V129" s="963">
        <f>'1.BS (VND)'!V103/$C$6</f>
        <v>15.77641515</v>
      </c>
      <c r="W129" s="963">
        <f>'1.BS (VND)'!W103/$C$6</f>
        <v>13.799267853</v>
      </c>
      <c r="X129" s="965"/>
      <c r="Y129" s="963">
        <f>'1.BS (VND)'!Y103/$C$6</f>
        <v>0</v>
      </c>
      <c r="Z129" s="963">
        <f>'1.BS (VND)'!Z103/$C$6</f>
        <v>0</v>
      </c>
      <c r="AA129" s="963">
        <f>'1.BS (VND)'!AA103/$C$6</f>
        <v>0</v>
      </c>
      <c r="AB129" s="963">
        <f>'1.BS (VND)'!AB103/$C$6</f>
        <v>0</v>
      </c>
      <c r="AC129" s="965"/>
      <c r="AD129" s="963">
        <f>'1.BS (VND)'!AD103/$C$6</f>
        <v>0</v>
      </c>
      <c r="AE129" s="963">
        <f>'1.BS (VND)'!AE103/$C$6</f>
        <v>0</v>
      </c>
      <c r="AF129" s="963">
        <f>'1.BS (VND)'!AF103/$C$6</f>
        <v>0</v>
      </c>
      <c r="AG129" s="963">
        <f>'1.BS (VND)'!AG103/$C$6</f>
        <v>0</v>
      </c>
      <c r="AH129" s="966"/>
      <c r="AI129" s="963">
        <f t="shared" si="168"/>
        <v>55.016570064000007</v>
      </c>
      <c r="AJ129" s="963">
        <f t="shared" si="168"/>
        <v>64.87676214999999</v>
      </c>
      <c r="AK129" s="963">
        <f t="shared" si="168"/>
        <v>88.860137950000009</v>
      </c>
      <c r="AL129" s="963">
        <f t="shared" si="140"/>
        <v>83.433522109999998</v>
      </c>
      <c r="AM129" s="964"/>
      <c r="AN129" s="963">
        <f>'1.BS (VND)'!AI103/$C$6</f>
        <v>0</v>
      </c>
      <c r="AO129" s="963">
        <f>'1.BS (VND)'!AJ103/$C$6</f>
        <v>0</v>
      </c>
      <c r="AP129" s="963">
        <f>'1.BS (VND)'!AK103/$C$6</f>
        <v>-10.749717626000001</v>
      </c>
      <c r="AQ129" s="963">
        <f>'1.BS (VND)'!AL103/$C$6</f>
        <v>-15.373321514000001</v>
      </c>
      <c r="AR129" s="964"/>
      <c r="AS129" s="963">
        <f>'1.BS (VND)'!AN103/$C$6</f>
        <v>0</v>
      </c>
      <c r="AT129" s="963">
        <f>'1.BS (VND)'!AO103/$C$6</f>
        <v>0</v>
      </c>
      <c r="AU129" s="963">
        <f>'1.BS (VND)'!AP103/$C$6</f>
        <v>-0.74154054899999999</v>
      </c>
      <c r="AV129" s="963">
        <f>'1.BS (VND)'!AQ103/$C$6</f>
        <v>-0.74154054899999999</v>
      </c>
      <c r="AW129" s="965"/>
      <c r="AX129" s="963">
        <f>'1.BS (VND)'!AS103/$C$6</f>
        <v>0</v>
      </c>
      <c r="AY129" s="963">
        <f>'1.BS (VND)'!AT103/$C$6</f>
        <v>0</v>
      </c>
      <c r="AZ129" s="963">
        <f>'1.BS (VND)'!AU103/$C$6</f>
        <v>-0.84688822900000005</v>
      </c>
      <c r="BA129" s="963">
        <f>'1.BS (VND)'!AV103/$C$6</f>
        <v>-5.7968882290000003</v>
      </c>
      <c r="BB129" s="965"/>
      <c r="BC129" s="963">
        <f>'1.BS (VND)'!AX103/$C$6</f>
        <v>0</v>
      </c>
      <c r="BD129" s="963">
        <f>'1.BS (VND)'!AY103/$C$6</f>
        <v>0</v>
      </c>
      <c r="BE129" s="963">
        <f>'1.BS (VND)'!AZ103/$C$6</f>
        <v>-1.2623553489999999</v>
      </c>
      <c r="BF129" s="963">
        <f>'1.BS (VND)'!BA103/$C$6</f>
        <v>-6.2623553489999999</v>
      </c>
      <c r="BG129" s="965"/>
      <c r="BH129" s="963">
        <f>'1.BS (VND)'!BC103/$C$6</f>
        <v>0</v>
      </c>
      <c r="BI129" s="963">
        <f>'1.BS (VND)'!BD103/$C$6</f>
        <v>0</v>
      </c>
      <c r="BJ129" s="963">
        <f>'1.BS (VND)'!BE103/$C$6</f>
        <v>0</v>
      </c>
      <c r="BK129" s="963">
        <f>'1.BS (VND)'!BF103/$C$6</f>
        <v>0</v>
      </c>
      <c r="BL129" s="965"/>
      <c r="BM129" s="963">
        <f>'1.BS (VND)'!BH103/$C$6</f>
        <v>0</v>
      </c>
      <c r="BN129" s="963">
        <f>'1.BS (VND)'!BI103/$C$6</f>
        <v>0</v>
      </c>
      <c r="BO129" s="963">
        <f>'1.BS (VND)'!BJ103/$C$6</f>
        <v>0</v>
      </c>
      <c r="BP129" s="963">
        <f>'1.BS (VND)'!BK103/$C$6</f>
        <v>0</v>
      </c>
      <c r="BQ129" s="966"/>
      <c r="BR129" s="963">
        <f t="shared" si="141"/>
        <v>29.869827982</v>
      </c>
      <c r="BS129" s="963">
        <f t="shared" si="142"/>
        <v>29.620862435999999</v>
      </c>
      <c r="BT129" s="963">
        <f t="shared" si="143"/>
        <v>39.057813134</v>
      </c>
      <c r="BU129" s="963">
        <f t="shared" si="144"/>
        <v>34.434209245999995</v>
      </c>
      <c r="BV129" s="964"/>
      <c r="BW129" s="963">
        <f t="shared" si="145"/>
        <v>4.0594891510000002</v>
      </c>
      <c r="BX129" s="963">
        <f t="shared" si="146"/>
        <v>14.207961784</v>
      </c>
      <c r="BY129" s="963">
        <f t="shared" si="147"/>
        <v>8.1725437030000005</v>
      </c>
      <c r="BZ129" s="963">
        <f t="shared" si="148"/>
        <v>8.1725437030000005</v>
      </c>
      <c r="CA129" s="965"/>
      <c r="CB129" s="963">
        <f t="shared" si="149"/>
        <v>3.3932365400000002</v>
      </c>
      <c r="CC129" s="963">
        <f t="shared" si="150"/>
        <v>3.332960398</v>
      </c>
      <c r="CD129" s="963">
        <f t="shared" si="151"/>
        <v>13.515219559</v>
      </c>
      <c r="CE129" s="963">
        <f t="shared" si="152"/>
        <v>5.115751015999999</v>
      </c>
      <c r="CF129" s="965"/>
      <c r="CG129" s="963">
        <f t="shared" si="153"/>
        <v>17.694016391000002</v>
      </c>
      <c r="CH129" s="963">
        <f t="shared" si="154"/>
        <v>17.714977531999999</v>
      </c>
      <c r="CI129" s="963">
        <f t="shared" si="155"/>
        <v>14.514059801</v>
      </c>
      <c r="CJ129" s="963">
        <f t="shared" si="156"/>
        <v>7.536912504</v>
      </c>
      <c r="CK129" s="965"/>
      <c r="CL129" s="963">
        <f t="shared" si="157"/>
        <v>0</v>
      </c>
      <c r="CM129" s="963">
        <f t="shared" si="158"/>
        <v>0</v>
      </c>
      <c r="CN129" s="963">
        <f t="shared" si="159"/>
        <v>0</v>
      </c>
      <c r="CO129" s="963">
        <f t="shared" si="160"/>
        <v>0</v>
      </c>
      <c r="CP129" s="965"/>
      <c r="CQ129" s="963">
        <f t="shared" si="161"/>
        <v>0</v>
      </c>
      <c r="CR129" s="963">
        <f t="shared" si="162"/>
        <v>0</v>
      </c>
      <c r="CS129" s="963">
        <f t="shared" si="163"/>
        <v>0</v>
      </c>
      <c r="CT129" s="963">
        <f t="shared" si="164"/>
        <v>0</v>
      </c>
      <c r="CU129" s="964"/>
      <c r="CV129" s="963">
        <f t="shared" si="169"/>
        <v>55.016570064000007</v>
      </c>
      <c r="CW129" s="963">
        <f t="shared" si="169"/>
        <v>64.87676214999999</v>
      </c>
      <c r="CX129" s="963">
        <f t="shared" si="169"/>
        <v>75.259636197000006</v>
      </c>
      <c r="CY129" s="963">
        <f t="shared" si="169"/>
        <v>55.259416468999994</v>
      </c>
      <c r="CZ129" s="964"/>
      <c r="DA129" s="963">
        <f>'1.BS (VND)'!CV103/'1.BC_Ra Soat (ty) '!$C$6</f>
        <v>0</v>
      </c>
      <c r="DB129" s="963">
        <f>'1.BS (VND)'!CW103/'1.BC_Ra Soat (ty) '!$C$6</f>
        <v>0</v>
      </c>
      <c r="DC129" s="963">
        <f>'1.BS (VND)'!CX103/'1.BC_Ra Soat (ty) '!$C$6</f>
        <v>0</v>
      </c>
      <c r="DD129" s="963">
        <f>'1.BS (VND)'!CY103/'1.BC_Ra Soat (ty) '!$C$6</f>
        <v>0</v>
      </c>
      <c r="DE129" s="964"/>
      <c r="DF129" s="963">
        <f t="shared" si="166"/>
        <v>55.016570064000007</v>
      </c>
      <c r="DG129" s="963">
        <f t="shared" si="166"/>
        <v>64.87676214999999</v>
      </c>
      <c r="DH129" s="963">
        <f t="shared" si="166"/>
        <v>75.259636197000006</v>
      </c>
      <c r="DI129" s="963">
        <f t="shared" si="166"/>
        <v>55.259416468999994</v>
      </c>
      <c r="DJ129" s="460"/>
    </row>
    <row r="130" spans="1:114" s="447" customFormat="1" ht="15.75" x14ac:dyDescent="0.25">
      <c r="A130" s="447">
        <f t="shared" si="167"/>
        <v>1</v>
      </c>
      <c r="C130" s="450" t="s">
        <v>465</v>
      </c>
      <c r="D130" s="451" t="s">
        <v>466</v>
      </c>
      <c r="E130" s="849">
        <f>'1.BS (VND)'!E104/$C$6</f>
        <v>29.869827982</v>
      </c>
      <c r="F130" s="849">
        <f>'1.BS (VND)'!F104/$C$6</f>
        <v>29.620862435999999</v>
      </c>
      <c r="G130" s="849">
        <f>'1.BS (VND)'!G104/$C$6</f>
        <v>49.807530759999999</v>
      </c>
      <c r="H130" s="849">
        <f>'1.BS (VND)'!H104/$C$6</f>
        <v>49.807530759999999</v>
      </c>
      <c r="I130" s="852"/>
      <c r="J130" s="849">
        <f>'1.BS (VND)'!J104/$C$6</f>
        <v>4.0594891510000002</v>
      </c>
      <c r="K130" s="849">
        <f>'1.BS (VND)'!K104/$C$6</f>
        <v>14.207961784</v>
      </c>
      <c r="L130" s="849">
        <f>'1.BS (VND)'!L104/$C$6</f>
        <v>8.9140842520000003</v>
      </c>
      <c r="M130" s="849">
        <f>'1.BS (VND)'!M104/$C$6</f>
        <v>8.9140842520000003</v>
      </c>
      <c r="N130" s="850"/>
      <c r="O130" s="849">
        <f>'1.BS (VND)'!O104/$C$6</f>
        <v>3.3932365400000002</v>
      </c>
      <c r="P130" s="849">
        <f>'1.BS (VND)'!P104/$C$6</f>
        <v>3.332960398</v>
      </c>
      <c r="Q130" s="849">
        <f>'1.BS (VND)'!Q104/$C$6</f>
        <v>14.362107787999999</v>
      </c>
      <c r="R130" s="849">
        <f>'1.BS (VND)'!R104/$C$6</f>
        <v>10.912639244999999</v>
      </c>
      <c r="S130" s="850"/>
      <c r="T130" s="849">
        <f>'1.BS (VND)'!T104/$C$6</f>
        <v>17.694016391000002</v>
      </c>
      <c r="U130" s="849">
        <f>'1.BS (VND)'!U104/$C$6</f>
        <v>17.714977531999999</v>
      </c>
      <c r="V130" s="849">
        <f>'1.BS (VND)'!V104/$C$6</f>
        <v>15.77641515</v>
      </c>
      <c r="W130" s="849">
        <f>'1.BS (VND)'!W104/$C$6</f>
        <v>13.799267853</v>
      </c>
      <c r="X130" s="850"/>
      <c r="Y130" s="849">
        <f>'1.BS (VND)'!Y104/$C$6</f>
        <v>0</v>
      </c>
      <c r="Z130" s="849">
        <f>'1.BS (VND)'!Z104/$C$6</f>
        <v>0</v>
      </c>
      <c r="AA130" s="849">
        <f>'1.BS (VND)'!AA104/$C$6</f>
        <v>0</v>
      </c>
      <c r="AB130" s="849">
        <f>'1.BS (VND)'!AB104/$C$6</f>
        <v>0</v>
      </c>
      <c r="AC130" s="850"/>
      <c r="AD130" s="849">
        <f>'1.BS (VND)'!AD104/$C$6</f>
        <v>0</v>
      </c>
      <c r="AE130" s="849">
        <f>'1.BS (VND)'!AE104/$C$6</f>
        <v>0</v>
      </c>
      <c r="AF130" s="849">
        <f>'1.BS (VND)'!AF104/$C$6</f>
        <v>0</v>
      </c>
      <c r="AG130" s="849">
        <f>'1.BS (VND)'!AG104/$C$6</f>
        <v>0</v>
      </c>
      <c r="AH130" s="851"/>
      <c r="AI130" s="849">
        <f t="shared" si="168"/>
        <v>55.016570064000007</v>
      </c>
      <c r="AJ130" s="849">
        <f t="shared" si="168"/>
        <v>64.87676214999999</v>
      </c>
      <c r="AK130" s="849">
        <f t="shared" si="168"/>
        <v>88.860137950000009</v>
      </c>
      <c r="AL130" s="849">
        <f t="shared" si="140"/>
        <v>83.433522109999998</v>
      </c>
      <c r="AM130" s="852"/>
      <c r="AN130" s="849">
        <f>'1.BS (VND)'!AI104/$C$6</f>
        <v>0</v>
      </c>
      <c r="AO130" s="849">
        <f>'1.BS (VND)'!AJ104/$C$6</f>
        <v>0</v>
      </c>
      <c r="AP130" s="849">
        <f>'1.BS (VND)'!AK104/$C$6</f>
        <v>-10.749717626000001</v>
      </c>
      <c r="AQ130" s="849">
        <f>'1.BS (VND)'!AL104/$C$6</f>
        <v>-15.373321514000001</v>
      </c>
      <c r="AR130" s="852"/>
      <c r="AS130" s="849">
        <f>'1.BS (VND)'!AN104/$C$6</f>
        <v>0</v>
      </c>
      <c r="AT130" s="849">
        <f>'1.BS (VND)'!AO104/$C$6</f>
        <v>0</v>
      </c>
      <c r="AU130" s="849">
        <f>'1.BS (VND)'!AP104/$C$6</f>
        <v>-0.74154054899999999</v>
      </c>
      <c r="AV130" s="849">
        <f>'1.BS (VND)'!AQ104/$C$6</f>
        <v>-0.74154054899999999</v>
      </c>
      <c r="AW130" s="850"/>
      <c r="AX130" s="849">
        <f>'1.BS (VND)'!AS104/$C$6</f>
        <v>0</v>
      </c>
      <c r="AY130" s="849">
        <f>'1.BS (VND)'!AT104/$C$6</f>
        <v>0</v>
      </c>
      <c r="AZ130" s="849">
        <f>'1.BS (VND)'!AU104/$C$6</f>
        <v>-0.84688822900000005</v>
      </c>
      <c r="BA130" s="849">
        <f>'1.BS (VND)'!AV104/$C$6</f>
        <v>-5.7968882290000003</v>
      </c>
      <c r="BB130" s="850"/>
      <c r="BC130" s="849">
        <f>'1.BS (VND)'!AX104/$C$6</f>
        <v>0</v>
      </c>
      <c r="BD130" s="849">
        <f>'1.BS (VND)'!AY104/$C$6</f>
        <v>0</v>
      </c>
      <c r="BE130" s="849">
        <f>'1.BS (VND)'!AZ104/$C$6</f>
        <v>-1.2623553489999999</v>
      </c>
      <c r="BF130" s="849">
        <f>'1.BS (VND)'!BA104/$C$6</f>
        <v>-6.2623553489999999</v>
      </c>
      <c r="BG130" s="850"/>
      <c r="BH130" s="849">
        <f>'1.BS (VND)'!BC104/$C$6</f>
        <v>0</v>
      </c>
      <c r="BI130" s="849">
        <f>'1.BS (VND)'!BD104/$C$6</f>
        <v>0</v>
      </c>
      <c r="BJ130" s="849">
        <f>'1.BS (VND)'!BE104/$C$6</f>
        <v>0</v>
      </c>
      <c r="BK130" s="849">
        <f>'1.BS (VND)'!BF104/$C$6</f>
        <v>0</v>
      </c>
      <c r="BL130" s="850"/>
      <c r="BM130" s="849">
        <f>'1.BS (VND)'!BH104/$C$6</f>
        <v>0</v>
      </c>
      <c r="BN130" s="849">
        <f>'1.BS (VND)'!BI104/$C$6</f>
        <v>0</v>
      </c>
      <c r="BO130" s="849">
        <f>'1.BS (VND)'!BJ104/$C$6</f>
        <v>0</v>
      </c>
      <c r="BP130" s="849">
        <f>'1.BS (VND)'!BK104/$C$6</f>
        <v>0</v>
      </c>
      <c r="BQ130" s="851"/>
      <c r="BR130" s="849">
        <f t="shared" si="141"/>
        <v>29.869827982</v>
      </c>
      <c r="BS130" s="849">
        <f t="shared" si="142"/>
        <v>29.620862435999999</v>
      </c>
      <c r="BT130" s="849">
        <f t="shared" si="143"/>
        <v>39.057813134</v>
      </c>
      <c r="BU130" s="849">
        <f t="shared" si="144"/>
        <v>34.434209245999995</v>
      </c>
      <c r="BV130" s="852"/>
      <c r="BW130" s="849">
        <f t="shared" si="145"/>
        <v>4.0594891510000002</v>
      </c>
      <c r="BX130" s="849">
        <f t="shared" si="146"/>
        <v>14.207961784</v>
      </c>
      <c r="BY130" s="849">
        <f t="shared" si="147"/>
        <v>8.1725437030000005</v>
      </c>
      <c r="BZ130" s="849">
        <f t="shared" si="148"/>
        <v>8.1725437030000005</v>
      </c>
      <c r="CA130" s="850"/>
      <c r="CB130" s="849">
        <f t="shared" si="149"/>
        <v>3.3932365400000002</v>
      </c>
      <c r="CC130" s="849">
        <f t="shared" si="150"/>
        <v>3.332960398</v>
      </c>
      <c r="CD130" s="849">
        <f t="shared" si="151"/>
        <v>13.515219559</v>
      </c>
      <c r="CE130" s="849">
        <f t="shared" si="152"/>
        <v>5.115751015999999</v>
      </c>
      <c r="CF130" s="850"/>
      <c r="CG130" s="849">
        <f t="shared" si="153"/>
        <v>17.694016391000002</v>
      </c>
      <c r="CH130" s="849">
        <f t="shared" si="154"/>
        <v>17.714977531999999</v>
      </c>
      <c r="CI130" s="849">
        <f t="shared" si="155"/>
        <v>14.514059801</v>
      </c>
      <c r="CJ130" s="849">
        <f t="shared" si="156"/>
        <v>7.536912504</v>
      </c>
      <c r="CK130" s="850"/>
      <c r="CL130" s="849">
        <f t="shared" si="157"/>
        <v>0</v>
      </c>
      <c r="CM130" s="849">
        <f t="shared" si="158"/>
        <v>0</v>
      </c>
      <c r="CN130" s="849">
        <f t="shared" si="159"/>
        <v>0</v>
      </c>
      <c r="CO130" s="849">
        <f t="shared" si="160"/>
        <v>0</v>
      </c>
      <c r="CP130" s="850"/>
      <c r="CQ130" s="849">
        <f t="shared" si="161"/>
        <v>0</v>
      </c>
      <c r="CR130" s="849">
        <f t="shared" si="162"/>
        <v>0</v>
      </c>
      <c r="CS130" s="849">
        <f t="shared" si="163"/>
        <v>0</v>
      </c>
      <c r="CT130" s="849">
        <f t="shared" si="164"/>
        <v>0</v>
      </c>
      <c r="CU130" s="852"/>
      <c r="CV130" s="849">
        <f t="shared" si="169"/>
        <v>55.016570064000007</v>
      </c>
      <c r="CW130" s="849">
        <f t="shared" si="169"/>
        <v>64.87676214999999</v>
      </c>
      <c r="CX130" s="849">
        <f t="shared" si="169"/>
        <v>75.259636197000006</v>
      </c>
      <c r="CY130" s="849">
        <f t="shared" si="169"/>
        <v>55.259416468999994</v>
      </c>
      <c r="CZ130" s="852"/>
      <c r="DA130" s="849">
        <f>'1.BS (VND)'!CV104/'1.BC_Ra Soat (ty) '!$C$6</f>
        <v>0</v>
      </c>
      <c r="DB130" s="849">
        <f>'1.BS (VND)'!CW104/'1.BC_Ra Soat (ty) '!$C$6</f>
        <v>0</v>
      </c>
      <c r="DC130" s="849">
        <f>'1.BS (VND)'!CX104/'1.BC_Ra Soat (ty) '!$C$6</f>
        <v>0</v>
      </c>
      <c r="DD130" s="849">
        <f>'1.BS (VND)'!CY104/'1.BC_Ra Soat (ty) '!$C$6</f>
        <v>0</v>
      </c>
      <c r="DE130" s="852"/>
      <c r="DF130" s="849">
        <f t="shared" si="166"/>
        <v>55.016570064000007</v>
      </c>
      <c r="DG130" s="849">
        <f t="shared" si="166"/>
        <v>64.87676214999999</v>
      </c>
      <c r="DH130" s="849">
        <f t="shared" si="166"/>
        <v>75.259636197000006</v>
      </c>
      <c r="DI130" s="849">
        <f t="shared" si="166"/>
        <v>55.259416468999994</v>
      </c>
      <c r="DJ130" s="444"/>
    </row>
    <row r="131" spans="1:114" s="441" customFormat="1" ht="15.75" x14ac:dyDescent="0.25">
      <c r="A131" s="447">
        <f t="shared" si="167"/>
        <v>1</v>
      </c>
      <c r="C131" s="452" t="s">
        <v>467</v>
      </c>
      <c r="D131" s="453" t="s">
        <v>468</v>
      </c>
      <c r="E131" s="835">
        <f>'1.BS (VND)'!E105/$C$6</f>
        <v>30</v>
      </c>
      <c r="F131" s="835">
        <f>'1.BS (VND)'!F105/$C$6</f>
        <v>30</v>
      </c>
      <c r="G131" s="835">
        <f>'1.BS (VND)'!G105/$C$6</f>
        <v>50</v>
      </c>
      <c r="H131" s="835">
        <f>'1.BS (VND)'!H105/$C$6</f>
        <v>50</v>
      </c>
      <c r="I131" s="842"/>
      <c r="J131" s="835">
        <f>'1.BS (VND)'!J105/$C$6</f>
        <v>2</v>
      </c>
      <c r="K131" s="835">
        <f>'1.BS (VND)'!K105/$C$6</f>
        <v>14</v>
      </c>
      <c r="L131" s="835">
        <f>'1.BS (VND)'!L105/$C$6</f>
        <v>14</v>
      </c>
      <c r="M131" s="835">
        <f>'1.BS (VND)'!M105/$C$6</f>
        <v>14</v>
      </c>
      <c r="N131" s="840"/>
      <c r="O131" s="835">
        <f>'1.BS (VND)'!O105/$C$6</f>
        <v>4</v>
      </c>
      <c r="P131" s="835">
        <f>'1.BS (VND)'!P105/$C$6</f>
        <v>4</v>
      </c>
      <c r="Q131" s="835">
        <f>'1.BS (VND)'!Q105/$C$6</f>
        <v>15</v>
      </c>
      <c r="R131" s="835">
        <f>'1.BS (VND)'!R105/$C$6</f>
        <v>15</v>
      </c>
      <c r="S131" s="840"/>
      <c r="T131" s="835">
        <f>'1.BS (VND)'!T105/$C$6</f>
        <v>18</v>
      </c>
      <c r="U131" s="835">
        <f>'1.BS (VND)'!U105/$C$6</f>
        <v>18</v>
      </c>
      <c r="V131" s="835">
        <f>'1.BS (VND)'!V105/$C$6</f>
        <v>18</v>
      </c>
      <c r="W131" s="835">
        <f>'1.BS (VND)'!W105/$C$6</f>
        <v>18</v>
      </c>
      <c r="X131" s="840"/>
      <c r="Y131" s="835">
        <f>'1.BS (VND)'!Y106</f>
        <v>0</v>
      </c>
      <c r="Z131" s="835">
        <f>'1.BS (VND)'!Z106</f>
        <v>0</v>
      </c>
      <c r="AA131" s="835">
        <f>'1.BS (VND)'!AA106</f>
        <v>0</v>
      </c>
      <c r="AB131" s="835">
        <f>'1.BS (VND)'!AB106</f>
        <v>0</v>
      </c>
      <c r="AC131" s="840"/>
      <c r="AD131" s="835">
        <f>'1.BS (VND)'!AD105/$C$6</f>
        <v>0</v>
      </c>
      <c r="AE131" s="835">
        <f>'1.BS (VND)'!AE105/$C$6</f>
        <v>0</v>
      </c>
      <c r="AF131" s="835">
        <f>'1.BS (VND)'!AF105/$C$6</f>
        <v>0</v>
      </c>
      <c r="AG131" s="835">
        <f>'1.BS (VND)'!AG105/$C$6</f>
        <v>0</v>
      </c>
      <c r="AH131" s="841"/>
      <c r="AI131" s="835">
        <f t="shared" si="168"/>
        <v>54</v>
      </c>
      <c r="AJ131" s="835">
        <f t="shared" si="168"/>
        <v>66</v>
      </c>
      <c r="AK131" s="835">
        <f t="shared" si="168"/>
        <v>97</v>
      </c>
      <c r="AL131" s="835">
        <f t="shared" si="140"/>
        <v>97</v>
      </c>
      <c r="AM131" s="852"/>
      <c r="AN131" s="835">
        <f>'1.BS (VND)'!AI105/$C$6</f>
        <v>0</v>
      </c>
      <c r="AO131" s="835">
        <f>'1.BS (VND)'!AJ105/$C$6</f>
        <v>0</v>
      </c>
      <c r="AP131" s="835">
        <f>'1.BS (VND)'!AK105/$C$6</f>
        <v>0</v>
      </c>
      <c r="AQ131" s="835">
        <f>'1.BS (VND)'!AL105/$C$6</f>
        <v>0</v>
      </c>
      <c r="AR131" s="842"/>
      <c r="AS131" s="835">
        <f>'1.BS (VND)'!AN105/$C$6</f>
        <v>0</v>
      </c>
      <c r="AT131" s="835">
        <f>'1.BS (VND)'!AO105/$C$6</f>
        <v>0</v>
      </c>
      <c r="AU131" s="835">
        <f>'1.BS (VND)'!AP105/$C$6</f>
        <v>0</v>
      </c>
      <c r="AV131" s="835">
        <f>'1.BS (VND)'!AQ105/$C$6</f>
        <v>0</v>
      </c>
      <c r="AW131" s="840"/>
      <c r="AX131" s="835">
        <f>'1.BS (VND)'!AS105/$C$6</f>
        <v>0</v>
      </c>
      <c r="AY131" s="835">
        <f>'1.BS (VND)'!AT105/$C$6</f>
        <v>0</v>
      </c>
      <c r="AZ131" s="835">
        <f>'1.BS (VND)'!AU105/$C$6</f>
        <v>0</v>
      </c>
      <c r="BA131" s="835">
        <f>'1.BS (VND)'!AV105/$C$6</f>
        <v>0</v>
      </c>
      <c r="BB131" s="840"/>
      <c r="BC131" s="835">
        <f>'1.BS (VND)'!AX105/$C$6</f>
        <v>0</v>
      </c>
      <c r="BD131" s="835">
        <f>'1.BS (VND)'!AY105/$C$6</f>
        <v>0</v>
      </c>
      <c r="BE131" s="835">
        <f>'1.BS (VND)'!AZ105/$C$6</f>
        <v>0</v>
      </c>
      <c r="BF131" s="835">
        <f>'1.BS (VND)'!BA105/$C$6</f>
        <v>0</v>
      </c>
      <c r="BG131" s="840"/>
      <c r="BH131" s="835">
        <f>'1.BS (VND)'!BC105/$C$6</f>
        <v>0</v>
      </c>
      <c r="BI131" s="835">
        <f>'1.BS (VND)'!BD105/$C$6</f>
        <v>0</v>
      </c>
      <c r="BJ131" s="835">
        <f>'1.BS (VND)'!BE105/$C$6</f>
        <v>0</v>
      </c>
      <c r="BK131" s="835">
        <f>'1.BS (VND)'!BF105/$C$6</f>
        <v>0</v>
      </c>
      <c r="BL131" s="840"/>
      <c r="BM131" s="835">
        <f>'1.BS (VND)'!BH105/$C$6</f>
        <v>0</v>
      </c>
      <c r="BN131" s="835">
        <f>'1.BS (VND)'!BI105/$C$6</f>
        <v>0</v>
      </c>
      <c r="BO131" s="835">
        <f>'1.BS (VND)'!BJ105/$C$6</f>
        <v>0</v>
      </c>
      <c r="BP131" s="835">
        <f>'1.BS (VND)'!BK105/$C$6</f>
        <v>0</v>
      </c>
      <c r="BQ131" s="841"/>
      <c r="BR131" s="835">
        <f t="shared" ref="BR131:BR150" si="170">E131+AN131</f>
        <v>30</v>
      </c>
      <c r="BS131" s="835">
        <f t="shared" ref="BS131:BS150" si="171">F131+AO131</f>
        <v>30</v>
      </c>
      <c r="BT131" s="835">
        <f t="shared" ref="BT131:BT150" si="172">G131+AP131</f>
        <v>50</v>
      </c>
      <c r="BU131" s="835">
        <f t="shared" ref="BU131:BU150" si="173">H131+AQ131</f>
        <v>50</v>
      </c>
      <c r="BV131" s="842"/>
      <c r="BW131" s="835">
        <f t="shared" ref="BW131:BW150" si="174">J131+AS131</f>
        <v>2</v>
      </c>
      <c r="BX131" s="835">
        <f t="shared" ref="BX131:BX150" si="175">K131+AT131</f>
        <v>14</v>
      </c>
      <c r="BY131" s="835">
        <f t="shared" ref="BY131:BY150" si="176">L131+AU131</f>
        <v>14</v>
      </c>
      <c r="BZ131" s="835">
        <f t="shared" ref="BZ131:BZ150" si="177">M131+AV131</f>
        <v>14</v>
      </c>
      <c r="CA131" s="840"/>
      <c r="CB131" s="835">
        <f t="shared" ref="CB131:CB150" si="178">O131+AX131</f>
        <v>4</v>
      </c>
      <c r="CC131" s="835">
        <f t="shared" ref="CC131:CC150" si="179">P131+AY131</f>
        <v>4</v>
      </c>
      <c r="CD131" s="835">
        <f t="shared" ref="CD131:CD150" si="180">Q131+AZ131</f>
        <v>15</v>
      </c>
      <c r="CE131" s="835">
        <f t="shared" ref="CE131:CE150" si="181">R131+BA131</f>
        <v>15</v>
      </c>
      <c r="CF131" s="840"/>
      <c r="CG131" s="835">
        <f t="shared" ref="CG131:CG150" si="182">T131+BC131</f>
        <v>18</v>
      </c>
      <c r="CH131" s="835">
        <f t="shared" ref="CH131:CH150" si="183">U131+BD131</f>
        <v>18</v>
      </c>
      <c r="CI131" s="835">
        <f t="shared" ref="CI131:CI150" si="184">V131+BE131</f>
        <v>18</v>
      </c>
      <c r="CJ131" s="835">
        <f t="shared" ref="CJ131:CJ150" si="185">W131+BF131</f>
        <v>18</v>
      </c>
      <c r="CK131" s="840"/>
      <c r="CL131" s="835">
        <f t="shared" ref="CL131:CL150" si="186">Y131+BH131</f>
        <v>0</v>
      </c>
      <c r="CM131" s="835">
        <f t="shared" ref="CM131:CM150" si="187">Z131+BI131</f>
        <v>0</v>
      </c>
      <c r="CN131" s="835">
        <f t="shared" ref="CN131:CN150" si="188">AA131+BJ131</f>
        <v>0</v>
      </c>
      <c r="CO131" s="835">
        <f t="shared" ref="CO131:CO150" si="189">AB131+BK131</f>
        <v>0</v>
      </c>
      <c r="CP131" s="840"/>
      <c r="CQ131" s="835">
        <f t="shared" ref="CQ131:CQ150" si="190">AD131+BM131</f>
        <v>0</v>
      </c>
      <c r="CR131" s="835">
        <f t="shared" ref="CR131:CR150" si="191">AE131+BN131</f>
        <v>0</v>
      </c>
      <c r="CS131" s="835">
        <f t="shared" ref="CS131:CS150" si="192">AF131+BO131</f>
        <v>0</v>
      </c>
      <c r="CT131" s="835">
        <f t="shared" ref="CT131:CT150" si="193">AG131+BP131</f>
        <v>0</v>
      </c>
      <c r="CU131" s="842"/>
      <c r="CV131" s="835">
        <f t="shared" si="169"/>
        <v>54</v>
      </c>
      <c r="CW131" s="835">
        <f t="shared" si="169"/>
        <v>66</v>
      </c>
      <c r="CX131" s="835">
        <f t="shared" si="169"/>
        <v>97</v>
      </c>
      <c r="CY131" s="835">
        <f t="shared" si="169"/>
        <v>97</v>
      </c>
      <c r="CZ131" s="842"/>
      <c r="DA131" s="835">
        <f>'1.BS (VND)'!CV105/'1.BC_Ra Soat (ty) '!$C$6</f>
        <v>0</v>
      </c>
      <c r="DB131" s="835">
        <f>'1.BS (VND)'!CW105/'1.BC_Ra Soat (ty) '!$C$6</f>
        <v>0</v>
      </c>
      <c r="DC131" s="835">
        <f>'1.BS (VND)'!CX105/'1.BC_Ra Soat (ty) '!$C$6</f>
        <v>0</v>
      </c>
      <c r="DD131" s="835">
        <f>'1.BS (VND)'!CY105/'1.BC_Ra Soat (ty) '!$C$6</f>
        <v>0</v>
      </c>
      <c r="DE131" s="842"/>
      <c r="DF131" s="835">
        <f t="shared" si="166"/>
        <v>54</v>
      </c>
      <c r="DG131" s="835">
        <f t="shared" si="166"/>
        <v>66</v>
      </c>
      <c r="DH131" s="835">
        <f t="shared" si="166"/>
        <v>97</v>
      </c>
      <c r="DI131" s="835">
        <f t="shared" si="166"/>
        <v>97</v>
      </c>
      <c r="DJ131" s="444"/>
    </row>
    <row r="132" spans="1:114" s="449" customFormat="1" ht="15.75" x14ac:dyDescent="0.25">
      <c r="A132" s="857">
        <f t="shared" si="167"/>
        <v>1</v>
      </c>
      <c r="C132" s="1017" t="s">
        <v>588</v>
      </c>
      <c r="D132" s="1018" t="s">
        <v>535</v>
      </c>
      <c r="E132" s="836">
        <f>'1.BS (VND)'!E106/$C$6</f>
        <v>30</v>
      </c>
      <c r="F132" s="836">
        <f>'1.BS (VND)'!F106/$C$6</f>
        <v>30</v>
      </c>
      <c r="G132" s="836">
        <f>'1.BS (VND)'!G106/$C$6</f>
        <v>50</v>
      </c>
      <c r="H132" s="836">
        <f>'1.BS (VND)'!H106/$C$6</f>
        <v>50</v>
      </c>
      <c r="I132" s="847"/>
      <c r="J132" s="836">
        <f>'1.BS (VND)'!J106/$C$6</f>
        <v>2</v>
      </c>
      <c r="K132" s="836">
        <f>'1.BS (VND)'!K106/$C$6</f>
        <v>14</v>
      </c>
      <c r="L132" s="836">
        <f>'1.BS (VND)'!L106/$C$6</f>
        <v>14</v>
      </c>
      <c r="M132" s="836">
        <f>'1.BS (VND)'!M106/$C$6</f>
        <v>14</v>
      </c>
      <c r="N132" s="845"/>
      <c r="O132" s="836">
        <f>'1.BS (VND)'!O106/$C$6</f>
        <v>4</v>
      </c>
      <c r="P132" s="836">
        <f>'1.BS (VND)'!P106/$C$6</f>
        <v>4</v>
      </c>
      <c r="Q132" s="836">
        <f>'1.BS (VND)'!Q106/$C$6</f>
        <v>15</v>
      </c>
      <c r="R132" s="836">
        <f>'1.BS (VND)'!R106/$C$6</f>
        <v>15</v>
      </c>
      <c r="S132" s="845"/>
      <c r="T132" s="836">
        <f>'1.BS (VND)'!T106/$C$6</f>
        <v>18</v>
      </c>
      <c r="U132" s="836">
        <f>'1.BS (VND)'!U106/$C$6</f>
        <v>18</v>
      </c>
      <c r="V132" s="836">
        <f>'1.BS (VND)'!V106/$C$6</f>
        <v>18</v>
      </c>
      <c r="W132" s="836">
        <f>'1.BS (VND)'!W106/$C$6</f>
        <v>18</v>
      </c>
      <c r="X132" s="845"/>
      <c r="Y132" s="836">
        <f>'1.BS (VND)'!Y107</f>
        <v>0</v>
      </c>
      <c r="Z132" s="836">
        <f>'1.BS (VND)'!Z107</f>
        <v>0</v>
      </c>
      <c r="AA132" s="836">
        <f>'1.BS (VND)'!AA107</f>
        <v>0</v>
      </c>
      <c r="AB132" s="836">
        <f>'1.BS (VND)'!AB107</f>
        <v>0</v>
      </c>
      <c r="AC132" s="845"/>
      <c r="AD132" s="836">
        <f>'1.BS (VND)'!AD106/$C$6</f>
        <v>0</v>
      </c>
      <c r="AE132" s="836">
        <f>'1.BS (VND)'!AE106/$C$6</f>
        <v>0</v>
      </c>
      <c r="AF132" s="836">
        <f>'1.BS (VND)'!AF106/$C$6</f>
        <v>0</v>
      </c>
      <c r="AG132" s="836">
        <f>'1.BS (VND)'!AG106/$C$6</f>
        <v>0</v>
      </c>
      <c r="AH132" s="846"/>
      <c r="AI132" s="836">
        <f t="shared" si="168"/>
        <v>54</v>
      </c>
      <c r="AJ132" s="836">
        <f t="shared" si="168"/>
        <v>66</v>
      </c>
      <c r="AK132" s="836">
        <f t="shared" si="168"/>
        <v>97</v>
      </c>
      <c r="AL132" s="836">
        <f t="shared" si="140"/>
        <v>97</v>
      </c>
      <c r="AM132" s="856"/>
      <c r="AN132" s="836">
        <f>'1.BS (VND)'!AI106/$C$6</f>
        <v>0</v>
      </c>
      <c r="AO132" s="836">
        <f>'1.BS (VND)'!AJ106/$C$6</f>
        <v>0</v>
      </c>
      <c r="AP132" s="836">
        <f>'1.BS (VND)'!AK106/$C$6</f>
        <v>0</v>
      </c>
      <c r="AQ132" s="836">
        <f>'1.BS (VND)'!AL106/$C$6</f>
        <v>0</v>
      </c>
      <c r="AR132" s="847"/>
      <c r="AS132" s="836">
        <f>'1.BS (VND)'!AN106/$C$6</f>
        <v>0</v>
      </c>
      <c r="AT132" s="836">
        <f>'1.BS (VND)'!AO106/$C$6</f>
        <v>0</v>
      </c>
      <c r="AU132" s="836">
        <f>'1.BS (VND)'!AP106/$C$6</f>
        <v>0</v>
      </c>
      <c r="AV132" s="836">
        <f>'1.BS (VND)'!AQ106/$C$6</f>
        <v>0</v>
      </c>
      <c r="AW132" s="845"/>
      <c r="AX132" s="836">
        <f>'1.BS (VND)'!AS106/$C$6</f>
        <v>0</v>
      </c>
      <c r="AY132" s="836">
        <f>'1.BS (VND)'!AT106/$C$6</f>
        <v>0</v>
      </c>
      <c r="AZ132" s="836">
        <f>'1.BS (VND)'!AU106/$C$6</f>
        <v>0</v>
      </c>
      <c r="BA132" s="836">
        <f>'1.BS (VND)'!AV106/$C$6</f>
        <v>0</v>
      </c>
      <c r="BB132" s="845"/>
      <c r="BC132" s="836">
        <f>'1.BS (VND)'!AX106/$C$6</f>
        <v>0</v>
      </c>
      <c r="BD132" s="836">
        <f>'1.BS (VND)'!AY106/$C$6</f>
        <v>0</v>
      </c>
      <c r="BE132" s="836">
        <f>'1.BS (VND)'!AZ106/$C$6</f>
        <v>0</v>
      </c>
      <c r="BF132" s="836">
        <f>'1.BS (VND)'!BA106/$C$6</f>
        <v>0</v>
      </c>
      <c r="BG132" s="845"/>
      <c r="BH132" s="836">
        <f>'1.BS (VND)'!BC106/$C$6</f>
        <v>0</v>
      </c>
      <c r="BI132" s="836">
        <f>'1.BS (VND)'!BD106/$C$6</f>
        <v>0</v>
      </c>
      <c r="BJ132" s="836">
        <f>'1.BS (VND)'!BE106/$C$6</f>
        <v>0</v>
      </c>
      <c r="BK132" s="836">
        <f>'1.BS (VND)'!BF106/$C$6</f>
        <v>0</v>
      </c>
      <c r="BL132" s="845"/>
      <c r="BM132" s="836">
        <f>'1.BS (VND)'!BH106/$C$6</f>
        <v>0</v>
      </c>
      <c r="BN132" s="836">
        <f>'1.BS (VND)'!BI106/$C$6</f>
        <v>0</v>
      </c>
      <c r="BO132" s="836">
        <f>'1.BS (VND)'!BJ106/$C$6</f>
        <v>0</v>
      </c>
      <c r="BP132" s="836">
        <f>'1.BS (VND)'!BK106/$C$6</f>
        <v>0</v>
      </c>
      <c r="BQ132" s="846"/>
      <c r="BR132" s="836">
        <f t="shared" si="170"/>
        <v>30</v>
      </c>
      <c r="BS132" s="836">
        <f t="shared" si="171"/>
        <v>30</v>
      </c>
      <c r="BT132" s="836">
        <f t="shared" si="172"/>
        <v>50</v>
      </c>
      <c r="BU132" s="836">
        <f t="shared" si="173"/>
        <v>50</v>
      </c>
      <c r="BV132" s="847"/>
      <c r="BW132" s="836">
        <f t="shared" si="174"/>
        <v>2</v>
      </c>
      <c r="BX132" s="836">
        <f t="shared" si="175"/>
        <v>14</v>
      </c>
      <c r="BY132" s="836">
        <f t="shared" si="176"/>
        <v>14</v>
      </c>
      <c r="BZ132" s="836">
        <f t="shared" si="177"/>
        <v>14</v>
      </c>
      <c r="CA132" s="845"/>
      <c r="CB132" s="836">
        <f t="shared" si="178"/>
        <v>4</v>
      </c>
      <c r="CC132" s="836">
        <f t="shared" si="179"/>
        <v>4</v>
      </c>
      <c r="CD132" s="836">
        <f t="shared" si="180"/>
        <v>15</v>
      </c>
      <c r="CE132" s="836">
        <f t="shared" si="181"/>
        <v>15</v>
      </c>
      <c r="CF132" s="845"/>
      <c r="CG132" s="836">
        <f t="shared" si="182"/>
        <v>18</v>
      </c>
      <c r="CH132" s="836">
        <f t="shared" si="183"/>
        <v>18</v>
      </c>
      <c r="CI132" s="836">
        <f t="shared" si="184"/>
        <v>18</v>
      </c>
      <c r="CJ132" s="836">
        <f t="shared" si="185"/>
        <v>18</v>
      </c>
      <c r="CK132" s="845"/>
      <c r="CL132" s="836">
        <f t="shared" si="186"/>
        <v>0</v>
      </c>
      <c r="CM132" s="836">
        <f t="shared" si="187"/>
        <v>0</v>
      </c>
      <c r="CN132" s="836">
        <f t="shared" si="188"/>
        <v>0</v>
      </c>
      <c r="CO132" s="836">
        <f t="shared" si="189"/>
        <v>0</v>
      </c>
      <c r="CP132" s="845"/>
      <c r="CQ132" s="836">
        <f t="shared" si="190"/>
        <v>0</v>
      </c>
      <c r="CR132" s="836">
        <f t="shared" si="191"/>
        <v>0</v>
      </c>
      <c r="CS132" s="836">
        <f t="shared" si="192"/>
        <v>0</v>
      </c>
      <c r="CT132" s="836">
        <f t="shared" si="193"/>
        <v>0</v>
      </c>
      <c r="CU132" s="847"/>
      <c r="CV132" s="836">
        <f t="shared" si="169"/>
        <v>54</v>
      </c>
      <c r="CW132" s="836">
        <f t="shared" si="169"/>
        <v>66</v>
      </c>
      <c r="CX132" s="836">
        <f t="shared" si="169"/>
        <v>97</v>
      </c>
      <c r="CY132" s="836">
        <f t="shared" si="169"/>
        <v>97</v>
      </c>
      <c r="CZ132" s="847"/>
      <c r="DA132" s="836">
        <f>'1.BS (VND)'!CV106/'1.BC_Ra Soat (ty) '!$C$6</f>
        <v>0</v>
      </c>
      <c r="DB132" s="836">
        <f>'1.BS (VND)'!CW106/'1.BC_Ra Soat (ty) '!$C$6</f>
        <v>0</v>
      </c>
      <c r="DC132" s="836">
        <f>'1.BS (VND)'!CX106/'1.BC_Ra Soat (ty) '!$C$6</f>
        <v>0</v>
      </c>
      <c r="DD132" s="836">
        <f>'1.BS (VND)'!CY106/'1.BC_Ra Soat (ty) '!$C$6</f>
        <v>0</v>
      </c>
      <c r="DE132" s="847"/>
      <c r="DF132" s="836">
        <f t="shared" si="166"/>
        <v>54</v>
      </c>
      <c r="DG132" s="836">
        <f t="shared" si="166"/>
        <v>66</v>
      </c>
      <c r="DH132" s="836">
        <f t="shared" si="166"/>
        <v>97</v>
      </c>
      <c r="DI132" s="836">
        <f t="shared" si="166"/>
        <v>97</v>
      </c>
      <c r="DJ132" s="1019"/>
    </row>
    <row r="133" spans="1:114" s="449" customFormat="1" ht="15.75" hidden="1" x14ac:dyDescent="0.25">
      <c r="A133" s="857" t="str">
        <f t="shared" si="167"/>
        <v>hide</v>
      </c>
      <c r="C133" s="1017" t="s">
        <v>589</v>
      </c>
      <c r="D133" s="1018" t="s">
        <v>536</v>
      </c>
      <c r="E133" s="836">
        <f>'1.BS (VND)'!E107/$C$6</f>
        <v>0</v>
      </c>
      <c r="F133" s="836">
        <f>'1.BS (VND)'!F107/$C$6</f>
        <v>0</v>
      </c>
      <c r="G133" s="836">
        <f>'1.BS (VND)'!G107/$C$6</f>
        <v>0</v>
      </c>
      <c r="H133" s="836">
        <f>'1.BS (VND)'!H107/$C$6</f>
        <v>0</v>
      </c>
      <c r="I133" s="847"/>
      <c r="J133" s="836">
        <f>'1.BS (VND)'!J107/$C$6</f>
        <v>0</v>
      </c>
      <c r="K133" s="836">
        <f>'1.BS (VND)'!K107/$C$6</f>
        <v>0</v>
      </c>
      <c r="L133" s="836">
        <f>'1.BS (VND)'!L107/$C$6</f>
        <v>0</v>
      </c>
      <c r="M133" s="836">
        <f>'1.BS (VND)'!M107/$C$6</f>
        <v>0</v>
      </c>
      <c r="N133" s="845"/>
      <c r="O133" s="836">
        <f>'1.BS (VND)'!O107/$C$6</f>
        <v>0</v>
      </c>
      <c r="P133" s="836">
        <f>'1.BS (VND)'!P107/$C$6</f>
        <v>0</v>
      </c>
      <c r="Q133" s="836">
        <f>'1.BS (VND)'!Q107/$C$6</f>
        <v>0</v>
      </c>
      <c r="R133" s="836">
        <f>'1.BS (VND)'!R107/$C$6</f>
        <v>0</v>
      </c>
      <c r="S133" s="845"/>
      <c r="T133" s="836">
        <f>'1.BS (VND)'!T107/$C$6</f>
        <v>0</v>
      </c>
      <c r="U133" s="836">
        <f>'1.BS (VND)'!U107/$C$6</f>
        <v>0</v>
      </c>
      <c r="V133" s="836">
        <f>'1.BS (VND)'!V107/$C$6</f>
        <v>0</v>
      </c>
      <c r="W133" s="836">
        <f>'1.BS (VND)'!W107/$C$6</f>
        <v>0</v>
      </c>
      <c r="X133" s="845"/>
      <c r="Y133" s="836">
        <f>'1.BS (VND)'!Y108</f>
        <v>0</v>
      </c>
      <c r="Z133" s="836">
        <f>'1.BS (VND)'!Z108</f>
        <v>0</v>
      </c>
      <c r="AA133" s="836">
        <f>'1.BS (VND)'!AA108</f>
        <v>0</v>
      </c>
      <c r="AB133" s="836">
        <f>'1.BS (VND)'!AB108</f>
        <v>0</v>
      </c>
      <c r="AC133" s="845"/>
      <c r="AD133" s="836">
        <f>'1.BS (VND)'!AD107/$C$6</f>
        <v>0</v>
      </c>
      <c r="AE133" s="836">
        <f>'1.BS (VND)'!AE107/$C$6</f>
        <v>0</v>
      </c>
      <c r="AF133" s="836">
        <f>'1.BS (VND)'!AF107/$C$6</f>
        <v>0</v>
      </c>
      <c r="AG133" s="836">
        <f>'1.BS (VND)'!AG107/$C$6</f>
        <v>0</v>
      </c>
      <c r="AH133" s="846"/>
      <c r="AI133" s="836">
        <f t="shared" si="168"/>
        <v>0</v>
      </c>
      <c r="AJ133" s="836">
        <f t="shared" si="168"/>
        <v>0</v>
      </c>
      <c r="AK133" s="836">
        <f t="shared" si="168"/>
        <v>0</v>
      </c>
      <c r="AL133" s="836">
        <f t="shared" si="140"/>
        <v>0</v>
      </c>
      <c r="AM133" s="847"/>
      <c r="AN133" s="836">
        <f>'1.BS (VND)'!AI107/$C$6</f>
        <v>0</v>
      </c>
      <c r="AO133" s="836">
        <f>'1.BS (VND)'!AJ107/$C$6</f>
        <v>0</v>
      </c>
      <c r="AP133" s="836">
        <f>'1.BS (VND)'!AK107/$C$6</f>
        <v>0</v>
      </c>
      <c r="AQ133" s="836">
        <f>'1.BS (VND)'!AL107/$C$6</f>
        <v>0</v>
      </c>
      <c r="AR133" s="847"/>
      <c r="AS133" s="836">
        <f>'1.BS (VND)'!AN107/$C$6</f>
        <v>0</v>
      </c>
      <c r="AT133" s="836">
        <f>'1.BS (VND)'!AO107/$C$6</f>
        <v>0</v>
      </c>
      <c r="AU133" s="836">
        <f>'1.BS (VND)'!AP107/$C$6</f>
        <v>0</v>
      </c>
      <c r="AV133" s="836">
        <f>'1.BS (VND)'!AQ107/$C$6</f>
        <v>0</v>
      </c>
      <c r="AW133" s="845"/>
      <c r="AX133" s="836">
        <f>'1.BS (VND)'!AS107/$C$6</f>
        <v>0</v>
      </c>
      <c r="AY133" s="836">
        <f>'1.BS (VND)'!AT107/$C$6</f>
        <v>0</v>
      </c>
      <c r="AZ133" s="836">
        <f>'1.BS (VND)'!AU107/$C$6</f>
        <v>0</v>
      </c>
      <c r="BA133" s="836">
        <f>'1.BS (VND)'!AV107/$C$6</f>
        <v>0</v>
      </c>
      <c r="BB133" s="845"/>
      <c r="BC133" s="836">
        <f>'1.BS (VND)'!AX107/$C$6</f>
        <v>0</v>
      </c>
      <c r="BD133" s="836">
        <f>'1.BS (VND)'!AY107/$C$6</f>
        <v>0</v>
      </c>
      <c r="BE133" s="836">
        <f>'1.BS (VND)'!AZ107/$C$6</f>
        <v>0</v>
      </c>
      <c r="BF133" s="836">
        <f>'1.BS (VND)'!BA107/$C$6</f>
        <v>0</v>
      </c>
      <c r="BG133" s="845"/>
      <c r="BH133" s="836">
        <f>'1.BS (VND)'!BC107/$C$6</f>
        <v>0</v>
      </c>
      <c r="BI133" s="836">
        <f>'1.BS (VND)'!BD107/$C$6</f>
        <v>0</v>
      </c>
      <c r="BJ133" s="836">
        <f>'1.BS (VND)'!BE107/$C$6</f>
        <v>0</v>
      </c>
      <c r="BK133" s="836">
        <f>'1.BS (VND)'!BF107/$C$6</f>
        <v>0</v>
      </c>
      <c r="BL133" s="845"/>
      <c r="BM133" s="836">
        <f>'1.BS (VND)'!BH107/$C$6</f>
        <v>0</v>
      </c>
      <c r="BN133" s="836">
        <f>'1.BS (VND)'!BI107/$C$6</f>
        <v>0</v>
      </c>
      <c r="BO133" s="836">
        <f>'1.BS (VND)'!BJ107/$C$6</f>
        <v>0</v>
      </c>
      <c r="BP133" s="836">
        <f>'1.BS (VND)'!BK107/$C$6</f>
        <v>0</v>
      </c>
      <c r="BQ133" s="846"/>
      <c r="BR133" s="836">
        <f t="shared" si="170"/>
        <v>0</v>
      </c>
      <c r="BS133" s="836">
        <f t="shared" si="171"/>
        <v>0</v>
      </c>
      <c r="BT133" s="836">
        <f t="shared" si="172"/>
        <v>0</v>
      </c>
      <c r="BU133" s="836">
        <f t="shared" si="173"/>
        <v>0</v>
      </c>
      <c r="BV133" s="847"/>
      <c r="BW133" s="836">
        <f t="shared" si="174"/>
        <v>0</v>
      </c>
      <c r="BX133" s="836">
        <f t="shared" si="175"/>
        <v>0</v>
      </c>
      <c r="BY133" s="836">
        <f t="shared" si="176"/>
        <v>0</v>
      </c>
      <c r="BZ133" s="836">
        <f t="shared" si="177"/>
        <v>0</v>
      </c>
      <c r="CA133" s="845"/>
      <c r="CB133" s="836">
        <f t="shared" si="178"/>
        <v>0</v>
      </c>
      <c r="CC133" s="836">
        <f t="shared" si="179"/>
        <v>0</v>
      </c>
      <c r="CD133" s="836">
        <f t="shared" si="180"/>
        <v>0</v>
      </c>
      <c r="CE133" s="836">
        <f t="shared" si="181"/>
        <v>0</v>
      </c>
      <c r="CF133" s="845"/>
      <c r="CG133" s="836">
        <f t="shared" si="182"/>
        <v>0</v>
      </c>
      <c r="CH133" s="836">
        <f t="shared" si="183"/>
        <v>0</v>
      </c>
      <c r="CI133" s="836">
        <f t="shared" si="184"/>
        <v>0</v>
      </c>
      <c r="CJ133" s="836">
        <f t="shared" si="185"/>
        <v>0</v>
      </c>
      <c r="CK133" s="845"/>
      <c r="CL133" s="836">
        <f t="shared" si="186"/>
        <v>0</v>
      </c>
      <c r="CM133" s="836">
        <f t="shared" si="187"/>
        <v>0</v>
      </c>
      <c r="CN133" s="836">
        <f t="shared" si="188"/>
        <v>0</v>
      </c>
      <c r="CO133" s="836">
        <f t="shared" si="189"/>
        <v>0</v>
      </c>
      <c r="CP133" s="845"/>
      <c r="CQ133" s="836">
        <f t="shared" si="190"/>
        <v>0</v>
      </c>
      <c r="CR133" s="836">
        <f t="shared" si="191"/>
        <v>0</v>
      </c>
      <c r="CS133" s="836">
        <f t="shared" si="192"/>
        <v>0</v>
      </c>
      <c r="CT133" s="836">
        <f t="shared" si="193"/>
        <v>0</v>
      </c>
      <c r="CU133" s="847"/>
      <c r="CV133" s="836">
        <f t="shared" si="169"/>
        <v>0</v>
      </c>
      <c r="CW133" s="836">
        <f t="shared" si="169"/>
        <v>0</v>
      </c>
      <c r="CX133" s="836">
        <f t="shared" si="169"/>
        <v>0</v>
      </c>
      <c r="CY133" s="836">
        <f t="shared" si="169"/>
        <v>0</v>
      </c>
      <c r="CZ133" s="847"/>
      <c r="DA133" s="836">
        <f>'1.BS (VND)'!CV107/'1.BC_Ra Soat (ty) '!$C$6</f>
        <v>0</v>
      </c>
      <c r="DB133" s="836">
        <f>'1.BS (VND)'!CW107/'1.BC_Ra Soat (ty) '!$C$6</f>
        <v>0</v>
      </c>
      <c r="DC133" s="836">
        <f>'1.BS (VND)'!CX107/'1.BC_Ra Soat (ty) '!$C$6</f>
        <v>0</v>
      </c>
      <c r="DD133" s="836">
        <f>'1.BS (VND)'!CY107/'1.BC_Ra Soat (ty) '!$C$6</f>
        <v>0</v>
      </c>
      <c r="DE133" s="847"/>
      <c r="DF133" s="836">
        <f t="shared" si="166"/>
        <v>0</v>
      </c>
      <c r="DG133" s="836">
        <f t="shared" si="166"/>
        <v>0</v>
      </c>
      <c r="DH133" s="836">
        <f t="shared" si="166"/>
        <v>0</v>
      </c>
      <c r="DI133" s="836">
        <f t="shared" si="166"/>
        <v>0</v>
      </c>
    </row>
    <row r="134" spans="1:114" s="441" customFormat="1" ht="15.75" hidden="1" x14ac:dyDescent="0.25">
      <c r="A134" s="447" t="str">
        <f t="shared" si="167"/>
        <v>hide</v>
      </c>
      <c r="C134" s="452" t="s">
        <v>469</v>
      </c>
      <c r="D134" s="453" t="s">
        <v>470</v>
      </c>
      <c r="E134" s="835">
        <f>'1.BS (VND)'!E108/$C$6</f>
        <v>0</v>
      </c>
      <c r="F134" s="835">
        <f>'1.BS (VND)'!F108/$C$6</f>
        <v>0</v>
      </c>
      <c r="G134" s="835">
        <f>'1.BS (VND)'!G108/$C$6</f>
        <v>0</v>
      </c>
      <c r="H134" s="835">
        <f>'1.BS (VND)'!H108/$C$6</f>
        <v>0</v>
      </c>
      <c r="I134" s="842"/>
      <c r="J134" s="835">
        <f>'1.BS (VND)'!J108/$C$6</f>
        <v>0</v>
      </c>
      <c r="K134" s="835">
        <f>'1.BS (VND)'!K108/$C$6</f>
        <v>0</v>
      </c>
      <c r="L134" s="835">
        <f>'1.BS (VND)'!L108/$C$6</f>
        <v>0</v>
      </c>
      <c r="M134" s="835">
        <f>'1.BS (VND)'!M108/$C$6</f>
        <v>0</v>
      </c>
      <c r="N134" s="840"/>
      <c r="O134" s="835">
        <f>'1.BS (VND)'!O108/$C$6</f>
        <v>0</v>
      </c>
      <c r="P134" s="835">
        <f>'1.BS (VND)'!P108/$C$6</f>
        <v>0</v>
      </c>
      <c r="Q134" s="835">
        <f>'1.BS (VND)'!Q108/$C$6</f>
        <v>0</v>
      </c>
      <c r="R134" s="835">
        <f>'1.BS (VND)'!R108/$C$6</f>
        <v>0</v>
      </c>
      <c r="S134" s="840"/>
      <c r="T134" s="835">
        <f>'1.BS (VND)'!T108/$C$6</f>
        <v>0</v>
      </c>
      <c r="U134" s="835">
        <f>'1.BS (VND)'!U108/$C$6</f>
        <v>0</v>
      </c>
      <c r="V134" s="835">
        <f>'1.BS (VND)'!V108/$C$6</f>
        <v>0</v>
      </c>
      <c r="W134" s="835">
        <f>'1.BS (VND)'!W108/$C$6</f>
        <v>0</v>
      </c>
      <c r="X134" s="840"/>
      <c r="Y134" s="835">
        <f>'1.BS (VND)'!Y109</f>
        <v>0</v>
      </c>
      <c r="Z134" s="835">
        <f>'1.BS (VND)'!Z109</f>
        <v>0</v>
      </c>
      <c r="AA134" s="835">
        <f>'1.BS (VND)'!AA109</f>
        <v>0</v>
      </c>
      <c r="AB134" s="835">
        <f>'1.BS (VND)'!AB109</f>
        <v>0</v>
      </c>
      <c r="AC134" s="840"/>
      <c r="AD134" s="835">
        <f>'1.BS (VND)'!AD108/$C$6</f>
        <v>0</v>
      </c>
      <c r="AE134" s="835">
        <f>'1.BS (VND)'!AE108/$C$6</f>
        <v>0</v>
      </c>
      <c r="AF134" s="835">
        <f>'1.BS (VND)'!AF108/$C$6</f>
        <v>0</v>
      </c>
      <c r="AG134" s="835">
        <f>'1.BS (VND)'!AG108/$C$6</f>
        <v>0</v>
      </c>
      <c r="AH134" s="841"/>
      <c r="AI134" s="835">
        <f t="shared" si="168"/>
        <v>0</v>
      </c>
      <c r="AJ134" s="835">
        <f t="shared" si="168"/>
        <v>0</v>
      </c>
      <c r="AK134" s="835">
        <f t="shared" si="168"/>
        <v>0</v>
      </c>
      <c r="AL134" s="835">
        <f t="shared" si="140"/>
        <v>0</v>
      </c>
      <c r="AM134" s="842"/>
      <c r="AN134" s="835">
        <f>'1.BS (VND)'!AI108/$C$6</f>
        <v>0</v>
      </c>
      <c r="AO134" s="835">
        <f>'1.BS (VND)'!AJ108/$C$6</f>
        <v>0</v>
      </c>
      <c r="AP134" s="835">
        <f>'1.BS (VND)'!AK108/$C$6</f>
        <v>0</v>
      </c>
      <c r="AQ134" s="835">
        <f>'1.BS (VND)'!AL108/$C$6</f>
        <v>0</v>
      </c>
      <c r="AR134" s="842"/>
      <c r="AS134" s="835">
        <f>'1.BS (VND)'!AN108/$C$6</f>
        <v>0</v>
      </c>
      <c r="AT134" s="835">
        <f>'1.BS (VND)'!AO108/$C$6</f>
        <v>0</v>
      </c>
      <c r="AU134" s="835">
        <f>'1.BS (VND)'!AP108/$C$6</f>
        <v>0</v>
      </c>
      <c r="AV134" s="835">
        <f>'1.BS (VND)'!AQ108/$C$6</f>
        <v>0</v>
      </c>
      <c r="AW134" s="840"/>
      <c r="AX134" s="835">
        <f>'1.BS (VND)'!AS108/$C$6</f>
        <v>0</v>
      </c>
      <c r="AY134" s="835">
        <f>'1.BS (VND)'!AT108/$C$6</f>
        <v>0</v>
      </c>
      <c r="AZ134" s="835">
        <f>'1.BS (VND)'!AU108/$C$6</f>
        <v>0</v>
      </c>
      <c r="BA134" s="835">
        <f>'1.BS (VND)'!AV108/$C$6</f>
        <v>0</v>
      </c>
      <c r="BB134" s="840"/>
      <c r="BC134" s="835">
        <f>'1.BS (VND)'!AX108/$C$6</f>
        <v>0</v>
      </c>
      <c r="BD134" s="835">
        <f>'1.BS (VND)'!AY108/$C$6</f>
        <v>0</v>
      </c>
      <c r="BE134" s="835">
        <f>'1.BS (VND)'!AZ108/$C$6</f>
        <v>0</v>
      </c>
      <c r="BF134" s="835">
        <f>'1.BS (VND)'!BA108/$C$6</f>
        <v>0</v>
      </c>
      <c r="BG134" s="840"/>
      <c r="BH134" s="835">
        <f>'1.BS (VND)'!BC108/$C$6</f>
        <v>0</v>
      </c>
      <c r="BI134" s="835">
        <f>'1.BS (VND)'!BD108/$C$6</f>
        <v>0</v>
      </c>
      <c r="BJ134" s="835">
        <f>'1.BS (VND)'!BE108/$C$6</f>
        <v>0</v>
      </c>
      <c r="BK134" s="835">
        <f>'1.BS (VND)'!BF108/$C$6</f>
        <v>0</v>
      </c>
      <c r="BL134" s="840"/>
      <c r="BM134" s="835">
        <f>'1.BS (VND)'!BH108/$C$6</f>
        <v>0</v>
      </c>
      <c r="BN134" s="835">
        <f>'1.BS (VND)'!BI108/$C$6</f>
        <v>0</v>
      </c>
      <c r="BO134" s="835">
        <f>'1.BS (VND)'!BJ108/$C$6</f>
        <v>0</v>
      </c>
      <c r="BP134" s="835">
        <f>'1.BS (VND)'!BK108/$C$6</f>
        <v>0</v>
      </c>
      <c r="BQ134" s="841"/>
      <c r="BR134" s="835">
        <f t="shared" si="170"/>
        <v>0</v>
      </c>
      <c r="BS134" s="835">
        <f t="shared" si="171"/>
        <v>0</v>
      </c>
      <c r="BT134" s="835">
        <f t="shared" si="172"/>
        <v>0</v>
      </c>
      <c r="BU134" s="835">
        <f t="shared" si="173"/>
        <v>0</v>
      </c>
      <c r="BV134" s="842"/>
      <c r="BW134" s="835">
        <f t="shared" si="174"/>
        <v>0</v>
      </c>
      <c r="BX134" s="835">
        <f t="shared" si="175"/>
        <v>0</v>
      </c>
      <c r="BY134" s="835">
        <f t="shared" si="176"/>
        <v>0</v>
      </c>
      <c r="BZ134" s="835">
        <f t="shared" si="177"/>
        <v>0</v>
      </c>
      <c r="CA134" s="840"/>
      <c r="CB134" s="835">
        <f t="shared" si="178"/>
        <v>0</v>
      </c>
      <c r="CC134" s="835">
        <f t="shared" si="179"/>
        <v>0</v>
      </c>
      <c r="CD134" s="835">
        <f t="shared" si="180"/>
        <v>0</v>
      </c>
      <c r="CE134" s="835">
        <f t="shared" si="181"/>
        <v>0</v>
      </c>
      <c r="CF134" s="840"/>
      <c r="CG134" s="835">
        <f t="shared" si="182"/>
        <v>0</v>
      </c>
      <c r="CH134" s="835">
        <f t="shared" si="183"/>
        <v>0</v>
      </c>
      <c r="CI134" s="835">
        <f t="shared" si="184"/>
        <v>0</v>
      </c>
      <c r="CJ134" s="835">
        <f t="shared" si="185"/>
        <v>0</v>
      </c>
      <c r="CK134" s="840"/>
      <c r="CL134" s="835">
        <f t="shared" si="186"/>
        <v>0</v>
      </c>
      <c r="CM134" s="835">
        <f t="shared" si="187"/>
        <v>0</v>
      </c>
      <c r="CN134" s="835">
        <f t="shared" si="188"/>
        <v>0</v>
      </c>
      <c r="CO134" s="835">
        <f t="shared" si="189"/>
        <v>0</v>
      </c>
      <c r="CP134" s="840"/>
      <c r="CQ134" s="835">
        <f t="shared" si="190"/>
        <v>0</v>
      </c>
      <c r="CR134" s="835">
        <f t="shared" si="191"/>
        <v>0</v>
      </c>
      <c r="CS134" s="835">
        <f t="shared" si="192"/>
        <v>0</v>
      </c>
      <c r="CT134" s="835">
        <f t="shared" si="193"/>
        <v>0</v>
      </c>
      <c r="CU134" s="842"/>
      <c r="CV134" s="835">
        <f t="shared" si="169"/>
        <v>0</v>
      </c>
      <c r="CW134" s="835">
        <f t="shared" si="169"/>
        <v>0</v>
      </c>
      <c r="CX134" s="835">
        <f t="shared" si="169"/>
        <v>0</v>
      </c>
      <c r="CY134" s="835">
        <f t="shared" si="169"/>
        <v>0</v>
      </c>
      <c r="CZ134" s="842"/>
      <c r="DA134" s="835">
        <f>'1.BS (VND)'!CV108/'1.BC_Ra Soat (ty) '!$C$6</f>
        <v>0</v>
      </c>
      <c r="DB134" s="835">
        <f>'1.BS (VND)'!CW108/'1.BC_Ra Soat (ty) '!$C$6</f>
        <v>0</v>
      </c>
      <c r="DC134" s="835">
        <f>'1.BS (VND)'!CX108/'1.BC_Ra Soat (ty) '!$C$6</f>
        <v>0</v>
      </c>
      <c r="DD134" s="835">
        <f>'1.BS (VND)'!CY108/'1.BC_Ra Soat (ty) '!$C$6</f>
        <v>0</v>
      </c>
      <c r="DE134" s="842"/>
      <c r="DF134" s="835">
        <f t="shared" si="166"/>
        <v>0</v>
      </c>
      <c r="DG134" s="835">
        <f t="shared" si="166"/>
        <v>0</v>
      </c>
      <c r="DH134" s="835">
        <f t="shared" si="166"/>
        <v>0</v>
      </c>
      <c r="DI134" s="835">
        <f t="shared" si="166"/>
        <v>0</v>
      </c>
    </row>
    <row r="135" spans="1:114" s="441" customFormat="1" ht="15.75" hidden="1" x14ac:dyDescent="0.25">
      <c r="A135" s="447" t="str">
        <f t="shared" si="167"/>
        <v>hide</v>
      </c>
      <c r="C135" s="452" t="s">
        <v>471</v>
      </c>
      <c r="D135" s="453" t="s">
        <v>472</v>
      </c>
      <c r="E135" s="835">
        <f>'1.BS (VND)'!E109/$C$6</f>
        <v>0</v>
      </c>
      <c r="F135" s="835">
        <f>'1.BS (VND)'!F109/$C$6</f>
        <v>0</v>
      </c>
      <c r="G135" s="835">
        <f>'1.BS (VND)'!G109/$C$6</f>
        <v>0</v>
      </c>
      <c r="H135" s="835">
        <f>'1.BS (VND)'!H109/$C$6</f>
        <v>0</v>
      </c>
      <c r="I135" s="842"/>
      <c r="J135" s="835">
        <f>'1.BS (VND)'!J109/$C$6</f>
        <v>0</v>
      </c>
      <c r="K135" s="835">
        <f>'1.BS (VND)'!K109/$C$6</f>
        <v>0</v>
      </c>
      <c r="L135" s="835">
        <f>'1.BS (VND)'!L109/$C$6</f>
        <v>0</v>
      </c>
      <c r="M135" s="835">
        <f>'1.BS (VND)'!M109/$C$6</f>
        <v>0</v>
      </c>
      <c r="N135" s="840"/>
      <c r="O135" s="835">
        <f>'1.BS (VND)'!O109/$C$6</f>
        <v>0</v>
      </c>
      <c r="P135" s="835">
        <f>'1.BS (VND)'!P109/$C$6</f>
        <v>0</v>
      </c>
      <c r="Q135" s="835">
        <f>'1.BS (VND)'!Q109/$C$6</f>
        <v>0</v>
      </c>
      <c r="R135" s="835">
        <f>'1.BS (VND)'!R109/$C$6</f>
        <v>0</v>
      </c>
      <c r="S135" s="840"/>
      <c r="T135" s="835">
        <f>'1.BS (VND)'!T109/$C$6</f>
        <v>0</v>
      </c>
      <c r="U135" s="835">
        <f>'1.BS (VND)'!U109/$C$6</f>
        <v>0</v>
      </c>
      <c r="V135" s="835">
        <f>'1.BS (VND)'!V109/$C$6</f>
        <v>0</v>
      </c>
      <c r="W135" s="835">
        <f>'1.BS (VND)'!W109/$C$6</f>
        <v>0</v>
      </c>
      <c r="X135" s="840"/>
      <c r="Y135" s="835">
        <f>'1.BS (VND)'!Y110</f>
        <v>0</v>
      </c>
      <c r="Z135" s="835">
        <f>'1.BS (VND)'!Z110</f>
        <v>0</v>
      </c>
      <c r="AA135" s="835">
        <f>'1.BS (VND)'!AA110</f>
        <v>0</v>
      </c>
      <c r="AB135" s="835">
        <f>'1.BS (VND)'!AB110</f>
        <v>0</v>
      </c>
      <c r="AC135" s="840"/>
      <c r="AD135" s="835">
        <f>'1.BS (VND)'!AD109/$C$6</f>
        <v>0</v>
      </c>
      <c r="AE135" s="835">
        <f>'1.BS (VND)'!AE109/$C$6</f>
        <v>0</v>
      </c>
      <c r="AF135" s="835">
        <f>'1.BS (VND)'!AF109/$C$6</f>
        <v>0</v>
      </c>
      <c r="AG135" s="835">
        <f>'1.BS (VND)'!AG109/$C$6</f>
        <v>0</v>
      </c>
      <c r="AH135" s="841"/>
      <c r="AI135" s="835">
        <f t="shared" si="168"/>
        <v>0</v>
      </c>
      <c r="AJ135" s="835">
        <f t="shared" si="168"/>
        <v>0</v>
      </c>
      <c r="AK135" s="835">
        <f t="shared" si="168"/>
        <v>0</v>
      </c>
      <c r="AL135" s="835">
        <f t="shared" si="140"/>
        <v>0</v>
      </c>
      <c r="AM135" s="842"/>
      <c r="AN135" s="835">
        <f>'1.BS (VND)'!AI109/$C$6</f>
        <v>0</v>
      </c>
      <c r="AO135" s="835">
        <f>'1.BS (VND)'!AJ109/$C$6</f>
        <v>0</v>
      </c>
      <c r="AP135" s="835">
        <f>'1.BS (VND)'!AK109/$C$6</f>
        <v>0</v>
      </c>
      <c r="AQ135" s="835">
        <f>'1.BS (VND)'!AL109/$C$6</f>
        <v>0</v>
      </c>
      <c r="AR135" s="842"/>
      <c r="AS135" s="835">
        <f>'1.BS (VND)'!AN109/$C$6</f>
        <v>0</v>
      </c>
      <c r="AT135" s="835">
        <f>'1.BS (VND)'!AO109/$C$6</f>
        <v>0</v>
      </c>
      <c r="AU135" s="835">
        <f>'1.BS (VND)'!AP109/$C$6</f>
        <v>0</v>
      </c>
      <c r="AV135" s="835">
        <f>'1.BS (VND)'!AQ109/$C$6</f>
        <v>0</v>
      </c>
      <c r="AW135" s="840"/>
      <c r="AX135" s="835">
        <f>'1.BS (VND)'!AS109/$C$6</f>
        <v>0</v>
      </c>
      <c r="AY135" s="835">
        <f>'1.BS (VND)'!AT109/$C$6</f>
        <v>0</v>
      </c>
      <c r="AZ135" s="835">
        <f>'1.BS (VND)'!AU109/$C$6</f>
        <v>0</v>
      </c>
      <c r="BA135" s="835">
        <f>'1.BS (VND)'!AV109/$C$6</f>
        <v>0</v>
      </c>
      <c r="BB135" s="840"/>
      <c r="BC135" s="835">
        <f>'1.BS (VND)'!AX109/$C$6</f>
        <v>0</v>
      </c>
      <c r="BD135" s="835">
        <f>'1.BS (VND)'!AY109/$C$6</f>
        <v>0</v>
      </c>
      <c r="BE135" s="835">
        <f>'1.BS (VND)'!AZ109/$C$6</f>
        <v>0</v>
      </c>
      <c r="BF135" s="835">
        <f>'1.BS (VND)'!BA109/$C$6</f>
        <v>0</v>
      </c>
      <c r="BG135" s="840"/>
      <c r="BH135" s="835">
        <f>'1.BS (VND)'!BC109/$C$6</f>
        <v>0</v>
      </c>
      <c r="BI135" s="835">
        <f>'1.BS (VND)'!BD109/$C$6</f>
        <v>0</v>
      </c>
      <c r="BJ135" s="835">
        <f>'1.BS (VND)'!BE109/$C$6</f>
        <v>0</v>
      </c>
      <c r="BK135" s="835">
        <f>'1.BS (VND)'!BF109/$C$6</f>
        <v>0</v>
      </c>
      <c r="BL135" s="840"/>
      <c r="BM135" s="835">
        <f>'1.BS (VND)'!BH109/$C$6</f>
        <v>0</v>
      </c>
      <c r="BN135" s="835">
        <f>'1.BS (VND)'!BI109/$C$6</f>
        <v>0</v>
      </c>
      <c r="BO135" s="835">
        <f>'1.BS (VND)'!BJ109/$C$6</f>
        <v>0</v>
      </c>
      <c r="BP135" s="835">
        <f>'1.BS (VND)'!BK109/$C$6</f>
        <v>0</v>
      </c>
      <c r="BQ135" s="841"/>
      <c r="BR135" s="835">
        <f t="shared" si="170"/>
        <v>0</v>
      </c>
      <c r="BS135" s="835">
        <f t="shared" si="171"/>
        <v>0</v>
      </c>
      <c r="BT135" s="835">
        <f t="shared" si="172"/>
        <v>0</v>
      </c>
      <c r="BU135" s="835">
        <f t="shared" si="173"/>
        <v>0</v>
      </c>
      <c r="BV135" s="842"/>
      <c r="BW135" s="835">
        <f t="shared" si="174"/>
        <v>0</v>
      </c>
      <c r="BX135" s="835">
        <f t="shared" si="175"/>
        <v>0</v>
      </c>
      <c r="BY135" s="835">
        <f t="shared" si="176"/>
        <v>0</v>
      </c>
      <c r="BZ135" s="835">
        <f t="shared" si="177"/>
        <v>0</v>
      </c>
      <c r="CA135" s="840"/>
      <c r="CB135" s="835">
        <f t="shared" si="178"/>
        <v>0</v>
      </c>
      <c r="CC135" s="835">
        <f t="shared" si="179"/>
        <v>0</v>
      </c>
      <c r="CD135" s="835">
        <f t="shared" si="180"/>
        <v>0</v>
      </c>
      <c r="CE135" s="835">
        <f t="shared" si="181"/>
        <v>0</v>
      </c>
      <c r="CF135" s="840"/>
      <c r="CG135" s="835">
        <f t="shared" si="182"/>
        <v>0</v>
      </c>
      <c r="CH135" s="835">
        <f t="shared" si="183"/>
        <v>0</v>
      </c>
      <c r="CI135" s="835">
        <f t="shared" si="184"/>
        <v>0</v>
      </c>
      <c r="CJ135" s="835">
        <f t="shared" si="185"/>
        <v>0</v>
      </c>
      <c r="CK135" s="840"/>
      <c r="CL135" s="835">
        <f t="shared" si="186"/>
        <v>0</v>
      </c>
      <c r="CM135" s="835">
        <f t="shared" si="187"/>
        <v>0</v>
      </c>
      <c r="CN135" s="835">
        <f t="shared" si="188"/>
        <v>0</v>
      </c>
      <c r="CO135" s="835">
        <f t="shared" si="189"/>
        <v>0</v>
      </c>
      <c r="CP135" s="840"/>
      <c r="CQ135" s="835">
        <f t="shared" si="190"/>
        <v>0</v>
      </c>
      <c r="CR135" s="835">
        <f t="shared" si="191"/>
        <v>0</v>
      </c>
      <c r="CS135" s="835">
        <f t="shared" si="192"/>
        <v>0</v>
      </c>
      <c r="CT135" s="835">
        <f t="shared" si="193"/>
        <v>0</v>
      </c>
      <c r="CU135" s="842"/>
      <c r="CV135" s="835">
        <f t="shared" si="169"/>
        <v>0</v>
      </c>
      <c r="CW135" s="835">
        <f t="shared" si="169"/>
        <v>0</v>
      </c>
      <c r="CX135" s="835">
        <f t="shared" si="169"/>
        <v>0</v>
      </c>
      <c r="CY135" s="835">
        <f t="shared" si="169"/>
        <v>0</v>
      </c>
      <c r="CZ135" s="842"/>
      <c r="DA135" s="835">
        <f>'1.BS (VND)'!CV109/'1.BC_Ra Soat (ty) '!$C$6</f>
        <v>0</v>
      </c>
      <c r="DB135" s="835">
        <f>'1.BS (VND)'!CW109/'1.BC_Ra Soat (ty) '!$C$6</f>
        <v>0</v>
      </c>
      <c r="DC135" s="835">
        <f>'1.BS (VND)'!CX109/'1.BC_Ra Soat (ty) '!$C$6</f>
        <v>0</v>
      </c>
      <c r="DD135" s="835">
        <f>'1.BS (VND)'!CY109/'1.BC_Ra Soat (ty) '!$C$6</f>
        <v>0</v>
      </c>
      <c r="DE135" s="842"/>
      <c r="DF135" s="835">
        <f t="shared" si="166"/>
        <v>0</v>
      </c>
      <c r="DG135" s="835">
        <f t="shared" si="166"/>
        <v>0</v>
      </c>
      <c r="DH135" s="835">
        <f t="shared" si="166"/>
        <v>0</v>
      </c>
      <c r="DI135" s="835">
        <f t="shared" si="166"/>
        <v>0</v>
      </c>
    </row>
    <row r="136" spans="1:114" s="441" customFormat="1" ht="15.75" x14ac:dyDescent="0.25">
      <c r="A136" s="447">
        <f t="shared" si="167"/>
        <v>1</v>
      </c>
      <c r="C136" s="452" t="s">
        <v>473</v>
      </c>
      <c r="D136" s="453" t="s">
        <v>474</v>
      </c>
      <c r="E136" s="835">
        <f>'1.BS (VND)'!E110/$C$6</f>
        <v>0</v>
      </c>
      <c r="F136" s="835">
        <f>'1.BS (VND)'!F110/$C$6</f>
        <v>0</v>
      </c>
      <c r="G136" s="835">
        <f>'1.BS (VND)'!G110/$C$6</f>
        <v>0</v>
      </c>
      <c r="H136" s="835">
        <f>'1.BS (VND)'!H110/$C$6</f>
        <v>0</v>
      </c>
      <c r="I136" s="842"/>
      <c r="J136" s="835">
        <f>'1.BS (VND)'!J110/$C$6</f>
        <v>2.0605000000000002</v>
      </c>
      <c r="K136" s="835">
        <f>'1.BS (VND)'!K110/$C$6</f>
        <v>0</v>
      </c>
      <c r="L136" s="835">
        <f>'1.BS (VND)'!L110/$C$6</f>
        <v>0</v>
      </c>
      <c r="M136" s="835">
        <f>'1.BS (VND)'!M110/$C$6</f>
        <v>0</v>
      </c>
      <c r="N136" s="840"/>
      <c r="O136" s="835">
        <f>'1.BS (VND)'!O110/$C$6</f>
        <v>0</v>
      </c>
      <c r="P136" s="835">
        <f>'1.BS (VND)'!P110/$C$6</f>
        <v>0</v>
      </c>
      <c r="Q136" s="835">
        <f>'1.BS (VND)'!Q110/$C$6</f>
        <v>0</v>
      </c>
      <c r="R136" s="835">
        <f>'1.BS (VND)'!R110/$C$6</f>
        <v>0</v>
      </c>
      <c r="S136" s="840"/>
      <c r="T136" s="835">
        <f>'1.BS (VND)'!T110/$C$6</f>
        <v>0</v>
      </c>
      <c r="U136" s="835">
        <f>'1.BS (VND)'!U110/$C$6</f>
        <v>0</v>
      </c>
      <c r="V136" s="835">
        <f>'1.BS (VND)'!V110/$C$6</f>
        <v>0</v>
      </c>
      <c r="W136" s="835">
        <f>'1.BS (VND)'!W110/$C$6</f>
        <v>0</v>
      </c>
      <c r="X136" s="840"/>
      <c r="Y136" s="835">
        <f>'1.BS (VND)'!Y111</f>
        <v>0</v>
      </c>
      <c r="Z136" s="835">
        <f>'1.BS (VND)'!Z111</f>
        <v>0</v>
      </c>
      <c r="AA136" s="835">
        <f>'1.BS (VND)'!AA111</f>
        <v>0</v>
      </c>
      <c r="AB136" s="835">
        <f>'1.BS (VND)'!AB111</f>
        <v>0</v>
      </c>
      <c r="AC136" s="840"/>
      <c r="AD136" s="835">
        <f>'1.BS (VND)'!AD110/$C$6</f>
        <v>0</v>
      </c>
      <c r="AE136" s="835">
        <f>'1.BS (VND)'!AE110/$C$6</f>
        <v>0</v>
      </c>
      <c r="AF136" s="835">
        <f>'1.BS (VND)'!AF110/$C$6</f>
        <v>0</v>
      </c>
      <c r="AG136" s="835">
        <f>'1.BS (VND)'!AG110/$C$6</f>
        <v>0</v>
      </c>
      <c r="AH136" s="841"/>
      <c r="AI136" s="835">
        <f t="shared" si="168"/>
        <v>2.0605000000000002</v>
      </c>
      <c r="AJ136" s="835">
        <f t="shared" si="168"/>
        <v>0</v>
      </c>
      <c r="AK136" s="835">
        <f t="shared" si="168"/>
        <v>0</v>
      </c>
      <c r="AL136" s="835">
        <f t="shared" si="140"/>
        <v>0</v>
      </c>
      <c r="AM136" s="842"/>
      <c r="AN136" s="835">
        <f>'1.BS (VND)'!AI110/$C$6</f>
        <v>0</v>
      </c>
      <c r="AO136" s="835">
        <f>'1.BS (VND)'!AJ110/$C$6</f>
        <v>0</v>
      </c>
      <c r="AP136" s="835">
        <f>'1.BS (VND)'!AK110/$C$6</f>
        <v>0</v>
      </c>
      <c r="AQ136" s="835">
        <f>'1.BS (VND)'!AL110/$C$6</f>
        <v>0</v>
      </c>
      <c r="AR136" s="842"/>
      <c r="AS136" s="835">
        <f>'1.BS (VND)'!AN110/$C$6</f>
        <v>0</v>
      </c>
      <c r="AT136" s="835">
        <f>'1.BS (VND)'!AO110/$C$6</f>
        <v>0</v>
      </c>
      <c r="AU136" s="835">
        <f>'1.BS (VND)'!AP110/$C$6</f>
        <v>0</v>
      </c>
      <c r="AV136" s="835">
        <f>'1.BS (VND)'!AQ110/$C$6</f>
        <v>0</v>
      </c>
      <c r="AW136" s="840"/>
      <c r="AX136" s="835">
        <f>'1.BS (VND)'!AS110/$C$6</f>
        <v>0</v>
      </c>
      <c r="AY136" s="835">
        <f>'1.BS (VND)'!AT110/$C$6</f>
        <v>0</v>
      </c>
      <c r="AZ136" s="835">
        <f>'1.BS (VND)'!AU110/$C$6</f>
        <v>0</v>
      </c>
      <c r="BA136" s="835">
        <f>'1.BS (VND)'!AV110/$C$6</f>
        <v>0</v>
      </c>
      <c r="BB136" s="840"/>
      <c r="BC136" s="835">
        <f>'1.BS (VND)'!AX110/$C$6</f>
        <v>0</v>
      </c>
      <c r="BD136" s="835">
        <f>'1.BS (VND)'!AY110/$C$6</f>
        <v>0</v>
      </c>
      <c r="BE136" s="835">
        <f>'1.BS (VND)'!AZ110/$C$6</f>
        <v>0</v>
      </c>
      <c r="BF136" s="835">
        <f>'1.BS (VND)'!BA110/$C$6</f>
        <v>0</v>
      </c>
      <c r="BG136" s="840"/>
      <c r="BH136" s="835">
        <f>'1.BS (VND)'!BC110/$C$6</f>
        <v>0</v>
      </c>
      <c r="BI136" s="835">
        <f>'1.BS (VND)'!BD110/$C$6</f>
        <v>0</v>
      </c>
      <c r="BJ136" s="835">
        <f>'1.BS (VND)'!BE110/$C$6</f>
        <v>0</v>
      </c>
      <c r="BK136" s="835">
        <f>'1.BS (VND)'!BF110/$C$6</f>
        <v>0</v>
      </c>
      <c r="BL136" s="840"/>
      <c r="BM136" s="835">
        <f>'1.BS (VND)'!BH110/$C$6</f>
        <v>0</v>
      </c>
      <c r="BN136" s="835">
        <f>'1.BS (VND)'!BI110/$C$6</f>
        <v>0</v>
      </c>
      <c r="BO136" s="835">
        <f>'1.BS (VND)'!BJ110/$C$6</f>
        <v>0</v>
      </c>
      <c r="BP136" s="835">
        <f>'1.BS (VND)'!BK110/$C$6</f>
        <v>0</v>
      </c>
      <c r="BQ136" s="841"/>
      <c r="BR136" s="835">
        <f t="shared" si="170"/>
        <v>0</v>
      </c>
      <c r="BS136" s="835">
        <f t="shared" si="171"/>
        <v>0</v>
      </c>
      <c r="BT136" s="835">
        <f t="shared" si="172"/>
        <v>0</v>
      </c>
      <c r="BU136" s="835">
        <f t="shared" si="173"/>
        <v>0</v>
      </c>
      <c r="BV136" s="842"/>
      <c r="BW136" s="835">
        <f t="shared" si="174"/>
        <v>2.0605000000000002</v>
      </c>
      <c r="BX136" s="835">
        <f t="shared" si="175"/>
        <v>0</v>
      </c>
      <c r="BY136" s="835">
        <f t="shared" si="176"/>
        <v>0</v>
      </c>
      <c r="BZ136" s="835">
        <f t="shared" si="177"/>
        <v>0</v>
      </c>
      <c r="CA136" s="840"/>
      <c r="CB136" s="835">
        <f t="shared" si="178"/>
        <v>0</v>
      </c>
      <c r="CC136" s="835">
        <f t="shared" si="179"/>
        <v>0</v>
      </c>
      <c r="CD136" s="835">
        <f t="shared" si="180"/>
        <v>0</v>
      </c>
      <c r="CE136" s="835">
        <f t="shared" si="181"/>
        <v>0</v>
      </c>
      <c r="CF136" s="840"/>
      <c r="CG136" s="835">
        <f t="shared" si="182"/>
        <v>0</v>
      </c>
      <c r="CH136" s="835">
        <f t="shared" si="183"/>
        <v>0</v>
      </c>
      <c r="CI136" s="835">
        <f t="shared" si="184"/>
        <v>0</v>
      </c>
      <c r="CJ136" s="835">
        <f t="shared" si="185"/>
        <v>0</v>
      </c>
      <c r="CK136" s="840"/>
      <c r="CL136" s="835">
        <f t="shared" si="186"/>
        <v>0</v>
      </c>
      <c r="CM136" s="835">
        <f t="shared" si="187"/>
        <v>0</v>
      </c>
      <c r="CN136" s="835">
        <f t="shared" si="188"/>
        <v>0</v>
      </c>
      <c r="CO136" s="835">
        <f t="shared" si="189"/>
        <v>0</v>
      </c>
      <c r="CP136" s="840"/>
      <c r="CQ136" s="835">
        <f t="shared" si="190"/>
        <v>0</v>
      </c>
      <c r="CR136" s="835">
        <f t="shared" si="191"/>
        <v>0</v>
      </c>
      <c r="CS136" s="835">
        <f t="shared" si="192"/>
        <v>0</v>
      </c>
      <c r="CT136" s="835">
        <f t="shared" si="193"/>
        <v>0</v>
      </c>
      <c r="CU136" s="842"/>
      <c r="CV136" s="835">
        <f t="shared" si="169"/>
        <v>2.0605000000000002</v>
      </c>
      <c r="CW136" s="835">
        <f t="shared" si="169"/>
        <v>0</v>
      </c>
      <c r="CX136" s="835">
        <f t="shared" si="169"/>
        <v>0</v>
      </c>
      <c r="CY136" s="835">
        <f t="shared" si="169"/>
        <v>0</v>
      </c>
      <c r="CZ136" s="842"/>
      <c r="DA136" s="835">
        <f>'1.BS (VND)'!CV110/'1.BC_Ra Soat (ty) '!$C$6</f>
        <v>0</v>
      </c>
      <c r="DB136" s="835">
        <f>'1.BS (VND)'!CW110/'1.BC_Ra Soat (ty) '!$C$6</f>
        <v>0</v>
      </c>
      <c r="DC136" s="835">
        <f>'1.BS (VND)'!CX110/'1.BC_Ra Soat (ty) '!$C$6</f>
        <v>0</v>
      </c>
      <c r="DD136" s="835">
        <f>'1.BS (VND)'!CY110/'1.BC_Ra Soat (ty) '!$C$6</f>
        <v>0</v>
      </c>
      <c r="DE136" s="842"/>
      <c r="DF136" s="835">
        <f t="shared" si="166"/>
        <v>2.0605000000000002</v>
      </c>
      <c r="DG136" s="835">
        <f t="shared" si="166"/>
        <v>0</v>
      </c>
      <c r="DH136" s="835">
        <f t="shared" si="166"/>
        <v>0</v>
      </c>
      <c r="DI136" s="835">
        <f t="shared" si="166"/>
        <v>0</v>
      </c>
    </row>
    <row r="137" spans="1:114" s="441" customFormat="1" ht="15.75" hidden="1" x14ac:dyDescent="0.25">
      <c r="A137" s="447" t="str">
        <f t="shared" si="167"/>
        <v>hide</v>
      </c>
      <c r="C137" s="452" t="s">
        <v>475</v>
      </c>
      <c r="D137" s="453" t="s">
        <v>476</v>
      </c>
      <c r="E137" s="835">
        <f>'1.BS (VND)'!E111/$C$6</f>
        <v>0</v>
      </c>
      <c r="F137" s="835">
        <f>'1.BS (VND)'!F111/$C$6</f>
        <v>0</v>
      </c>
      <c r="G137" s="835">
        <f>'1.BS (VND)'!G111/$C$6</f>
        <v>0</v>
      </c>
      <c r="H137" s="835">
        <f>'1.BS (VND)'!H111/$C$6</f>
        <v>0</v>
      </c>
      <c r="I137" s="842"/>
      <c r="J137" s="835">
        <f>'1.BS (VND)'!J111/$C$6</f>
        <v>0</v>
      </c>
      <c r="K137" s="835">
        <f>'1.BS (VND)'!K111/$C$6</f>
        <v>0</v>
      </c>
      <c r="L137" s="835">
        <f>'1.BS (VND)'!L111/$C$6</f>
        <v>0</v>
      </c>
      <c r="M137" s="835">
        <f>'1.BS (VND)'!M111/$C$6</f>
        <v>0</v>
      </c>
      <c r="N137" s="840"/>
      <c r="O137" s="835">
        <f>'1.BS (VND)'!O111/$C$6</f>
        <v>0</v>
      </c>
      <c r="P137" s="835">
        <f>'1.BS (VND)'!P111/$C$6</f>
        <v>0</v>
      </c>
      <c r="Q137" s="835">
        <f>'1.BS (VND)'!Q111/$C$6</f>
        <v>0</v>
      </c>
      <c r="R137" s="835">
        <f>'1.BS (VND)'!R111/$C$6</f>
        <v>0</v>
      </c>
      <c r="S137" s="840"/>
      <c r="T137" s="835">
        <f>'1.BS (VND)'!T111/$C$6</f>
        <v>0</v>
      </c>
      <c r="U137" s="835">
        <f>'1.BS (VND)'!U111/$C$6</f>
        <v>0</v>
      </c>
      <c r="V137" s="835">
        <f>'1.BS (VND)'!V111/$C$6</f>
        <v>0</v>
      </c>
      <c r="W137" s="835">
        <f>'1.BS (VND)'!W111/$C$6</f>
        <v>0</v>
      </c>
      <c r="X137" s="840"/>
      <c r="Y137" s="835">
        <f>'1.BS (VND)'!Y112</f>
        <v>0</v>
      </c>
      <c r="Z137" s="835">
        <f>'1.BS (VND)'!Z112</f>
        <v>0</v>
      </c>
      <c r="AA137" s="835">
        <f>'1.BS (VND)'!AA112</f>
        <v>0</v>
      </c>
      <c r="AB137" s="835">
        <f>'1.BS (VND)'!AB112</f>
        <v>0</v>
      </c>
      <c r="AC137" s="840"/>
      <c r="AD137" s="835">
        <f>'1.BS (VND)'!AD111/$C$6</f>
        <v>0</v>
      </c>
      <c r="AE137" s="835">
        <f>'1.BS (VND)'!AE111/$C$6</f>
        <v>0</v>
      </c>
      <c r="AF137" s="835">
        <f>'1.BS (VND)'!AF111/$C$6</f>
        <v>0</v>
      </c>
      <c r="AG137" s="835">
        <f>'1.BS (VND)'!AG111/$C$6</f>
        <v>0</v>
      </c>
      <c r="AH137" s="841"/>
      <c r="AI137" s="835">
        <f t="shared" si="168"/>
        <v>0</v>
      </c>
      <c r="AJ137" s="835">
        <f t="shared" si="168"/>
        <v>0</v>
      </c>
      <c r="AK137" s="835">
        <f t="shared" si="168"/>
        <v>0</v>
      </c>
      <c r="AL137" s="835">
        <f t="shared" si="140"/>
        <v>0</v>
      </c>
      <c r="AM137" s="842"/>
      <c r="AN137" s="835">
        <f>'1.BS (VND)'!AI111/$C$6</f>
        <v>0</v>
      </c>
      <c r="AO137" s="835">
        <f>'1.BS (VND)'!AJ111/$C$6</f>
        <v>0</v>
      </c>
      <c r="AP137" s="835">
        <f>'1.BS (VND)'!AK111/$C$6</f>
        <v>0</v>
      </c>
      <c r="AQ137" s="835">
        <f>'1.BS (VND)'!AL111/$C$6</f>
        <v>0</v>
      </c>
      <c r="AR137" s="842"/>
      <c r="AS137" s="835">
        <f>'1.BS (VND)'!AN111/$C$6</f>
        <v>0</v>
      </c>
      <c r="AT137" s="835">
        <f>'1.BS (VND)'!AO111/$C$6</f>
        <v>0</v>
      </c>
      <c r="AU137" s="835">
        <f>'1.BS (VND)'!AP111/$C$6</f>
        <v>0</v>
      </c>
      <c r="AV137" s="835">
        <f>'1.BS (VND)'!AQ111/$C$6</f>
        <v>0</v>
      </c>
      <c r="AW137" s="840"/>
      <c r="AX137" s="835">
        <f>'1.BS (VND)'!AS111/$C$6</f>
        <v>0</v>
      </c>
      <c r="AY137" s="835">
        <f>'1.BS (VND)'!AT111/$C$6</f>
        <v>0</v>
      </c>
      <c r="AZ137" s="835">
        <f>'1.BS (VND)'!AU111/$C$6</f>
        <v>0</v>
      </c>
      <c r="BA137" s="835">
        <f>'1.BS (VND)'!AV111/$C$6</f>
        <v>0</v>
      </c>
      <c r="BB137" s="840"/>
      <c r="BC137" s="835">
        <f>'1.BS (VND)'!AX111/$C$6</f>
        <v>0</v>
      </c>
      <c r="BD137" s="835">
        <f>'1.BS (VND)'!AY111/$C$6</f>
        <v>0</v>
      </c>
      <c r="BE137" s="835">
        <f>'1.BS (VND)'!AZ111/$C$6</f>
        <v>0</v>
      </c>
      <c r="BF137" s="835">
        <f>'1.BS (VND)'!BA111/$C$6</f>
        <v>0</v>
      </c>
      <c r="BG137" s="840"/>
      <c r="BH137" s="835">
        <f>'1.BS (VND)'!BC111/$C$6</f>
        <v>0</v>
      </c>
      <c r="BI137" s="835">
        <f>'1.BS (VND)'!BD111/$C$6</f>
        <v>0</v>
      </c>
      <c r="BJ137" s="835">
        <f>'1.BS (VND)'!BE111/$C$6</f>
        <v>0</v>
      </c>
      <c r="BK137" s="835">
        <f>'1.BS (VND)'!BF111/$C$6</f>
        <v>0</v>
      </c>
      <c r="BL137" s="840"/>
      <c r="BM137" s="835">
        <f>'1.BS (VND)'!BH111/$C$6</f>
        <v>0</v>
      </c>
      <c r="BN137" s="835">
        <f>'1.BS (VND)'!BI111/$C$6</f>
        <v>0</v>
      </c>
      <c r="BO137" s="835">
        <f>'1.BS (VND)'!BJ111/$C$6</f>
        <v>0</v>
      </c>
      <c r="BP137" s="835">
        <f>'1.BS (VND)'!BK111/$C$6</f>
        <v>0</v>
      </c>
      <c r="BQ137" s="841"/>
      <c r="BR137" s="835">
        <f t="shared" si="170"/>
        <v>0</v>
      </c>
      <c r="BS137" s="835">
        <f t="shared" si="171"/>
        <v>0</v>
      </c>
      <c r="BT137" s="835">
        <f t="shared" si="172"/>
        <v>0</v>
      </c>
      <c r="BU137" s="835">
        <f t="shared" si="173"/>
        <v>0</v>
      </c>
      <c r="BV137" s="842"/>
      <c r="BW137" s="835">
        <f t="shared" si="174"/>
        <v>0</v>
      </c>
      <c r="BX137" s="835">
        <f t="shared" si="175"/>
        <v>0</v>
      </c>
      <c r="BY137" s="835">
        <f t="shared" si="176"/>
        <v>0</v>
      </c>
      <c r="BZ137" s="835">
        <f t="shared" si="177"/>
        <v>0</v>
      </c>
      <c r="CA137" s="840"/>
      <c r="CB137" s="835">
        <f t="shared" si="178"/>
        <v>0</v>
      </c>
      <c r="CC137" s="835">
        <f t="shared" si="179"/>
        <v>0</v>
      </c>
      <c r="CD137" s="835">
        <f t="shared" si="180"/>
        <v>0</v>
      </c>
      <c r="CE137" s="835">
        <f t="shared" si="181"/>
        <v>0</v>
      </c>
      <c r="CF137" s="840"/>
      <c r="CG137" s="835">
        <f t="shared" si="182"/>
        <v>0</v>
      </c>
      <c r="CH137" s="835">
        <f t="shared" si="183"/>
        <v>0</v>
      </c>
      <c r="CI137" s="835">
        <f t="shared" si="184"/>
        <v>0</v>
      </c>
      <c r="CJ137" s="835">
        <f t="shared" si="185"/>
        <v>0</v>
      </c>
      <c r="CK137" s="840"/>
      <c r="CL137" s="835">
        <f t="shared" si="186"/>
        <v>0</v>
      </c>
      <c r="CM137" s="835">
        <f t="shared" si="187"/>
        <v>0</v>
      </c>
      <c r="CN137" s="835">
        <f t="shared" si="188"/>
        <v>0</v>
      </c>
      <c r="CO137" s="835">
        <f t="shared" si="189"/>
        <v>0</v>
      </c>
      <c r="CP137" s="840"/>
      <c r="CQ137" s="835">
        <f t="shared" si="190"/>
        <v>0</v>
      </c>
      <c r="CR137" s="835">
        <f t="shared" si="191"/>
        <v>0</v>
      </c>
      <c r="CS137" s="835">
        <f t="shared" si="192"/>
        <v>0</v>
      </c>
      <c r="CT137" s="835">
        <f t="shared" si="193"/>
        <v>0</v>
      </c>
      <c r="CU137" s="842"/>
      <c r="CV137" s="835">
        <f t="shared" si="169"/>
        <v>0</v>
      </c>
      <c r="CW137" s="835">
        <f t="shared" si="169"/>
        <v>0</v>
      </c>
      <c r="CX137" s="835">
        <f t="shared" si="169"/>
        <v>0</v>
      </c>
      <c r="CY137" s="835">
        <f t="shared" si="169"/>
        <v>0</v>
      </c>
      <c r="CZ137" s="842"/>
      <c r="DA137" s="835">
        <f>'1.BS (VND)'!CV111/'1.BC_Ra Soat (ty) '!$C$6</f>
        <v>0</v>
      </c>
      <c r="DB137" s="835">
        <f>'1.BS (VND)'!CW111/'1.BC_Ra Soat (ty) '!$C$6</f>
        <v>0</v>
      </c>
      <c r="DC137" s="835">
        <f>'1.BS (VND)'!CX111/'1.BC_Ra Soat (ty) '!$C$6</f>
        <v>0</v>
      </c>
      <c r="DD137" s="835">
        <f>'1.BS (VND)'!CY111/'1.BC_Ra Soat (ty) '!$C$6</f>
        <v>0</v>
      </c>
      <c r="DE137" s="842"/>
      <c r="DF137" s="835">
        <f t="shared" si="166"/>
        <v>0</v>
      </c>
      <c r="DG137" s="835">
        <f t="shared" si="166"/>
        <v>0</v>
      </c>
      <c r="DH137" s="835">
        <f t="shared" si="166"/>
        <v>0</v>
      </c>
      <c r="DI137" s="835">
        <f t="shared" si="166"/>
        <v>0</v>
      </c>
    </row>
    <row r="138" spans="1:114" s="441" customFormat="1" ht="15.75" hidden="1" x14ac:dyDescent="0.25">
      <c r="A138" s="447" t="str">
        <f t="shared" si="167"/>
        <v>hide</v>
      </c>
      <c r="C138" s="452" t="s">
        <v>477</v>
      </c>
      <c r="D138" s="453" t="s">
        <v>478</v>
      </c>
      <c r="E138" s="835">
        <f>'1.BS (VND)'!E112/$C$6</f>
        <v>0</v>
      </c>
      <c r="F138" s="835">
        <f>'1.BS (VND)'!F112/$C$6</f>
        <v>0</v>
      </c>
      <c r="G138" s="835">
        <f>'1.BS (VND)'!G112/$C$6</f>
        <v>0</v>
      </c>
      <c r="H138" s="835">
        <f>'1.BS (VND)'!H112/$C$6</f>
        <v>0</v>
      </c>
      <c r="I138" s="842"/>
      <c r="J138" s="835">
        <f>'1.BS (VND)'!J112/$C$6</f>
        <v>0</v>
      </c>
      <c r="K138" s="835">
        <f>'1.BS (VND)'!K112/$C$6</f>
        <v>0</v>
      </c>
      <c r="L138" s="835">
        <f>'1.BS (VND)'!L112/$C$6</f>
        <v>0</v>
      </c>
      <c r="M138" s="835">
        <f>'1.BS (VND)'!M112/$C$6</f>
        <v>0</v>
      </c>
      <c r="N138" s="840"/>
      <c r="O138" s="835">
        <f>'1.BS (VND)'!O112/$C$6</f>
        <v>0</v>
      </c>
      <c r="P138" s="835">
        <f>'1.BS (VND)'!P112/$C$6</f>
        <v>0</v>
      </c>
      <c r="Q138" s="835">
        <f>'1.BS (VND)'!Q112/$C$6</f>
        <v>0</v>
      </c>
      <c r="R138" s="835">
        <f>'1.BS (VND)'!R112/$C$6</f>
        <v>0</v>
      </c>
      <c r="S138" s="840"/>
      <c r="T138" s="835">
        <f>'1.BS (VND)'!T112/$C$6</f>
        <v>0</v>
      </c>
      <c r="U138" s="835">
        <f>'1.BS (VND)'!U112/$C$6</f>
        <v>0</v>
      </c>
      <c r="V138" s="835">
        <f>'1.BS (VND)'!V112/$C$6</f>
        <v>0</v>
      </c>
      <c r="W138" s="835">
        <f>'1.BS (VND)'!W112/$C$6</f>
        <v>0</v>
      </c>
      <c r="X138" s="840"/>
      <c r="Y138" s="835">
        <f>'1.BS (VND)'!Y113</f>
        <v>0</v>
      </c>
      <c r="Z138" s="835">
        <f>'1.BS (VND)'!Z113</f>
        <v>0</v>
      </c>
      <c r="AA138" s="835">
        <f>'1.BS (VND)'!AA113</f>
        <v>0</v>
      </c>
      <c r="AB138" s="835">
        <f>'1.BS (VND)'!AB113</f>
        <v>0</v>
      </c>
      <c r="AC138" s="840"/>
      <c r="AD138" s="835">
        <f>'1.BS (VND)'!AD112/$C$6</f>
        <v>0</v>
      </c>
      <c r="AE138" s="835">
        <f>'1.BS (VND)'!AE112/$C$6</f>
        <v>0</v>
      </c>
      <c r="AF138" s="835">
        <f>'1.BS (VND)'!AF112/$C$6</f>
        <v>0</v>
      </c>
      <c r="AG138" s="835">
        <f>'1.BS (VND)'!AG112/$C$6</f>
        <v>0</v>
      </c>
      <c r="AH138" s="841"/>
      <c r="AI138" s="835">
        <f t="shared" si="168"/>
        <v>0</v>
      </c>
      <c r="AJ138" s="835">
        <f t="shared" si="168"/>
        <v>0</v>
      </c>
      <c r="AK138" s="835">
        <f t="shared" si="168"/>
        <v>0</v>
      </c>
      <c r="AL138" s="835">
        <f t="shared" si="140"/>
        <v>0</v>
      </c>
      <c r="AM138" s="842"/>
      <c r="AN138" s="835">
        <f>'1.BS (VND)'!AI112/$C$6</f>
        <v>0</v>
      </c>
      <c r="AO138" s="835">
        <f>'1.BS (VND)'!AJ112/$C$6</f>
        <v>0</v>
      </c>
      <c r="AP138" s="835">
        <f>'1.BS (VND)'!AK112/$C$6</f>
        <v>0</v>
      </c>
      <c r="AQ138" s="835">
        <f>'1.BS (VND)'!AL112/$C$6</f>
        <v>0</v>
      </c>
      <c r="AR138" s="842"/>
      <c r="AS138" s="835">
        <f>'1.BS (VND)'!AN112/$C$6</f>
        <v>0</v>
      </c>
      <c r="AT138" s="835">
        <f>'1.BS (VND)'!AO112/$C$6</f>
        <v>0</v>
      </c>
      <c r="AU138" s="835">
        <f>'1.BS (VND)'!AP112/$C$6</f>
        <v>0</v>
      </c>
      <c r="AV138" s="835">
        <f>'1.BS (VND)'!AQ112/$C$6</f>
        <v>0</v>
      </c>
      <c r="AW138" s="840"/>
      <c r="AX138" s="835">
        <f>'1.BS (VND)'!AS112/$C$6</f>
        <v>0</v>
      </c>
      <c r="AY138" s="835">
        <f>'1.BS (VND)'!AT112/$C$6</f>
        <v>0</v>
      </c>
      <c r="AZ138" s="835">
        <f>'1.BS (VND)'!AU112/$C$6</f>
        <v>0</v>
      </c>
      <c r="BA138" s="835">
        <f>'1.BS (VND)'!AV112/$C$6</f>
        <v>0</v>
      </c>
      <c r="BB138" s="840"/>
      <c r="BC138" s="835">
        <f>'1.BS (VND)'!AX112/$C$6</f>
        <v>0</v>
      </c>
      <c r="BD138" s="835">
        <f>'1.BS (VND)'!AY112/$C$6</f>
        <v>0</v>
      </c>
      <c r="BE138" s="835">
        <f>'1.BS (VND)'!AZ112/$C$6</f>
        <v>0</v>
      </c>
      <c r="BF138" s="835">
        <f>'1.BS (VND)'!BA112/$C$6</f>
        <v>0</v>
      </c>
      <c r="BG138" s="840"/>
      <c r="BH138" s="835">
        <f>'1.BS (VND)'!BC112/$C$6</f>
        <v>0</v>
      </c>
      <c r="BI138" s="835">
        <f>'1.BS (VND)'!BD112/$C$6</f>
        <v>0</v>
      </c>
      <c r="BJ138" s="835">
        <f>'1.BS (VND)'!BE112/$C$6</f>
        <v>0</v>
      </c>
      <c r="BK138" s="835">
        <f>'1.BS (VND)'!BF112/$C$6</f>
        <v>0</v>
      </c>
      <c r="BL138" s="840"/>
      <c r="BM138" s="835">
        <f>'1.BS (VND)'!BH112/$C$6</f>
        <v>0</v>
      </c>
      <c r="BN138" s="835">
        <f>'1.BS (VND)'!BI112/$C$6</f>
        <v>0</v>
      </c>
      <c r="BO138" s="835">
        <f>'1.BS (VND)'!BJ112/$C$6</f>
        <v>0</v>
      </c>
      <c r="BP138" s="835">
        <f>'1.BS (VND)'!BK112/$C$6</f>
        <v>0</v>
      </c>
      <c r="BQ138" s="841"/>
      <c r="BR138" s="835">
        <f t="shared" si="170"/>
        <v>0</v>
      </c>
      <c r="BS138" s="835">
        <f t="shared" si="171"/>
        <v>0</v>
      </c>
      <c r="BT138" s="835">
        <f t="shared" si="172"/>
        <v>0</v>
      </c>
      <c r="BU138" s="835">
        <f t="shared" si="173"/>
        <v>0</v>
      </c>
      <c r="BV138" s="842"/>
      <c r="BW138" s="835">
        <f t="shared" si="174"/>
        <v>0</v>
      </c>
      <c r="BX138" s="835">
        <f t="shared" si="175"/>
        <v>0</v>
      </c>
      <c r="BY138" s="835">
        <f t="shared" si="176"/>
        <v>0</v>
      </c>
      <c r="BZ138" s="835">
        <f t="shared" si="177"/>
        <v>0</v>
      </c>
      <c r="CA138" s="840"/>
      <c r="CB138" s="835">
        <f t="shared" si="178"/>
        <v>0</v>
      </c>
      <c r="CC138" s="835">
        <f t="shared" si="179"/>
        <v>0</v>
      </c>
      <c r="CD138" s="835">
        <f t="shared" si="180"/>
        <v>0</v>
      </c>
      <c r="CE138" s="835">
        <f t="shared" si="181"/>
        <v>0</v>
      </c>
      <c r="CF138" s="840"/>
      <c r="CG138" s="835">
        <f t="shared" si="182"/>
        <v>0</v>
      </c>
      <c r="CH138" s="835">
        <f t="shared" si="183"/>
        <v>0</v>
      </c>
      <c r="CI138" s="835">
        <f t="shared" si="184"/>
        <v>0</v>
      </c>
      <c r="CJ138" s="835">
        <f t="shared" si="185"/>
        <v>0</v>
      </c>
      <c r="CK138" s="840"/>
      <c r="CL138" s="835">
        <f t="shared" si="186"/>
        <v>0</v>
      </c>
      <c r="CM138" s="835">
        <f t="shared" si="187"/>
        <v>0</v>
      </c>
      <c r="CN138" s="835">
        <f t="shared" si="188"/>
        <v>0</v>
      </c>
      <c r="CO138" s="835">
        <f t="shared" si="189"/>
        <v>0</v>
      </c>
      <c r="CP138" s="840"/>
      <c r="CQ138" s="835">
        <f t="shared" si="190"/>
        <v>0</v>
      </c>
      <c r="CR138" s="835">
        <f t="shared" si="191"/>
        <v>0</v>
      </c>
      <c r="CS138" s="835">
        <f t="shared" si="192"/>
        <v>0</v>
      </c>
      <c r="CT138" s="835">
        <f t="shared" si="193"/>
        <v>0</v>
      </c>
      <c r="CU138" s="842"/>
      <c r="CV138" s="835">
        <f t="shared" si="169"/>
        <v>0</v>
      </c>
      <c r="CW138" s="835">
        <f t="shared" si="169"/>
        <v>0</v>
      </c>
      <c r="CX138" s="835">
        <f t="shared" si="169"/>
        <v>0</v>
      </c>
      <c r="CY138" s="835">
        <f t="shared" si="169"/>
        <v>0</v>
      </c>
      <c r="CZ138" s="842"/>
      <c r="DA138" s="835">
        <f>'1.BS (VND)'!CV112/'1.BC_Ra Soat (ty) '!$C$6</f>
        <v>0</v>
      </c>
      <c r="DB138" s="835">
        <f>'1.BS (VND)'!CW112/'1.BC_Ra Soat (ty) '!$C$6</f>
        <v>0</v>
      </c>
      <c r="DC138" s="835">
        <f>'1.BS (VND)'!CX112/'1.BC_Ra Soat (ty) '!$C$6</f>
        <v>0</v>
      </c>
      <c r="DD138" s="835">
        <f>'1.BS (VND)'!CY112/'1.BC_Ra Soat (ty) '!$C$6</f>
        <v>0</v>
      </c>
      <c r="DE138" s="842"/>
      <c r="DF138" s="835">
        <f t="shared" si="166"/>
        <v>0</v>
      </c>
      <c r="DG138" s="835">
        <f t="shared" si="166"/>
        <v>0</v>
      </c>
      <c r="DH138" s="835">
        <f t="shared" si="166"/>
        <v>0</v>
      </c>
      <c r="DI138" s="835">
        <f t="shared" si="166"/>
        <v>0</v>
      </c>
    </row>
    <row r="139" spans="1:114" s="441" customFormat="1" ht="15.75" hidden="1" x14ac:dyDescent="0.25">
      <c r="A139" s="447" t="str">
        <f t="shared" si="167"/>
        <v>hide</v>
      </c>
      <c r="C139" s="452" t="s">
        <v>479</v>
      </c>
      <c r="D139" s="453" t="s">
        <v>480</v>
      </c>
      <c r="E139" s="835">
        <f>'1.BS (VND)'!E113/$C$6</f>
        <v>0</v>
      </c>
      <c r="F139" s="835">
        <f>'1.BS (VND)'!F113/$C$6</f>
        <v>0</v>
      </c>
      <c r="G139" s="835">
        <f>'1.BS (VND)'!G113/$C$6</f>
        <v>0</v>
      </c>
      <c r="H139" s="835">
        <f>'1.BS (VND)'!H113/$C$6</f>
        <v>0</v>
      </c>
      <c r="I139" s="842"/>
      <c r="J139" s="835">
        <f>'1.BS (VND)'!J113/$C$6</f>
        <v>0</v>
      </c>
      <c r="K139" s="835">
        <f>'1.BS (VND)'!K113/$C$6</f>
        <v>0</v>
      </c>
      <c r="L139" s="835">
        <f>'1.BS (VND)'!L113/$C$6</f>
        <v>0</v>
      </c>
      <c r="M139" s="835">
        <f>'1.BS (VND)'!M113/$C$6</f>
        <v>0</v>
      </c>
      <c r="N139" s="840"/>
      <c r="O139" s="835">
        <f>'1.BS (VND)'!O113/$C$6</f>
        <v>0</v>
      </c>
      <c r="P139" s="835">
        <f>'1.BS (VND)'!P113/$C$6</f>
        <v>0</v>
      </c>
      <c r="Q139" s="835">
        <f>'1.BS (VND)'!Q113/$C$6</f>
        <v>0</v>
      </c>
      <c r="R139" s="835">
        <f>'1.BS (VND)'!R113/$C$6</f>
        <v>0</v>
      </c>
      <c r="S139" s="840"/>
      <c r="T139" s="835">
        <f>'1.BS (VND)'!T113/$C$6</f>
        <v>0</v>
      </c>
      <c r="U139" s="835">
        <f>'1.BS (VND)'!U113/$C$6</f>
        <v>0</v>
      </c>
      <c r="V139" s="835">
        <f>'1.BS (VND)'!V113/$C$6</f>
        <v>0</v>
      </c>
      <c r="W139" s="835">
        <f>'1.BS (VND)'!W113/$C$6</f>
        <v>0</v>
      </c>
      <c r="X139" s="840"/>
      <c r="Y139" s="835">
        <f>'1.BS (VND)'!Y114</f>
        <v>0</v>
      </c>
      <c r="Z139" s="835">
        <f>'1.BS (VND)'!Z114</f>
        <v>0</v>
      </c>
      <c r="AA139" s="835">
        <f>'1.BS (VND)'!AA114</f>
        <v>0</v>
      </c>
      <c r="AB139" s="835">
        <f>'1.BS (VND)'!AB114</f>
        <v>0</v>
      </c>
      <c r="AC139" s="840"/>
      <c r="AD139" s="835">
        <f>'1.BS (VND)'!AD113/$C$6</f>
        <v>0</v>
      </c>
      <c r="AE139" s="835">
        <f>'1.BS (VND)'!AE113/$C$6</f>
        <v>0</v>
      </c>
      <c r="AF139" s="835">
        <f>'1.BS (VND)'!AF113/$C$6</f>
        <v>0</v>
      </c>
      <c r="AG139" s="835">
        <f>'1.BS (VND)'!AG113/$C$6</f>
        <v>0</v>
      </c>
      <c r="AH139" s="841"/>
      <c r="AI139" s="835">
        <f t="shared" si="168"/>
        <v>0</v>
      </c>
      <c r="AJ139" s="835">
        <f t="shared" si="168"/>
        <v>0</v>
      </c>
      <c r="AK139" s="835">
        <f t="shared" si="168"/>
        <v>0</v>
      </c>
      <c r="AL139" s="835">
        <f t="shared" si="140"/>
        <v>0</v>
      </c>
      <c r="AM139" s="842"/>
      <c r="AN139" s="835">
        <f>'1.BS (VND)'!AI113/$C$6</f>
        <v>0</v>
      </c>
      <c r="AO139" s="835">
        <f>'1.BS (VND)'!AJ113/$C$6</f>
        <v>0</v>
      </c>
      <c r="AP139" s="835">
        <f>'1.BS (VND)'!AK113/$C$6</f>
        <v>0</v>
      </c>
      <c r="AQ139" s="835">
        <f>'1.BS (VND)'!AL113/$C$6</f>
        <v>0</v>
      </c>
      <c r="AR139" s="842"/>
      <c r="AS139" s="835">
        <f>'1.BS (VND)'!AN113/$C$6</f>
        <v>0</v>
      </c>
      <c r="AT139" s="835">
        <f>'1.BS (VND)'!AO113/$C$6</f>
        <v>0</v>
      </c>
      <c r="AU139" s="835">
        <f>'1.BS (VND)'!AP113/$C$6</f>
        <v>0</v>
      </c>
      <c r="AV139" s="835">
        <f>'1.BS (VND)'!AQ113/$C$6</f>
        <v>0</v>
      </c>
      <c r="AW139" s="840"/>
      <c r="AX139" s="835">
        <f>'1.BS (VND)'!AS113/$C$6</f>
        <v>0</v>
      </c>
      <c r="AY139" s="835">
        <f>'1.BS (VND)'!AT113/$C$6</f>
        <v>0</v>
      </c>
      <c r="AZ139" s="835">
        <f>'1.BS (VND)'!AU113/$C$6</f>
        <v>0</v>
      </c>
      <c r="BA139" s="835">
        <f>'1.BS (VND)'!AV113/$C$6</f>
        <v>0</v>
      </c>
      <c r="BB139" s="840"/>
      <c r="BC139" s="835">
        <f>'1.BS (VND)'!AX113/$C$6</f>
        <v>0</v>
      </c>
      <c r="BD139" s="835">
        <f>'1.BS (VND)'!AY113/$C$6</f>
        <v>0</v>
      </c>
      <c r="BE139" s="835">
        <f>'1.BS (VND)'!AZ113/$C$6</f>
        <v>0</v>
      </c>
      <c r="BF139" s="835">
        <f>'1.BS (VND)'!BA113/$C$6</f>
        <v>0</v>
      </c>
      <c r="BG139" s="840"/>
      <c r="BH139" s="835">
        <f>'1.BS (VND)'!BC113/$C$6</f>
        <v>0</v>
      </c>
      <c r="BI139" s="835">
        <f>'1.BS (VND)'!BD113/$C$6</f>
        <v>0</v>
      </c>
      <c r="BJ139" s="835">
        <f>'1.BS (VND)'!BE113/$C$6</f>
        <v>0</v>
      </c>
      <c r="BK139" s="835">
        <f>'1.BS (VND)'!BF113/$C$6</f>
        <v>0</v>
      </c>
      <c r="BL139" s="840"/>
      <c r="BM139" s="835">
        <f>'1.BS (VND)'!BH113/$C$6</f>
        <v>0</v>
      </c>
      <c r="BN139" s="835">
        <f>'1.BS (VND)'!BI113/$C$6</f>
        <v>0</v>
      </c>
      <c r="BO139" s="835">
        <f>'1.BS (VND)'!BJ113/$C$6</f>
        <v>0</v>
      </c>
      <c r="BP139" s="835">
        <f>'1.BS (VND)'!BK113/$C$6</f>
        <v>0</v>
      </c>
      <c r="BQ139" s="841"/>
      <c r="BR139" s="835">
        <f t="shared" si="170"/>
        <v>0</v>
      </c>
      <c r="BS139" s="835">
        <f t="shared" si="171"/>
        <v>0</v>
      </c>
      <c r="BT139" s="835">
        <f t="shared" si="172"/>
        <v>0</v>
      </c>
      <c r="BU139" s="835">
        <f t="shared" si="173"/>
        <v>0</v>
      </c>
      <c r="BV139" s="842"/>
      <c r="BW139" s="835">
        <f t="shared" si="174"/>
        <v>0</v>
      </c>
      <c r="BX139" s="835">
        <f t="shared" si="175"/>
        <v>0</v>
      </c>
      <c r="BY139" s="835">
        <f t="shared" si="176"/>
        <v>0</v>
      </c>
      <c r="BZ139" s="835">
        <f t="shared" si="177"/>
        <v>0</v>
      </c>
      <c r="CA139" s="840"/>
      <c r="CB139" s="835">
        <f t="shared" si="178"/>
        <v>0</v>
      </c>
      <c r="CC139" s="835">
        <f t="shared" si="179"/>
        <v>0</v>
      </c>
      <c r="CD139" s="835">
        <f t="shared" si="180"/>
        <v>0</v>
      </c>
      <c r="CE139" s="835">
        <f t="shared" si="181"/>
        <v>0</v>
      </c>
      <c r="CF139" s="840"/>
      <c r="CG139" s="835">
        <f t="shared" si="182"/>
        <v>0</v>
      </c>
      <c r="CH139" s="835">
        <f t="shared" si="183"/>
        <v>0</v>
      </c>
      <c r="CI139" s="835">
        <f t="shared" si="184"/>
        <v>0</v>
      </c>
      <c r="CJ139" s="835">
        <f t="shared" si="185"/>
        <v>0</v>
      </c>
      <c r="CK139" s="840"/>
      <c r="CL139" s="835">
        <f t="shared" si="186"/>
        <v>0</v>
      </c>
      <c r="CM139" s="835">
        <f t="shared" si="187"/>
        <v>0</v>
      </c>
      <c r="CN139" s="835">
        <f t="shared" si="188"/>
        <v>0</v>
      </c>
      <c r="CO139" s="835">
        <f t="shared" si="189"/>
        <v>0</v>
      </c>
      <c r="CP139" s="840"/>
      <c r="CQ139" s="835">
        <f t="shared" si="190"/>
        <v>0</v>
      </c>
      <c r="CR139" s="835">
        <f t="shared" si="191"/>
        <v>0</v>
      </c>
      <c r="CS139" s="835">
        <f t="shared" si="192"/>
        <v>0</v>
      </c>
      <c r="CT139" s="835">
        <f t="shared" si="193"/>
        <v>0</v>
      </c>
      <c r="CU139" s="842"/>
      <c r="CV139" s="835">
        <f t="shared" ref="CV139:CY150" si="194">SUMIF($BR$5:$CT$5,CV$5,$BR139:$CT139)</f>
        <v>0</v>
      </c>
      <c r="CW139" s="835">
        <f t="shared" si="194"/>
        <v>0</v>
      </c>
      <c r="CX139" s="835">
        <f t="shared" si="194"/>
        <v>0</v>
      </c>
      <c r="CY139" s="835">
        <f t="shared" si="194"/>
        <v>0</v>
      </c>
      <c r="CZ139" s="842"/>
      <c r="DA139" s="835">
        <f>'1.BS (VND)'!CV113/'1.BC_Ra Soat (ty) '!$C$6</f>
        <v>0</v>
      </c>
      <c r="DB139" s="835">
        <f>'1.BS (VND)'!CW113/'1.BC_Ra Soat (ty) '!$C$6</f>
        <v>0</v>
      </c>
      <c r="DC139" s="835">
        <f>'1.BS (VND)'!CX113/'1.BC_Ra Soat (ty) '!$C$6</f>
        <v>0</v>
      </c>
      <c r="DD139" s="835">
        <f>'1.BS (VND)'!CY113/'1.BC_Ra Soat (ty) '!$C$6</f>
        <v>0</v>
      </c>
      <c r="DE139" s="842"/>
      <c r="DF139" s="835">
        <f t="shared" si="166"/>
        <v>0</v>
      </c>
      <c r="DG139" s="835">
        <f t="shared" si="166"/>
        <v>0</v>
      </c>
      <c r="DH139" s="835">
        <f t="shared" si="166"/>
        <v>0</v>
      </c>
      <c r="DI139" s="835">
        <f t="shared" si="166"/>
        <v>0</v>
      </c>
    </row>
    <row r="140" spans="1:114" s="441" customFormat="1" ht="15.75" hidden="1" x14ac:dyDescent="0.25">
      <c r="A140" s="447" t="str">
        <f t="shared" si="167"/>
        <v>hide</v>
      </c>
      <c r="C140" s="452" t="s">
        <v>481</v>
      </c>
      <c r="D140" s="453" t="s">
        <v>482</v>
      </c>
      <c r="E140" s="835">
        <f>'1.BS (VND)'!E114/$C$6</f>
        <v>0</v>
      </c>
      <c r="F140" s="835">
        <f>'1.BS (VND)'!F114/$C$6</f>
        <v>0</v>
      </c>
      <c r="G140" s="835">
        <f>'1.BS (VND)'!G114/$C$6</f>
        <v>0</v>
      </c>
      <c r="H140" s="835">
        <f>'1.BS (VND)'!H114/$C$6</f>
        <v>0</v>
      </c>
      <c r="I140" s="842"/>
      <c r="J140" s="835">
        <f>'1.BS (VND)'!J114/$C$6</f>
        <v>0</v>
      </c>
      <c r="K140" s="835">
        <f>'1.BS (VND)'!K114/$C$6</f>
        <v>0</v>
      </c>
      <c r="L140" s="835">
        <f>'1.BS (VND)'!L114/$C$6</f>
        <v>0</v>
      </c>
      <c r="M140" s="835">
        <f>'1.BS (VND)'!M114/$C$6</f>
        <v>0</v>
      </c>
      <c r="N140" s="840"/>
      <c r="O140" s="835">
        <f>'1.BS (VND)'!O114/$C$6</f>
        <v>0</v>
      </c>
      <c r="P140" s="835">
        <f>'1.BS (VND)'!P114/$C$6</f>
        <v>0</v>
      </c>
      <c r="Q140" s="835">
        <f>'1.BS (VND)'!Q114/$C$6</f>
        <v>0</v>
      </c>
      <c r="R140" s="835">
        <f>'1.BS (VND)'!R114/$C$6</f>
        <v>0</v>
      </c>
      <c r="S140" s="840"/>
      <c r="T140" s="835">
        <f>'1.BS (VND)'!T114/$C$6</f>
        <v>0</v>
      </c>
      <c r="U140" s="835">
        <f>'1.BS (VND)'!U114/$C$6</f>
        <v>0</v>
      </c>
      <c r="V140" s="835">
        <f>'1.BS (VND)'!V114/$C$6</f>
        <v>0</v>
      </c>
      <c r="W140" s="835">
        <f>'1.BS (VND)'!W114/$C$6</f>
        <v>0</v>
      </c>
      <c r="X140" s="840"/>
      <c r="Y140" s="835">
        <f>'1.BS (VND)'!Y115</f>
        <v>0</v>
      </c>
      <c r="Z140" s="835">
        <f>'1.BS (VND)'!Z115</f>
        <v>0</v>
      </c>
      <c r="AA140" s="835">
        <f>'1.BS (VND)'!AA115</f>
        <v>0</v>
      </c>
      <c r="AB140" s="835">
        <f>'1.BS (VND)'!AB115</f>
        <v>0</v>
      </c>
      <c r="AC140" s="840"/>
      <c r="AD140" s="835">
        <f>'1.BS (VND)'!AD114/$C$6</f>
        <v>0</v>
      </c>
      <c r="AE140" s="835">
        <f>'1.BS (VND)'!AE114/$C$6</f>
        <v>0</v>
      </c>
      <c r="AF140" s="835">
        <f>'1.BS (VND)'!AF114/$C$6</f>
        <v>0</v>
      </c>
      <c r="AG140" s="835">
        <f>'1.BS (VND)'!AG114/$C$6</f>
        <v>0</v>
      </c>
      <c r="AH140" s="841"/>
      <c r="AI140" s="835">
        <f t="shared" si="168"/>
        <v>0</v>
      </c>
      <c r="AJ140" s="835">
        <f t="shared" si="168"/>
        <v>0</v>
      </c>
      <c r="AK140" s="835">
        <f t="shared" si="168"/>
        <v>0</v>
      </c>
      <c r="AL140" s="835">
        <f t="shared" si="140"/>
        <v>0</v>
      </c>
      <c r="AM140" s="842"/>
      <c r="AN140" s="835">
        <f>'1.BS (VND)'!AI114/$C$6</f>
        <v>0</v>
      </c>
      <c r="AO140" s="835">
        <f>'1.BS (VND)'!AJ114/$C$6</f>
        <v>0</v>
      </c>
      <c r="AP140" s="835">
        <f>'1.BS (VND)'!AK114/$C$6</f>
        <v>0</v>
      </c>
      <c r="AQ140" s="835">
        <f>'1.BS (VND)'!AL114/$C$6</f>
        <v>0</v>
      </c>
      <c r="AR140" s="842"/>
      <c r="AS140" s="835">
        <f>'1.BS (VND)'!AN114/$C$6</f>
        <v>0</v>
      </c>
      <c r="AT140" s="835">
        <f>'1.BS (VND)'!AO114/$C$6</f>
        <v>0</v>
      </c>
      <c r="AU140" s="835">
        <f>'1.BS (VND)'!AP114/$C$6</f>
        <v>0</v>
      </c>
      <c r="AV140" s="835">
        <f>'1.BS (VND)'!AQ114/$C$6</f>
        <v>0</v>
      </c>
      <c r="AW140" s="840"/>
      <c r="AX140" s="835">
        <f>'1.BS (VND)'!AS114/$C$6</f>
        <v>0</v>
      </c>
      <c r="AY140" s="835">
        <f>'1.BS (VND)'!AT114/$C$6</f>
        <v>0</v>
      </c>
      <c r="AZ140" s="835">
        <f>'1.BS (VND)'!AU114/$C$6</f>
        <v>0</v>
      </c>
      <c r="BA140" s="835">
        <f>'1.BS (VND)'!AV114/$C$6</f>
        <v>0</v>
      </c>
      <c r="BB140" s="840"/>
      <c r="BC140" s="835">
        <f>'1.BS (VND)'!AX114/$C$6</f>
        <v>0</v>
      </c>
      <c r="BD140" s="835">
        <f>'1.BS (VND)'!AY114/$C$6</f>
        <v>0</v>
      </c>
      <c r="BE140" s="835">
        <f>'1.BS (VND)'!AZ114/$C$6</f>
        <v>0</v>
      </c>
      <c r="BF140" s="835">
        <f>'1.BS (VND)'!BA114/$C$6</f>
        <v>0</v>
      </c>
      <c r="BG140" s="840"/>
      <c r="BH140" s="835">
        <f>'1.BS (VND)'!BC114/$C$6</f>
        <v>0</v>
      </c>
      <c r="BI140" s="835">
        <f>'1.BS (VND)'!BD114/$C$6</f>
        <v>0</v>
      </c>
      <c r="BJ140" s="835">
        <f>'1.BS (VND)'!BE114/$C$6</f>
        <v>0</v>
      </c>
      <c r="BK140" s="835">
        <f>'1.BS (VND)'!BF114/$C$6</f>
        <v>0</v>
      </c>
      <c r="BL140" s="840"/>
      <c r="BM140" s="835">
        <f>'1.BS (VND)'!BH114/$C$6</f>
        <v>0</v>
      </c>
      <c r="BN140" s="835">
        <f>'1.BS (VND)'!BI114/$C$6</f>
        <v>0</v>
      </c>
      <c r="BO140" s="835">
        <f>'1.BS (VND)'!BJ114/$C$6</f>
        <v>0</v>
      </c>
      <c r="BP140" s="835">
        <f>'1.BS (VND)'!BK114/$C$6</f>
        <v>0</v>
      </c>
      <c r="BQ140" s="841"/>
      <c r="BR140" s="835">
        <f t="shared" si="170"/>
        <v>0</v>
      </c>
      <c r="BS140" s="835">
        <f t="shared" si="171"/>
        <v>0</v>
      </c>
      <c r="BT140" s="835">
        <f t="shared" si="172"/>
        <v>0</v>
      </c>
      <c r="BU140" s="835">
        <f t="shared" si="173"/>
        <v>0</v>
      </c>
      <c r="BV140" s="842"/>
      <c r="BW140" s="835">
        <f t="shared" si="174"/>
        <v>0</v>
      </c>
      <c r="BX140" s="835">
        <f t="shared" si="175"/>
        <v>0</v>
      </c>
      <c r="BY140" s="835">
        <f t="shared" si="176"/>
        <v>0</v>
      </c>
      <c r="BZ140" s="835">
        <f t="shared" si="177"/>
        <v>0</v>
      </c>
      <c r="CA140" s="840"/>
      <c r="CB140" s="835">
        <f t="shared" si="178"/>
        <v>0</v>
      </c>
      <c r="CC140" s="835">
        <f t="shared" si="179"/>
        <v>0</v>
      </c>
      <c r="CD140" s="835">
        <f t="shared" si="180"/>
        <v>0</v>
      </c>
      <c r="CE140" s="835">
        <f t="shared" si="181"/>
        <v>0</v>
      </c>
      <c r="CF140" s="840"/>
      <c r="CG140" s="835">
        <f t="shared" si="182"/>
        <v>0</v>
      </c>
      <c r="CH140" s="835">
        <f t="shared" si="183"/>
        <v>0</v>
      </c>
      <c r="CI140" s="835">
        <f t="shared" si="184"/>
        <v>0</v>
      </c>
      <c r="CJ140" s="835">
        <f t="shared" si="185"/>
        <v>0</v>
      </c>
      <c r="CK140" s="840"/>
      <c r="CL140" s="835">
        <f t="shared" si="186"/>
        <v>0</v>
      </c>
      <c r="CM140" s="835">
        <f t="shared" si="187"/>
        <v>0</v>
      </c>
      <c r="CN140" s="835">
        <f t="shared" si="188"/>
        <v>0</v>
      </c>
      <c r="CO140" s="835">
        <f t="shared" si="189"/>
        <v>0</v>
      </c>
      <c r="CP140" s="840"/>
      <c r="CQ140" s="835">
        <f t="shared" si="190"/>
        <v>0</v>
      </c>
      <c r="CR140" s="835">
        <f t="shared" si="191"/>
        <v>0</v>
      </c>
      <c r="CS140" s="835">
        <f t="shared" si="192"/>
        <v>0</v>
      </c>
      <c r="CT140" s="835">
        <f t="shared" si="193"/>
        <v>0</v>
      </c>
      <c r="CU140" s="842"/>
      <c r="CV140" s="835">
        <f t="shared" si="194"/>
        <v>0</v>
      </c>
      <c r="CW140" s="835">
        <f t="shared" si="194"/>
        <v>0</v>
      </c>
      <c r="CX140" s="835">
        <f t="shared" si="194"/>
        <v>0</v>
      </c>
      <c r="CY140" s="835">
        <f t="shared" si="194"/>
        <v>0</v>
      </c>
      <c r="CZ140" s="842"/>
      <c r="DA140" s="835">
        <f>'1.BS (VND)'!CV114/'1.BC_Ra Soat (ty) '!$C$6</f>
        <v>0</v>
      </c>
      <c r="DB140" s="835">
        <f>'1.BS (VND)'!CW114/'1.BC_Ra Soat (ty) '!$C$6</f>
        <v>0</v>
      </c>
      <c r="DC140" s="835">
        <f>'1.BS (VND)'!CX114/'1.BC_Ra Soat (ty) '!$C$6</f>
        <v>0</v>
      </c>
      <c r="DD140" s="835">
        <f>'1.BS (VND)'!CY114/'1.BC_Ra Soat (ty) '!$C$6</f>
        <v>0</v>
      </c>
      <c r="DE140" s="842"/>
      <c r="DF140" s="835">
        <f t="shared" si="166"/>
        <v>0</v>
      </c>
      <c r="DG140" s="835">
        <f t="shared" si="166"/>
        <v>0</v>
      </c>
      <c r="DH140" s="835">
        <f t="shared" si="166"/>
        <v>0</v>
      </c>
      <c r="DI140" s="835">
        <f t="shared" si="166"/>
        <v>0</v>
      </c>
    </row>
    <row r="141" spans="1:114" s="441" customFormat="1" ht="15.75" hidden="1" x14ac:dyDescent="0.25">
      <c r="A141" s="447" t="str">
        <f t="shared" si="167"/>
        <v>hide</v>
      </c>
      <c r="C141" s="452" t="s">
        <v>483</v>
      </c>
      <c r="D141" s="453" t="s">
        <v>484</v>
      </c>
      <c r="E141" s="835">
        <f>'1.BS (VND)'!E115/$C$6</f>
        <v>0</v>
      </c>
      <c r="F141" s="835">
        <f>'1.BS (VND)'!F115/$C$6</f>
        <v>0</v>
      </c>
      <c r="G141" s="835">
        <f>'1.BS (VND)'!G115/$C$6</f>
        <v>0</v>
      </c>
      <c r="H141" s="835">
        <f>'1.BS (VND)'!H115/$C$6</f>
        <v>0</v>
      </c>
      <c r="I141" s="842"/>
      <c r="J141" s="835">
        <f>'1.BS (VND)'!J115/$C$6</f>
        <v>0</v>
      </c>
      <c r="K141" s="835">
        <f>'1.BS (VND)'!K115/$C$6</f>
        <v>0</v>
      </c>
      <c r="L141" s="835">
        <f>'1.BS (VND)'!L115/$C$6</f>
        <v>0</v>
      </c>
      <c r="M141" s="835">
        <f>'1.BS (VND)'!M115/$C$6</f>
        <v>0</v>
      </c>
      <c r="N141" s="840"/>
      <c r="O141" s="835">
        <f>'1.BS (VND)'!O115/$C$6</f>
        <v>0</v>
      </c>
      <c r="P141" s="835">
        <f>'1.BS (VND)'!P115/$C$6</f>
        <v>0</v>
      </c>
      <c r="Q141" s="835">
        <f>'1.BS (VND)'!Q115/$C$6</f>
        <v>0</v>
      </c>
      <c r="R141" s="835">
        <f>'1.BS (VND)'!R115/$C$6</f>
        <v>0</v>
      </c>
      <c r="S141" s="840"/>
      <c r="T141" s="835">
        <f>'1.BS (VND)'!T115/$C$6</f>
        <v>0</v>
      </c>
      <c r="U141" s="835">
        <f>'1.BS (VND)'!U115/$C$6</f>
        <v>0</v>
      </c>
      <c r="V141" s="835">
        <f>'1.BS (VND)'!V115/$C$6</f>
        <v>0</v>
      </c>
      <c r="W141" s="835">
        <f>'1.BS (VND)'!W115/$C$6</f>
        <v>0</v>
      </c>
      <c r="X141" s="840"/>
      <c r="Y141" s="835">
        <f>'1.BS (VND)'!Y116</f>
        <v>0</v>
      </c>
      <c r="Z141" s="835">
        <f>'1.BS (VND)'!Z116</f>
        <v>0</v>
      </c>
      <c r="AA141" s="835">
        <f>'1.BS (VND)'!AA116</f>
        <v>0</v>
      </c>
      <c r="AB141" s="835">
        <f>'1.BS (VND)'!AB116</f>
        <v>0</v>
      </c>
      <c r="AC141" s="840"/>
      <c r="AD141" s="835">
        <f>'1.BS (VND)'!AD115/$C$6</f>
        <v>0</v>
      </c>
      <c r="AE141" s="835">
        <f>'1.BS (VND)'!AE115/$C$6</f>
        <v>0</v>
      </c>
      <c r="AF141" s="835">
        <f>'1.BS (VND)'!AF115/$C$6</f>
        <v>0</v>
      </c>
      <c r="AG141" s="835">
        <f>'1.BS (VND)'!AG115/$C$6</f>
        <v>0</v>
      </c>
      <c r="AH141" s="841"/>
      <c r="AI141" s="835">
        <f t="shared" si="168"/>
        <v>0</v>
      </c>
      <c r="AJ141" s="835">
        <f t="shared" si="168"/>
        <v>0</v>
      </c>
      <c r="AK141" s="835">
        <f t="shared" si="168"/>
        <v>0</v>
      </c>
      <c r="AL141" s="835">
        <f t="shared" si="140"/>
        <v>0</v>
      </c>
      <c r="AM141" s="842"/>
      <c r="AN141" s="835">
        <f>'1.BS (VND)'!AI115/$C$6</f>
        <v>0</v>
      </c>
      <c r="AO141" s="835">
        <f>'1.BS (VND)'!AJ115/$C$6</f>
        <v>0</v>
      </c>
      <c r="AP141" s="835">
        <f>'1.BS (VND)'!AK115/$C$6</f>
        <v>0</v>
      </c>
      <c r="AQ141" s="835">
        <f>'1.BS (VND)'!AL115/$C$6</f>
        <v>0</v>
      </c>
      <c r="AR141" s="842"/>
      <c r="AS141" s="835">
        <f>'1.BS (VND)'!AN115/$C$6</f>
        <v>0</v>
      </c>
      <c r="AT141" s="835">
        <f>'1.BS (VND)'!AO115/$C$6</f>
        <v>0</v>
      </c>
      <c r="AU141" s="835">
        <f>'1.BS (VND)'!AP115/$C$6</f>
        <v>0</v>
      </c>
      <c r="AV141" s="835">
        <f>'1.BS (VND)'!AQ115/$C$6</f>
        <v>0</v>
      </c>
      <c r="AW141" s="840"/>
      <c r="AX141" s="835">
        <f>'1.BS (VND)'!AS115/$C$6</f>
        <v>0</v>
      </c>
      <c r="AY141" s="835">
        <f>'1.BS (VND)'!AT115/$C$6</f>
        <v>0</v>
      </c>
      <c r="AZ141" s="835">
        <f>'1.BS (VND)'!AU115/$C$6</f>
        <v>0</v>
      </c>
      <c r="BA141" s="835">
        <f>'1.BS (VND)'!AV115/$C$6</f>
        <v>0</v>
      </c>
      <c r="BB141" s="840"/>
      <c r="BC141" s="835">
        <f>'1.BS (VND)'!AX115/$C$6</f>
        <v>0</v>
      </c>
      <c r="BD141" s="835">
        <f>'1.BS (VND)'!AY115/$C$6</f>
        <v>0</v>
      </c>
      <c r="BE141" s="835">
        <f>'1.BS (VND)'!AZ115/$C$6</f>
        <v>0</v>
      </c>
      <c r="BF141" s="835">
        <f>'1.BS (VND)'!BA115/$C$6</f>
        <v>0</v>
      </c>
      <c r="BG141" s="840"/>
      <c r="BH141" s="835">
        <f>'1.BS (VND)'!BC115/$C$6</f>
        <v>0</v>
      </c>
      <c r="BI141" s="835">
        <f>'1.BS (VND)'!BD115/$C$6</f>
        <v>0</v>
      </c>
      <c r="BJ141" s="835">
        <f>'1.BS (VND)'!BE115/$C$6</f>
        <v>0</v>
      </c>
      <c r="BK141" s="835">
        <f>'1.BS (VND)'!BF115/$C$6</f>
        <v>0</v>
      </c>
      <c r="BL141" s="840"/>
      <c r="BM141" s="835">
        <f>'1.BS (VND)'!BH115/$C$6</f>
        <v>0</v>
      </c>
      <c r="BN141" s="835">
        <f>'1.BS (VND)'!BI115/$C$6</f>
        <v>0</v>
      </c>
      <c r="BO141" s="835">
        <f>'1.BS (VND)'!BJ115/$C$6</f>
        <v>0</v>
      </c>
      <c r="BP141" s="835">
        <f>'1.BS (VND)'!BK115/$C$6</f>
        <v>0</v>
      </c>
      <c r="BQ141" s="841"/>
      <c r="BR141" s="835">
        <f t="shared" si="170"/>
        <v>0</v>
      </c>
      <c r="BS141" s="835">
        <f t="shared" si="171"/>
        <v>0</v>
      </c>
      <c r="BT141" s="835">
        <f t="shared" si="172"/>
        <v>0</v>
      </c>
      <c r="BU141" s="835">
        <f t="shared" si="173"/>
        <v>0</v>
      </c>
      <c r="BV141" s="842"/>
      <c r="BW141" s="835">
        <f t="shared" si="174"/>
        <v>0</v>
      </c>
      <c r="BX141" s="835">
        <f t="shared" si="175"/>
        <v>0</v>
      </c>
      <c r="BY141" s="835">
        <f t="shared" si="176"/>
        <v>0</v>
      </c>
      <c r="BZ141" s="835">
        <f t="shared" si="177"/>
        <v>0</v>
      </c>
      <c r="CA141" s="840"/>
      <c r="CB141" s="835">
        <f t="shared" si="178"/>
        <v>0</v>
      </c>
      <c r="CC141" s="835">
        <f t="shared" si="179"/>
        <v>0</v>
      </c>
      <c r="CD141" s="835">
        <f t="shared" si="180"/>
        <v>0</v>
      </c>
      <c r="CE141" s="835">
        <f t="shared" si="181"/>
        <v>0</v>
      </c>
      <c r="CF141" s="840"/>
      <c r="CG141" s="835">
        <f t="shared" si="182"/>
        <v>0</v>
      </c>
      <c r="CH141" s="835">
        <f t="shared" si="183"/>
        <v>0</v>
      </c>
      <c r="CI141" s="835">
        <f t="shared" si="184"/>
        <v>0</v>
      </c>
      <c r="CJ141" s="835">
        <f t="shared" si="185"/>
        <v>0</v>
      </c>
      <c r="CK141" s="840"/>
      <c r="CL141" s="835">
        <f t="shared" si="186"/>
        <v>0</v>
      </c>
      <c r="CM141" s="835">
        <f t="shared" si="187"/>
        <v>0</v>
      </c>
      <c r="CN141" s="835">
        <f t="shared" si="188"/>
        <v>0</v>
      </c>
      <c r="CO141" s="835">
        <f t="shared" si="189"/>
        <v>0</v>
      </c>
      <c r="CP141" s="840"/>
      <c r="CQ141" s="835">
        <f t="shared" si="190"/>
        <v>0</v>
      </c>
      <c r="CR141" s="835">
        <f t="shared" si="191"/>
        <v>0</v>
      </c>
      <c r="CS141" s="835">
        <f t="shared" si="192"/>
        <v>0</v>
      </c>
      <c r="CT141" s="835">
        <f t="shared" si="193"/>
        <v>0</v>
      </c>
      <c r="CU141" s="842"/>
      <c r="CV141" s="835">
        <f t="shared" si="194"/>
        <v>0</v>
      </c>
      <c r="CW141" s="835">
        <f t="shared" si="194"/>
        <v>0</v>
      </c>
      <c r="CX141" s="835">
        <f t="shared" si="194"/>
        <v>0</v>
      </c>
      <c r="CY141" s="835">
        <f t="shared" si="194"/>
        <v>0</v>
      </c>
      <c r="CZ141" s="842"/>
      <c r="DA141" s="835">
        <f>'1.BS (VND)'!CV115/'1.BC_Ra Soat (ty) '!$C$6</f>
        <v>0</v>
      </c>
      <c r="DB141" s="835">
        <f>'1.BS (VND)'!CW115/'1.BC_Ra Soat (ty) '!$C$6</f>
        <v>0</v>
      </c>
      <c r="DC141" s="835">
        <f>'1.BS (VND)'!CX115/'1.BC_Ra Soat (ty) '!$C$6</f>
        <v>0</v>
      </c>
      <c r="DD141" s="835">
        <f>'1.BS (VND)'!CY115/'1.BC_Ra Soat (ty) '!$C$6</f>
        <v>0</v>
      </c>
      <c r="DE141" s="842"/>
      <c r="DF141" s="835">
        <f t="shared" si="166"/>
        <v>0</v>
      </c>
      <c r="DG141" s="835">
        <f t="shared" si="166"/>
        <v>0</v>
      </c>
      <c r="DH141" s="835">
        <f t="shared" si="166"/>
        <v>0</v>
      </c>
      <c r="DI141" s="835">
        <f t="shared" si="166"/>
        <v>0</v>
      </c>
    </row>
    <row r="142" spans="1:114" s="441" customFormat="1" ht="15.75" hidden="1" x14ac:dyDescent="0.25">
      <c r="A142" s="447" t="str">
        <f t="shared" si="167"/>
        <v>hide</v>
      </c>
      <c r="C142" s="452" t="s">
        <v>485</v>
      </c>
      <c r="D142" s="453" t="s">
        <v>486</v>
      </c>
      <c r="E142" s="835">
        <f>'1.BS (VND)'!E116/$C$6</f>
        <v>0</v>
      </c>
      <c r="F142" s="835">
        <f>'1.BS (VND)'!F116/$C$6</f>
        <v>0</v>
      </c>
      <c r="G142" s="835">
        <f>'1.BS (VND)'!G116/$C$6</f>
        <v>0</v>
      </c>
      <c r="H142" s="835">
        <f>'1.BS (VND)'!H116/$C$6</f>
        <v>0</v>
      </c>
      <c r="I142" s="842"/>
      <c r="J142" s="835">
        <f>'1.BS (VND)'!J116/$C$6</f>
        <v>0</v>
      </c>
      <c r="K142" s="835">
        <f>'1.BS (VND)'!K116/$C$6</f>
        <v>0</v>
      </c>
      <c r="L142" s="835">
        <f>'1.BS (VND)'!L116/$C$6</f>
        <v>0</v>
      </c>
      <c r="M142" s="835">
        <f>'1.BS (VND)'!M116/$C$6</f>
        <v>0</v>
      </c>
      <c r="N142" s="840"/>
      <c r="O142" s="835">
        <f>'1.BS (VND)'!O116/$C$6</f>
        <v>0</v>
      </c>
      <c r="P142" s="835">
        <f>'1.BS (VND)'!P116/$C$6</f>
        <v>0</v>
      </c>
      <c r="Q142" s="835">
        <f>'1.BS (VND)'!Q116/$C$6</f>
        <v>0</v>
      </c>
      <c r="R142" s="835">
        <f>'1.BS (VND)'!R116/$C$6</f>
        <v>0</v>
      </c>
      <c r="S142" s="840"/>
      <c r="T142" s="835">
        <f>'1.BS (VND)'!T116/$C$6</f>
        <v>0</v>
      </c>
      <c r="U142" s="835">
        <f>'1.BS (VND)'!U116/$C$6</f>
        <v>0</v>
      </c>
      <c r="V142" s="835">
        <f>'1.BS (VND)'!V116/$C$6</f>
        <v>0</v>
      </c>
      <c r="W142" s="835">
        <f>'1.BS (VND)'!W116/$C$6</f>
        <v>0</v>
      </c>
      <c r="X142" s="840"/>
      <c r="Y142" s="835">
        <f>'1.BS (VND)'!Y117</f>
        <v>0</v>
      </c>
      <c r="Z142" s="835">
        <f>'1.BS (VND)'!Z117</f>
        <v>0</v>
      </c>
      <c r="AA142" s="835">
        <f>'1.BS (VND)'!AA117</f>
        <v>0</v>
      </c>
      <c r="AB142" s="835">
        <f>'1.BS (VND)'!AB117</f>
        <v>0</v>
      </c>
      <c r="AC142" s="840"/>
      <c r="AD142" s="835">
        <f>'1.BS (VND)'!AD116/$C$6</f>
        <v>0</v>
      </c>
      <c r="AE142" s="835">
        <f>'1.BS (VND)'!AE116/$C$6</f>
        <v>0</v>
      </c>
      <c r="AF142" s="835">
        <f>'1.BS (VND)'!AF116/$C$6</f>
        <v>0</v>
      </c>
      <c r="AG142" s="835">
        <f>'1.BS (VND)'!AG116/$C$6</f>
        <v>0</v>
      </c>
      <c r="AH142" s="841"/>
      <c r="AI142" s="835">
        <f t="shared" si="168"/>
        <v>0</v>
      </c>
      <c r="AJ142" s="835">
        <f t="shared" si="168"/>
        <v>0</v>
      </c>
      <c r="AK142" s="835">
        <f t="shared" si="168"/>
        <v>0</v>
      </c>
      <c r="AL142" s="835">
        <f t="shared" si="140"/>
        <v>0</v>
      </c>
      <c r="AM142" s="842"/>
      <c r="AN142" s="835">
        <f>'1.BS (VND)'!AI116/$C$6</f>
        <v>0</v>
      </c>
      <c r="AO142" s="835">
        <f>'1.BS (VND)'!AJ116/$C$6</f>
        <v>0</v>
      </c>
      <c r="AP142" s="835">
        <f>'1.BS (VND)'!AK116/$C$6</f>
        <v>0</v>
      </c>
      <c r="AQ142" s="835">
        <f>'1.BS (VND)'!AL116/$C$6</f>
        <v>0</v>
      </c>
      <c r="AR142" s="842"/>
      <c r="AS142" s="835">
        <f>'1.BS (VND)'!AN116/$C$6</f>
        <v>0</v>
      </c>
      <c r="AT142" s="835">
        <f>'1.BS (VND)'!AO116/$C$6</f>
        <v>0</v>
      </c>
      <c r="AU142" s="835">
        <f>'1.BS (VND)'!AP116/$C$6</f>
        <v>0</v>
      </c>
      <c r="AV142" s="835">
        <f>'1.BS (VND)'!AQ116/$C$6</f>
        <v>0</v>
      </c>
      <c r="AW142" s="840"/>
      <c r="AX142" s="835">
        <f>'1.BS (VND)'!AS116/$C$6</f>
        <v>0</v>
      </c>
      <c r="AY142" s="835">
        <f>'1.BS (VND)'!AT116/$C$6</f>
        <v>0</v>
      </c>
      <c r="AZ142" s="835">
        <f>'1.BS (VND)'!AU116/$C$6</f>
        <v>0</v>
      </c>
      <c r="BA142" s="835">
        <f>'1.BS (VND)'!AV116/$C$6</f>
        <v>0</v>
      </c>
      <c r="BB142" s="840"/>
      <c r="BC142" s="835">
        <f>'1.BS (VND)'!AX116/$C$6</f>
        <v>0</v>
      </c>
      <c r="BD142" s="835">
        <f>'1.BS (VND)'!AY116/$C$6</f>
        <v>0</v>
      </c>
      <c r="BE142" s="835">
        <f>'1.BS (VND)'!AZ116/$C$6</f>
        <v>0</v>
      </c>
      <c r="BF142" s="835">
        <f>'1.BS (VND)'!BA116/$C$6</f>
        <v>0</v>
      </c>
      <c r="BG142" s="840"/>
      <c r="BH142" s="835">
        <f>'1.BS (VND)'!BC116/$C$6</f>
        <v>0</v>
      </c>
      <c r="BI142" s="835">
        <f>'1.BS (VND)'!BD116/$C$6</f>
        <v>0</v>
      </c>
      <c r="BJ142" s="835">
        <f>'1.BS (VND)'!BE116/$C$6</f>
        <v>0</v>
      </c>
      <c r="BK142" s="835">
        <f>'1.BS (VND)'!BF116/$C$6</f>
        <v>0</v>
      </c>
      <c r="BL142" s="840"/>
      <c r="BM142" s="835">
        <f>'1.BS (VND)'!BH116/$C$6</f>
        <v>0</v>
      </c>
      <c r="BN142" s="835">
        <f>'1.BS (VND)'!BI116/$C$6</f>
        <v>0</v>
      </c>
      <c r="BO142" s="835">
        <f>'1.BS (VND)'!BJ116/$C$6</f>
        <v>0</v>
      </c>
      <c r="BP142" s="835">
        <f>'1.BS (VND)'!BK116/$C$6</f>
        <v>0</v>
      </c>
      <c r="BQ142" s="841"/>
      <c r="BR142" s="835">
        <f t="shared" si="170"/>
        <v>0</v>
      </c>
      <c r="BS142" s="835">
        <f t="shared" si="171"/>
        <v>0</v>
      </c>
      <c r="BT142" s="835">
        <f t="shared" si="172"/>
        <v>0</v>
      </c>
      <c r="BU142" s="835">
        <f t="shared" si="173"/>
        <v>0</v>
      </c>
      <c r="BV142" s="842"/>
      <c r="BW142" s="835">
        <f t="shared" si="174"/>
        <v>0</v>
      </c>
      <c r="BX142" s="835">
        <f t="shared" si="175"/>
        <v>0</v>
      </c>
      <c r="BY142" s="835">
        <f t="shared" si="176"/>
        <v>0</v>
      </c>
      <c r="BZ142" s="835">
        <f t="shared" si="177"/>
        <v>0</v>
      </c>
      <c r="CA142" s="840"/>
      <c r="CB142" s="835">
        <f t="shared" si="178"/>
        <v>0</v>
      </c>
      <c r="CC142" s="835">
        <f t="shared" si="179"/>
        <v>0</v>
      </c>
      <c r="CD142" s="835">
        <f t="shared" si="180"/>
        <v>0</v>
      </c>
      <c r="CE142" s="835">
        <f t="shared" si="181"/>
        <v>0</v>
      </c>
      <c r="CF142" s="840"/>
      <c r="CG142" s="835">
        <f t="shared" si="182"/>
        <v>0</v>
      </c>
      <c r="CH142" s="835">
        <f t="shared" si="183"/>
        <v>0</v>
      </c>
      <c r="CI142" s="835">
        <f t="shared" si="184"/>
        <v>0</v>
      </c>
      <c r="CJ142" s="835">
        <f t="shared" si="185"/>
        <v>0</v>
      </c>
      <c r="CK142" s="840"/>
      <c r="CL142" s="835">
        <f t="shared" si="186"/>
        <v>0</v>
      </c>
      <c r="CM142" s="835">
        <f t="shared" si="187"/>
        <v>0</v>
      </c>
      <c r="CN142" s="835">
        <f t="shared" si="188"/>
        <v>0</v>
      </c>
      <c r="CO142" s="835">
        <f t="shared" si="189"/>
        <v>0</v>
      </c>
      <c r="CP142" s="840"/>
      <c r="CQ142" s="835">
        <f t="shared" si="190"/>
        <v>0</v>
      </c>
      <c r="CR142" s="835">
        <f t="shared" si="191"/>
        <v>0</v>
      </c>
      <c r="CS142" s="835">
        <f t="shared" si="192"/>
        <v>0</v>
      </c>
      <c r="CT142" s="835">
        <f t="shared" si="193"/>
        <v>0</v>
      </c>
      <c r="CU142" s="842"/>
      <c r="CV142" s="835">
        <f t="shared" si="194"/>
        <v>0</v>
      </c>
      <c r="CW142" s="835">
        <f t="shared" si="194"/>
        <v>0</v>
      </c>
      <c r="CX142" s="835">
        <f t="shared" si="194"/>
        <v>0</v>
      </c>
      <c r="CY142" s="835">
        <f t="shared" si="194"/>
        <v>0</v>
      </c>
      <c r="CZ142" s="842"/>
      <c r="DA142" s="835">
        <f>'1.BS (VND)'!CV116/'1.BC_Ra Soat (ty) '!$C$6</f>
        <v>0</v>
      </c>
      <c r="DB142" s="835">
        <f>'1.BS (VND)'!CW116/'1.BC_Ra Soat (ty) '!$C$6</f>
        <v>0</v>
      </c>
      <c r="DC142" s="835">
        <f>'1.BS (VND)'!CX116/'1.BC_Ra Soat (ty) '!$C$6</f>
        <v>0</v>
      </c>
      <c r="DD142" s="835">
        <f>'1.BS (VND)'!CY116/'1.BC_Ra Soat (ty) '!$C$6</f>
        <v>0</v>
      </c>
      <c r="DE142" s="842"/>
      <c r="DF142" s="835">
        <f t="shared" si="166"/>
        <v>0</v>
      </c>
      <c r="DG142" s="835">
        <f t="shared" si="166"/>
        <v>0</v>
      </c>
      <c r="DH142" s="835">
        <f t="shared" si="166"/>
        <v>0</v>
      </c>
      <c r="DI142" s="835">
        <f t="shared" si="166"/>
        <v>0</v>
      </c>
    </row>
    <row r="143" spans="1:114" s="447" customFormat="1" ht="15.75" x14ac:dyDescent="0.25">
      <c r="A143" s="447">
        <f t="shared" si="167"/>
        <v>1</v>
      </c>
      <c r="C143" s="450" t="s">
        <v>487</v>
      </c>
      <c r="D143" s="451" t="s">
        <v>488</v>
      </c>
      <c r="E143" s="849">
        <f>'1.BS (VND)'!E117/$C$6</f>
        <v>-0.130172018</v>
      </c>
      <c r="F143" s="849">
        <f>'1.BS (VND)'!F117/$C$6</f>
        <v>-0.37913756399999998</v>
      </c>
      <c r="G143" s="849">
        <f>'1.BS (VND)'!G117/$C$6</f>
        <v>-0.19246924000000001</v>
      </c>
      <c r="H143" s="849">
        <f>'1.BS (VND)'!H117/$C$6</f>
        <v>-0.19246924000000001</v>
      </c>
      <c r="I143" s="852"/>
      <c r="J143" s="849">
        <f>'1.BS (VND)'!J117/$C$6</f>
        <v>-1.0108490000000001E-3</v>
      </c>
      <c r="K143" s="849">
        <f>'1.BS (VND)'!K117/$C$6</f>
        <v>0.20796178400000001</v>
      </c>
      <c r="L143" s="849">
        <f>'1.BS (VND)'!L117/$C$6</f>
        <v>-5.0859157479999997</v>
      </c>
      <c r="M143" s="849">
        <f>'1.BS (VND)'!M117/$C$6</f>
        <v>-5.0859157479999997</v>
      </c>
      <c r="N143" s="850"/>
      <c r="O143" s="849">
        <f>'1.BS (VND)'!O117/$C$6</f>
        <v>-0.60676346000000003</v>
      </c>
      <c r="P143" s="849">
        <f>'1.BS (VND)'!P117/$C$6</f>
        <v>-0.66703960200000001</v>
      </c>
      <c r="Q143" s="849">
        <f>'1.BS (VND)'!Q117/$C$6</f>
        <v>-0.63789221200000001</v>
      </c>
      <c r="R143" s="849">
        <f>'1.BS (VND)'!R117/$C$6</f>
        <v>-4.0873607549999997</v>
      </c>
      <c r="S143" s="850"/>
      <c r="T143" s="849">
        <f>'1.BS (VND)'!T117/$C$6</f>
        <v>-0.30598360899999999</v>
      </c>
      <c r="U143" s="849">
        <f>'1.BS (VND)'!U117/$C$6</f>
        <v>-0.28502246799999997</v>
      </c>
      <c r="V143" s="849">
        <f>'1.BS (VND)'!V117/$C$6</f>
        <v>-2.2235848499999999</v>
      </c>
      <c r="W143" s="849">
        <f>'1.BS (VND)'!W117/$C$6</f>
        <v>-4.2007321470000001</v>
      </c>
      <c r="X143" s="850"/>
      <c r="Y143" s="835">
        <f>'1.BS (VND)'!Y118</f>
        <v>0</v>
      </c>
      <c r="Z143" s="835">
        <f>'1.BS (VND)'!Z118</f>
        <v>0</v>
      </c>
      <c r="AA143" s="835">
        <f>'1.BS (VND)'!AA118</f>
        <v>0</v>
      </c>
      <c r="AB143" s="835">
        <f>'1.BS (VND)'!AB118</f>
        <v>0</v>
      </c>
      <c r="AC143" s="850"/>
      <c r="AD143" s="849">
        <f>'1.BS (VND)'!AD117/$C$6</f>
        <v>0</v>
      </c>
      <c r="AE143" s="849">
        <f>'1.BS (VND)'!AE117/$C$6</f>
        <v>0</v>
      </c>
      <c r="AF143" s="849">
        <f>'1.BS (VND)'!AF117/$C$6</f>
        <v>0</v>
      </c>
      <c r="AG143" s="849">
        <f>'1.BS (VND)'!AG117/$C$6</f>
        <v>0</v>
      </c>
      <c r="AH143" s="851"/>
      <c r="AI143" s="849">
        <f t="shared" si="168"/>
        <v>-1.0439299360000001</v>
      </c>
      <c r="AJ143" s="849">
        <f t="shared" si="168"/>
        <v>-1.12323785</v>
      </c>
      <c r="AK143" s="849">
        <f t="shared" si="168"/>
        <v>-8.1398620499999996</v>
      </c>
      <c r="AL143" s="849">
        <f t="shared" si="140"/>
        <v>-13.56647789</v>
      </c>
      <c r="AM143" s="852"/>
      <c r="AN143" s="849">
        <f>'1.BS (VND)'!AI117/$C$6</f>
        <v>0</v>
      </c>
      <c r="AO143" s="849">
        <f>'1.BS (VND)'!AJ117/$C$6</f>
        <v>0</v>
      </c>
      <c r="AP143" s="849">
        <f>'1.BS (VND)'!AK117/$C$6</f>
        <v>-10.749717626000001</v>
      </c>
      <c r="AQ143" s="849">
        <f>'1.BS (VND)'!AL117/$C$6</f>
        <v>-15.373321514000001</v>
      </c>
      <c r="AR143" s="852"/>
      <c r="AS143" s="849">
        <f>'1.BS (VND)'!AN117/$C$6</f>
        <v>0</v>
      </c>
      <c r="AT143" s="849">
        <f>'1.BS (VND)'!AO117/$C$6</f>
        <v>0</v>
      </c>
      <c r="AU143" s="849">
        <f>'1.BS (VND)'!AP117/$C$6</f>
        <v>-0.74154054899999999</v>
      </c>
      <c r="AV143" s="849">
        <f>'1.BS (VND)'!AQ117/$C$6</f>
        <v>-0.74154054899999999</v>
      </c>
      <c r="AW143" s="850"/>
      <c r="AX143" s="849">
        <f>'1.BS (VND)'!AS117/$C$6</f>
        <v>0</v>
      </c>
      <c r="AY143" s="849">
        <f>'1.BS (VND)'!AT117/$C$6</f>
        <v>0</v>
      </c>
      <c r="AZ143" s="849">
        <f>'1.BS (VND)'!AU117/$C$6</f>
        <v>-0.84688822900000005</v>
      </c>
      <c r="BA143" s="849">
        <f>'1.BS (VND)'!AV117/$C$6</f>
        <v>-5.7968882290000003</v>
      </c>
      <c r="BB143" s="850"/>
      <c r="BC143" s="849">
        <f>'1.BS (VND)'!AX117/$C$6</f>
        <v>0</v>
      </c>
      <c r="BD143" s="849">
        <f>'1.BS (VND)'!AY117/$C$6</f>
        <v>0</v>
      </c>
      <c r="BE143" s="849">
        <f>'1.BS (VND)'!AZ117/$C$6</f>
        <v>-1.2623553489999999</v>
      </c>
      <c r="BF143" s="849">
        <f>'1.BS (VND)'!BA117/$C$6</f>
        <v>-6.2623553489999999</v>
      </c>
      <c r="BG143" s="850"/>
      <c r="BH143" s="849">
        <f>'1.BS (VND)'!BC117/$C$6</f>
        <v>0</v>
      </c>
      <c r="BI143" s="849">
        <f>'1.BS (VND)'!BD117/$C$6</f>
        <v>0</v>
      </c>
      <c r="BJ143" s="849">
        <f>'1.BS (VND)'!BE117/$C$6</f>
        <v>0</v>
      </c>
      <c r="BK143" s="849">
        <f>'1.BS (VND)'!BF117/$C$6</f>
        <v>0</v>
      </c>
      <c r="BL143" s="850"/>
      <c r="BM143" s="849">
        <f>'1.BS (VND)'!BH117/$C$6</f>
        <v>0</v>
      </c>
      <c r="BN143" s="849">
        <f>'1.BS (VND)'!BI117/$C$6</f>
        <v>0</v>
      </c>
      <c r="BO143" s="849">
        <f>'1.BS (VND)'!BJ117/$C$6</f>
        <v>0</v>
      </c>
      <c r="BP143" s="849">
        <f>'1.BS (VND)'!BK117/$C$6</f>
        <v>0</v>
      </c>
      <c r="BQ143" s="851"/>
      <c r="BR143" s="849">
        <f t="shared" si="170"/>
        <v>-0.130172018</v>
      </c>
      <c r="BS143" s="849">
        <f t="shared" si="171"/>
        <v>-0.37913756399999998</v>
      </c>
      <c r="BT143" s="849">
        <f t="shared" si="172"/>
        <v>-10.942186866</v>
      </c>
      <c r="BU143" s="849">
        <f t="shared" si="173"/>
        <v>-15.565790754</v>
      </c>
      <c r="BV143" s="852"/>
      <c r="BW143" s="849">
        <f t="shared" si="174"/>
        <v>-1.0108490000000001E-3</v>
      </c>
      <c r="BX143" s="849">
        <f t="shared" si="175"/>
        <v>0.20796178400000001</v>
      </c>
      <c r="BY143" s="849">
        <f t="shared" si="176"/>
        <v>-5.8274562969999995</v>
      </c>
      <c r="BZ143" s="849">
        <f t="shared" si="177"/>
        <v>-5.8274562969999995</v>
      </c>
      <c r="CA143" s="850"/>
      <c r="CB143" s="849">
        <f t="shared" si="178"/>
        <v>-0.60676346000000003</v>
      </c>
      <c r="CC143" s="849">
        <f t="shared" si="179"/>
        <v>-0.66703960200000001</v>
      </c>
      <c r="CD143" s="849">
        <f t="shared" si="180"/>
        <v>-1.4847804410000001</v>
      </c>
      <c r="CE143" s="849">
        <f t="shared" si="181"/>
        <v>-9.8842489839999992</v>
      </c>
      <c r="CF143" s="850"/>
      <c r="CG143" s="849">
        <f t="shared" si="182"/>
        <v>-0.30598360899999999</v>
      </c>
      <c r="CH143" s="849">
        <f t="shared" si="183"/>
        <v>-0.28502246799999997</v>
      </c>
      <c r="CI143" s="849">
        <f t="shared" si="184"/>
        <v>-3.4859401989999999</v>
      </c>
      <c r="CJ143" s="849">
        <f t="shared" si="185"/>
        <v>-10.463087496</v>
      </c>
      <c r="CK143" s="850"/>
      <c r="CL143" s="849">
        <f t="shared" si="186"/>
        <v>0</v>
      </c>
      <c r="CM143" s="849">
        <f t="shared" si="187"/>
        <v>0</v>
      </c>
      <c r="CN143" s="849">
        <f t="shared" si="188"/>
        <v>0</v>
      </c>
      <c r="CO143" s="849">
        <f t="shared" si="189"/>
        <v>0</v>
      </c>
      <c r="CP143" s="850"/>
      <c r="CQ143" s="849">
        <f t="shared" si="190"/>
        <v>0</v>
      </c>
      <c r="CR143" s="849">
        <f t="shared" si="191"/>
        <v>0</v>
      </c>
      <c r="CS143" s="849">
        <f t="shared" si="192"/>
        <v>0</v>
      </c>
      <c r="CT143" s="849">
        <f t="shared" si="193"/>
        <v>0</v>
      </c>
      <c r="CU143" s="852"/>
      <c r="CV143" s="849">
        <f t="shared" si="194"/>
        <v>-1.0439299360000001</v>
      </c>
      <c r="CW143" s="849">
        <f t="shared" si="194"/>
        <v>-1.12323785</v>
      </c>
      <c r="CX143" s="849">
        <f t="shared" si="194"/>
        <v>-21.740363803000001</v>
      </c>
      <c r="CY143" s="849">
        <f t="shared" si="194"/>
        <v>-41.740583530999999</v>
      </c>
      <c r="CZ143" s="852"/>
      <c r="DA143" s="849">
        <f>'1.BS (VND)'!CV117/'1.BC_Ra Soat (ty) '!$C$6</f>
        <v>0</v>
      </c>
      <c r="DB143" s="849">
        <f>'1.BS (VND)'!CW117/'1.BC_Ra Soat (ty) '!$C$6</f>
        <v>0</v>
      </c>
      <c r="DC143" s="849">
        <f>'1.BS (VND)'!CX117/'1.BC_Ra Soat (ty) '!$C$6</f>
        <v>0</v>
      </c>
      <c r="DD143" s="849">
        <f>'1.BS (VND)'!CY117/'1.BC_Ra Soat (ty) '!$C$6</f>
        <v>0</v>
      </c>
      <c r="DE143" s="852"/>
      <c r="DF143" s="849">
        <f t="shared" si="166"/>
        <v>-1.0439299360000001</v>
      </c>
      <c r="DG143" s="849">
        <f t="shared" si="166"/>
        <v>-1.12323785</v>
      </c>
      <c r="DH143" s="849">
        <f t="shared" si="166"/>
        <v>-21.740363803000001</v>
      </c>
      <c r="DI143" s="849">
        <f t="shared" si="166"/>
        <v>-41.740583530999999</v>
      </c>
      <c r="DJ143" s="444"/>
    </row>
    <row r="144" spans="1:114" s="449" customFormat="1" ht="15.75" hidden="1" x14ac:dyDescent="0.25">
      <c r="A144" s="857" t="str">
        <f t="shared" si="167"/>
        <v>hide</v>
      </c>
      <c r="C144" s="1017" t="s">
        <v>489</v>
      </c>
      <c r="D144" s="1018" t="s">
        <v>537</v>
      </c>
      <c r="E144" s="836">
        <f>'1.BS (VND)'!E118/$C$6</f>
        <v>0</v>
      </c>
      <c r="F144" s="836">
        <f>'1.BS (VND)'!F118/$C$6</f>
        <v>0</v>
      </c>
      <c r="G144" s="836">
        <f>'1.BS (VND)'!G118/$C$6</f>
        <v>0</v>
      </c>
      <c r="H144" s="836">
        <f>'1.BS (VND)'!H118/$C$6</f>
        <v>0</v>
      </c>
      <c r="I144" s="847"/>
      <c r="J144" s="836">
        <f>'1.BS (VND)'!J118/$C$6</f>
        <v>0</v>
      </c>
      <c r="K144" s="836">
        <f>'1.BS (VND)'!K118/$C$6</f>
        <v>0</v>
      </c>
      <c r="L144" s="836">
        <f>'1.BS (VND)'!L118/$C$6</f>
        <v>0</v>
      </c>
      <c r="M144" s="836">
        <f>'1.BS (VND)'!M118/$C$6</f>
        <v>0</v>
      </c>
      <c r="N144" s="845"/>
      <c r="O144" s="836">
        <f>'1.BS (VND)'!O118/$C$6</f>
        <v>0</v>
      </c>
      <c r="P144" s="836">
        <f>'1.BS (VND)'!P118/$C$6</f>
        <v>0</v>
      </c>
      <c r="Q144" s="836">
        <f>'1.BS (VND)'!Q118/$C$6</f>
        <v>0</v>
      </c>
      <c r="R144" s="836">
        <f>'1.BS (VND)'!R118/$C$6</f>
        <v>0</v>
      </c>
      <c r="S144" s="845"/>
      <c r="T144" s="836">
        <f>'1.BS (VND)'!T118/$C$6</f>
        <v>0</v>
      </c>
      <c r="U144" s="836">
        <f>'1.BS (VND)'!U118/$C$6</f>
        <v>0</v>
      </c>
      <c r="V144" s="836">
        <f>'1.BS (VND)'!V118/$C$6</f>
        <v>0</v>
      </c>
      <c r="W144" s="836">
        <f>'1.BS (VND)'!W118/$C$6</f>
        <v>0</v>
      </c>
      <c r="X144" s="845"/>
      <c r="Y144" s="836">
        <f>'1.BS (VND)'!Y119</f>
        <v>0</v>
      </c>
      <c r="Z144" s="836">
        <f>'1.BS (VND)'!Z119</f>
        <v>0</v>
      </c>
      <c r="AA144" s="836">
        <f>'1.BS (VND)'!AA119</f>
        <v>0</v>
      </c>
      <c r="AB144" s="836">
        <f>'1.BS (VND)'!AB119</f>
        <v>0</v>
      </c>
      <c r="AC144" s="845"/>
      <c r="AD144" s="836">
        <f>'1.BS (VND)'!AD118/$C$6</f>
        <v>0</v>
      </c>
      <c r="AE144" s="836">
        <f>'1.BS (VND)'!AE118/$C$6</f>
        <v>0</v>
      </c>
      <c r="AF144" s="836">
        <f>'1.BS (VND)'!AF118/$C$6</f>
        <v>0</v>
      </c>
      <c r="AG144" s="836">
        <f>'1.BS (VND)'!AG118/$C$6</f>
        <v>0</v>
      </c>
      <c r="AH144" s="846"/>
      <c r="AI144" s="836">
        <f t="shared" si="168"/>
        <v>0</v>
      </c>
      <c r="AJ144" s="836">
        <f t="shared" si="168"/>
        <v>0</v>
      </c>
      <c r="AK144" s="836">
        <f t="shared" si="168"/>
        <v>0</v>
      </c>
      <c r="AL144" s="836">
        <f t="shared" si="140"/>
        <v>0</v>
      </c>
      <c r="AM144" s="856"/>
      <c r="AN144" s="836">
        <f>'1.BS (VND)'!AI118/$C$6</f>
        <v>0</v>
      </c>
      <c r="AO144" s="836">
        <f>'1.BS (VND)'!AJ118/$C$6</f>
        <v>0</v>
      </c>
      <c r="AP144" s="836">
        <f>'1.BS (VND)'!AK118/$C$6</f>
        <v>0</v>
      </c>
      <c r="AQ144" s="836">
        <f>'1.BS (VND)'!AL118/$C$6</f>
        <v>0</v>
      </c>
      <c r="AR144" s="847"/>
      <c r="AS144" s="836">
        <f>'1.BS (VND)'!AN118/$C$6</f>
        <v>0</v>
      </c>
      <c r="AT144" s="836">
        <f>'1.BS (VND)'!AO118/$C$6</f>
        <v>0</v>
      </c>
      <c r="AU144" s="836">
        <f>'1.BS (VND)'!AP118/$C$6</f>
        <v>0</v>
      </c>
      <c r="AV144" s="836">
        <f>'1.BS (VND)'!AQ118/$C$6</f>
        <v>0</v>
      </c>
      <c r="AW144" s="845"/>
      <c r="AX144" s="836">
        <f>'1.BS (VND)'!AS118/$C$6</f>
        <v>0</v>
      </c>
      <c r="AY144" s="836">
        <f>'1.BS (VND)'!AT118/$C$6</f>
        <v>0</v>
      </c>
      <c r="AZ144" s="836">
        <f>'1.BS (VND)'!AU118/$C$6</f>
        <v>0</v>
      </c>
      <c r="BA144" s="836">
        <f>'1.BS (VND)'!AV118/$C$6</f>
        <v>0</v>
      </c>
      <c r="BB144" s="845"/>
      <c r="BC144" s="836">
        <f>'1.BS (VND)'!AX118/$C$6</f>
        <v>0</v>
      </c>
      <c r="BD144" s="836">
        <f>'1.BS (VND)'!AY118/$C$6</f>
        <v>0</v>
      </c>
      <c r="BE144" s="836">
        <f>'1.BS (VND)'!AZ118/$C$6</f>
        <v>0</v>
      </c>
      <c r="BF144" s="836">
        <f>'1.BS (VND)'!BA118/$C$6</f>
        <v>0</v>
      </c>
      <c r="BG144" s="845"/>
      <c r="BH144" s="836">
        <f>'1.BS (VND)'!BC118/$C$6</f>
        <v>0</v>
      </c>
      <c r="BI144" s="836">
        <f>'1.BS (VND)'!BD118/$C$6</f>
        <v>0</v>
      </c>
      <c r="BJ144" s="836">
        <f>'1.BS (VND)'!BE118/$C$6</f>
        <v>0</v>
      </c>
      <c r="BK144" s="836">
        <f>'1.BS (VND)'!BF118/$C$6</f>
        <v>0</v>
      </c>
      <c r="BL144" s="845"/>
      <c r="BM144" s="836">
        <f>'1.BS (VND)'!BH118/$C$6</f>
        <v>0</v>
      </c>
      <c r="BN144" s="836">
        <f>'1.BS (VND)'!BI118/$C$6</f>
        <v>0</v>
      </c>
      <c r="BO144" s="836">
        <f>'1.BS (VND)'!BJ118/$C$6</f>
        <v>0</v>
      </c>
      <c r="BP144" s="836">
        <f>'1.BS (VND)'!BK118/$C$6</f>
        <v>0</v>
      </c>
      <c r="BQ144" s="846"/>
      <c r="BR144" s="836">
        <f t="shared" si="170"/>
        <v>0</v>
      </c>
      <c r="BS144" s="836">
        <f t="shared" si="171"/>
        <v>0</v>
      </c>
      <c r="BT144" s="836">
        <f t="shared" si="172"/>
        <v>0</v>
      </c>
      <c r="BU144" s="836">
        <f t="shared" si="173"/>
        <v>0</v>
      </c>
      <c r="BV144" s="847"/>
      <c r="BW144" s="836">
        <f t="shared" si="174"/>
        <v>0</v>
      </c>
      <c r="BX144" s="836">
        <f t="shared" si="175"/>
        <v>0</v>
      </c>
      <c r="BY144" s="836">
        <f t="shared" si="176"/>
        <v>0</v>
      </c>
      <c r="BZ144" s="836">
        <f t="shared" si="177"/>
        <v>0</v>
      </c>
      <c r="CA144" s="845"/>
      <c r="CB144" s="836">
        <f t="shared" si="178"/>
        <v>0</v>
      </c>
      <c r="CC144" s="836">
        <f t="shared" si="179"/>
        <v>0</v>
      </c>
      <c r="CD144" s="836">
        <f t="shared" si="180"/>
        <v>0</v>
      </c>
      <c r="CE144" s="836">
        <f t="shared" si="181"/>
        <v>0</v>
      </c>
      <c r="CF144" s="845"/>
      <c r="CG144" s="836">
        <f t="shared" si="182"/>
        <v>0</v>
      </c>
      <c r="CH144" s="836">
        <f t="shared" si="183"/>
        <v>0</v>
      </c>
      <c r="CI144" s="836">
        <f t="shared" si="184"/>
        <v>0</v>
      </c>
      <c r="CJ144" s="836">
        <f t="shared" si="185"/>
        <v>0</v>
      </c>
      <c r="CK144" s="845"/>
      <c r="CL144" s="836">
        <f t="shared" si="186"/>
        <v>0</v>
      </c>
      <c r="CM144" s="836">
        <f t="shared" si="187"/>
        <v>0</v>
      </c>
      <c r="CN144" s="836">
        <f t="shared" si="188"/>
        <v>0</v>
      </c>
      <c r="CO144" s="836">
        <f t="shared" si="189"/>
        <v>0</v>
      </c>
      <c r="CP144" s="845"/>
      <c r="CQ144" s="836">
        <f t="shared" si="190"/>
        <v>0</v>
      </c>
      <c r="CR144" s="836">
        <f t="shared" si="191"/>
        <v>0</v>
      </c>
      <c r="CS144" s="836">
        <f t="shared" si="192"/>
        <v>0</v>
      </c>
      <c r="CT144" s="836">
        <f t="shared" si="193"/>
        <v>0</v>
      </c>
      <c r="CU144" s="847"/>
      <c r="CV144" s="836">
        <f t="shared" si="194"/>
        <v>0</v>
      </c>
      <c r="CW144" s="836">
        <f t="shared" si="194"/>
        <v>0</v>
      </c>
      <c r="CX144" s="836">
        <f t="shared" si="194"/>
        <v>0</v>
      </c>
      <c r="CY144" s="836">
        <f t="shared" si="194"/>
        <v>0</v>
      </c>
      <c r="CZ144" s="847"/>
      <c r="DA144" s="836">
        <f>'1.BS (VND)'!CV118/'1.BC_Ra Soat (ty) '!$C$6</f>
        <v>0</v>
      </c>
      <c r="DB144" s="836">
        <f>'1.BS (VND)'!CW118/'1.BC_Ra Soat (ty) '!$C$6</f>
        <v>0</v>
      </c>
      <c r="DC144" s="836">
        <f>'1.BS (VND)'!CX118/'1.BC_Ra Soat (ty) '!$C$6</f>
        <v>0</v>
      </c>
      <c r="DD144" s="836">
        <f>'1.BS (VND)'!CY118/'1.BC_Ra Soat (ty) '!$C$6</f>
        <v>0</v>
      </c>
      <c r="DE144" s="847"/>
      <c r="DF144" s="836">
        <f t="shared" si="166"/>
        <v>0</v>
      </c>
      <c r="DG144" s="836">
        <f t="shared" si="166"/>
        <v>0</v>
      </c>
      <c r="DH144" s="836">
        <f t="shared" si="166"/>
        <v>0</v>
      </c>
      <c r="DI144" s="836">
        <f t="shared" si="166"/>
        <v>0</v>
      </c>
      <c r="DJ144" s="1019"/>
    </row>
    <row r="145" spans="1:114" s="449" customFormat="1" ht="15.75" hidden="1" x14ac:dyDescent="0.25">
      <c r="A145" s="857" t="str">
        <f t="shared" si="167"/>
        <v>hide</v>
      </c>
      <c r="C145" s="1017" t="s">
        <v>490</v>
      </c>
      <c r="D145" s="1018" t="s">
        <v>538</v>
      </c>
      <c r="E145" s="836">
        <f>'1.BS (VND)'!E119/$C$6</f>
        <v>0</v>
      </c>
      <c r="F145" s="836">
        <f>'1.BS (VND)'!F119/$C$6</f>
        <v>0</v>
      </c>
      <c r="G145" s="836">
        <f>'1.BS (VND)'!G119/$C$6</f>
        <v>0</v>
      </c>
      <c r="H145" s="836">
        <f>'1.BS (VND)'!H119/$C$6</f>
        <v>0</v>
      </c>
      <c r="I145" s="847"/>
      <c r="J145" s="836">
        <f>'1.BS (VND)'!J119/$C$6</f>
        <v>0</v>
      </c>
      <c r="K145" s="836">
        <f>'1.BS (VND)'!K119/$C$6</f>
        <v>0</v>
      </c>
      <c r="L145" s="836">
        <f>'1.BS (VND)'!L119/$C$6</f>
        <v>0</v>
      </c>
      <c r="M145" s="836">
        <f>'1.BS (VND)'!M119/$C$6</f>
        <v>0</v>
      </c>
      <c r="N145" s="845"/>
      <c r="O145" s="836">
        <f>'1.BS (VND)'!O119/$C$6</f>
        <v>0</v>
      </c>
      <c r="P145" s="836">
        <f>'1.BS (VND)'!P119/$C$6</f>
        <v>0</v>
      </c>
      <c r="Q145" s="836">
        <f>'1.BS (VND)'!Q119/$C$6</f>
        <v>0</v>
      </c>
      <c r="R145" s="836">
        <f>'1.BS (VND)'!R119/$C$6</f>
        <v>0</v>
      </c>
      <c r="S145" s="845"/>
      <c r="T145" s="836">
        <f>'1.BS (VND)'!T119/$C$6</f>
        <v>0</v>
      </c>
      <c r="U145" s="836">
        <f>'1.BS (VND)'!U119/$C$6</f>
        <v>0</v>
      </c>
      <c r="V145" s="836">
        <f>'1.BS (VND)'!V119/$C$6</f>
        <v>0</v>
      </c>
      <c r="W145" s="836">
        <f>'1.BS (VND)'!W119/$C$6</f>
        <v>0</v>
      </c>
      <c r="X145" s="845"/>
      <c r="Y145" s="836">
        <f>'1.BS (VND)'!Y120</f>
        <v>0</v>
      </c>
      <c r="Z145" s="836">
        <f>'1.BS (VND)'!Z120</f>
        <v>0</v>
      </c>
      <c r="AA145" s="836">
        <f>'1.BS (VND)'!AA120</f>
        <v>0</v>
      </c>
      <c r="AB145" s="836">
        <f>'1.BS (VND)'!AB120</f>
        <v>0</v>
      </c>
      <c r="AC145" s="845"/>
      <c r="AD145" s="836">
        <f>'1.BS (VND)'!AD119/$C$6</f>
        <v>0</v>
      </c>
      <c r="AE145" s="836">
        <f>'1.BS (VND)'!AE119/$C$6</f>
        <v>0</v>
      </c>
      <c r="AF145" s="836">
        <f>'1.BS (VND)'!AF119/$C$6</f>
        <v>0</v>
      </c>
      <c r="AG145" s="836">
        <f>'1.BS (VND)'!AG119/$C$6</f>
        <v>0</v>
      </c>
      <c r="AH145" s="846"/>
      <c r="AI145" s="836">
        <f t="shared" si="168"/>
        <v>0</v>
      </c>
      <c r="AJ145" s="836">
        <f t="shared" si="168"/>
        <v>0</v>
      </c>
      <c r="AK145" s="836">
        <f t="shared" si="168"/>
        <v>0</v>
      </c>
      <c r="AL145" s="836">
        <f t="shared" si="140"/>
        <v>0</v>
      </c>
      <c r="AM145" s="856"/>
      <c r="AN145" s="836">
        <f>'1.BS (VND)'!AI119/$C$6</f>
        <v>0</v>
      </c>
      <c r="AO145" s="836">
        <f>'1.BS (VND)'!AJ119/$C$6</f>
        <v>0</v>
      </c>
      <c r="AP145" s="836">
        <f>'1.BS (VND)'!AK119/$C$6</f>
        <v>0</v>
      </c>
      <c r="AQ145" s="836">
        <f>'1.BS (VND)'!AL119/$C$6</f>
        <v>0</v>
      </c>
      <c r="AR145" s="847"/>
      <c r="AS145" s="836">
        <f>'1.BS (VND)'!AN119/$C$6</f>
        <v>0</v>
      </c>
      <c r="AT145" s="836">
        <f>'1.BS (VND)'!AO119/$C$6</f>
        <v>0</v>
      </c>
      <c r="AU145" s="836">
        <f>'1.BS (VND)'!AP119/$C$6</f>
        <v>0</v>
      </c>
      <c r="AV145" s="836">
        <f>'1.BS (VND)'!AQ119/$C$6</f>
        <v>0</v>
      </c>
      <c r="AW145" s="845"/>
      <c r="AX145" s="836">
        <f>'1.BS (VND)'!AS119/$C$6</f>
        <v>0</v>
      </c>
      <c r="AY145" s="836">
        <f>'1.BS (VND)'!AT119/$C$6</f>
        <v>0</v>
      </c>
      <c r="AZ145" s="836">
        <f>'1.BS (VND)'!AU119/$C$6</f>
        <v>0</v>
      </c>
      <c r="BA145" s="836">
        <f>'1.BS (VND)'!AV119/$C$6</f>
        <v>0</v>
      </c>
      <c r="BB145" s="845"/>
      <c r="BC145" s="836">
        <f>'1.BS (VND)'!AX119/$C$6</f>
        <v>0</v>
      </c>
      <c r="BD145" s="836">
        <f>'1.BS (VND)'!AY119/$C$6</f>
        <v>0</v>
      </c>
      <c r="BE145" s="836">
        <f>'1.BS (VND)'!AZ119/$C$6</f>
        <v>0</v>
      </c>
      <c r="BF145" s="836">
        <f>'1.BS (VND)'!BA119/$C$6</f>
        <v>0</v>
      </c>
      <c r="BG145" s="845"/>
      <c r="BH145" s="836">
        <f>'1.BS (VND)'!BC119/$C$6</f>
        <v>0</v>
      </c>
      <c r="BI145" s="836">
        <f>'1.BS (VND)'!BD119/$C$6</f>
        <v>0</v>
      </c>
      <c r="BJ145" s="836">
        <f>'1.BS (VND)'!BE119/$C$6</f>
        <v>0</v>
      </c>
      <c r="BK145" s="836">
        <f>'1.BS (VND)'!BF119/$C$6</f>
        <v>0</v>
      </c>
      <c r="BL145" s="845"/>
      <c r="BM145" s="836">
        <f>'1.BS (VND)'!BH119/$C$6</f>
        <v>0</v>
      </c>
      <c r="BN145" s="836">
        <f>'1.BS (VND)'!BI119/$C$6</f>
        <v>0</v>
      </c>
      <c r="BO145" s="836">
        <f>'1.BS (VND)'!BJ119/$C$6</f>
        <v>0</v>
      </c>
      <c r="BP145" s="836">
        <f>'1.BS (VND)'!BK119/$C$6</f>
        <v>0</v>
      </c>
      <c r="BQ145" s="846"/>
      <c r="BR145" s="836">
        <f t="shared" si="170"/>
        <v>0</v>
      </c>
      <c r="BS145" s="836">
        <f t="shared" si="171"/>
        <v>0</v>
      </c>
      <c r="BT145" s="836">
        <f t="shared" si="172"/>
        <v>0</v>
      </c>
      <c r="BU145" s="836">
        <f t="shared" si="173"/>
        <v>0</v>
      </c>
      <c r="BV145" s="847"/>
      <c r="BW145" s="836">
        <f t="shared" si="174"/>
        <v>0</v>
      </c>
      <c r="BX145" s="836">
        <f t="shared" si="175"/>
        <v>0</v>
      </c>
      <c r="BY145" s="836">
        <f t="shared" si="176"/>
        <v>0</v>
      </c>
      <c r="BZ145" s="836">
        <f t="shared" si="177"/>
        <v>0</v>
      </c>
      <c r="CA145" s="845"/>
      <c r="CB145" s="836">
        <f t="shared" si="178"/>
        <v>0</v>
      </c>
      <c r="CC145" s="836">
        <f t="shared" si="179"/>
        <v>0</v>
      </c>
      <c r="CD145" s="836">
        <f t="shared" si="180"/>
        <v>0</v>
      </c>
      <c r="CE145" s="836">
        <f t="shared" si="181"/>
        <v>0</v>
      </c>
      <c r="CF145" s="845"/>
      <c r="CG145" s="836">
        <f t="shared" si="182"/>
        <v>0</v>
      </c>
      <c r="CH145" s="836">
        <f t="shared" si="183"/>
        <v>0</v>
      </c>
      <c r="CI145" s="836">
        <f t="shared" si="184"/>
        <v>0</v>
      </c>
      <c r="CJ145" s="836">
        <f t="shared" si="185"/>
        <v>0</v>
      </c>
      <c r="CK145" s="845"/>
      <c r="CL145" s="836">
        <f t="shared" si="186"/>
        <v>0</v>
      </c>
      <c r="CM145" s="836">
        <f t="shared" si="187"/>
        <v>0</v>
      </c>
      <c r="CN145" s="836">
        <f t="shared" si="188"/>
        <v>0</v>
      </c>
      <c r="CO145" s="836">
        <f t="shared" si="189"/>
        <v>0</v>
      </c>
      <c r="CP145" s="845"/>
      <c r="CQ145" s="836">
        <f t="shared" si="190"/>
        <v>0</v>
      </c>
      <c r="CR145" s="836">
        <f t="shared" si="191"/>
        <v>0</v>
      </c>
      <c r="CS145" s="836">
        <f t="shared" si="192"/>
        <v>0</v>
      </c>
      <c r="CT145" s="836">
        <f t="shared" si="193"/>
        <v>0</v>
      </c>
      <c r="CU145" s="847"/>
      <c r="CV145" s="836">
        <f t="shared" si="194"/>
        <v>0</v>
      </c>
      <c r="CW145" s="836">
        <f t="shared" si="194"/>
        <v>0</v>
      </c>
      <c r="CX145" s="836">
        <f t="shared" si="194"/>
        <v>0</v>
      </c>
      <c r="CY145" s="836">
        <f t="shared" si="194"/>
        <v>0</v>
      </c>
      <c r="CZ145" s="847"/>
      <c r="DA145" s="836">
        <f>'1.BS (VND)'!CV119/'1.BC_Ra Soat (ty) '!$C$6</f>
        <v>0</v>
      </c>
      <c r="DB145" s="836">
        <f>'1.BS (VND)'!CW119/'1.BC_Ra Soat (ty) '!$C$6</f>
        <v>0</v>
      </c>
      <c r="DC145" s="836">
        <f>'1.BS (VND)'!CX119/'1.BC_Ra Soat (ty) '!$C$6</f>
        <v>0</v>
      </c>
      <c r="DD145" s="836">
        <f>'1.BS (VND)'!CY119/'1.BC_Ra Soat (ty) '!$C$6</f>
        <v>0</v>
      </c>
      <c r="DE145" s="847"/>
      <c r="DF145" s="836">
        <f t="shared" si="166"/>
        <v>0</v>
      </c>
      <c r="DG145" s="836">
        <f t="shared" si="166"/>
        <v>0</v>
      </c>
      <c r="DH145" s="836">
        <f t="shared" si="166"/>
        <v>0</v>
      </c>
      <c r="DI145" s="836">
        <f t="shared" si="166"/>
        <v>0</v>
      </c>
      <c r="DJ145" s="1019"/>
    </row>
    <row r="146" spans="1:114" s="441" customFormat="1" ht="15.75" hidden="1" x14ac:dyDescent="0.25">
      <c r="A146" s="447" t="str">
        <f t="shared" si="167"/>
        <v>hide</v>
      </c>
      <c r="C146" s="452" t="s">
        <v>590</v>
      </c>
      <c r="D146" s="453" t="s">
        <v>491</v>
      </c>
      <c r="E146" s="835">
        <f>'1.BS (VND)'!E120/$C$6</f>
        <v>0</v>
      </c>
      <c r="F146" s="835">
        <f>'1.BS (VND)'!F120/$C$6</f>
        <v>0</v>
      </c>
      <c r="G146" s="835">
        <f>'1.BS (VND)'!G120/$C$6</f>
        <v>0</v>
      </c>
      <c r="H146" s="835">
        <f>'1.BS (VND)'!H120/$C$6</f>
        <v>0</v>
      </c>
      <c r="I146" s="842"/>
      <c r="J146" s="835">
        <f>'1.BS (VND)'!J120/$C$6</f>
        <v>0</v>
      </c>
      <c r="K146" s="835">
        <f>'1.BS (VND)'!K120/$C$6</f>
        <v>0</v>
      </c>
      <c r="L146" s="835">
        <f>'1.BS (VND)'!L120/$C$6</f>
        <v>0</v>
      </c>
      <c r="M146" s="835">
        <f>'1.BS (VND)'!M120/$C$6</f>
        <v>0</v>
      </c>
      <c r="N146" s="840"/>
      <c r="O146" s="835">
        <f>'1.BS (VND)'!O120/$C$6</f>
        <v>0</v>
      </c>
      <c r="P146" s="835">
        <f>'1.BS (VND)'!P120/$C$6</f>
        <v>0</v>
      </c>
      <c r="Q146" s="835">
        <f>'1.BS (VND)'!Q120/$C$6</f>
        <v>0</v>
      </c>
      <c r="R146" s="835">
        <f>'1.BS (VND)'!R120/$C$6</f>
        <v>0</v>
      </c>
      <c r="S146" s="840"/>
      <c r="T146" s="835">
        <f>'1.BS (VND)'!T120/$C$6</f>
        <v>0</v>
      </c>
      <c r="U146" s="835">
        <f>'1.BS (VND)'!U120/$C$6</f>
        <v>0</v>
      </c>
      <c r="V146" s="835">
        <f>'1.BS (VND)'!V120/$C$6</f>
        <v>0</v>
      </c>
      <c r="W146" s="835">
        <f>'1.BS (VND)'!W120/$C$6</f>
        <v>0</v>
      </c>
      <c r="X146" s="840"/>
      <c r="Y146" s="835">
        <f>'1.BS (VND)'!Y121</f>
        <v>0</v>
      </c>
      <c r="Z146" s="835">
        <f>'1.BS (VND)'!Z121</f>
        <v>0</v>
      </c>
      <c r="AA146" s="835">
        <f>'1.BS (VND)'!AA121</f>
        <v>0</v>
      </c>
      <c r="AB146" s="835">
        <f>'1.BS (VND)'!AB121</f>
        <v>0</v>
      </c>
      <c r="AC146" s="840"/>
      <c r="AD146" s="835">
        <f>'1.BS (VND)'!AD120/$C$6</f>
        <v>0</v>
      </c>
      <c r="AE146" s="835">
        <f>'1.BS (VND)'!AE120/$C$6</f>
        <v>0</v>
      </c>
      <c r="AF146" s="835">
        <f>'1.BS (VND)'!AF120/$C$6</f>
        <v>0</v>
      </c>
      <c r="AG146" s="835">
        <f>'1.BS (VND)'!AG120/$C$6</f>
        <v>0</v>
      </c>
      <c r="AH146" s="841"/>
      <c r="AI146" s="835">
        <f t="shared" si="168"/>
        <v>0</v>
      </c>
      <c r="AJ146" s="835">
        <f t="shared" si="168"/>
        <v>0</v>
      </c>
      <c r="AK146" s="835">
        <f t="shared" si="168"/>
        <v>0</v>
      </c>
      <c r="AL146" s="835">
        <f t="shared" si="140"/>
        <v>0</v>
      </c>
      <c r="AM146" s="842"/>
      <c r="AN146" s="835">
        <f>'1.BS (VND)'!AI120/$C$6</f>
        <v>0</v>
      </c>
      <c r="AO146" s="835">
        <f>'1.BS (VND)'!AJ120/$C$6</f>
        <v>0</v>
      </c>
      <c r="AP146" s="835">
        <f>'1.BS (VND)'!AK120/$C$6</f>
        <v>0</v>
      </c>
      <c r="AQ146" s="835">
        <f>'1.BS (VND)'!AL120/$C$6</f>
        <v>0</v>
      </c>
      <c r="AR146" s="842"/>
      <c r="AS146" s="835">
        <f>'1.BS (VND)'!AN120/$C$6</f>
        <v>0</v>
      </c>
      <c r="AT146" s="835">
        <f>'1.BS (VND)'!AO120/$C$6</f>
        <v>0</v>
      </c>
      <c r="AU146" s="835">
        <f>'1.BS (VND)'!AP120/$C$6</f>
        <v>0</v>
      </c>
      <c r="AV146" s="835">
        <f>'1.BS (VND)'!AQ120/$C$6</f>
        <v>0</v>
      </c>
      <c r="AW146" s="840"/>
      <c r="AX146" s="835">
        <f>'1.BS (VND)'!AS120/$C$6</f>
        <v>0</v>
      </c>
      <c r="AY146" s="835">
        <f>'1.BS (VND)'!AT120/$C$6</f>
        <v>0</v>
      </c>
      <c r="AZ146" s="835">
        <f>'1.BS (VND)'!AU120/$C$6</f>
        <v>0</v>
      </c>
      <c r="BA146" s="835">
        <f>'1.BS (VND)'!AV120/$C$6</f>
        <v>0</v>
      </c>
      <c r="BB146" s="840"/>
      <c r="BC146" s="835">
        <f>'1.BS (VND)'!AX120/$C$6</f>
        <v>0</v>
      </c>
      <c r="BD146" s="835">
        <f>'1.BS (VND)'!AY120/$C$6</f>
        <v>0</v>
      </c>
      <c r="BE146" s="835">
        <f>'1.BS (VND)'!AZ120/$C$6</f>
        <v>0</v>
      </c>
      <c r="BF146" s="835">
        <f>'1.BS (VND)'!BA120/$C$6</f>
        <v>0</v>
      </c>
      <c r="BG146" s="840"/>
      <c r="BH146" s="835">
        <f>'1.BS (VND)'!BC120/$C$6</f>
        <v>0</v>
      </c>
      <c r="BI146" s="835">
        <f>'1.BS (VND)'!BD120/$C$6</f>
        <v>0</v>
      </c>
      <c r="BJ146" s="835">
        <f>'1.BS (VND)'!BE120/$C$6</f>
        <v>0</v>
      </c>
      <c r="BK146" s="835">
        <f>'1.BS (VND)'!BF120/$C$6</f>
        <v>0</v>
      </c>
      <c r="BL146" s="840"/>
      <c r="BM146" s="835">
        <f>'1.BS (VND)'!BH120/$C$6</f>
        <v>0</v>
      </c>
      <c r="BN146" s="835">
        <f>'1.BS (VND)'!BI120/$C$6</f>
        <v>0</v>
      </c>
      <c r="BO146" s="835">
        <f>'1.BS (VND)'!BJ120/$C$6</f>
        <v>0</v>
      </c>
      <c r="BP146" s="835">
        <f>'1.BS (VND)'!BK120/$C$6</f>
        <v>0</v>
      </c>
      <c r="BQ146" s="841"/>
      <c r="BR146" s="835">
        <f t="shared" si="170"/>
        <v>0</v>
      </c>
      <c r="BS146" s="835">
        <f t="shared" si="171"/>
        <v>0</v>
      </c>
      <c r="BT146" s="835">
        <f t="shared" si="172"/>
        <v>0</v>
      </c>
      <c r="BU146" s="835">
        <f t="shared" si="173"/>
        <v>0</v>
      </c>
      <c r="BV146" s="842"/>
      <c r="BW146" s="835">
        <f t="shared" si="174"/>
        <v>0</v>
      </c>
      <c r="BX146" s="835">
        <f t="shared" si="175"/>
        <v>0</v>
      </c>
      <c r="BY146" s="835">
        <f t="shared" si="176"/>
        <v>0</v>
      </c>
      <c r="BZ146" s="835">
        <f t="shared" si="177"/>
        <v>0</v>
      </c>
      <c r="CA146" s="840"/>
      <c r="CB146" s="835">
        <f t="shared" si="178"/>
        <v>0</v>
      </c>
      <c r="CC146" s="835">
        <f t="shared" si="179"/>
        <v>0</v>
      </c>
      <c r="CD146" s="835">
        <f t="shared" si="180"/>
        <v>0</v>
      </c>
      <c r="CE146" s="835">
        <f t="shared" si="181"/>
        <v>0</v>
      </c>
      <c r="CF146" s="840"/>
      <c r="CG146" s="835">
        <f t="shared" si="182"/>
        <v>0</v>
      </c>
      <c r="CH146" s="835">
        <f t="shared" si="183"/>
        <v>0</v>
      </c>
      <c r="CI146" s="835">
        <f t="shared" si="184"/>
        <v>0</v>
      </c>
      <c r="CJ146" s="835">
        <f t="shared" si="185"/>
        <v>0</v>
      </c>
      <c r="CK146" s="840"/>
      <c r="CL146" s="835">
        <f t="shared" si="186"/>
        <v>0</v>
      </c>
      <c r="CM146" s="835">
        <f t="shared" si="187"/>
        <v>0</v>
      </c>
      <c r="CN146" s="835">
        <f t="shared" si="188"/>
        <v>0</v>
      </c>
      <c r="CO146" s="835">
        <f t="shared" si="189"/>
        <v>0</v>
      </c>
      <c r="CP146" s="840"/>
      <c r="CQ146" s="835">
        <f t="shared" si="190"/>
        <v>0</v>
      </c>
      <c r="CR146" s="835">
        <f t="shared" si="191"/>
        <v>0</v>
      </c>
      <c r="CS146" s="835">
        <f t="shared" si="192"/>
        <v>0</v>
      </c>
      <c r="CT146" s="835">
        <f t="shared" si="193"/>
        <v>0</v>
      </c>
      <c r="CU146" s="842"/>
      <c r="CV146" s="835">
        <f t="shared" si="194"/>
        <v>0</v>
      </c>
      <c r="CW146" s="835">
        <f t="shared" si="194"/>
        <v>0</v>
      </c>
      <c r="CX146" s="835">
        <f t="shared" si="194"/>
        <v>0</v>
      </c>
      <c r="CY146" s="835">
        <f t="shared" si="194"/>
        <v>0</v>
      </c>
      <c r="CZ146" s="842"/>
      <c r="DA146" s="835">
        <f>'1.BS (VND)'!CV120/'1.BC_Ra Soat (ty) '!$C$6</f>
        <v>0</v>
      </c>
      <c r="DB146" s="835">
        <f>'1.BS (VND)'!CW120/'1.BC_Ra Soat (ty) '!$C$6</f>
        <v>0</v>
      </c>
      <c r="DC146" s="835">
        <f>'1.BS (VND)'!CX120/'1.BC_Ra Soat (ty) '!$C$6</f>
        <v>0</v>
      </c>
      <c r="DD146" s="835">
        <f>'1.BS (VND)'!CY120/'1.BC_Ra Soat (ty) '!$C$6</f>
        <v>0</v>
      </c>
      <c r="DE146" s="842"/>
      <c r="DF146" s="835">
        <f t="shared" si="166"/>
        <v>0</v>
      </c>
      <c r="DG146" s="835">
        <f t="shared" si="166"/>
        <v>0</v>
      </c>
      <c r="DH146" s="835">
        <f t="shared" si="166"/>
        <v>0</v>
      </c>
      <c r="DI146" s="835">
        <f t="shared" si="166"/>
        <v>0</v>
      </c>
    </row>
    <row r="147" spans="1:114" s="447" customFormat="1" ht="15.75" hidden="1" x14ac:dyDescent="0.25">
      <c r="A147" s="447" t="str">
        <f t="shared" si="167"/>
        <v>hide</v>
      </c>
      <c r="C147" s="450" t="s">
        <v>492</v>
      </c>
      <c r="D147" s="451" t="s">
        <v>493</v>
      </c>
      <c r="E147" s="849">
        <f>'1.BS (VND)'!E121/$C$6</f>
        <v>0</v>
      </c>
      <c r="F147" s="849">
        <f>'1.BS (VND)'!F121/$C$6</f>
        <v>0</v>
      </c>
      <c r="G147" s="849">
        <f>'1.BS (VND)'!G121/$C$6</f>
        <v>0</v>
      </c>
      <c r="H147" s="849">
        <f>'1.BS (VND)'!H121/$C$6</f>
        <v>0</v>
      </c>
      <c r="I147" s="852"/>
      <c r="J147" s="849">
        <f>'1.BS (VND)'!J121/$C$6</f>
        <v>0</v>
      </c>
      <c r="K147" s="849">
        <f>'1.BS (VND)'!K121/$C$6</f>
        <v>0</v>
      </c>
      <c r="L147" s="849">
        <f>'1.BS (VND)'!L121/$C$6</f>
        <v>0</v>
      </c>
      <c r="M147" s="849">
        <f>'1.BS (VND)'!M121/$C$6</f>
        <v>0</v>
      </c>
      <c r="N147" s="850"/>
      <c r="O147" s="849">
        <f>'1.BS (VND)'!O121/$C$6</f>
        <v>0</v>
      </c>
      <c r="P147" s="849">
        <f>'1.BS (VND)'!P121/$C$6</f>
        <v>0</v>
      </c>
      <c r="Q147" s="849">
        <f>'1.BS (VND)'!Q121/$C$6</f>
        <v>0</v>
      </c>
      <c r="R147" s="849">
        <f>'1.BS (VND)'!R121/$C$6</f>
        <v>0</v>
      </c>
      <c r="S147" s="850"/>
      <c r="T147" s="849">
        <f>'1.BS (VND)'!T121/$C$6</f>
        <v>0</v>
      </c>
      <c r="U147" s="849">
        <f>'1.BS (VND)'!U121/$C$6</f>
        <v>0</v>
      </c>
      <c r="V147" s="849">
        <f>'1.BS (VND)'!V121/$C$6</f>
        <v>0</v>
      </c>
      <c r="W147" s="849">
        <f>'1.BS (VND)'!W121/$C$6</f>
        <v>0</v>
      </c>
      <c r="X147" s="850"/>
      <c r="Y147" s="835">
        <f>'1.BS (VND)'!Y122</f>
        <v>0</v>
      </c>
      <c r="Z147" s="835">
        <f>'1.BS (VND)'!Z122</f>
        <v>0</v>
      </c>
      <c r="AA147" s="835">
        <f>'1.BS (VND)'!AA122</f>
        <v>0</v>
      </c>
      <c r="AB147" s="835">
        <f>'1.BS (VND)'!AB122</f>
        <v>0</v>
      </c>
      <c r="AC147" s="850"/>
      <c r="AD147" s="849">
        <f>'1.BS (VND)'!AD121/$C$6</f>
        <v>0</v>
      </c>
      <c r="AE147" s="849">
        <f>'1.BS (VND)'!AE121/$C$6</f>
        <v>0</v>
      </c>
      <c r="AF147" s="849">
        <f>'1.BS (VND)'!AF121/$C$6</f>
        <v>0</v>
      </c>
      <c r="AG147" s="849">
        <f>'1.BS (VND)'!AG121/$C$6</f>
        <v>0</v>
      </c>
      <c r="AH147" s="851"/>
      <c r="AI147" s="849">
        <f t="shared" si="168"/>
        <v>0</v>
      </c>
      <c r="AJ147" s="849">
        <f t="shared" si="168"/>
        <v>0</v>
      </c>
      <c r="AK147" s="849">
        <f t="shared" si="168"/>
        <v>0</v>
      </c>
      <c r="AL147" s="849">
        <f t="shared" si="140"/>
        <v>0</v>
      </c>
      <c r="AM147" s="852"/>
      <c r="AN147" s="849">
        <f>'1.BS (VND)'!AI121/$C$6</f>
        <v>0</v>
      </c>
      <c r="AO147" s="849">
        <f>'1.BS (VND)'!AJ121/$C$6</f>
        <v>0</v>
      </c>
      <c r="AP147" s="849">
        <f>'1.BS (VND)'!AK121/$C$6</f>
        <v>0</v>
      </c>
      <c r="AQ147" s="849">
        <f>'1.BS (VND)'!AL121/$C$6</f>
        <v>0</v>
      </c>
      <c r="AR147" s="852"/>
      <c r="AS147" s="849">
        <f>'1.BS (VND)'!AN121/$C$6</f>
        <v>0</v>
      </c>
      <c r="AT147" s="849">
        <f>'1.BS (VND)'!AO121/$C$6</f>
        <v>0</v>
      </c>
      <c r="AU147" s="849">
        <f>'1.BS (VND)'!AP121/$C$6</f>
        <v>0</v>
      </c>
      <c r="AV147" s="849">
        <f>'1.BS (VND)'!AQ121/$C$6</f>
        <v>0</v>
      </c>
      <c r="AW147" s="850"/>
      <c r="AX147" s="849">
        <f>'1.BS (VND)'!AS121/$C$6</f>
        <v>0</v>
      </c>
      <c r="AY147" s="849">
        <f>'1.BS (VND)'!AT121/$C$6</f>
        <v>0</v>
      </c>
      <c r="AZ147" s="849">
        <f>'1.BS (VND)'!AU121/$C$6</f>
        <v>0</v>
      </c>
      <c r="BA147" s="849">
        <f>'1.BS (VND)'!AV121/$C$6</f>
        <v>0</v>
      </c>
      <c r="BB147" s="850"/>
      <c r="BC147" s="849">
        <f>'1.BS (VND)'!AX121/$C$6</f>
        <v>0</v>
      </c>
      <c r="BD147" s="849">
        <f>'1.BS (VND)'!AY121/$C$6</f>
        <v>0</v>
      </c>
      <c r="BE147" s="849">
        <f>'1.BS (VND)'!AZ121/$C$6</f>
        <v>0</v>
      </c>
      <c r="BF147" s="849">
        <f>'1.BS (VND)'!BA121/$C$6</f>
        <v>0</v>
      </c>
      <c r="BG147" s="850"/>
      <c r="BH147" s="849">
        <f>'1.BS (VND)'!BC121/$C$6</f>
        <v>0</v>
      </c>
      <c r="BI147" s="849">
        <f>'1.BS (VND)'!BD121/$C$6</f>
        <v>0</v>
      </c>
      <c r="BJ147" s="849">
        <f>'1.BS (VND)'!BE121/$C$6</f>
        <v>0</v>
      </c>
      <c r="BK147" s="849">
        <f>'1.BS (VND)'!BF121/$C$6</f>
        <v>0</v>
      </c>
      <c r="BL147" s="850"/>
      <c r="BM147" s="849">
        <f>'1.BS (VND)'!BH121/$C$6</f>
        <v>0</v>
      </c>
      <c r="BN147" s="849">
        <f>'1.BS (VND)'!BI121/$C$6</f>
        <v>0</v>
      </c>
      <c r="BO147" s="849">
        <f>'1.BS (VND)'!BJ121/$C$6</f>
        <v>0</v>
      </c>
      <c r="BP147" s="849">
        <f>'1.BS (VND)'!BK121/$C$6</f>
        <v>0</v>
      </c>
      <c r="BQ147" s="851"/>
      <c r="BR147" s="849">
        <f t="shared" si="170"/>
        <v>0</v>
      </c>
      <c r="BS147" s="849">
        <f t="shared" si="171"/>
        <v>0</v>
      </c>
      <c r="BT147" s="849">
        <f t="shared" si="172"/>
        <v>0</v>
      </c>
      <c r="BU147" s="849">
        <f t="shared" si="173"/>
        <v>0</v>
      </c>
      <c r="BV147" s="852"/>
      <c r="BW147" s="849">
        <f t="shared" si="174"/>
        <v>0</v>
      </c>
      <c r="BX147" s="849">
        <f t="shared" si="175"/>
        <v>0</v>
      </c>
      <c r="BY147" s="849">
        <f t="shared" si="176"/>
        <v>0</v>
      </c>
      <c r="BZ147" s="849">
        <f t="shared" si="177"/>
        <v>0</v>
      </c>
      <c r="CA147" s="850"/>
      <c r="CB147" s="849">
        <f t="shared" si="178"/>
        <v>0</v>
      </c>
      <c r="CC147" s="849">
        <f t="shared" si="179"/>
        <v>0</v>
      </c>
      <c r="CD147" s="849">
        <f t="shared" si="180"/>
        <v>0</v>
      </c>
      <c r="CE147" s="849">
        <f t="shared" si="181"/>
        <v>0</v>
      </c>
      <c r="CF147" s="850"/>
      <c r="CG147" s="849">
        <f t="shared" si="182"/>
        <v>0</v>
      </c>
      <c r="CH147" s="849">
        <f t="shared" si="183"/>
        <v>0</v>
      </c>
      <c r="CI147" s="849">
        <f t="shared" si="184"/>
        <v>0</v>
      </c>
      <c r="CJ147" s="849">
        <f t="shared" si="185"/>
        <v>0</v>
      </c>
      <c r="CK147" s="850"/>
      <c r="CL147" s="849">
        <f t="shared" si="186"/>
        <v>0</v>
      </c>
      <c r="CM147" s="849">
        <f t="shared" si="187"/>
        <v>0</v>
      </c>
      <c r="CN147" s="849">
        <f t="shared" si="188"/>
        <v>0</v>
      </c>
      <c r="CO147" s="849">
        <f t="shared" si="189"/>
        <v>0</v>
      </c>
      <c r="CP147" s="850"/>
      <c r="CQ147" s="849">
        <f t="shared" si="190"/>
        <v>0</v>
      </c>
      <c r="CR147" s="849">
        <f t="shared" si="191"/>
        <v>0</v>
      </c>
      <c r="CS147" s="849">
        <f t="shared" si="192"/>
        <v>0</v>
      </c>
      <c r="CT147" s="849">
        <f t="shared" si="193"/>
        <v>0</v>
      </c>
      <c r="CU147" s="852"/>
      <c r="CV147" s="849">
        <f t="shared" si="194"/>
        <v>0</v>
      </c>
      <c r="CW147" s="849">
        <f t="shared" si="194"/>
        <v>0</v>
      </c>
      <c r="CX147" s="849">
        <f t="shared" si="194"/>
        <v>0</v>
      </c>
      <c r="CY147" s="849">
        <f t="shared" si="194"/>
        <v>0</v>
      </c>
      <c r="CZ147" s="852"/>
      <c r="DA147" s="849">
        <f>'1.BS (VND)'!CV121/'1.BC_Ra Soat (ty) '!$C$6</f>
        <v>0</v>
      </c>
      <c r="DB147" s="849">
        <f>'1.BS (VND)'!CW121/'1.BC_Ra Soat (ty) '!$C$6</f>
        <v>0</v>
      </c>
      <c r="DC147" s="849">
        <f>'1.BS (VND)'!CX121/'1.BC_Ra Soat (ty) '!$C$6</f>
        <v>0</v>
      </c>
      <c r="DD147" s="849">
        <f>'1.BS (VND)'!CY121/'1.BC_Ra Soat (ty) '!$C$6</f>
        <v>0</v>
      </c>
      <c r="DE147" s="852"/>
      <c r="DF147" s="849">
        <f t="shared" si="166"/>
        <v>0</v>
      </c>
      <c r="DG147" s="849">
        <f t="shared" si="166"/>
        <v>0</v>
      </c>
      <c r="DH147" s="849">
        <f t="shared" si="166"/>
        <v>0</v>
      </c>
      <c r="DI147" s="849">
        <f t="shared" si="166"/>
        <v>0</v>
      </c>
    </row>
    <row r="148" spans="1:114" s="441" customFormat="1" ht="15.75" hidden="1" x14ac:dyDescent="0.25">
      <c r="A148" s="447" t="str">
        <f t="shared" si="167"/>
        <v>hide</v>
      </c>
      <c r="C148" s="452" t="s">
        <v>494</v>
      </c>
      <c r="D148" s="453" t="s">
        <v>495</v>
      </c>
      <c r="E148" s="835">
        <f>'1.BS (VND)'!E122/$C$6</f>
        <v>0</v>
      </c>
      <c r="F148" s="835">
        <f>'1.BS (VND)'!F122/$C$6</f>
        <v>0</v>
      </c>
      <c r="G148" s="835">
        <f>'1.BS (VND)'!G122/$C$6</f>
        <v>0</v>
      </c>
      <c r="H148" s="835">
        <f>'1.BS (VND)'!H122/$C$6</f>
        <v>0</v>
      </c>
      <c r="I148" s="842"/>
      <c r="J148" s="835">
        <f>'1.BS (VND)'!J122/$C$6</f>
        <v>0</v>
      </c>
      <c r="K148" s="835">
        <f>'1.BS (VND)'!K122/$C$6</f>
        <v>0</v>
      </c>
      <c r="L148" s="835">
        <f>'1.BS (VND)'!L122/$C$6</f>
        <v>0</v>
      </c>
      <c r="M148" s="835">
        <f>'1.BS (VND)'!M122/$C$6</f>
        <v>0</v>
      </c>
      <c r="N148" s="840"/>
      <c r="O148" s="835">
        <f>'1.BS (VND)'!O122/$C$6</f>
        <v>0</v>
      </c>
      <c r="P148" s="835">
        <f>'1.BS (VND)'!P122/$C$6</f>
        <v>0</v>
      </c>
      <c r="Q148" s="835">
        <f>'1.BS (VND)'!Q122/$C$6</f>
        <v>0</v>
      </c>
      <c r="R148" s="835">
        <f>'1.BS (VND)'!R122/$C$6</f>
        <v>0</v>
      </c>
      <c r="S148" s="840"/>
      <c r="T148" s="835">
        <f>'1.BS (VND)'!T122/$C$6</f>
        <v>0</v>
      </c>
      <c r="U148" s="835">
        <f>'1.BS (VND)'!U122/$C$6</f>
        <v>0</v>
      </c>
      <c r="V148" s="835">
        <f>'1.BS (VND)'!V122/$C$6</f>
        <v>0</v>
      </c>
      <c r="W148" s="835">
        <f>'1.BS (VND)'!W122/$C$6</f>
        <v>0</v>
      </c>
      <c r="X148" s="840"/>
      <c r="Y148" s="835">
        <f>'1.BS (VND)'!Y123</f>
        <v>0</v>
      </c>
      <c r="Z148" s="835">
        <f>'1.BS (VND)'!Z123</f>
        <v>0</v>
      </c>
      <c r="AA148" s="835">
        <f>'1.BS (VND)'!AA123</f>
        <v>0</v>
      </c>
      <c r="AB148" s="835">
        <f>'1.BS (VND)'!AB123</f>
        <v>0</v>
      </c>
      <c r="AC148" s="840"/>
      <c r="AD148" s="835">
        <f>'1.BS (VND)'!AD122/$C$6</f>
        <v>0</v>
      </c>
      <c r="AE148" s="835">
        <f>'1.BS (VND)'!AE122/$C$6</f>
        <v>0</v>
      </c>
      <c r="AF148" s="835">
        <f>'1.BS (VND)'!AF122/$C$6</f>
        <v>0</v>
      </c>
      <c r="AG148" s="835">
        <f>'1.BS (VND)'!AG122/$C$6</f>
        <v>0</v>
      </c>
      <c r="AH148" s="841"/>
      <c r="AI148" s="835">
        <f t="shared" si="168"/>
        <v>0</v>
      </c>
      <c r="AJ148" s="835">
        <f t="shared" si="168"/>
        <v>0</v>
      </c>
      <c r="AK148" s="835">
        <f t="shared" si="168"/>
        <v>0</v>
      </c>
      <c r="AL148" s="835">
        <f t="shared" si="140"/>
        <v>0</v>
      </c>
      <c r="AM148" s="842"/>
      <c r="AN148" s="835">
        <f>'1.BS (VND)'!AI122/$C$6</f>
        <v>0</v>
      </c>
      <c r="AO148" s="835">
        <f>'1.BS (VND)'!AJ122/$C$6</f>
        <v>0</v>
      </c>
      <c r="AP148" s="835">
        <f>'1.BS (VND)'!AK122/$C$6</f>
        <v>0</v>
      </c>
      <c r="AQ148" s="835">
        <f>'1.BS (VND)'!AL122/$C$6</f>
        <v>0</v>
      </c>
      <c r="AR148" s="842"/>
      <c r="AS148" s="835">
        <f>'1.BS (VND)'!AN122/$C$6</f>
        <v>0</v>
      </c>
      <c r="AT148" s="835">
        <f>'1.BS (VND)'!AO122/$C$6</f>
        <v>0</v>
      </c>
      <c r="AU148" s="835">
        <f>'1.BS (VND)'!AP122/$C$6</f>
        <v>0</v>
      </c>
      <c r="AV148" s="835">
        <f>'1.BS (VND)'!AQ122/$C$6</f>
        <v>0</v>
      </c>
      <c r="AW148" s="840"/>
      <c r="AX148" s="835">
        <f>'1.BS (VND)'!AS122/$C$6</f>
        <v>0</v>
      </c>
      <c r="AY148" s="835">
        <f>'1.BS (VND)'!AT122/$C$6</f>
        <v>0</v>
      </c>
      <c r="AZ148" s="835">
        <f>'1.BS (VND)'!AU122/$C$6</f>
        <v>0</v>
      </c>
      <c r="BA148" s="835">
        <f>'1.BS (VND)'!AV122/$C$6</f>
        <v>0</v>
      </c>
      <c r="BB148" s="840"/>
      <c r="BC148" s="835">
        <f>'1.BS (VND)'!AX122/$C$6</f>
        <v>0</v>
      </c>
      <c r="BD148" s="835">
        <f>'1.BS (VND)'!AY122/$C$6</f>
        <v>0</v>
      </c>
      <c r="BE148" s="835">
        <f>'1.BS (VND)'!AZ122/$C$6</f>
        <v>0</v>
      </c>
      <c r="BF148" s="835">
        <f>'1.BS (VND)'!BA122/$C$6</f>
        <v>0</v>
      </c>
      <c r="BG148" s="840"/>
      <c r="BH148" s="835">
        <f>'1.BS (VND)'!BC122/$C$6</f>
        <v>0</v>
      </c>
      <c r="BI148" s="835">
        <f>'1.BS (VND)'!BD122/$C$6</f>
        <v>0</v>
      </c>
      <c r="BJ148" s="835">
        <f>'1.BS (VND)'!BE122/$C$6</f>
        <v>0</v>
      </c>
      <c r="BK148" s="835">
        <f>'1.BS (VND)'!BF122/$C$6</f>
        <v>0</v>
      </c>
      <c r="BL148" s="840"/>
      <c r="BM148" s="835">
        <f>'1.BS (VND)'!BH122/$C$6</f>
        <v>0</v>
      </c>
      <c r="BN148" s="835">
        <f>'1.BS (VND)'!BI122/$C$6</f>
        <v>0</v>
      </c>
      <c r="BO148" s="835">
        <f>'1.BS (VND)'!BJ122/$C$6</f>
        <v>0</v>
      </c>
      <c r="BP148" s="835">
        <f>'1.BS (VND)'!BK122/$C$6</f>
        <v>0</v>
      </c>
      <c r="BQ148" s="841"/>
      <c r="BR148" s="835">
        <f t="shared" si="170"/>
        <v>0</v>
      </c>
      <c r="BS148" s="835">
        <f t="shared" si="171"/>
        <v>0</v>
      </c>
      <c r="BT148" s="835">
        <f t="shared" si="172"/>
        <v>0</v>
      </c>
      <c r="BU148" s="835">
        <f t="shared" si="173"/>
        <v>0</v>
      </c>
      <c r="BV148" s="842"/>
      <c r="BW148" s="835">
        <f t="shared" si="174"/>
        <v>0</v>
      </c>
      <c r="BX148" s="835">
        <f t="shared" si="175"/>
        <v>0</v>
      </c>
      <c r="BY148" s="835">
        <f t="shared" si="176"/>
        <v>0</v>
      </c>
      <c r="BZ148" s="835">
        <f t="shared" si="177"/>
        <v>0</v>
      </c>
      <c r="CA148" s="840"/>
      <c r="CB148" s="835">
        <f t="shared" si="178"/>
        <v>0</v>
      </c>
      <c r="CC148" s="835">
        <f t="shared" si="179"/>
        <v>0</v>
      </c>
      <c r="CD148" s="835">
        <f t="shared" si="180"/>
        <v>0</v>
      </c>
      <c r="CE148" s="835">
        <f t="shared" si="181"/>
        <v>0</v>
      </c>
      <c r="CF148" s="840"/>
      <c r="CG148" s="835">
        <f t="shared" si="182"/>
        <v>0</v>
      </c>
      <c r="CH148" s="835">
        <f t="shared" si="183"/>
        <v>0</v>
      </c>
      <c r="CI148" s="835">
        <f t="shared" si="184"/>
        <v>0</v>
      </c>
      <c r="CJ148" s="835">
        <f t="shared" si="185"/>
        <v>0</v>
      </c>
      <c r="CK148" s="840"/>
      <c r="CL148" s="835">
        <f t="shared" si="186"/>
        <v>0</v>
      </c>
      <c r="CM148" s="835">
        <f t="shared" si="187"/>
        <v>0</v>
      </c>
      <c r="CN148" s="835">
        <f t="shared" si="188"/>
        <v>0</v>
      </c>
      <c r="CO148" s="835">
        <f t="shared" si="189"/>
        <v>0</v>
      </c>
      <c r="CP148" s="840"/>
      <c r="CQ148" s="835">
        <f t="shared" si="190"/>
        <v>0</v>
      </c>
      <c r="CR148" s="835">
        <f t="shared" si="191"/>
        <v>0</v>
      </c>
      <c r="CS148" s="835">
        <f t="shared" si="192"/>
        <v>0</v>
      </c>
      <c r="CT148" s="835">
        <f t="shared" si="193"/>
        <v>0</v>
      </c>
      <c r="CU148" s="842"/>
      <c r="CV148" s="835">
        <f t="shared" si="194"/>
        <v>0</v>
      </c>
      <c r="CW148" s="835">
        <f t="shared" si="194"/>
        <v>0</v>
      </c>
      <c r="CX148" s="835">
        <f t="shared" si="194"/>
        <v>0</v>
      </c>
      <c r="CY148" s="835">
        <f t="shared" si="194"/>
        <v>0</v>
      </c>
      <c r="CZ148" s="842"/>
      <c r="DA148" s="835">
        <f>'1.BS (VND)'!CV122/'1.BC_Ra Soat (ty) '!$C$6</f>
        <v>0</v>
      </c>
      <c r="DB148" s="835">
        <f>'1.BS (VND)'!CW122/'1.BC_Ra Soat (ty) '!$C$6</f>
        <v>0</v>
      </c>
      <c r="DC148" s="835">
        <f>'1.BS (VND)'!CX122/'1.BC_Ra Soat (ty) '!$C$6</f>
        <v>0</v>
      </c>
      <c r="DD148" s="835">
        <f>'1.BS (VND)'!CY122/'1.BC_Ra Soat (ty) '!$C$6</f>
        <v>0</v>
      </c>
      <c r="DE148" s="842"/>
      <c r="DF148" s="835">
        <f t="shared" si="166"/>
        <v>0</v>
      </c>
      <c r="DG148" s="835">
        <f t="shared" si="166"/>
        <v>0</v>
      </c>
      <c r="DH148" s="835">
        <f t="shared" si="166"/>
        <v>0</v>
      </c>
      <c r="DI148" s="835">
        <f t="shared" si="166"/>
        <v>0</v>
      </c>
    </row>
    <row r="149" spans="1:114" s="441" customFormat="1" ht="15.75" hidden="1" x14ac:dyDescent="0.25">
      <c r="A149" s="447" t="str">
        <f t="shared" si="167"/>
        <v>hide</v>
      </c>
      <c r="C149" s="452" t="s">
        <v>496</v>
      </c>
      <c r="D149" s="453" t="s">
        <v>497</v>
      </c>
      <c r="E149" s="835">
        <f>'1.BS (VND)'!E123/$C$6</f>
        <v>0</v>
      </c>
      <c r="F149" s="835">
        <f>'1.BS (VND)'!F123/$C$6</f>
        <v>0</v>
      </c>
      <c r="G149" s="835">
        <f>'1.BS (VND)'!G123/$C$6</f>
        <v>0</v>
      </c>
      <c r="H149" s="835">
        <f>'1.BS (VND)'!H123/$C$6</f>
        <v>0</v>
      </c>
      <c r="I149" s="842"/>
      <c r="J149" s="835">
        <f>'1.BS (VND)'!J123/$C$6</f>
        <v>0</v>
      </c>
      <c r="K149" s="835">
        <f>'1.BS (VND)'!K123/$C$6</f>
        <v>0</v>
      </c>
      <c r="L149" s="835">
        <f>'1.BS (VND)'!L123/$C$6</f>
        <v>0</v>
      </c>
      <c r="M149" s="835">
        <f>'1.BS (VND)'!M123/$C$6</f>
        <v>0</v>
      </c>
      <c r="N149" s="840"/>
      <c r="O149" s="835">
        <f>'1.BS (VND)'!O123/$C$6</f>
        <v>0</v>
      </c>
      <c r="P149" s="835">
        <f>'1.BS (VND)'!P123/$C$6</f>
        <v>0</v>
      </c>
      <c r="Q149" s="835">
        <f>'1.BS (VND)'!Q123/$C$6</f>
        <v>0</v>
      </c>
      <c r="R149" s="835">
        <f>'1.BS (VND)'!R123/$C$6</f>
        <v>0</v>
      </c>
      <c r="S149" s="840"/>
      <c r="T149" s="835">
        <f>'1.BS (VND)'!T123/$C$6</f>
        <v>0</v>
      </c>
      <c r="U149" s="835">
        <f>'1.BS (VND)'!U123/$C$6</f>
        <v>0</v>
      </c>
      <c r="V149" s="835">
        <f>'1.BS (VND)'!V123/$C$6</f>
        <v>0</v>
      </c>
      <c r="W149" s="835">
        <f>'1.BS (VND)'!W123/$C$6</f>
        <v>0</v>
      </c>
      <c r="X149" s="840"/>
      <c r="Y149" s="835">
        <f>'1.BS (VND)'!Y124</f>
        <v>0</v>
      </c>
      <c r="Z149" s="835">
        <f>'1.BS (VND)'!Z124</f>
        <v>0</v>
      </c>
      <c r="AA149" s="835">
        <f>'1.BS (VND)'!AA124</f>
        <v>0</v>
      </c>
      <c r="AB149" s="835">
        <f>'1.BS (VND)'!AB124</f>
        <v>0</v>
      </c>
      <c r="AC149" s="840"/>
      <c r="AD149" s="835">
        <f>'1.BS (VND)'!AD123/$C$6</f>
        <v>0</v>
      </c>
      <c r="AE149" s="835">
        <f>'1.BS (VND)'!AE123/$C$6</f>
        <v>0</v>
      </c>
      <c r="AF149" s="835">
        <f>'1.BS (VND)'!AF123/$C$6</f>
        <v>0</v>
      </c>
      <c r="AG149" s="835">
        <f>'1.BS (VND)'!AG123/$C$6</f>
        <v>0</v>
      </c>
      <c r="AH149" s="841"/>
      <c r="AI149" s="835">
        <f t="shared" si="168"/>
        <v>0</v>
      </c>
      <c r="AJ149" s="835">
        <f t="shared" si="168"/>
        <v>0</v>
      </c>
      <c r="AK149" s="835">
        <f t="shared" si="168"/>
        <v>0</v>
      </c>
      <c r="AL149" s="835">
        <f t="shared" si="140"/>
        <v>0</v>
      </c>
      <c r="AM149" s="842"/>
      <c r="AN149" s="835">
        <f>'1.BS (VND)'!AI123/$C$6</f>
        <v>0</v>
      </c>
      <c r="AO149" s="835">
        <f>'1.BS (VND)'!AJ123/$C$6</f>
        <v>0</v>
      </c>
      <c r="AP149" s="835">
        <f>'1.BS (VND)'!AK123/$C$6</f>
        <v>0</v>
      </c>
      <c r="AQ149" s="835">
        <f>'1.BS (VND)'!AL123/$C$6</f>
        <v>0</v>
      </c>
      <c r="AR149" s="842"/>
      <c r="AS149" s="835">
        <f>'1.BS (VND)'!AN123/$C$6</f>
        <v>0</v>
      </c>
      <c r="AT149" s="835">
        <f>'1.BS (VND)'!AO123/$C$6</f>
        <v>0</v>
      </c>
      <c r="AU149" s="835">
        <f>'1.BS (VND)'!AP123/$C$6</f>
        <v>0</v>
      </c>
      <c r="AV149" s="835">
        <f>'1.BS (VND)'!AQ123/$C$6</f>
        <v>0</v>
      </c>
      <c r="AW149" s="840"/>
      <c r="AX149" s="835">
        <f>'1.BS (VND)'!AS123/$C$6</f>
        <v>0</v>
      </c>
      <c r="AY149" s="835">
        <f>'1.BS (VND)'!AT123/$C$6</f>
        <v>0</v>
      </c>
      <c r="AZ149" s="835">
        <f>'1.BS (VND)'!AU123/$C$6</f>
        <v>0</v>
      </c>
      <c r="BA149" s="835">
        <f>'1.BS (VND)'!AV123/$C$6</f>
        <v>0</v>
      </c>
      <c r="BB149" s="840"/>
      <c r="BC149" s="835">
        <f>'1.BS (VND)'!AX123/$C$6</f>
        <v>0</v>
      </c>
      <c r="BD149" s="835">
        <f>'1.BS (VND)'!AY123/$C$6</f>
        <v>0</v>
      </c>
      <c r="BE149" s="835">
        <f>'1.BS (VND)'!AZ123/$C$6</f>
        <v>0</v>
      </c>
      <c r="BF149" s="835">
        <f>'1.BS (VND)'!BA123/$C$6</f>
        <v>0</v>
      </c>
      <c r="BG149" s="840"/>
      <c r="BH149" s="835">
        <f>'1.BS (VND)'!BC123/$C$6</f>
        <v>0</v>
      </c>
      <c r="BI149" s="835">
        <f>'1.BS (VND)'!BD123/$C$6</f>
        <v>0</v>
      </c>
      <c r="BJ149" s="835">
        <f>'1.BS (VND)'!BE123/$C$6</f>
        <v>0</v>
      </c>
      <c r="BK149" s="835">
        <f>'1.BS (VND)'!BF123/$C$6</f>
        <v>0</v>
      </c>
      <c r="BL149" s="840"/>
      <c r="BM149" s="835">
        <f>'1.BS (VND)'!BH123/$C$6</f>
        <v>0</v>
      </c>
      <c r="BN149" s="835">
        <f>'1.BS (VND)'!BI123/$C$6</f>
        <v>0</v>
      </c>
      <c r="BO149" s="835">
        <f>'1.BS (VND)'!BJ123/$C$6</f>
        <v>0</v>
      </c>
      <c r="BP149" s="835">
        <f>'1.BS (VND)'!BK123/$C$6</f>
        <v>0</v>
      </c>
      <c r="BQ149" s="841"/>
      <c r="BR149" s="835">
        <f t="shared" si="170"/>
        <v>0</v>
      </c>
      <c r="BS149" s="835">
        <f t="shared" si="171"/>
        <v>0</v>
      </c>
      <c r="BT149" s="835">
        <f t="shared" si="172"/>
        <v>0</v>
      </c>
      <c r="BU149" s="835">
        <f t="shared" si="173"/>
        <v>0</v>
      </c>
      <c r="BV149" s="842"/>
      <c r="BW149" s="835">
        <f t="shared" si="174"/>
        <v>0</v>
      </c>
      <c r="BX149" s="835">
        <f t="shared" si="175"/>
        <v>0</v>
      </c>
      <c r="BY149" s="835">
        <f t="shared" si="176"/>
        <v>0</v>
      </c>
      <c r="BZ149" s="835">
        <f t="shared" si="177"/>
        <v>0</v>
      </c>
      <c r="CA149" s="840"/>
      <c r="CB149" s="835">
        <f t="shared" si="178"/>
        <v>0</v>
      </c>
      <c r="CC149" s="835">
        <f t="shared" si="179"/>
        <v>0</v>
      </c>
      <c r="CD149" s="835">
        <f t="shared" si="180"/>
        <v>0</v>
      </c>
      <c r="CE149" s="835">
        <f t="shared" si="181"/>
        <v>0</v>
      </c>
      <c r="CF149" s="840"/>
      <c r="CG149" s="835">
        <f t="shared" si="182"/>
        <v>0</v>
      </c>
      <c r="CH149" s="835">
        <f t="shared" si="183"/>
        <v>0</v>
      </c>
      <c r="CI149" s="835">
        <f t="shared" si="184"/>
        <v>0</v>
      </c>
      <c r="CJ149" s="835">
        <f t="shared" si="185"/>
        <v>0</v>
      </c>
      <c r="CK149" s="840"/>
      <c r="CL149" s="835">
        <f t="shared" si="186"/>
        <v>0</v>
      </c>
      <c r="CM149" s="835">
        <f t="shared" si="187"/>
        <v>0</v>
      </c>
      <c r="CN149" s="835">
        <f t="shared" si="188"/>
        <v>0</v>
      </c>
      <c r="CO149" s="835">
        <f t="shared" si="189"/>
        <v>0</v>
      </c>
      <c r="CP149" s="840"/>
      <c r="CQ149" s="835">
        <f t="shared" si="190"/>
        <v>0</v>
      </c>
      <c r="CR149" s="835">
        <f t="shared" si="191"/>
        <v>0</v>
      </c>
      <c r="CS149" s="835">
        <f t="shared" si="192"/>
        <v>0</v>
      </c>
      <c r="CT149" s="835">
        <f t="shared" si="193"/>
        <v>0</v>
      </c>
      <c r="CU149" s="842"/>
      <c r="CV149" s="835">
        <f t="shared" si="194"/>
        <v>0</v>
      </c>
      <c r="CW149" s="835">
        <f t="shared" si="194"/>
        <v>0</v>
      </c>
      <c r="CX149" s="835">
        <f t="shared" si="194"/>
        <v>0</v>
      </c>
      <c r="CY149" s="835">
        <f t="shared" si="194"/>
        <v>0</v>
      </c>
      <c r="CZ149" s="842"/>
      <c r="DA149" s="835">
        <f>'1.BS (VND)'!CV123/'1.BC_Ra Soat (ty) '!$C$6</f>
        <v>0</v>
      </c>
      <c r="DB149" s="835">
        <f>'1.BS (VND)'!CW123/'1.BC_Ra Soat (ty) '!$C$6</f>
        <v>0</v>
      </c>
      <c r="DC149" s="835">
        <f>'1.BS (VND)'!CX123/'1.BC_Ra Soat (ty) '!$C$6</f>
        <v>0</v>
      </c>
      <c r="DD149" s="835">
        <f>'1.BS (VND)'!CY123/'1.BC_Ra Soat (ty) '!$C$6</f>
        <v>0</v>
      </c>
      <c r="DE149" s="842"/>
      <c r="DF149" s="835">
        <f t="shared" si="166"/>
        <v>0</v>
      </c>
      <c r="DG149" s="835">
        <f t="shared" si="166"/>
        <v>0</v>
      </c>
      <c r="DH149" s="835">
        <f t="shared" si="166"/>
        <v>0</v>
      </c>
      <c r="DI149" s="835">
        <f t="shared" si="166"/>
        <v>0</v>
      </c>
    </row>
    <row r="150" spans="1:114" s="943" customFormat="1" ht="15.75" x14ac:dyDescent="0.25">
      <c r="A150" s="447">
        <f t="shared" si="167"/>
        <v>1</v>
      </c>
      <c r="C150" s="298" t="s">
        <v>591</v>
      </c>
      <c r="D150" s="299" t="s">
        <v>498</v>
      </c>
      <c r="E150" s="969">
        <f>'1.BS (VND)'!E124/'1.BC_Ra Soat (ty) '!$C$6</f>
        <v>245.70008859999999</v>
      </c>
      <c r="F150" s="969">
        <f>'1.BS (VND)'!F124/'1.BC_Ra Soat (ty) '!$C$6</f>
        <v>207.17686413499999</v>
      </c>
      <c r="G150" s="969">
        <f>'1.BS (VND)'!G124/'1.BC_Ra Soat (ty) '!$C$6</f>
        <v>240.655602853</v>
      </c>
      <c r="H150" s="969">
        <f>'1.BS (VND)'!H124/'1.BC_Ra Soat (ty) '!$C$6</f>
        <v>363.77915335699998</v>
      </c>
      <c r="I150" s="973"/>
      <c r="J150" s="969">
        <f>'1.BS (VND)'!J124/'1.BC_Ra Soat (ty) '!$C$6</f>
        <v>4.0594891510000002</v>
      </c>
      <c r="K150" s="969">
        <f>'1.BS (VND)'!K124/'1.BC_Ra Soat (ty) '!$C$6</f>
        <v>53.478751189</v>
      </c>
      <c r="L150" s="969">
        <f>'1.BS (VND)'!L124/'1.BC_Ra Soat (ty) '!$C$6</f>
        <v>87.545240430000007</v>
      </c>
      <c r="M150" s="969">
        <f>'1.BS (VND)'!M124/'1.BC_Ra Soat (ty) '!$C$6</f>
        <v>114.202075931</v>
      </c>
      <c r="N150" s="971"/>
      <c r="O150" s="969">
        <f>'1.BS (VND)'!O124/'1.BC_Ra Soat (ty) '!$C$6</f>
        <v>57.981954109</v>
      </c>
      <c r="P150" s="969">
        <f>'1.BS (VND)'!P124/'1.BC_Ra Soat (ty) '!$C$6</f>
        <v>32.961773194999999</v>
      </c>
      <c r="Q150" s="969">
        <f>'1.BS (VND)'!Q124/'1.BC_Ra Soat (ty) '!$C$6</f>
        <v>63.544536051999998</v>
      </c>
      <c r="R150" s="969">
        <f>'1.BS (VND)'!R124/'1.BC_Ra Soat (ty) '!$C$6</f>
        <v>53.962440952999998</v>
      </c>
      <c r="S150" s="1015"/>
      <c r="T150" s="969">
        <f>'1.BS (VND)'!T124/$C$6</f>
        <v>38.206005439999998</v>
      </c>
      <c r="U150" s="969">
        <f>'1.BS (VND)'!U124/$C$6</f>
        <v>34.246112717000003</v>
      </c>
      <c r="V150" s="969">
        <f>'1.BS (VND)'!V124/$C$6</f>
        <v>36.455182239999999</v>
      </c>
      <c r="W150" s="969">
        <f>'1.BS (VND)'!W124/$C$6</f>
        <v>71.046960819000006</v>
      </c>
      <c r="X150" s="1015"/>
      <c r="Y150" s="969">
        <f>'1.BS (VND)'!Y125</f>
        <v>0</v>
      </c>
      <c r="Z150" s="969">
        <f>'1.BS (VND)'!Z125</f>
        <v>0</v>
      </c>
      <c r="AA150" s="969">
        <f>'1.BS (VND)'!AA125</f>
        <v>0</v>
      </c>
      <c r="AB150" s="969">
        <f>'1.BS (VND)'!AB125</f>
        <v>0</v>
      </c>
      <c r="AC150" s="971"/>
      <c r="AD150" s="969">
        <f>IF($D$3=0,0,'1.BS (VND)'!AD124/'1.BC_Ra Soat (ty) '!$C$6)</f>
        <v>0</v>
      </c>
      <c r="AE150" s="969">
        <f>IF($D$3=0,0,'1.BS (VND)'!AE124/'1.BC_Ra Soat (ty) '!$C$6)</f>
        <v>0</v>
      </c>
      <c r="AF150" s="969">
        <f>IF($D$3=0,0,'1.BS (VND)'!AF124/'1.BC_Ra Soat (ty) '!$C$6)</f>
        <v>0</v>
      </c>
      <c r="AG150" s="969">
        <f>IF($D$3=0,0,'1.BS (VND)'!AG124/'1.BC_Ra Soat (ty) '!$C$6)</f>
        <v>0</v>
      </c>
      <c r="AH150" s="972"/>
      <c r="AI150" s="969">
        <f t="shared" si="168"/>
        <v>345.94753730000002</v>
      </c>
      <c r="AJ150" s="969">
        <f t="shared" si="168"/>
        <v>327.86350123599999</v>
      </c>
      <c r="AK150" s="969">
        <f t="shared" si="168"/>
        <v>428.20056157500005</v>
      </c>
      <c r="AL150" s="969">
        <f>SUM(H150,M150,R150,AG150,W150,AB150)</f>
        <v>602.99063106000006</v>
      </c>
      <c r="AM150" s="973"/>
      <c r="AN150" s="969">
        <f>'1.BS (VND)'!AI124/$C$6</f>
        <v>0</v>
      </c>
      <c r="AO150" s="969">
        <f>'1.BS (VND)'!AJ124/$C$6</f>
        <v>0</v>
      </c>
      <c r="AP150" s="969">
        <f>'1.BS (VND)'!AK124/$C$6</f>
        <v>-10.749717626000001</v>
      </c>
      <c r="AQ150" s="969">
        <f>'1.BS (VND)'!AL124/$C$6</f>
        <v>-15.373321514000001</v>
      </c>
      <c r="AR150" s="973"/>
      <c r="AS150" s="969">
        <f>'1.BS (VND)'!AN124/$C$6</f>
        <v>0</v>
      </c>
      <c r="AT150" s="969">
        <f>'1.BS (VND)'!AO124/$C$6</f>
        <v>0</v>
      </c>
      <c r="AU150" s="969">
        <f>'1.BS (VND)'!AP124/$C$6</f>
        <v>-0.74154054899999999</v>
      </c>
      <c r="AV150" s="969">
        <f>'1.BS (VND)'!AQ124/$C$6</f>
        <v>-0.74154054899999999</v>
      </c>
      <c r="AW150" s="971"/>
      <c r="AX150" s="969">
        <f>'1.BS (VND)'!AS124/$C$6</f>
        <v>0</v>
      </c>
      <c r="AY150" s="969">
        <f>'1.BS (VND)'!AT124/$C$6</f>
        <v>0</v>
      </c>
      <c r="AZ150" s="969">
        <f>'1.BS (VND)'!AU124/$C$6</f>
        <v>-0.84688822900000005</v>
      </c>
      <c r="BA150" s="969">
        <f>'1.BS (VND)'!AV124/$C$6</f>
        <v>-5.7968882290000003</v>
      </c>
      <c r="BB150" s="971"/>
      <c r="BC150" s="969">
        <f>'1.BS (VND)'!AX124/$C$6</f>
        <v>0</v>
      </c>
      <c r="BD150" s="969">
        <f>'1.BS (VND)'!AY124/$C$6</f>
        <v>0</v>
      </c>
      <c r="BE150" s="969">
        <f>'1.BS (VND)'!AZ124/$C$6</f>
        <v>-1.2623553489999999</v>
      </c>
      <c r="BF150" s="969">
        <f>'1.BS (VND)'!BA124/$C$6</f>
        <v>-6.2623553489999999</v>
      </c>
      <c r="BG150" s="971"/>
      <c r="BH150" s="969">
        <f>'1.BS (VND)'!BC124/$C$6</f>
        <v>0</v>
      </c>
      <c r="BI150" s="969">
        <f>'1.BS (VND)'!BD124/$C$6</f>
        <v>0</v>
      </c>
      <c r="BJ150" s="969">
        <f>'1.BS (VND)'!BE124/$C$6</f>
        <v>0</v>
      </c>
      <c r="BK150" s="969">
        <f>'1.BS (VND)'!BF124/$C$6</f>
        <v>0</v>
      </c>
      <c r="BL150" s="971"/>
      <c r="BM150" s="969">
        <f>'1.BS (VND)'!BH124/$C$6</f>
        <v>0</v>
      </c>
      <c r="BN150" s="969">
        <f>'1.BS (VND)'!BI124/$C$6</f>
        <v>0</v>
      </c>
      <c r="BO150" s="969">
        <f>'1.BS (VND)'!BJ124/$C$6</f>
        <v>0</v>
      </c>
      <c r="BP150" s="969">
        <f>'1.BS (VND)'!BK124/$C$6</f>
        <v>0</v>
      </c>
      <c r="BQ150" s="972"/>
      <c r="BR150" s="969">
        <f t="shared" si="170"/>
        <v>245.70008859999999</v>
      </c>
      <c r="BS150" s="969">
        <f t="shared" si="171"/>
        <v>207.17686413499999</v>
      </c>
      <c r="BT150" s="969">
        <f t="shared" si="172"/>
        <v>229.905885227</v>
      </c>
      <c r="BU150" s="969">
        <f t="shared" si="173"/>
        <v>348.40583184299999</v>
      </c>
      <c r="BV150" s="973"/>
      <c r="BW150" s="969">
        <f t="shared" si="174"/>
        <v>4.0594891510000002</v>
      </c>
      <c r="BX150" s="969">
        <f t="shared" si="175"/>
        <v>53.478751189</v>
      </c>
      <c r="BY150" s="969">
        <f t="shared" si="176"/>
        <v>86.803699881</v>
      </c>
      <c r="BZ150" s="969">
        <f t="shared" si="177"/>
        <v>113.46053538199999</v>
      </c>
      <c r="CA150" s="971"/>
      <c r="CB150" s="969">
        <f t="shared" si="178"/>
        <v>57.981954109</v>
      </c>
      <c r="CC150" s="969">
        <f t="shared" si="179"/>
        <v>32.961773194999999</v>
      </c>
      <c r="CD150" s="969">
        <f t="shared" si="180"/>
        <v>62.697647822999997</v>
      </c>
      <c r="CE150" s="969">
        <f t="shared" si="181"/>
        <v>48.165552723999994</v>
      </c>
      <c r="CF150" s="971"/>
      <c r="CG150" s="969">
        <f t="shared" si="182"/>
        <v>38.206005439999998</v>
      </c>
      <c r="CH150" s="969">
        <f t="shared" si="183"/>
        <v>34.246112717000003</v>
      </c>
      <c r="CI150" s="969">
        <f t="shared" si="184"/>
        <v>35.192826890999996</v>
      </c>
      <c r="CJ150" s="969">
        <f t="shared" si="185"/>
        <v>64.784605470000002</v>
      </c>
      <c r="CK150" s="971"/>
      <c r="CL150" s="969">
        <f t="shared" si="186"/>
        <v>0</v>
      </c>
      <c r="CM150" s="969">
        <f t="shared" si="187"/>
        <v>0</v>
      </c>
      <c r="CN150" s="969">
        <f t="shared" si="188"/>
        <v>0</v>
      </c>
      <c r="CO150" s="969">
        <f t="shared" si="189"/>
        <v>0</v>
      </c>
      <c r="CP150" s="971"/>
      <c r="CQ150" s="969">
        <f t="shared" si="190"/>
        <v>0</v>
      </c>
      <c r="CR150" s="969">
        <f t="shared" si="191"/>
        <v>0</v>
      </c>
      <c r="CS150" s="969">
        <f t="shared" si="192"/>
        <v>0</v>
      </c>
      <c r="CT150" s="969">
        <f t="shared" si="193"/>
        <v>0</v>
      </c>
      <c r="CU150" s="973"/>
      <c r="CV150" s="969">
        <f t="shared" si="194"/>
        <v>345.94753730000002</v>
      </c>
      <c r="CW150" s="969">
        <f t="shared" si="194"/>
        <v>327.86350123599999</v>
      </c>
      <c r="CX150" s="969">
        <f t="shared" si="194"/>
        <v>414.60005982199999</v>
      </c>
      <c r="CY150" s="969">
        <f t="shared" si="194"/>
        <v>574.81652541899996</v>
      </c>
      <c r="CZ150" s="973"/>
      <c r="DA150" s="969">
        <f>'1.BS (VND)'!CV124/'1.BC_Ra Soat (ty) '!$C$6</f>
        <v>0</v>
      </c>
      <c r="DB150" s="969">
        <f>'1.BS (VND)'!CW124/'1.BC_Ra Soat (ty) '!$C$6</f>
        <v>0</v>
      </c>
      <c r="DC150" s="969">
        <f>'1.BS (VND)'!CX124/'1.BC_Ra Soat (ty) '!$C$6</f>
        <v>0</v>
      </c>
      <c r="DD150" s="969">
        <f>'1.BS (VND)'!CY124/'1.BC_Ra Soat (ty) '!$C$6</f>
        <v>0</v>
      </c>
      <c r="DE150" s="973"/>
      <c r="DF150" s="969">
        <f t="shared" si="166"/>
        <v>345.94753730000002</v>
      </c>
      <c r="DG150" s="969">
        <f t="shared" si="166"/>
        <v>327.86350123599999</v>
      </c>
      <c r="DH150" s="969">
        <f t="shared" si="166"/>
        <v>414.60005982199999</v>
      </c>
      <c r="DI150" s="969">
        <f t="shared" si="166"/>
        <v>574.81652541899996</v>
      </c>
      <c r="DJ150" s="944"/>
    </row>
    <row r="151" spans="1:114" s="843" customFormat="1" ht="15.75" x14ac:dyDescent="0.25">
      <c r="C151" s="1016"/>
      <c r="D151" s="1016"/>
      <c r="E151" s="974">
        <f>-E96+E150</f>
        <v>0</v>
      </c>
      <c r="F151" s="974">
        <f>-F96+F150</f>
        <v>0</v>
      </c>
      <c r="G151" s="974">
        <f>-G96+G150</f>
        <v>0</v>
      </c>
      <c r="H151" s="974">
        <f>-H96+H150</f>
        <v>-17.837105925999992</v>
      </c>
      <c r="J151" s="974">
        <f>-J96+J150</f>
        <v>0</v>
      </c>
      <c r="K151" s="974">
        <f>-K96+K150</f>
        <v>0</v>
      </c>
      <c r="L151" s="974">
        <f>-L96+L150</f>
        <v>-2.8327999999078202E-4</v>
      </c>
      <c r="M151" s="974">
        <f t="shared" ref="M151:AF151" si="195">-M96+M150</f>
        <v>-30.742793003999992</v>
      </c>
      <c r="N151" s="974">
        <f t="shared" si="195"/>
        <v>0</v>
      </c>
      <c r="O151" s="974">
        <f t="shared" si="195"/>
        <v>0</v>
      </c>
      <c r="P151" s="974">
        <f t="shared" si="195"/>
        <v>0</v>
      </c>
      <c r="Q151" s="974">
        <f t="shared" si="195"/>
        <v>0</v>
      </c>
      <c r="R151" s="974">
        <f t="shared" si="195"/>
        <v>0</v>
      </c>
      <c r="S151" s="974">
        <f t="shared" si="195"/>
        <v>0</v>
      </c>
      <c r="T151" s="974">
        <f t="shared" si="195"/>
        <v>0</v>
      </c>
      <c r="U151" s="974">
        <f t="shared" si="195"/>
        <v>0</v>
      </c>
      <c r="V151" s="974">
        <f t="shared" si="195"/>
        <v>0</v>
      </c>
      <c r="W151" s="974">
        <f t="shared" si="195"/>
        <v>0</v>
      </c>
      <c r="X151" s="974">
        <f t="shared" si="195"/>
        <v>0</v>
      </c>
      <c r="Y151" s="974">
        <f t="shared" si="195"/>
        <v>0</v>
      </c>
      <c r="Z151" s="974">
        <f t="shared" si="195"/>
        <v>0</v>
      </c>
      <c r="AA151" s="974">
        <f t="shared" si="195"/>
        <v>0</v>
      </c>
      <c r="AB151" s="974">
        <f t="shared" si="195"/>
        <v>0</v>
      </c>
      <c r="AC151" s="974">
        <f t="shared" si="195"/>
        <v>0</v>
      </c>
      <c r="AD151" s="974">
        <f t="shared" si="195"/>
        <v>0</v>
      </c>
      <c r="AE151" s="974">
        <f t="shared" si="195"/>
        <v>0</v>
      </c>
      <c r="AF151" s="974">
        <f t="shared" si="195"/>
        <v>0</v>
      </c>
      <c r="AG151" s="974">
        <f>-AG96+AG150</f>
        <v>0</v>
      </c>
      <c r="AH151" s="974"/>
      <c r="AI151" s="974">
        <f t="shared" ref="AI151:CY151" si="196">-AI96+AI150</f>
        <v>0</v>
      </c>
      <c r="AJ151" s="974">
        <f t="shared" si="196"/>
        <v>0</v>
      </c>
      <c r="AK151" s="974">
        <f t="shared" si="196"/>
        <v>-2.8327999996236031E-4</v>
      </c>
      <c r="AL151" s="974">
        <f>-AL96+AL150</f>
        <v>-48.579898929999899</v>
      </c>
      <c r="AM151" s="974"/>
      <c r="AN151" s="974">
        <f t="shared" si="196"/>
        <v>0</v>
      </c>
      <c r="AO151" s="974">
        <f t="shared" si="196"/>
        <v>0</v>
      </c>
      <c r="AP151" s="974">
        <f t="shared" si="196"/>
        <v>0</v>
      </c>
      <c r="AQ151" s="974">
        <f t="shared" si="196"/>
        <v>0</v>
      </c>
      <c r="AR151" s="974">
        <f t="shared" si="196"/>
        <v>0</v>
      </c>
      <c r="AS151" s="974">
        <f t="shared" si="196"/>
        <v>0</v>
      </c>
      <c r="AT151" s="974">
        <f t="shared" si="196"/>
        <v>0</v>
      </c>
      <c r="AU151" s="974">
        <f t="shared" si="196"/>
        <v>0</v>
      </c>
      <c r="AV151" s="974">
        <f t="shared" si="196"/>
        <v>0</v>
      </c>
      <c r="AW151" s="974">
        <f t="shared" si="196"/>
        <v>0</v>
      </c>
      <c r="AX151" s="974">
        <f t="shared" si="196"/>
        <v>0</v>
      </c>
      <c r="AY151" s="974">
        <f t="shared" si="196"/>
        <v>0</v>
      </c>
      <c r="AZ151" s="974">
        <f t="shared" si="196"/>
        <v>0</v>
      </c>
      <c r="BA151" s="974">
        <f t="shared" si="196"/>
        <v>0</v>
      </c>
      <c r="BB151" s="974">
        <f t="shared" si="196"/>
        <v>0</v>
      </c>
      <c r="BC151" s="974">
        <f t="shared" si="196"/>
        <v>0</v>
      </c>
      <c r="BD151" s="974">
        <f t="shared" si="196"/>
        <v>0</v>
      </c>
      <c r="BE151" s="974">
        <f t="shared" si="196"/>
        <v>0</v>
      </c>
      <c r="BF151" s="974">
        <f t="shared" si="196"/>
        <v>0</v>
      </c>
      <c r="BG151" s="974"/>
      <c r="BH151" s="974">
        <f t="shared" si="196"/>
        <v>0</v>
      </c>
      <c r="BI151" s="974">
        <f t="shared" si="196"/>
        <v>0</v>
      </c>
      <c r="BJ151" s="974">
        <f t="shared" si="196"/>
        <v>0</v>
      </c>
      <c r="BK151" s="974">
        <f t="shared" si="196"/>
        <v>0</v>
      </c>
      <c r="BL151" s="974">
        <f t="shared" si="196"/>
        <v>0</v>
      </c>
      <c r="BM151" s="974">
        <f t="shared" si="196"/>
        <v>0</v>
      </c>
      <c r="BN151" s="974">
        <f t="shared" si="196"/>
        <v>0</v>
      </c>
      <c r="BO151" s="974">
        <f t="shared" si="196"/>
        <v>0</v>
      </c>
      <c r="BP151" s="974">
        <f t="shared" si="196"/>
        <v>0</v>
      </c>
      <c r="BQ151" s="974">
        <f t="shared" si="196"/>
        <v>0</v>
      </c>
      <c r="BR151" s="974">
        <f t="shared" si="196"/>
        <v>0</v>
      </c>
      <c r="BS151" s="974">
        <f t="shared" si="196"/>
        <v>0</v>
      </c>
      <c r="BT151" s="974">
        <f t="shared" si="196"/>
        <v>0</v>
      </c>
      <c r="BU151" s="974">
        <f t="shared" si="196"/>
        <v>-17.837105925999992</v>
      </c>
      <c r="BV151" s="974"/>
      <c r="BW151" s="974">
        <f t="shared" si="196"/>
        <v>0</v>
      </c>
      <c r="BX151" s="974">
        <f t="shared" si="196"/>
        <v>0</v>
      </c>
      <c r="BY151" s="974">
        <f t="shared" si="196"/>
        <v>-2.8327999999078202E-4</v>
      </c>
      <c r="BZ151" s="974">
        <f t="shared" si="196"/>
        <v>-30.742793003999992</v>
      </c>
      <c r="CA151" s="974"/>
      <c r="CB151" s="974">
        <f t="shared" si="196"/>
        <v>0</v>
      </c>
      <c r="CC151" s="974">
        <f t="shared" si="196"/>
        <v>0</v>
      </c>
      <c r="CD151" s="974">
        <f t="shared" si="196"/>
        <v>0</v>
      </c>
      <c r="CE151" s="974">
        <f t="shared" si="196"/>
        <v>0</v>
      </c>
      <c r="CF151" s="974"/>
      <c r="CG151" s="974">
        <f t="shared" ref="CG151:CJ151" si="197">-CG96+CG150</f>
        <v>0</v>
      </c>
      <c r="CH151" s="974">
        <f t="shared" si="197"/>
        <v>0</v>
      </c>
      <c r="CI151" s="974">
        <f t="shared" si="197"/>
        <v>0</v>
      </c>
      <c r="CJ151" s="974">
        <f t="shared" si="197"/>
        <v>0</v>
      </c>
      <c r="CK151" s="974"/>
      <c r="CL151" s="974">
        <f t="shared" ref="CL151:CO151" si="198">-CL96+CL150</f>
        <v>0</v>
      </c>
      <c r="CM151" s="974">
        <f t="shared" si="198"/>
        <v>0</v>
      </c>
      <c r="CN151" s="974">
        <f t="shared" si="198"/>
        <v>0</v>
      </c>
      <c r="CO151" s="974">
        <f t="shared" si="198"/>
        <v>0</v>
      </c>
      <c r="CP151" s="974"/>
      <c r="CQ151" s="974">
        <f t="shared" si="196"/>
        <v>0</v>
      </c>
      <c r="CR151" s="974">
        <f t="shared" si="196"/>
        <v>0</v>
      </c>
      <c r="CS151" s="974">
        <f t="shared" si="196"/>
        <v>0</v>
      </c>
      <c r="CT151" s="974">
        <f t="shared" si="196"/>
        <v>0</v>
      </c>
      <c r="CU151" s="974"/>
      <c r="CV151" s="974">
        <f t="shared" si="196"/>
        <v>0</v>
      </c>
      <c r="CW151" s="974">
        <f t="shared" si="196"/>
        <v>0</v>
      </c>
      <c r="CX151" s="974">
        <f t="shared" si="196"/>
        <v>-2.8328000001920373E-4</v>
      </c>
      <c r="CY151" s="974">
        <f t="shared" si="196"/>
        <v>-48.579898930000013</v>
      </c>
      <c r="DA151" s="974">
        <f t="shared" ref="DA151:DD151" si="199">-DA96+DA150</f>
        <v>0</v>
      </c>
      <c r="DB151" s="974">
        <f t="shared" si="199"/>
        <v>0</v>
      </c>
      <c r="DC151" s="974">
        <f t="shared" si="199"/>
        <v>0</v>
      </c>
      <c r="DD151" s="974">
        <f t="shared" si="199"/>
        <v>0</v>
      </c>
      <c r="DF151" s="974">
        <f t="shared" ref="DF151:DI151" si="200">-DF96+DF150</f>
        <v>0</v>
      </c>
      <c r="DG151" s="974">
        <f t="shared" si="200"/>
        <v>0</v>
      </c>
      <c r="DH151" s="974">
        <f t="shared" si="200"/>
        <v>-2.8328000001920373E-4</v>
      </c>
      <c r="DI151" s="974">
        <f t="shared" si="200"/>
        <v>-48.579898930000013</v>
      </c>
      <c r="DJ151" s="839"/>
    </row>
    <row r="152" spans="1:114" s="213" customFormat="1" ht="15.75" x14ac:dyDescent="0.25">
      <c r="C152" s="226"/>
      <c r="D152" s="226"/>
      <c r="E152" s="163"/>
      <c r="F152" s="163"/>
      <c r="G152" s="163"/>
      <c r="H152" s="163"/>
      <c r="I152" s="163"/>
      <c r="J152" s="163"/>
      <c r="K152" s="163"/>
      <c r="L152" s="163"/>
      <c r="M152" s="163"/>
      <c r="N152" s="163"/>
      <c r="O152" s="163"/>
      <c r="P152" s="163"/>
      <c r="Q152" s="163"/>
      <c r="R152" s="163"/>
      <c r="S152" s="300"/>
      <c r="T152" s="163"/>
      <c r="U152" s="163"/>
      <c r="V152" s="163"/>
      <c r="W152" s="163"/>
      <c r="X152" s="300"/>
      <c r="Y152" s="163"/>
      <c r="Z152" s="163"/>
      <c r="AA152" s="163"/>
      <c r="AB152" s="163"/>
      <c r="AC152" s="163"/>
      <c r="AD152" s="163"/>
      <c r="AE152" s="163"/>
      <c r="AF152" s="163"/>
      <c r="AG152" s="163"/>
      <c r="AH152" s="163"/>
      <c r="AI152" s="163"/>
      <c r="AJ152" s="163"/>
      <c r="AK152" s="163"/>
      <c r="AL152" s="167"/>
      <c r="AO152" s="302"/>
    </row>
    <row r="153" spans="1:114" s="213" customFormat="1" ht="15.75" x14ac:dyDescent="0.25">
      <c r="C153" s="257"/>
      <c r="D153" s="226"/>
      <c r="E153" s="164"/>
      <c r="F153" s="164"/>
      <c r="G153" s="164"/>
      <c r="H153" s="164"/>
      <c r="I153" s="164"/>
      <c r="J153" s="165"/>
      <c r="K153" s="165"/>
      <c r="L153" s="165"/>
      <c r="M153" s="165"/>
      <c r="N153" s="165"/>
      <c r="O153" s="165"/>
      <c r="P153" s="165"/>
      <c r="Q153" s="165"/>
      <c r="R153" s="165"/>
      <c r="S153" s="301"/>
      <c r="T153" s="165"/>
      <c r="U153" s="165"/>
      <c r="V153" s="165"/>
      <c r="W153" s="165"/>
      <c r="X153" s="301"/>
      <c r="Y153" s="165"/>
      <c r="Z153" s="165"/>
      <c r="AA153" s="165"/>
      <c r="AB153" s="165"/>
      <c r="AC153" s="165"/>
      <c r="AD153" s="165"/>
      <c r="AE153" s="165"/>
      <c r="AF153" s="165"/>
      <c r="AG153" s="165"/>
      <c r="AH153" s="164"/>
      <c r="AI153" s="164"/>
      <c r="AJ153" s="164"/>
      <c r="AK153" s="164"/>
      <c r="AL153" s="164"/>
      <c r="CW153" s="1479"/>
    </row>
    <row r="155" spans="1:114" x14ac:dyDescent="0.25">
      <c r="CV155" s="1443">
        <f>CX143-AK143</f>
        <v>-13.600501753000001</v>
      </c>
      <c r="CW155" s="1443">
        <f>CY143-AL143</f>
        <v>-28.174105640999997</v>
      </c>
    </row>
  </sheetData>
  <autoFilter ref="A34:A150" xr:uid="{00000000-0009-0000-0000-00000B000000}">
    <filterColumn colId="0">
      <filters>
        <filter val="1"/>
      </filters>
    </filterColumn>
  </autoFilter>
  <mergeCells count="34">
    <mergeCell ref="CQ4:CT4"/>
    <mergeCell ref="CV4:CY4"/>
    <mergeCell ref="DA4:DD4"/>
    <mergeCell ref="DF4:DI4"/>
    <mergeCell ref="AD6:AF6"/>
    <mergeCell ref="BM6:BO6"/>
    <mergeCell ref="CQ6:CS6"/>
    <mergeCell ref="CV6:CX6"/>
    <mergeCell ref="DA6:DC6"/>
    <mergeCell ref="DF6:DH6"/>
    <mergeCell ref="BM4:BP4"/>
    <mergeCell ref="BR4:BU4"/>
    <mergeCell ref="BW4:BZ4"/>
    <mergeCell ref="CB4:CE4"/>
    <mergeCell ref="CG4:CJ4"/>
    <mergeCell ref="CL4:CO4"/>
    <mergeCell ref="BH4:BK4"/>
    <mergeCell ref="E4:H4"/>
    <mergeCell ref="J4:M4"/>
    <mergeCell ref="O4:R4"/>
    <mergeCell ref="T4:W4"/>
    <mergeCell ref="Y4:AB4"/>
    <mergeCell ref="AD4:AG4"/>
    <mergeCell ref="AI4:AL4"/>
    <mergeCell ref="AN4:AQ4"/>
    <mergeCell ref="AS4:AV4"/>
    <mergeCell ref="AX4:BA4"/>
    <mergeCell ref="BC4:BF4"/>
    <mergeCell ref="DF2:DI2"/>
    <mergeCell ref="E2:AG2"/>
    <mergeCell ref="AN2:BP2"/>
    <mergeCell ref="BR2:CT2"/>
    <mergeCell ref="CV2:CY2"/>
    <mergeCell ref="DA2:DD2"/>
  </mergeCells>
  <pageMargins left="0.75" right="0.75" top="1" bottom="1" header="0.5" footer="0.5"/>
  <pageSetup paperSize="9" orientation="portrait"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3:J17"/>
  <sheetViews>
    <sheetView showGridLines="0" zoomScale="85" zoomScaleNormal="85" workbookViewId="0">
      <selection activeCell="C7" sqref="C7:C13"/>
    </sheetView>
  </sheetViews>
  <sheetFormatPr defaultRowHeight="15" x14ac:dyDescent="0.25"/>
  <cols>
    <col min="1" max="1" width="5" customWidth="1"/>
    <col min="2" max="2" width="4.28515625" style="14" customWidth="1"/>
    <col min="3" max="3" width="48.7109375" bestFit="1" customWidth="1"/>
    <col min="4" max="4" width="10.5703125" style="14" customWidth="1"/>
    <col min="5" max="5" width="10.28515625" style="14" customWidth="1"/>
    <col min="6" max="6" width="17.7109375" style="3" customWidth="1"/>
    <col min="7" max="7" width="16.140625" customWidth="1"/>
    <col min="8" max="8" width="18" customWidth="1"/>
    <col min="9" max="9" width="14.7109375" customWidth="1"/>
    <col min="10" max="10" width="11.85546875" customWidth="1"/>
    <col min="11" max="17" width="9.5703125" customWidth="1"/>
  </cols>
  <sheetData>
    <row r="3" spans="2:10" x14ac:dyDescent="0.25">
      <c r="B3" s="1092" t="s">
        <v>156</v>
      </c>
      <c r="C3" s="1095" t="s">
        <v>213</v>
      </c>
      <c r="D3" s="1096" t="s">
        <v>532</v>
      </c>
      <c r="E3" s="1096" t="s">
        <v>533</v>
      </c>
      <c r="F3" s="1095" t="str">
        <f>'TH1'!G4</f>
        <v>1.DV Quang Phát</v>
      </c>
      <c r="G3" s="1095" t="str">
        <f>'TH1'!G5</f>
        <v>2.BT Quang Phát</v>
      </c>
      <c r="H3" s="1095" t="str">
        <f>'TH1'!G6</f>
        <v>3.Kim Quang Phát</v>
      </c>
      <c r="I3" s="1095" t="str">
        <f>'TH1'!G7</f>
        <v>4.Kim Mỹ Linh</v>
      </c>
      <c r="J3" s="1095" t="str">
        <f>'TH1'!G8</f>
        <v>5.Vạn Xuân</v>
      </c>
    </row>
    <row r="4" spans="2:10" x14ac:dyDescent="0.25">
      <c r="B4" s="1093">
        <v>1</v>
      </c>
      <c r="C4" s="506" t="s">
        <v>540</v>
      </c>
      <c r="D4" s="1093" t="s">
        <v>426</v>
      </c>
      <c r="E4" s="1093" t="s">
        <v>296</v>
      </c>
      <c r="F4" s="384"/>
      <c r="G4" s="506"/>
      <c r="H4" s="506"/>
      <c r="I4" s="506"/>
      <c r="J4" s="506"/>
    </row>
    <row r="5" spans="2:10" x14ac:dyDescent="0.25">
      <c r="B5" s="1093">
        <v>2</v>
      </c>
      <c r="C5" s="506" t="s">
        <v>540</v>
      </c>
      <c r="D5" s="1093" t="s">
        <v>420</v>
      </c>
      <c r="E5" s="1093" t="s">
        <v>296</v>
      </c>
      <c r="F5" s="384"/>
      <c r="G5" s="506"/>
      <c r="H5" s="506"/>
      <c r="I5" s="506"/>
      <c r="J5" s="506"/>
    </row>
    <row r="6" spans="2:10" x14ac:dyDescent="0.25">
      <c r="B6" s="1093">
        <v>3</v>
      </c>
      <c r="C6" s="506" t="s">
        <v>550</v>
      </c>
      <c r="D6" s="1093" t="s">
        <v>426</v>
      </c>
      <c r="E6" s="1093" t="s">
        <v>535</v>
      </c>
      <c r="F6" s="384"/>
      <c r="G6" s="506"/>
      <c r="H6" s="506"/>
      <c r="I6" s="506"/>
      <c r="J6" s="506"/>
    </row>
    <row r="7" spans="2:10" x14ac:dyDescent="0.25">
      <c r="B7" s="1093">
        <v>4</v>
      </c>
      <c r="C7" s="506" t="s">
        <v>550</v>
      </c>
      <c r="D7" s="1093" t="s">
        <v>420</v>
      </c>
      <c r="E7" s="1093" t="s">
        <v>535</v>
      </c>
      <c r="F7" s="384"/>
      <c r="G7" s="506"/>
      <c r="H7" s="506"/>
      <c r="I7" s="506"/>
      <c r="J7" s="506"/>
    </row>
    <row r="8" spans="2:10" x14ac:dyDescent="0.25">
      <c r="B8" s="1093">
        <v>5</v>
      </c>
      <c r="C8" s="506" t="s">
        <v>555</v>
      </c>
      <c r="D8" s="1093">
        <v>320</v>
      </c>
      <c r="E8" s="1093" t="s">
        <v>535</v>
      </c>
      <c r="F8" s="384"/>
      <c r="G8" s="506"/>
      <c r="H8" s="506"/>
      <c r="I8" s="506"/>
      <c r="J8" s="506"/>
    </row>
    <row r="9" spans="2:10" x14ac:dyDescent="0.25">
      <c r="B9" s="1093">
        <v>6</v>
      </c>
      <c r="C9" s="506" t="s">
        <v>551</v>
      </c>
      <c r="D9" s="1093" t="s">
        <v>296</v>
      </c>
      <c r="E9" s="1093" t="s">
        <v>535</v>
      </c>
      <c r="F9" s="506"/>
      <c r="G9" s="506"/>
      <c r="H9" s="506"/>
      <c r="I9" s="506"/>
      <c r="J9" s="506"/>
    </row>
    <row r="10" spans="2:10" x14ac:dyDescent="0.25">
      <c r="B10" s="1093">
        <v>7</v>
      </c>
      <c r="C10" s="506" t="s">
        <v>551</v>
      </c>
      <c r="D10" s="1093" t="s">
        <v>296</v>
      </c>
      <c r="E10" s="1093" t="s">
        <v>470</v>
      </c>
      <c r="F10" s="506"/>
      <c r="G10" s="506"/>
      <c r="H10" s="506"/>
      <c r="I10" s="506"/>
      <c r="J10" s="506"/>
    </row>
    <row r="11" spans="2:10" x14ac:dyDescent="0.25">
      <c r="B11" s="1093">
        <v>8</v>
      </c>
      <c r="C11" s="506" t="s">
        <v>552</v>
      </c>
      <c r="D11" s="1093" t="s">
        <v>470</v>
      </c>
      <c r="E11" s="1093" t="s">
        <v>537</v>
      </c>
      <c r="F11" s="384"/>
      <c r="G11" s="506"/>
      <c r="H11" s="506"/>
      <c r="I11" s="506"/>
      <c r="J11" s="506"/>
    </row>
    <row r="12" spans="2:10" x14ac:dyDescent="0.25">
      <c r="B12" s="1093">
        <v>9</v>
      </c>
      <c r="C12" s="506" t="s">
        <v>553</v>
      </c>
      <c r="D12" s="1093" t="s">
        <v>296</v>
      </c>
      <c r="E12" s="1093">
        <v>21</v>
      </c>
      <c r="F12" s="384"/>
      <c r="G12" s="506"/>
      <c r="H12" s="506"/>
      <c r="I12" s="506"/>
      <c r="J12" s="506"/>
    </row>
    <row r="13" spans="2:10" x14ac:dyDescent="0.25">
      <c r="B13" s="1093">
        <v>10</v>
      </c>
      <c r="C13" s="506" t="s">
        <v>554</v>
      </c>
      <c r="D13" s="1093" t="s">
        <v>289</v>
      </c>
      <c r="E13" s="1093" t="s">
        <v>296</v>
      </c>
      <c r="F13" s="384"/>
      <c r="G13" s="384"/>
      <c r="H13" s="506"/>
      <c r="I13" s="506"/>
      <c r="J13" s="506"/>
    </row>
    <row r="14" spans="2:10" x14ac:dyDescent="0.25">
      <c r="B14" s="1093">
        <v>11</v>
      </c>
      <c r="C14" s="506" t="s">
        <v>606</v>
      </c>
      <c r="D14" s="1093" t="s">
        <v>296</v>
      </c>
      <c r="E14" s="1093">
        <v>1</v>
      </c>
      <c r="F14" s="384"/>
      <c r="G14" s="506"/>
      <c r="H14" s="506"/>
      <c r="I14" s="506"/>
      <c r="J14" s="1094"/>
    </row>
    <row r="15" spans="2:10" x14ac:dyDescent="0.25">
      <c r="B15" s="1093">
        <v>12</v>
      </c>
      <c r="C15" s="506" t="s">
        <v>607</v>
      </c>
      <c r="D15" s="1093" t="s">
        <v>277</v>
      </c>
      <c r="E15" s="1093" t="s">
        <v>296</v>
      </c>
      <c r="F15" s="384"/>
      <c r="G15" s="506"/>
      <c r="H15" s="506"/>
      <c r="I15" s="506"/>
      <c r="J15" s="1094"/>
    </row>
    <row r="16" spans="2:10" x14ac:dyDescent="0.25">
      <c r="B16" s="1093">
        <v>13</v>
      </c>
      <c r="C16" s="506" t="s">
        <v>617</v>
      </c>
      <c r="D16" s="1093" t="s">
        <v>375</v>
      </c>
      <c r="E16" s="1093" t="s">
        <v>535</v>
      </c>
      <c r="F16" s="384"/>
      <c r="G16" s="506"/>
      <c r="H16" s="506"/>
      <c r="I16" s="506"/>
      <c r="J16" s="1094"/>
    </row>
    <row r="17" spans="2:10" x14ac:dyDescent="0.25">
      <c r="B17" s="1093">
        <v>14</v>
      </c>
      <c r="C17" s="506" t="s">
        <v>994</v>
      </c>
      <c r="D17" s="1093" t="s">
        <v>412</v>
      </c>
      <c r="E17" s="1093" t="s">
        <v>296</v>
      </c>
      <c r="F17" s="384"/>
      <c r="G17" s="506"/>
      <c r="H17" s="506"/>
      <c r="I17" s="506"/>
      <c r="J17" s="1094"/>
    </row>
  </sheetData>
  <pageMargins left="0.7" right="0.7" top="0.75" bottom="0.75" header="0.3" footer="0.3"/>
  <pageSetup orientation="portrait" r:id="rId1"/>
  <ignoredErrors>
    <ignoredError sqref="D4:E7 D9:E17 E8"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filterMode="1"/>
  <dimension ref="A2:AN155"/>
  <sheetViews>
    <sheetView showGridLines="0" zoomScale="70" zoomScaleNormal="70" workbookViewId="0">
      <pane xSplit="4" ySplit="6" topLeftCell="I94" activePane="bottomRight" state="frozen"/>
      <selection activeCell="C15" sqref="C15"/>
      <selection pane="topRight" activeCell="C15" sqref="C15"/>
      <selection pane="bottomLeft" activeCell="C15" sqref="C15"/>
      <selection pane="bottomRight" activeCell="K12" sqref="K12"/>
    </sheetView>
  </sheetViews>
  <sheetFormatPr defaultColWidth="8.7109375" defaultRowHeight="15" outlineLevelCol="1" x14ac:dyDescent="0.25"/>
  <cols>
    <col min="1" max="1" width="6.140625" style="910" bestFit="1" customWidth="1"/>
    <col min="2" max="2" width="3.5703125" style="603" bestFit="1" customWidth="1"/>
    <col min="3" max="3" width="39.42578125" style="893" customWidth="1"/>
    <col min="4" max="4" width="6.42578125" style="738" bestFit="1" customWidth="1"/>
    <col min="5" max="10" width="10.42578125" style="738" customWidth="1" outlineLevel="1"/>
    <col min="11" max="11" width="10.42578125" style="894" bestFit="1" customWidth="1"/>
    <col min="12" max="17" width="10.42578125" style="738" customWidth="1" outlineLevel="1"/>
    <col min="18" max="18" width="9.5703125" style="738" customWidth="1"/>
    <col min="19" max="19" width="9.5703125" style="895" customWidth="1" outlineLevel="1"/>
    <col min="20" max="24" width="9.5703125" style="738" customWidth="1" outlineLevel="1"/>
    <col min="25" max="25" width="9.5703125" style="738" customWidth="1"/>
    <col min="26" max="30" width="9.5703125" style="896" customWidth="1" outlineLevel="1"/>
    <col min="31" max="31" width="11.28515625" style="897" customWidth="1"/>
    <col min="32" max="33" width="9.5703125" style="897" customWidth="1" outlineLevel="1"/>
    <col min="34" max="34" width="11.42578125" style="897" customWidth="1" outlineLevel="1"/>
    <col min="35" max="36" width="9.5703125" style="897" customWidth="1" outlineLevel="1"/>
    <col min="37" max="37" width="9.5703125" style="738" customWidth="1" outlineLevel="1"/>
    <col min="38" max="38" width="9.5703125" style="546" customWidth="1"/>
    <col min="39" max="39" width="1.5703125" style="546" customWidth="1"/>
    <col min="40" max="16384" width="8.7109375" style="546"/>
  </cols>
  <sheetData>
    <row r="2" spans="1:40" x14ac:dyDescent="0.25">
      <c r="C2" s="923" t="s">
        <v>986</v>
      </c>
      <c r="D2" s="924"/>
      <c r="E2" s="2222" t="s">
        <v>621</v>
      </c>
      <c r="F2" s="2222"/>
      <c r="G2" s="2222"/>
      <c r="H2" s="2222"/>
      <c r="I2" s="2222"/>
      <c r="J2" s="2222"/>
      <c r="K2" s="2222"/>
      <c r="L2" s="2222"/>
      <c r="M2" s="2222"/>
      <c r="N2" s="2222"/>
      <c r="O2" s="2222"/>
      <c r="P2" s="2222"/>
      <c r="Q2" s="2222"/>
      <c r="R2" s="2222"/>
      <c r="S2" s="2222"/>
      <c r="T2" s="2222"/>
      <c r="U2" s="2222"/>
      <c r="V2" s="2222"/>
      <c r="W2" s="2222"/>
      <c r="X2" s="2222"/>
      <c r="Y2" s="2222"/>
      <c r="Z2" s="2221" t="s">
        <v>531</v>
      </c>
      <c r="AA2" s="2221"/>
      <c r="AB2" s="2221"/>
      <c r="AC2" s="2221"/>
      <c r="AD2" s="2221"/>
      <c r="AE2" s="2221"/>
      <c r="AF2" s="2206" t="s">
        <v>621</v>
      </c>
      <c r="AG2" s="2206"/>
      <c r="AH2" s="2206"/>
      <c r="AI2" s="2206"/>
      <c r="AJ2" s="2206"/>
      <c r="AK2" s="2206"/>
      <c r="AL2" s="2206"/>
    </row>
    <row r="3" spans="1:40" x14ac:dyDescent="0.25">
      <c r="A3" s="910">
        <v>1</v>
      </c>
      <c r="C3" s="78"/>
      <c r="D3" s="35"/>
      <c r="E3" s="35"/>
      <c r="F3" s="35"/>
      <c r="G3" s="35"/>
      <c r="H3" s="35"/>
      <c r="I3" s="35"/>
      <c r="J3" s="35"/>
      <c r="K3" s="168"/>
      <c r="L3" s="35"/>
      <c r="M3" s="35"/>
      <c r="N3" s="35"/>
      <c r="O3" s="35"/>
      <c r="P3" s="35"/>
      <c r="Q3" s="35"/>
      <c r="R3" s="35"/>
      <c r="S3" s="35"/>
      <c r="T3" s="35"/>
      <c r="U3" s="35"/>
      <c r="V3" s="35"/>
      <c r="W3" s="35"/>
      <c r="X3" s="35"/>
      <c r="Y3" s="35"/>
      <c r="Z3" s="873"/>
      <c r="AA3" s="873"/>
      <c r="AB3" s="873"/>
      <c r="AC3" s="873"/>
      <c r="AD3" s="873"/>
      <c r="AE3" s="874"/>
      <c r="AF3" s="874"/>
      <c r="AG3" s="874"/>
      <c r="AH3" s="874"/>
      <c r="AI3" s="874"/>
      <c r="AJ3" s="874"/>
      <c r="AK3" s="35"/>
    </row>
    <row r="4" spans="1:40" x14ac:dyDescent="0.25">
      <c r="A4" s="910">
        <v>1</v>
      </c>
      <c r="C4" s="926" t="s">
        <v>528</v>
      </c>
      <c r="D4" s="35"/>
      <c r="E4" s="35"/>
      <c r="F4" s="35"/>
      <c r="G4" s="35"/>
      <c r="H4" s="35"/>
      <c r="I4" s="35"/>
      <c r="J4" s="35"/>
      <c r="K4" s="35"/>
      <c r="L4" s="35"/>
      <c r="M4" s="35"/>
      <c r="N4" s="35"/>
      <c r="O4" s="35"/>
      <c r="P4" s="35"/>
      <c r="Q4" s="35"/>
      <c r="R4" s="35"/>
      <c r="S4" s="35"/>
      <c r="T4" s="35"/>
      <c r="U4" s="35"/>
      <c r="V4" s="35"/>
      <c r="W4" s="35"/>
      <c r="X4" s="35"/>
      <c r="Y4" s="35"/>
      <c r="Z4" s="875"/>
      <c r="AA4" s="875"/>
      <c r="AB4" s="875"/>
      <c r="AC4" s="875"/>
      <c r="AD4" s="875"/>
      <c r="AE4" s="517"/>
      <c r="AF4" s="517"/>
      <c r="AG4" s="517"/>
      <c r="AH4" s="517"/>
      <c r="AI4" s="517"/>
      <c r="AJ4" s="517"/>
      <c r="AK4" s="35"/>
      <c r="AL4" s="876" t="s">
        <v>539</v>
      </c>
    </row>
    <row r="5" spans="1:40" s="605" customFormat="1" x14ac:dyDescent="0.25">
      <c r="A5" s="1014">
        <f>IF(SUM(J9:AJ9)&lt;&gt;0,1,"hide")</f>
        <v>1</v>
      </c>
      <c r="C5" s="2217" t="s">
        <v>142</v>
      </c>
      <c r="D5" s="877"/>
      <c r="E5" s="877">
        <v>2021</v>
      </c>
      <c r="F5" s="877">
        <v>2021</v>
      </c>
      <c r="G5" s="877">
        <v>2021</v>
      </c>
      <c r="H5" s="877">
        <v>2021</v>
      </c>
      <c r="I5" s="877">
        <v>2021</v>
      </c>
      <c r="J5" s="877">
        <v>2021</v>
      </c>
      <c r="K5" s="877">
        <v>2021</v>
      </c>
      <c r="L5" s="877">
        <v>2022</v>
      </c>
      <c r="M5" s="877">
        <v>2022</v>
      </c>
      <c r="N5" s="877">
        <v>2022</v>
      </c>
      <c r="O5" s="877">
        <v>2022</v>
      </c>
      <c r="P5" s="877">
        <v>2022</v>
      </c>
      <c r="Q5" s="877">
        <v>2022</v>
      </c>
      <c r="R5" s="877">
        <v>2022</v>
      </c>
      <c r="S5" s="878">
        <v>2023</v>
      </c>
      <c r="T5" s="878">
        <v>2023</v>
      </c>
      <c r="U5" s="878">
        <v>2023</v>
      </c>
      <c r="V5" s="878">
        <v>2023</v>
      </c>
      <c r="W5" s="878">
        <v>2023</v>
      </c>
      <c r="X5" s="878">
        <v>2023</v>
      </c>
      <c r="Y5" s="878">
        <v>2023</v>
      </c>
      <c r="Z5" s="2223" t="s">
        <v>531</v>
      </c>
      <c r="AA5" s="2224"/>
      <c r="AB5" s="2224"/>
      <c r="AC5" s="2224"/>
      <c r="AD5" s="2224"/>
      <c r="AE5" s="2225"/>
      <c r="AF5" s="879" t="s">
        <v>549</v>
      </c>
      <c r="AG5" s="879" t="s">
        <v>549</v>
      </c>
      <c r="AH5" s="879" t="s">
        <v>549</v>
      </c>
      <c r="AI5" s="879" t="s">
        <v>549</v>
      </c>
      <c r="AJ5" s="879" t="s">
        <v>549</v>
      </c>
      <c r="AK5" s="879" t="s">
        <v>549</v>
      </c>
      <c r="AL5" s="880" t="s">
        <v>549</v>
      </c>
    </row>
    <row r="6" spans="1:40" s="590" customFormat="1" ht="42.6" customHeight="1" x14ac:dyDescent="0.25">
      <c r="A6" s="1014">
        <v>1</v>
      </c>
      <c r="B6" s="605"/>
      <c r="C6" s="2218"/>
      <c r="D6" s="870" t="s">
        <v>273</v>
      </c>
      <c r="E6" s="881" t="str">
        <f>'TH1'!G4</f>
        <v>1.DV Quang Phát</v>
      </c>
      <c r="F6" s="881" t="str">
        <f>'TH1'!G5</f>
        <v>2.BT Quang Phát</v>
      </c>
      <c r="G6" s="881" t="str">
        <f>'TH1'!G6</f>
        <v>3.Kim Quang Phát</v>
      </c>
      <c r="H6" s="881" t="str">
        <f>'TH1'!G7</f>
        <v>4.Kim Mỹ Linh</v>
      </c>
      <c r="I6" s="881" t="str">
        <f>'TH1'!G8</f>
        <v>5.Vạn Xuân</v>
      </c>
      <c r="J6" s="881" t="s">
        <v>739</v>
      </c>
      <c r="K6" s="983" t="s">
        <v>737</v>
      </c>
      <c r="L6" s="881" t="str">
        <f>E6</f>
        <v>1.DV Quang Phát</v>
      </c>
      <c r="M6" s="881" t="str">
        <f t="shared" ref="M6:O6" si="0">F6</f>
        <v>2.BT Quang Phát</v>
      </c>
      <c r="N6" s="881" t="str">
        <f t="shared" si="0"/>
        <v>3.Kim Quang Phát</v>
      </c>
      <c r="O6" s="881" t="str">
        <f t="shared" si="0"/>
        <v>4.Kim Mỹ Linh</v>
      </c>
      <c r="P6" s="871" t="str">
        <f>I6</f>
        <v>5.Vạn Xuân</v>
      </c>
      <c r="Q6" s="881" t="s">
        <v>739</v>
      </c>
      <c r="R6" s="983" t="s">
        <v>737</v>
      </c>
      <c r="S6" s="882" t="str">
        <f>L6</f>
        <v>1.DV Quang Phát</v>
      </c>
      <c r="T6" s="882" t="str">
        <f t="shared" ref="T6:V6" si="1">M6</f>
        <v>2.BT Quang Phát</v>
      </c>
      <c r="U6" s="882" t="str">
        <f t="shared" si="1"/>
        <v>3.Kim Quang Phát</v>
      </c>
      <c r="V6" s="882" t="str">
        <f t="shared" si="1"/>
        <v>4.Kim Mỹ Linh</v>
      </c>
      <c r="W6" s="881" t="str">
        <f>I6</f>
        <v>5.Vạn Xuân</v>
      </c>
      <c r="X6" s="881" t="s">
        <v>739</v>
      </c>
      <c r="Y6" s="983" t="s">
        <v>737</v>
      </c>
      <c r="Z6" s="883" t="str">
        <f>S6</f>
        <v>1.DV Quang Phát</v>
      </c>
      <c r="AA6" s="883" t="str">
        <f t="shared" ref="AA6:AD6" si="2">T6</f>
        <v>2.BT Quang Phát</v>
      </c>
      <c r="AB6" s="883" t="str">
        <f t="shared" si="2"/>
        <v>3.Kim Quang Phát</v>
      </c>
      <c r="AC6" s="883" t="str">
        <f t="shared" si="2"/>
        <v>4.Kim Mỹ Linh</v>
      </c>
      <c r="AD6" s="883" t="str">
        <f t="shared" si="2"/>
        <v>5.Vạn Xuân</v>
      </c>
      <c r="AE6" s="872" t="s">
        <v>12</v>
      </c>
      <c r="AF6" s="883" t="str">
        <f>Z6</f>
        <v>1.DV Quang Phát</v>
      </c>
      <c r="AG6" s="883" t="str">
        <f t="shared" ref="AG6:AJ6" si="3">AA6</f>
        <v>2.BT Quang Phát</v>
      </c>
      <c r="AH6" s="883" t="str">
        <f t="shared" si="3"/>
        <v>3.Kim Quang Phát</v>
      </c>
      <c r="AI6" s="883" t="str">
        <f t="shared" si="3"/>
        <v>4.Kim Mỹ Linh</v>
      </c>
      <c r="AJ6" s="883" t="str">
        <f t="shared" si="3"/>
        <v>5.Vạn Xuân</v>
      </c>
      <c r="AK6" s="881" t="s">
        <v>739</v>
      </c>
      <c r="AL6" s="1071" t="s">
        <v>737</v>
      </c>
    </row>
    <row r="7" spans="1:40" s="590" customFormat="1" x14ac:dyDescent="0.25">
      <c r="A7" s="1014">
        <f t="shared" ref="A7:A28" si="4">IF(SUM(E7:AL7)&lt;&gt;0,1,"hide")</f>
        <v>1</v>
      </c>
      <c r="B7" s="605"/>
      <c r="C7" s="1058" t="s">
        <v>143</v>
      </c>
      <c r="D7" s="1059" t="s">
        <v>274</v>
      </c>
      <c r="E7" s="1060">
        <f>'1.BC_Ra Soat (ty) '!BS7</f>
        <v>361.22590755700003</v>
      </c>
      <c r="F7" s="1060">
        <f>'1.BC_Ra Soat (ty) '!BX7</f>
        <v>41.462536712999999</v>
      </c>
      <c r="G7" s="1060">
        <f>'1.BC_Ra Soat (ty) '!CC7</f>
        <v>54.917326996</v>
      </c>
      <c r="H7" s="1060">
        <f>'1.BC_Ra Soat (ty) '!CH7</f>
        <v>43.997295526999999</v>
      </c>
      <c r="I7" s="1060">
        <f>'1.BC_Ra Soat (ty) '!CM7</f>
        <v>0</v>
      </c>
      <c r="J7" s="1060">
        <f>SUM(E7:I7)</f>
        <v>501.60306679300004</v>
      </c>
      <c r="K7" s="1060">
        <f>'1.BC_Ra Soat (ty) '!DG7</f>
        <v>501.60306679300004</v>
      </c>
      <c r="L7" s="1060">
        <f>'1.BC_Ra Soat (ty) '!BT7</f>
        <v>423.67960537499999</v>
      </c>
      <c r="M7" s="1060">
        <f>'1.BC_Ra Soat (ty) '!BY7</f>
        <v>69.811635749000004</v>
      </c>
      <c r="N7" s="1060">
        <f>'1.BC_Ra Soat (ty) '!CD7</f>
        <v>64.008838726999997</v>
      </c>
      <c r="O7" s="1060">
        <f>'1.BC_Ra Soat (ty) '!CI7</f>
        <v>45.487103105999999</v>
      </c>
      <c r="P7" s="1060">
        <f>'1.BC_Ra Soat (ty) '!CN7</f>
        <v>0</v>
      </c>
      <c r="Q7" s="1060">
        <f>SUM(L7:P7)</f>
        <v>602.98718295699996</v>
      </c>
      <c r="R7" s="1060">
        <f>'1.BC_Ra Soat (ty) '!DH7</f>
        <v>505.49590928699996</v>
      </c>
      <c r="S7" s="1060">
        <f>'1.BC_Ra Soat (ty) '!BU7</f>
        <v>441.34407631400001</v>
      </c>
      <c r="T7" s="1060">
        <f>'1.BC_Ra Soat (ty) '!BZ7</f>
        <v>74.678752638000006</v>
      </c>
      <c r="U7" s="1060">
        <f>'1.BC_Ra Soat (ty) '!CE7</f>
        <v>58.809727981000002</v>
      </c>
      <c r="V7" s="1060">
        <f>'1.BC_Ra Soat (ty) '!CJ7</f>
        <v>43.10030458</v>
      </c>
      <c r="W7" s="1060">
        <f>'1.BC_Ra Soat (ty) '!CO7</f>
        <v>0</v>
      </c>
      <c r="X7" s="1060">
        <f>SUM(S7:W7)</f>
        <v>617.93286151300003</v>
      </c>
      <c r="Y7" s="1060">
        <f>'1.BC_Ra Soat (ty) '!DI7</f>
        <v>531.99834997300002</v>
      </c>
      <c r="Z7" s="1061">
        <f>SUMIFS('1.DC_Muc tieu'!$F:$F,'1.DC_Muc tieu'!$E:$E,'1.BC_Muc tieu (ty) '!D7)-SUMIFS('1.DC_Muc tieu'!$F:$F,'1.DC_Muc tieu'!$D:$D,'1.BC_Muc tieu (ty) '!D7)</f>
        <v>0</v>
      </c>
      <c r="AA7" s="1061">
        <f>SUMIFS('1.DC_Muc tieu'!$G:$G,'1.DC_Muc tieu'!$E:$E,'1.BC_Muc tieu (ty) '!D7)-SUMIFS('1.DC_Muc tieu'!$G:$G,'1.DC_Muc tieu'!$D:$D,'1.BC_Muc tieu (ty) '!D7)</f>
        <v>0</v>
      </c>
      <c r="AB7" s="1061">
        <f>SUMIFS('1.DC_Muc tieu'!$H:$H,'1.DC_Muc tieu'!$E:$E,'1.BC_Muc tieu (ty) '!D7)-SUMIFS('1.DC_Muc tieu'!$H:$H,'1.DC_Muc tieu'!$D:$D,'1.BC_Muc tieu (ty) '!D7)</f>
        <v>0</v>
      </c>
      <c r="AC7" s="1061">
        <f>SUMIFS('1.DC_Muc tieu'!$H:$H,'1.DC_Muc tieu'!$E:$E,'1.BC_Muc tieu (ty) '!E7)-SUMIFS('1.DC_Muc tieu'!$H:$H,'1.DC_Muc tieu'!$D:$D,'1.BC_Muc tieu (ty) '!E7)</f>
        <v>0</v>
      </c>
      <c r="AD7" s="1061">
        <f>SUMIFS('1.DC_Muc tieu'!$H:$H,'1.DC_Muc tieu'!$E:$E,'1.BC_Muc tieu (ty) '!F7)-SUMIFS('1.DC_Muc tieu'!$H:$H,'1.DC_Muc tieu'!$D:$D,'1.BC_Muc tieu (ty) '!F7)</f>
        <v>0</v>
      </c>
      <c r="AE7" s="1061">
        <f>SUM(Z7:AC7)</f>
        <v>0</v>
      </c>
      <c r="AF7" s="1061">
        <f>S7+Z7</f>
        <v>441.34407631400001</v>
      </c>
      <c r="AG7" s="1061">
        <f t="shared" ref="AG7:AG24" si="5">T7+AA7</f>
        <v>74.678752638000006</v>
      </c>
      <c r="AH7" s="1061">
        <f t="shared" ref="AH7:AH24" si="6">U7+AB7</f>
        <v>58.809727981000002</v>
      </c>
      <c r="AI7" s="1061">
        <f t="shared" ref="AI7:AI24" si="7">V7+AC7</f>
        <v>43.10030458</v>
      </c>
      <c r="AJ7" s="1061">
        <f t="shared" ref="AJ7:AJ24" si="8">W7+AD7</f>
        <v>0</v>
      </c>
      <c r="AK7" s="1061">
        <f t="shared" ref="AK7:AK24" si="9">X7+AE7</f>
        <v>617.93286151300003</v>
      </c>
      <c r="AL7" s="1072">
        <f>Y7+AE7</f>
        <v>531.99834997300002</v>
      </c>
      <c r="AN7" s="884"/>
    </row>
    <row r="8" spans="1:40" x14ac:dyDescent="0.25">
      <c r="A8" s="1014">
        <f t="shared" si="4"/>
        <v>1</v>
      </c>
      <c r="C8" s="1049" t="s">
        <v>144</v>
      </c>
      <c r="D8" s="1050" t="s">
        <v>275</v>
      </c>
      <c r="E8" s="1047">
        <f>'1.BC_Ra Soat (ty) '!BS8</f>
        <v>0</v>
      </c>
      <c r="F8" s="1047">
        <f>'1.BC_Ra Soat (ty) '!BX8</f>
        <v>0</v>
      </c>
      <c r="G8" s="1047">
        <f>'1.BC_Ra Soat (ty) '!CC8</f>
        <v>0</v>
      </c>
      <c r="H8" s="1047">
        <f>'1.BC_Ra Soat (ty) '!CH8</f>
        <v>0</v>
      </c>
      <c r="I8" s="1047">
        <f>'1.BC_Ra Soat (ty) '!CM8</f>
        <v>0</v>
      </c>
      <c r="J8" s="1047">
        <f t="shared" ref="J8:J24" si="10">SUM(E8:I8)</f>
        <v>0</v>
      </c>
      <c r="K8" s="1047">
        <f>'1.BC_Ra Soat (ty) '!DG8</f>
        <v>0</v>
      </c>
      <c r="L8" s="1047">
        <f>'1.BC_Ra Soat (ty) '!BT8</f>
        <v>0.31180042600000002</v>
      </c>
      <c r="M8" s="1047">
        <f>'1.BC_Ra Soat (ty) '!BY8</f>
        <v>0</v>
      </c>
      <c r="N8" s="1047">
        <f>'1.BC_Ra Soat (ty) '!CD8</f>
        <v>0</v>
      </c>
      <c r="O8" s="1047">
        <f>'1.BC_Ra Soat (ty) '!CI8</f>
        <v>0</v>
      </c>
      <c r="P8" s="1047">
        <f>'1.BC_Ra Soat (ty) '!CN8</f>
        <v>0</v>
      </c>
      <c r="Q8" s="1047">
        <f t="shared" ref="Q8:Q24" si="11">SUM(L8:P8)</f>
        <v>0.31180042600000002</v>
      </c>
      <c r="R8" s="1047">
        <f>'1.BC_Ra Soat (ty) '!DH8</f>
        <v>0.31180042600000002</v>
      </c>
      <c r="S8" s="1047">
        <f>'1.BC_Ra Soat (ty) '!BU8</f>
        <v>0</v>
      </c>
      <c r="T8" s="1047">
        <f>'1.BC_Ra Soat (ty) '!BZ8</f>
        <v>0</v>
      </c>
      <c r="U8" s="1047">
        <f>'1.BC_Ra Soat (ty) '!CE8</f>
        <v>0</v>
      </c>
      <c r="V8" s="1047">
        <f>'1.BC_Ra Soat (ty) '!CJ8</f>
        <v>0</v>
      </c>
      <c r="W8" s="1047">
        <f>'1.BC_Ra Soat (ty) '!CO8</f>
        <v>0</v>
      </c>
      <c r="X8" s="1047">
        <f t="shared" ref="X8:X24" si="12">SUM(S8:W8)</f>
        <v>0</v>
      </c>
      <c r="Y8" s="1047">
        <f>'1.BC_Ra Soat (ty) '!DI8</f>
        <v>0</v>
      </c>
      <c r="Z8" s="980">
        <f>SUMIFS('1.DC_Muc tieu'!$F:$F,'1.DC_Muc tieu'!$D:$D,'1.BC_Muc tieu (ty) '!D8)-SUMIFS('1.DC_Muc tieu'!$F:$F,'1.DC_Muc tieu'!$E:$E,'1.BC_Muc tieu (ty) '!D8)</f>
        <v>0</v>
      </c>
      <c r="AA8" s="980">
        <f>SUMIFS('1.DC_Muc tieu'!$G:$G,'1.DC_Muc tieu'!$D:$D,'1.BC_Muc tieu (ty) '!D8)-SUMIFS('1.DC_Muc tieu'!$G:$G,'1.DC_Muc tieu'!$E:$E,'1.BC_Muc tieu (ty) '!D8)</f>
        <v>0</v>
      </c>
      <c r="AB8" s="980">
        <f>SUMIFS('1.DC_Muc tieu'!$H:$H,'1.DC_Muc tieu'!$E:$E,'1.BC_Muc tieu (ty) '!D8)-SUMIFS('1.DC_Muc tieu'!$H:$H,'1.DC_Muc tieu'!$D:$D,'1.BC_Muc tieu (ty) '!D8)</f>
        <v>0</v>
      </c>
      <c r="AC8" s="1048">
        <f>SUMIFS('1.DC_Muc tieu'!$H:$H,'1.DC_Muc tieu'!$E:$E,'1.BC_Muc tieu (ty) '!E8)-SUMIFS('1.DC_Muc tieu'!$H:$H,'1.DC_Muc tieu'!$D:$D,'1.BC_Muc tieu (ty) '!E8)</f>
        <v>0</v>
      </c>
      <c r="AD8" s="980">
        <f>SUMIFS('1.DC_Muc tieu'!$J:$J,'1.DC_Muc tieu'!$E:$E,'1.BC_Muc tieu (ty) '!F8)-SUMIFS('1.DC_Muc tieu'!$J:$J,'1.DC_Muc tieu'!$D:$D,'1.BC_Muc tieu (ty) '!F8)</f>
        <v>0</v>
      </c>
      <c r="AE8" s="980">
        <f t="shared" ref="AE8:AE24" si="13">SUM(Z8:AC8)</f>
        <v>0</v>
      </c>
      <c r="AF8" s="980">
        <f t="shared" ref="AF8:AF24" si="14">S8+Z8</f>
        <v>0</v>
      </c>
      <c r="AG8" s="980">
        <f t="shared" si="5"/>
        <v>0</v>
      </c>
      <c r="AH8" s="980">
        <f t="shared" si="6"/>
        <v>0</v>
      </c>
      <c r="AI8" s="980">
        <f t="shared" si="7"/>
        <v>0</v>
      </c>
      <c r="AJ8" s="980">
        <f t="shared" si="8"/>
        <v>0</v>
      </c>
      <c r="AK8" s="980">
        <f t="shared" si="9"/>
        <v>0</v>
      </c>
      <c r="AL8" s="1073">
        <f t="shared" ref="AL8:AL24" si="15">Y8+AE8</f>
        <v>0</v>
      </c>
      <c r="AN8" s="601"/>
    </row>
    <row r="9" spans="1:40" s="590" customFormat="1" x14ac:dyDescent="0.25">
      <c r="A9" s="1014">
        <f t="shared" si="4"/>
        <v>1</v>
      </c>
      <c r="B9" s="605"/>
      <c r="C9" s="1062" t="s">
        <v>145</v>
      </c>
      <c r="D9" s="1063" t="s">
        <v>276</v>
      </c>
      <c r="E9" s="1060">
        <f>E7-E8</f>
        <v>361.22590755700003</v>
      </c>
      <c r="F9" s="1060">
        <f t="shared" ref="F9:AL9" si="16">F7-F8</f>
        <v>41.462536712999999</v>
      </c>
      <c r="G9" s="1060">
        <f t="shared" si="16"/>
        <v>54.917326996</v>
      </c>
      <c r="H9" s="1060">
        <f t="shared" si="16"/>
        <v>43.997295526999999</v>
      </c>
      <c r="I9" s="1060">
        <f t="shared" si="16"/>
        <v>0</v>
      </c>
      <c r="J9" s="1060">
        <f t="shared" si="16"/>
        <v>501.60306679300004</v>
      </c>
      <c r="K9" s="1060">
        <f t="shared" si="16"/>
        <v>501.60306679300004</v>
      </c>
      <c r="L9" s="1060">
        <f t="shared" si="16"/>
        <v>423.367804949</v>
      </c>
      <c r="M9" s="1060">
        <f t="shared" si="16"/>
        <v>69.811635749000004</v>
      </c>
      <c r="N9" s="1060">
        <f t="shared" si="16"/>
        <v>64.008838726999997</v>
      </c>
      <c r="O9" s="1060">
        <f t="shared" si="16"/>
        <v>45.487103105999999</v>
      </c>
      <c r="P9" s="1060">
        <f t="shared" si="16"/>
        <v>0</v>
      </c>
      <c r="Q9" s="1060">
        <f t="shared" si="16"/>
        <v>602.67538253099997</v>
      </c>
      <c r="R9" s="1060">
        <f t="shared" si="16"/>
        <v>505.18410886099997</v>
      </c>
      <c r="S9" s="1060">
        <f t="shared" si="16"/>
        <v>441.34407631400001</v>
      </c>
      <c r="T9" s="1060">
        <f t="shared" si="16"/>
        <v>74.678752638000006</v>
      </c>
      <c r="U9" s="1060">
        <f t="shared" si="16"/>
        <v>58.809727981000002</v>
      </c>
      <c r="V9" s="1060">
        <f t="shared" si="16"/>
        <v>43.10030458</v>
      </c>
      <c r="W9" s="1060">
        <f t="shared" si="16"/>
        <v>0</v>
      </c>
      <c r="X9" s="1060">
        <f t="shared" si="16"/>
        <v>617.93286151300003</v>
      </c>
      <c r="Y9" s="1060">
        <f t="shared" si="16"/>
        <v>531.99834997300002</v>
      </c>
      <c r="Z9" s="1060">
        <f t="shared" si="16"/>
        <v>0</v>
      </c>
      <c r="AA9" s="1060">
        <f t="shared" si="16"/>
        <v>0</v>
      </c>
      <c r="AB9" s="1060">
        <f t="shared" si="16"/>
        <v>0</v>
      </c>
      <c r="AC9" s="1060">
        <f t="shared" si="16"/>
        <v>0</v>
      </c>
      <c r="AD9" s="1060">
        <f t="shared" si="16"/>
        <v>0</v>
      </c>
      <c r="AE9" s="1060">
        <f t="shared" si="16"/>
        <v>0</v>
      </c>
      <c r="AF9" s="1060">
        <f t="shared" si="16"/>
        <v>441.34407631400001</v>
      </c>
      <c r="AG9" s="1060">
        <f t="shared" si="16"/>
        <v>74.678752638000006</v>
      </c>
      <c r="AH9" s="1060">
        <f t="shared" si="16"/>
        <v>58.809727981000002</v>
      </c>
      <c r="AI9" s="1060">
        <f t="shared" si="16"/>
        <v>43.10030458</v>
      </c>
      <c r="AJ9" s="1060">
        <f t="shared" si="16"/>
        <v>0</v>
      </c>
      <c r="AK9" s="1060">
        <f t="shared" si="16"/>
        <v>617.93286151300003</v>
      </c>
      <c r="AL9" s="1074">
        <f t="shared" si="16"/>
        <v>531.99834997300002</v>
      </c>
      <c r="AN9" s="884"/>
    </row>
    <row r="10" spans="1:40" x14ac:dyDescent="0.25">
      <c r="A10" s="1014">
        <f t="shared" si="4"/>
        <v>1</v>
      </c>
      <c r="C10" s="891" t="s">
        <v>146</v>
      </c>
      <c r="D10" s="892" t="s">
        <v>277</v>
      </c>
      <c r="E10" s="1047">
        <f>'1.BC_Ra Soat (ty) '!BS10</f>
        <v>344.46240270300001</v>
      </c>
      <c r="F10" s="1047">
        <f>'1.BC_Ra Soat (ty) '!BX10</f>
        <v>39.077128119999998</v>
      </c>
      <c r="G10" s="1047">
        <f>'1.BC_Ra Soat (ty) '!CC10</f>
        <v>47.543364529999998</v>
      </c>
      <c r="H10" s="1047">
        <f>'1.BC_Ra Soat (ty) '!CH10</f>
        <v>41.893581101000002</v>
      </c>
      <c r="I10" s="1047">
        <f>'1.BC_Ra Soat (ty) '!CM10</f>
        <v>0</v>
      </c>
      <c r="J10" s="1047">
        <f t="shared" si="10"/>
        <v>472.97647645400002</v>
      </c>
      <c r="K10" s="1047">
        <f>'1.BC_Ra Soat (ty) '!DG10</f>
        <v>472.97647645400002</v>
      </c>
      <c r="L10" s="1047">
        <f>'1.BC_Ra Soat (ty) '!BT10</f>
        <v>412.71336926800001</v>
      </c>
      <c r="M10" s="1047">
        <f>'1.BC_Ra Soat (ty) '!BY10</f>
        <v>70.442604235999994</v>
      </c>
      <c r="N10" s="1047">
        <f>'1.BC_Ra Soat (ty) '!CD10</f>
        <v>60.151917597000001</v>
      </c>
      <c r="O10" s="1047">
        <f>'1.BC_Ra Soat (ty) '!CI10</f>
        <v>44.696628066000002</v>
      </c>
      <c r="P10" s="1047">
        <f>'1.BC_Ra Soat (ty) '!CN10</f>
        <v>0</v>
      </c>
      <c r="Q10" s="1047">
        <f t="shared" si="11"/>
        <v>588.00451916700001</v>
      </c>
      <c r="R10" s="1047">
        <f>'1.BC_Ra Soat (ty) '!DH10</f>
        <v>490.51324549700001</v>
      </c>
      <c r="S10" s="1047">
        <f>'1.BC_Ra Soat (ty) '!BU10</f>
        <v>409.03539758699998</v>
      </c>
      <c r="T10" s="1047">
        <f>'1.BC_Ra Soat (ty) '!BZ10</f>
        <v>41.666803162999997</v>
      </c>
      <c r="U10" s="1047">
        <f>'1.BC_Ra Soat (ty) '!CE10</f>
        <v>58.359783403999998</v>
      </c>
      <c r="V10" s="1047">
        <f>'1.BC_Ra Soat (ty) '!CJ10</f>
        <v>42.396032419000001</v>
      </c>
      <c r="W10" s="1047">
        <f>'1.BC_Ra Soat (ty) '!CO10</f>
        <v>0</v>
      </c>
      <c r="X10" s="1047">
        <f t="shared" si="12"/>
        <v>551.45801657300001</v>
      </c>
      <c r="Y10" s="1047">
        <f>'1.BC_Ra Soat (ty) '!DI10</f>
        <v>465.52350503299999</v>
      </c>
      <c r="Z10" s="980">
        <f>SUMIFS('1.DC_Muc tieu'!$F:$F,'1.DC_Muc tieu'!$D:$D,'1.BC_Muc tieu (ty) '!D10)-SUMIFS('1.DC_Muc tieu'!$F:$F,'1.DC_Muc tieu'!$E:$E,'1.BC_Muc tieu (ty) '!D10)</f>
        <v>0</v>
      </c>
      <c r="AA10" s="980">
        <f>SUMIFS('1.DC_Muc tieu'!$G:$G,'1.DC_Muc tieu'!$D:$D,'1.BC_Muc tieu (ty) '!D10)-SUMIFS('1.DC_Muc tieu'!$G:$G,'1.DC_Muc tieu'!$E:$E,'1.BC_Muc tieu (ty) '!D10)</f>
        <v>0</v>
      </c>
      <c r="AB10" s="980">
        <f>SUMIFS('1.DC_Muc tieu'!$H:$H,'1.DC_Muc tieu'!$E:$E,'1.BC_Muc tieu (ty) '!D10)-SUMIFS('1.DC_Muc tieu'!$H:$H,'1.DC_Muc tieu'!$D:$D,'1.BC_Muc tieu (ty) '!D10)</f>
        <v>0</v>
      </c>
      <c r="AC10" s="1048">
        <f>SUMIFS('1.DC_Muc tieu'!$H:$H,'1.DC_Muc tieu'!$E:$E,'1.BC_Muc tieu (ty) '!E10)-SUMIFS('1.DC_Muc tieu'!$H:$H,'1.DC_Muc tieu'!$D:$D,'1.BC_Muc tieu (ty) '!E10)</f>
        <v>0</v>
      </c>
      <c r="AD10" s="980">
        <f>SUMIFS('1.DC_Muc tieu'!$J:$J,'1.DC_Muc tieu'!$E:$E,'1.BC_Muc tieu (ty) '!F10)-SUMIFS('1.DC_Muc tieu'!$J:$J,'1.DC_Muc tieu'!$D:$D,'1.BC_Muc tieu (ty) '!F10)</f>
        <v>0</v>
      </c>
      <c r="AE10" s="980">
        <f t="shared" si="13"/>
        <v>0</v>
      </c>
      <c r="AF10" s="980">
        <f t="shared" si="14"/>
        <v>409.03539758699998</v>
      </c>
      <c r="AG10" s="980">
        <f t="shared" si="5"/>
        <v>41.666803162999997</v>
      </c>
      <c r="AH10" s="980">
        <f t="shared" si="6"/>
        <v>58.359783403999998</v>
      </c>
      <c r="AI10" s="980">
        <f t="shared" si="7"/>
        <v>42.396032419000001</v>
      </c>
      <c r="AJ10" s="980">
        <f t="shared" si="8"/>
        <v>0</v>
      </c>
      <c r="AK10" s="980">
        <f t="shared" si="9"/>
        <v>551.45801657300001</v>
      </c>
      <c r="AL10" s="1073">
        <f t="shared" si="15"/>
        <v>465.52350503299999</v>
      </c>
      <c r="AN10" s="601"/>
    </row>
    <row r="11" spans="1:40" s="590" customFormat="1" x14ac:dyDescent="0.25">
      <c r="A11" s="1014">
        <f t="shared" si="4"/>
        <v>1</v>
      </c>
      <c r="B11" s="605"/>
      <c r="C11" s="1062" t="s">
        <v>147</v>
      </c>
      <c r="D11" s="1063" t="s">
        <v>278</v>
      </c>
      <c r="E11" s="1060">
        <f>E9-E10</f>
        <v>16.763504854000018</v>
      </c>
      <c r="F11" s="1060">
        <f t="shared" ref="F11:AL11" si="17">F9-F10</f>
        <v>2.3854085930000011</v>
      </c>
      <c r="G11" s="1060">
        <f t="shared" si="17"/>
        <v>7.3739624660000018</v>
      </c>
      <c r="H11" s="1060">
        <f t="shared" si="17"/>
        <v>2.1037144259999963</v>
      </c>
      <c r="I11" s="1060">
        <f t="shared" si="17"/>
        <v>0</v>
      </c>
      <c r="J11" s="1060">
        <f t="shared" si="17"/>
        <v>28.626590339000018</v>
      </c>
      <c r="K11" s="1060">
        <f t="shared" si="17"/>
        <v>28.626590339000018</v>
      </c>
      <c r="L11" s="1060">
        <f t="shared" si="17"/>
        <v>10.654435680999995</v>
      </c>
      <c r="M11" s="1060">
        <f t="shared" si="17"/>
        <v>-0.63096848699998986</v>
      </c>
      <c r="N11" s="1060">
        <f t="shared" si="17"/>
        <v>3.8569211299999964</v>
      </c>
      <c r="O11" s="1060">
        <f t="shared" si="17"/>
        <v>0.79047503999999691</v>
      </c>
      <c r="P11" s="1060">
        <f t="shared" si="17"/>
        <v>0</v>
      </c>
      <c r="Q11" s="1060">
        <f t="shared" si="17"/>
        <v>14.670863363999956</v>
      </c>
      <c r="R11" s="1060">
        <f t="shared" si="17"/>
        <v>14.670863363999956</v>
      </c>
      <c r="S11" s="1060">
        <f t="shared" si="17"/>
        <v>32.308678727000029</v>
      </c>
      <c r="T11" s="1060">
        <f t="shared" si="17"/>
        <v>33.011949475000009</v>
      </c>
      <c r="U11" s="1060">
        <f t="shared" si="17"/>
        <v>0.44994457700000368</v>
      </c>
      <c r="V11" s="1060">
        <f t="shared" si="17"/>
        <v>0.70427216099999868</v>
      </c>
      <c r="W11" s="1060">
        <f t="shared" si="17"/>
        <v>0</v>
      </c>
      <c r="X11" s="1060">
        <f t="shared" si="17"/>
        <v>66.474844940000025</v>
      </c>
      <c r="Y11" s="1060">
        <f t="shared" si="17"/>
        <v>66.474844940000025</v>
      </c>
      <c r="Z11" s="1060">
        <f t="shared" si="17"/>
        <v>0</v>
      </c>
      <c r="AA11" s="1060">
        <f t="shared" si="17"/>
        <v>0</v>
      </c>
      <c r="AB11" s="1060">
        <f t="shared" si="17"/>
        <v>0</v>
      </c>
      <c r="AC11" s="1060">
        <f t="shared" si="17"/>
        <v>0</v>
      </c>
      <c r="AD11" s="1060">
        <f t="shared" si="17"/>
        <v>0</v>
      </c>
      <c r="AE11" s="1060">
        <f t="shared" si="17"/>
        <v>0</v>
      </c>
      <c r="AF11" s="1060">
        <f t="shared" si="17"/>
        <v>32.308678727000029</v>
      </c>
      <c r="AG11" s="1060">
        <f t="shared" si="17"/>
        <v>33.011949475000009</v>
      </c>
      <c r="AH11" s="1060">
        <f t="shared" si="17"/>
        <v>0.44994457700000368</v>
      </c>
      <c r="AI11" s="1060">
        <f t="shared" si="17"/>
        <v>0.70427216099999868</v>
      </c>
      <c r="AJ11" s="1060">
        <f t="shared" si="17"/>
        <v>0</v>
      </c>
      <c r="AK11" s="1060">
        <f t="shared" si="17"/>
        <v>66.474844940000025</v>
      </c>
      <c r="AL11" s="1074">
        <f t="shared" si="17"/>
        <v>66.474844940000025</v>
      </c>
      <c r="AN11" s="884"/>
    </row>
    <row r="12" spans="1:40" x14ac:dyDescent="0.25">
      <c r="A12" s="1014">
        <f t="shared" si="4"/>
        <v>1</v>
      </c>
      <c r="C12" s="891" t="s">
        <v>148</v>
      </c>
      <c r="D12" s="892" t="s">
        <v>279</v>
      </c>
      <c r="E12" s="1047">
        <f>'1.BC_Ra Soat (ty) '!BS12</f>
        <v>5.2461999999999995E-4</v>
      </c>
      <c r="F12" s="1047">
        <f>'1.BC_Ra Soat (ty) '!BX12</f>
        <v>2.8280999999999999E-5</v>
      </c>
      <c r="G12" s="1047">
        <f>'1.BC_Ra Soat (ty) '!CC12</f>
        <v>4.2348999999999997E-5</v>
      </c>
      <c r="H12" s="1047">
        <f>'1.BC_Ra Soat (ty) '!CH12</f>
        <v>9.8187E-5</v>
      </c>
      <c r="I12" s="1047">
        <f>'1.BC_Ra Soat (ty) '!CM12</f>
        <v>0</v>
      </c>
      <c r="J12" s="1047">
        <f t="shared" si="10"/>
        <v>6.9343699999999998E-4</v>
      </c>
      <c r="K12" s="1047">
        <f>'1.BC_Ra Soat (ty) '!DG12</f>
        <v>6.9343699999999998E-4</v>
      </c>
      <c r="L12" s="1047">
        <f>'1.BC_Ra Soat (ty) '!BT12</f>
        <v>2.9885100000000002E-3</v>
      </c>
      <c r="M12" s="1047">
        <f>'1.BC_Ra Soat (ty) '!BY12</f>
        <v>1.35642E-4</v>
      </c>
      <c r="N12" s="1047">
        <f>'1.BC_Ra Soat (ty) '!CD12</f>
        <v>1.5450300000000001E-4</v>
      </c>
      <c r="O12" s="1047">
        <f>'1.BC_Ra Soat (ty) '!CI12</f>
        <v>6.4875999999999993E-5</v>
      </c>
      <c r="P12" s="1047">
        <f>'1.BC_Ra Soat (ty) '!CN12</f>
        <v>0</v>
      </c>
      <c r="Q12" s="1047">
        <f t="shared" si="11"/>
        <v>3.3435310000000003E-3</v>
      </c>
      <c r="R12" s="1047">
        <f>'1.BC_Ra Soat (ty) '!DH12</f>
        <v>3.3435310000000003E-3</v>
      </c>
      <c r="S12" s="1047">
        <f>'1.BC_Ra Soat (ty) '!BU12</f>
        <v>3.8735872999999997E-2</v>
      </c>
      <c r="T12" s="1047">
        <f>'1.BC_Ra Soat (ty) '!BZ12</f>
        <v>9.9182E-5</v>
      </c>
      <c r="U12" s="1047">
        <f>'1.BC_Ra Soat (ty) '!CE12</f>
        <v>1.0233100000000001E-4</v>
      </c>
      <c r="V12" s="1047">
        <f>'1.BC_Ra Soat (ty) '!CJ12</f>
        <v>7.1366999999999996E-5</v>
      </c>
      <c r="W12" s="1047">
        <f>'1.BC_Ra Soat (ty) '!CO12</f>
        <v>0</v>
      </c>
      <c r="X12" s="1047">
        <f t="shared" si="12"/>
        <v>3.9008753E-2</v>
      </c>
      <c r="Y12" s="1047">
        <f>'1.BC_Ra Soat (ty) '!DI12</f>
        <v>3.9008753E-2</v>
      </c>
      <c r="Z12" s="980">
        <f>SUMIFS('1.DC_Muc tieu'!$F:$F,'1.DC_Muc tieu'!$E:$E,'1.BC_Muc tieu (ty) '!D12)-SUMIFS('1.DC_Muc tieu'!$F:$F,'1.DC_Muc tieu'!$D:$D,'1.BC_Muc tieu (ty) '!D12)</f>
        <v>0</v>
      </c>
      <c r="AA12" s="980">
        <f>SUMIFS('1.DC_Muc tieu'!$G:$G,'1.DC_Muc tieu'!$E:$E,'1.BC_Muc tieu (ty) '!D12)-SUMIFS('1.DC_Muc tieu'!$G:$G,'1.DC_Muc tieu'!$D:$D,'1.BC_Muc tieu (ty) '!D12)</f>
        <v>0</v>
      </c>
      <c r="AB12" s="980">
        <f>SUMIFS('1.DC_Muc tieu'!$H:$H,'1.DC_Muc tieu'!$E:$E,'1.BC_Muc tieu (ty) '!D12)-SUMIFS('1.DC_Muc tieu'!$H:$H,'1.DC_Muc tieu'!$D:$D,'1.BC_Muc tieu (ty) '!D12)</f>
        <v>0</v>
      </c>
      <c r="AC12" s="980">
        <f>SUMIFS('1.DC_Muc tieu'!$H:$H,'1.DC_Muc tieu'!$E:$E,'1.BC_Muc tieu (ty) '!E12)-SUMIFS('1.DC_Muc tieu'!$H:$H,'1.DC_Muc tieu'!$D:$D,'1.BC_Muc tieu (ty) '!E12)</f>
        <v>0</v>
      </c>
      <c r="AD12" s="980">
        <f>SUMIFS('1.DC_Muc tieu'!$J:$J,'1.DC_Muc tieu'!$E:$E,'1.BC_Muc tieu (ty) '!F12)-SUMIFS('1.DC_Muc tieu'!$J:$J,'1.DC_Muc tieu'!$D:$D,'1.BC_Muc tieu (ty) '!F12)</f>
        <v>0</v>
      </c>
      <c r="AE12" s="980">
        <f t="shared" si="13"/>
        <v>0</v>
      </c>
      <c r="AF12" s="980">
        <f t="shared" si="14"/>
        <v>3.8735872999999997E-2</v>
      </c>
      <c r="AG12" s="980">
        <f t="shared" si="5"/>
        <v>9.9182E-5</v>
      </c>
      <c r="AH12" s="980">
        <f t="shared" si="6"/>
        <v>1.0233100000000001E-4</v>
      </c>
      <c r="AI12" s="980">
        <f t="shared" si="7"/>
        <v>7.1366999999999996E-5</v>
      </c>
      <c r="AJ12" s="980">
        <f t="shared" si="8"/>
        <v>0</v>
      </c>
      <c r="AK12" s="980">
        <f t="shared" si="9"/>
        <v>3.9008753E-2</v>
      </c>
      <c r="AL12" s="1073">
        <f t="shared" si="15"/>
        <v>3.9008753E-2</v>
      </c>
      <c r="AN12" s="601"/>
    </row>
    <row r="13" spans="1:40" s="887" customFormat="1" x14ac:dyDescent="0.25">
      <c r="A13" s="1014">
        <f t="shared" si="4"/>
        <v>1</v>
      </c>
      <c r="B13" s="904"/>
      <c r="C13" s="1064" t="s">
        <v>149</v>
      </c>
      <c r="D13" s="1065" t="s">
        <v>280</v>
      </c>
      <c r="E13" s="1066">
        <f>'1.BC_Ra Soat (ty) '!BS13</f>
        <v>4.4960613330000001</v>
      </c>
      <c r="F13" s="1066">
        <f>'1.BC_Ra Soat (ty) '!BX13</f>
        <v>0.72522763800000001</v>
      </c>
      <c r="G13" s="1066">
        <f>'1.BC_Ra Soat (ty) '!CC13</f>
        <v>1.675370773</v>
      </c>
      <c r="H13" s="1066">
        <f>'1.BC_Ra Soat (ty) '!CH13</f>
        <v>0.83243800700000004</v>
      </c>
      <c r="I13" s="1066">
        <f>'1.BC_Ra Soat (ty) '!CM13</f>
        <v>0</v>
      </c>
      <c r="J13" s="1066">
        <f t="shared" si="10"/>
        <v>7.7290977510000003</v>
      </c>
      <c r="K13" s="1066">
        <f>'1.BC_Ra Soat (ty) '!DG13</f>
        <v>7.7290977510000003</v>
      </c>
      <c r="L13" s="1066">
        <f>'1.BC_Ra Soat (ty) '!BT13</f>
        <v>13.833321121999999</v>
      </c>
      <c r="M13" s="1066">
        <f>'1.BC_Ra Soat (ty) '!BY13</f>
        <v>3.3280097209999999</v>
      </c>
      <c r="N13" s="1066">
        <f>'1.BC_Ra Soat (ty) '!CD13</f>
        <v>2.1780705789999999</v>
      </c>
      <c r="O13" s="1066">
        <f>'1.BC_Ra Soat (ty) '!CI13</f>
        <v>2.3551144949999996</v>
      </c>
      <c r="P13" s="1066">
        <f>'1.BC_Ra Soat (ty) '!CN13</f>
        <v>0</v>
      </c>
      <c r="Q13" s="1066">
        <f t="shared" si="11"/>
        <v>21.694515916999997</v>
      </c>
      <c r="R13" s="1066">
        <f>'1.BC_Ra Soat (ty) '!DH13</f>
        <v>21.694515916999997</v>
      </c>
      <c r="S13" s="1066">
        <f>'1.BC_Ra Soat (ty) '!BU13</f>
        <v>12.548808701</v>
      </c>
      <c r="T13" s="1066">
        <f>'1.BC_Ra Soat (ty) '!BZ13</f>
        <v>1.8905604439999999</v>
      </c>
      <c r="U13" s="1066">
        <f>'1.BC_Ra Soat (ty) '!CE13</f>
        <v>2.2148900359999999</v>
      </c>
      <c r="V13" s="1066">
        <f>'1.BC_Ra Soat (ty) '!CJ13</f>
        <v>1.540066497</v>
      </c>
      <c r="W13" s="1066">
        <f>'1.BC_Ra Soat (ty) '!CO13</f>
        <v>0</v>
      </c>
      <c r="X13" s="1066">
        <f t="shared" si="12"/>
        <v>18.194325678000002</v>
      </c>
      <c r="Y13" s="1066">
        <f>'1.BC_Ra Soat (ty) '!DI13</f>
        <v>18.194325678000002</v>
      </c>
      <c r="Z13" s="1067">
        <f>SUMIFS('1.DC_Muc tieu'!$F:$F,'1.DC_Muc tieu'!$D:$D,'1.BC_Muc tieu (ty) '!D13)-SUMIFS('1.DC_Muc tieu'!$F:$F,'1.DC_Muc tieu'!$E:$E,'1.BC_Muc tieu (ty) '!D13)</f>
        <v>0</v>
      </c>
      <c r="AA13" s="1067">
        <f>SUMIFS('1.DC_Muc tieu'!$G:$G,'1.DC_Muc tieu'!$D:$D,'1.BC_Muc tieu (ty) '!D13)-SUMIFS('1.DC_Muc tieu'!$G:$G,'1.DC_Muc tieu'!$E:$E,'1.BC_Muc tieu (ty) '!D13)</f>
        <v>0</v>
      </c>
      <c r="AB13" s="1068">
        <f>SUMIFS('1.DC_Muc tieu'!$H:$H,'1.DC_Muc tieu'!$E:$E,'1.BC_Muc tieu (ty) '!D13)-SUMIFS('1.DC_Muc tieu'!$H:$H,'1.DC_Muc tieu'!$D:$D,'1.BC_Muc tieu (ty) '!D13)</f>
        <v>0</v>
      </c>
      <c r="AC13" s="1068">
        <f>SUMIFS('1.DC_Muc tieu'!$H:$H,'1.DC_Muc tieu'!$E:$E,'1.BC_Muc tieu (ty) '!E13)-SUMIFS('1.DC_Muc tieu'!$H:$H,'1.DC_Muc tieu'!$D:$D,'1.BC_Muc tieu (ty) '!E13)</f>
        <v>0</v>
      </c>
      <c r="AD13" s="1068">
        <f>SUMIFS('1.DC_Muc tieu'!$J:$J,'1.DC_Muc tieu'!$E:$E,'1.BC_Muc tieu (ty) '!F13)-SUMIFS('1.DC_Muc tieu'!$J:$J,'1.DC_Muc tieu'!$D:$D,'1.BC_Muc tieu (ty) '!F13)</f>
        <v>0</v>
      </c>
      <c r="AE13" s="1067">
        <f t="shared" si="13"/>
        <v>0</v>
      </c>
      <c r="AF13" s="1068">
        <f t="shared" si="14"/>
        <v>12.548808701</v>
      </c>
      <c r="AG13" s="1068">
        <f t="shared" si="5"/>
        <v>1.8905604439999999</v>
      </c>
      <c r="AH13" s="1068">
        <f t="shared" si="6"/>
        <v>2.2148900359999999</v>
      </c>
      <c r="AI13" s="1068">
        <f t="shared" si="7"/>
        <v>1.540066497</v>
      </c>
      <c r="AJ13" s="1068">
        <f t="shared" si="8"/>
        <v>0</v>
      </c>
      <c r="AK13" s="1068">
        <f t="shared" si="9"/>
        <v>18.194325678000002</v>
      </c>
      <c r="AL13" s="1075">
        <f t="shared" si="15"/>
        <v>18.194325678000002</v>
      </c>
      <c r="AN13" s="601"/>
    </row>
    <row r="14" spans="1:40" s="888" customFormat="1" x14ac:dyDescent="0.25">
      <c r="A14" s="1052">
        <f t="shared" si="4"/>
        <v>1</v>
      </c>
      <c r="B14" s="612"/>
      <c r="C14" s="889" t="s">
        <v>14</v>
      </c>
      <c r="D14" s="890" t="s">
        <v>281</v>
      </c>
      <c r="E14" s="1053">
        <f>'1.BC_Ra Soat (ty) '!BS14</f>
        <v>4.4960613330000001</v>
      </c>
      <c r="F14" s="1053">
        <f>'1.BC_Ra Soat (ty) '!BX14</f>
        <v>0.72522763800000001</v>
      </c>
      <c r="G14" s="1053">
        <f>'1.BC_Ra Soat (ty) '!CC14</f>
        <v>1.675370773</v>
      </c>
      <c r="H14" s="1053">
        <f>'1.BC_Ra Soat (ty) '!CH14</f>
        <v>0.83243800700000004</v>
      </c>
      <c r="I14" s="1053">
        <f>'1.BC_Ra Soat (ty) '!CM14</f>
        <v>0</v>
      </c>
      <c r="J14" s="1053">
        <f t="shared" si="10"/>
        <v>7.7290977510000003</v>
      </c>
      <c r="K14" s="1053">
        <f>'1.BC_Ra Soat (ty) '!DG14</f>
        <v>7.7290977510000003</v>
      </c>
      <c r="L14" s="1053">
        <f>'1.BC_Ra Soat (ty) '!BT14</f>
        <v>8.3329001989999991</v>
      </c>
      <c r="M14" s="1053">
        <f>'1.BC_Ra Soat (ty) '!BY14</f>
        <v>2.5864691720000001</v>
      </c>
      <c r="N14" s="1053">
        <f>'1.BC_Ra Soat (ty) '!CD14</f>
        <v>2.1780705789999999</v>
      </c>
      <c r="O14" s="1053">
        <f>'1.BC_Ra Soat (ty) '!CI14</f>
        <v>1.0927591459999999</v>
      </c>
      <c r="P14" s="1053">
        <f>'1.BC_Ra Soat (ty) '!CN14</f>
        <v>0</v>
      </c>
      <c r="Q14" s="1053">
        <f t="shared" si="11"/>
        <v>14.190199095999999</v>
      </c>
      <c r="R14" s="1053">
        <f>'1.BC_Ra Soat (ty) '!DH14</f>
        <v>14.190199095999999</v>
      </c>
      <c r="S14" s="1053">
        <f>'1.BC_Ra Soat (ty) '!BU14</f>
        <v>12.548808701</v>
      </c>
      <c r="T14" s="1053">
        <f>'1.BC_Ra Soat (ty) '!BZ14</f>
        <v>1.8905604439999999</v>
      </c>
      <c r="U14" s="1053">
        <f>'1.BC_Ra Soat (ty) '!CE14</f>
        <v>2.2148900359999999</v>
      </c>
      <c r="V14" s="1053">
        <f>'1.BC_Ra Soat (ty) '!CJ14</f>
        <v>1.540066497</v>
      </c>
      <c r="W14" s="1053">
        <f>'1.BC_Ra Soat (ty) '!CO14</f>
        <v>0</v>
      </c>
      <c r="X14" s="1053">
        <f t="shared" si="12"/>
        <v>18.194325678000002</v>
      </c>
      <c r="Y14" s="1053">
        <f>'1.BC_Ra Soat (ty) '!DI14</f>
        <v>18.194325678000002</v>
      </c>
      <c r="Z14" s="979">
        <f>SUMIFS('1.DC_Muc tieu'!$F:$F,'1.DC_Muc tieu'!$D:$D,'1.BC_Muc tieu (ty) '!D14)-SUMIFS('1.DC_Muc tieu'!$F:$F,'1.DC_Muc tieu'!$E:$E,'1.BC_Muc tieu (ty) '!D14)</f>
        <v>0</v>
      </c>
      <c r="AA14" s="979">
        <f>SUMIFS('1.DC_Muc tieu'!$G:$G,'1.DC_Muc tieu'!$D:$D,'1.BC_Muc tieu (ty) '!D14)-SUMIFS('1.DC_Muc tieu'!$G:$G,'1.DC_Muc tieu'!$E:$E,'1.BC_Muc tieu (ty) '!D14)</f>
        <v>0</v>
      </c>
      <c r="AB14" s="979">
        <f>SUMIFS('1.DC_Muc tieu'!$H:$H,'1.DC_Muc tieu'!$E:$E,'1.BC_Muc tieu (ty) '!D14)-SUMIFS('1.DC_Muc tieu'!$H:$H,'1.DC_Muc tieu'!$D:$D,'1.BC_Muc tieu (ty) '!D14)</f>
        <v>0</v>
      </c>
      <c r="AC14" s="979">
        <f>SUMIFS('1.DC_Muc tieu'!$H:$H,'1.DC_Muc tieu'!$E:$E,'1.BC_Muc tieu (ty) '!E14)-SUMIFS('1.DC_Muc tieu'!$H:$H,'1.DC_Muc tieu'!$D:$D,'1.BC_Muc tieu (ty) '!E14)</f>
        <v>0</v>
      </c>
      <c r="AD14" s="979">
        <f>SUMIFS('1.DC_Muc tieu'!$J:$J,'1.DC_Muc tieu'!$E:$E,'1.BC_Muc tieu (ty) '!F14)-SUMIFS('1.DC_Muc tieu'!$J:$J,'1.DC_Muc tieu'!$D:$D,'1.BC_Muc tieu (ty) '!F14)</f>
        <v>0</v>
      </c>
      <c r="AE14" s="979">
        <f t="shared" si="13"/>
        <v>0</v>
      </c>
      <c r="AF14" s="979">
        <f>S14+Z14</f>
        <v>12.548808701</v>
      </c>
      <c r="AG14" s="979">
        <f t="shared" si="5"/>
        <v>1.8905604439999999</v>
      </c>
      <c r="AH14" s="979">
        <f t="shared" si="6"/>
        <v>2.2148900359999999</v>
      </c>
      <c r="AI14" s="979">
        <f t="shared" si="7"/>
        <v>1.540066497</v>
      </c>
      <c r="AJ14" s="979">
        <f t="shared" si="8"/>
        <v>0</v>
      </c>
      <c r="AK14" s="979">
        <f t="shared" si="9"/>
        <v>18.194325678000002</v>
      </c>
      <c r="AL14" s="1076">
        <f t="shared" si="15"/>
        <v>18.194325678000002</v>
      </c>
      <c r="AN14" s="1054"/>
    </row>
    <row r="15" spans="1:40" s="888" customFormat="1" x14ac:dyDescent="0.25">
      <c r="A15" s="1052" t="str">
        <f t="shared" si="4"/>
        <v>hide</v>
      </c>
      <c r="B15" s="612"/>
      <c r="C15" s="889" t="s">
        <v>650</v>
      </c>
      <c r="D15" s="890"/>
      <c r="E15" s="1053">
        <f>'1.BC_Ra Soat (ty) '!BS15</f>
        <v>0</v>
      </c>
      <c r="F15" s="1053">
        <f>'1.BC_Ra Soat (ty) '!BX15</f>
        <v>0</v>
      </c>
      <c r="G15" s="1053">
        <f>'1.BC_Ra Soat (ty) '!CC15</f>
        <v>0</v>
      </c>
      <c r="H15" s="1053">
        <f>'1.BC_Ra Soat (ty) '!CH15</f>
        <v>0</v>
      </c>
      <c r="I15" s="1053">
        <f>'1.BC_Ra Soat (ty) '!CM15</f>
        <v>0</v>
      </c>
      <c r="J15" s="1053">
        <f t="shared" si="10"/>
        <v>0</v>
      </c>
      <c r="K15" s="1053">
        <f>'1.BC_Ra Soat (ty) '!DG15</f>
        <v>0</v>
      </c>
      <c r="L15" s="1053">
        <f>'1.BC_Ra Soat (ty) '!BT15</f>
        <v>0</v>
      </c>
      <c r="M15" s="1053">
        <f>'1.BC_Ra Soat (ty) '!BY15</f>
        <v>0</v>
      </c>
      <c r="N15" s="1053">
        <f>'1.BC_Ra Soat (ty) '!CD15</f>
        <v>0</v>
      </c>
      <c r="O15" s="1053">
        <f>'1.BC_Ra Soat (ty) '!CI15</f>
        <v>0</v>
      </c>
      <c r="P15" s="1053">
        <f>'1.BC_Ra Soat (ty) '!CN15</f>
        <v>0</v>
      </c>
      <c r="Q15" s="1053">
        <f t="shared" si="11"/>
        <v>0</v>
      </c>
      <c r="R15" s="1053">
        <f>'1.BC_Ra Soat (ty) '!DH15</f>
        <v>0</v>
      </c>
      <c r="S15" s="1053">
        <f>'1.BC_Ra Soat (ty) '!BU15</f>
        <v>0</v>
      </c>
      <c r="T15" s="1053">
        <f>'1.BC_Ra Soat (ty) '!BZ15</f>
        <v>0</v>
      </c>
      <c r="U15" s="1053">
        <f>'1.BC_Ra Soat (ty) '!CE15</f>
        <v>0</v>
      </c>
      <c r="V15" s="1053">
        <f>'1.BC_Ra Soat (ty) '!CJ15</f>
        <v>0</v>
      </c>
      <c r="W15" s="1053">
        <f>'1.BC_Ra Soat (ty) '!CO15</f>
        <v>0</v>
      </c>
      <c r="X15" s="1053">
        <f t="shared" si="12"/>
        <v>0</v>
      </c>
      <c r="Y15" s="1053">
        <f>'1.BC_Ra Soat (ty) '!DI15</f>
        <v>0</v>
      </c>
      <c r="Z15" s="979"/>
      <c r="AA15" s="979"/>
      <c r="AB15" s="979">
        <f>SUMIFS('1.DC_Muc tieu'!$H:$H,'1.DC_Muc tieu'!$E:$E,'1.BC_Muc tieu (ty) '!D15)-SUMIFS('1.DC_Muc tieu'!$H:$H,'1.DC_Muc tieu'!$D:$D,'1.BC_Muc tieu (ty) '!D15)</f>
        <v>0</v>
      </c>
      <c r="AC15" s="979">
        <f>SUMIFS('1.DC_Muc tieu'!$H:$H,'1.DC_Muc tieu'!$E:$E,'1.BC_Muc tieu (ty) '!E15)-SUMIFS('1.DC_Muc tieu'!$H:$H,'1.DC_Muc tieu'!$D:$D,'1.BC_Muc tieu (ty) '!E15)</f>
        <v>0</v>
      </c>
      <c r="AD15" s="979">
        <f>SUMIFS('1.DC_Muc tieu'!$J:$J,'1.DC_Muc tieu'!$E:$E,'1.BC_Muc tieu (ty) '!F15)-SUMIFS('1.DC_Muc tieu'!$J:$J,'1.DC_Muc tieu'!$D:$D,'1.BC_Muc tieu (ty) '!F15)</f>
        <v>0</v>
      </c>
      <c r="AE15" s="979">
        <f t="shared" si="13"/>
        <v>0</v>
      </c>
      <c r="AF15" s="979">
        <f t="shared" si="14"/>
        <v>0</v>
      </c>
      <c r="AG15" s="979">
        <f t="shared" si="5"/>
        <v>0</v>
      </c>
      <c r="AH15" s="979">
        <f t="shared" si="6"/>
        <v>0</v>
      </c>
      <c r="AI15" s="979">
        <f t="shared" si="7"/>
        <v>0</v>
      </c>
      <c r="AJ15" s="979">
        <f t="shared" si="8"/>
        <v>0</v>
      </c>
      <c r="AK15" s="979">
        <f t="shared" si="9"/>
        <v>0</v>
      </c>
      <c r="AL15" s="979">
        <f t="shared" si="15"/>
        <v>0</v>
      </c>
      <c r="AN15" s="1054"/>
    </row>
    <row r="16" spans="1:40" x14ac:dyDescent="0.25">
      <c r="A16" s="1014">
        <f t="shared" si="4"/>
        <v>1</v>
      </c>
      <c r="C16" s="1069" t="s">
        <v>201</v>
      </c>
      <c r="D16" s="1070" t="s">
        <v>282</v>
      </c>
      <c r="E16" s="1066">
        <f>'1.BC_Ra Soat (ty) '!BS16</f>
        <v>0</v>
      </c>
      <c r="F16" s="1066">
        <f>'1.BC_Ra Soat (ty) '!BX16</f>
        <v>0</v>
      </c>
      <c r="G16" s="1066">
        <f>'1.BC_Ra Soat (ty) '!CC16</f>
        <v>0</v>
      </c>
      <c r="H16" s="1066">
        <f>'1.BC_Ra Soat (ty) '!CH16</f>
        <v>0</v>
      </c>
      <c r="I16" s="1066">
        <f>'1.BC_Ra Soat (ty) '!CM16</f>
        <v>0</v>
      </c>
      <c r="J16" s="1066">
        <f t="shared" si="10"/>
        <v>0</v>
      </c>
      <c r="K16" s="1066">
        <f>'1.BC_Ra Soat (ty) '!DG16</f>
        <v>0</v>
      </c>
      <c r="L16" s="1066">
        <f>'1.BC_Ra Soat (ty) '!BT16</f>
        <v>0</v>
      </c>
      <c r="M16" s="1066">
        <f>'1.BC_Ra Soat (ty) '!BY16</f>
        <v>0</v>
      </c>
      <c r="N16" s="1066">
        <f>'1.BC_Ra Soat (ty) '!CD16</f>
        <v>0</v>
      </c>
      <c r="O16" s="1066">
        <f>'1.BC_Ra Soat (ty) '!CI16</f>
        <v>0</v>
      </c>
      <c r="P16" s="1066">
        <f>'1.BC_Ra Soat (ty) '!CN16</f>
        <v>0</v>
      </c>
      <c r="Q16" s="1066">
        <f t="shared" si="11"/>
        <v>0</v>
      </c>
      <c r="R16" s="1066">
        <f>'1.BC_Ra Soat (ty) '!DH16</f>
        <v>0</v>
      </c>
      <c r="S16" s="1066">
        <f>'1.BC_Ra Soat (ty) '!BU16</f>
        <v>0</v>
      </c>
      <c r="T16" s="1066">
        <f>'1.BC_Ra Soat (ty) '!BZ16</f>
        <v>0.24060000000000001</v>
      </c>
      <c r="U16" s="1066">
        <f>'1.BC_Ra Soat (ty) '!CE16</f>
        <v>0</v>
      </c>
      <c r="V16" s="1066">
        <f>'1.BC_Ra Soat (ty) '!CJ16</f>
        <v>0</v>
      </c>
      <c r="W16" s="1066">
        <f>'1.BC_Ra Soat (ty) '!CO16</f>
        <v>0</v>
      </c>
      <c r="X16" s="1066">
        <f t="shared" si="12"/>
        <v>0.24060000000000001</v>
      </c>
      <c r="Y16" s="1066">
        <f>'1.BC_Ra Soat (ty) '!DI16</f>
        <v>0.24060000000000001</v>
      </c>
      <c r="Z16" s="1068">
        <f>SUMIFS('1.DC_Muc tieu'!$F:$F,'1.DC_Muc tieu'!$D:$D,'1.BC_Muc tieu (ty) '!D16)-SUMIFS('1.DC_Muc tieu'!$F:$F,'1.DC_Muc tieu'!$E:$E,'1.BC_Muc tieu (ty) '!D16)</f>
        <v>0</v>
      </c>
      <c r="AA16" s="1068">
        <f>SUMIFS('1.DC_Muc tieu'!$G:$G,'1.DC_Muc tieu'!$D:$D,'1.BC_Muc tieu (ty) '!D16)-SUMIFS('1.DC_Muc tieu'!$G:$G,'1.DC_Muc tieu'!$E:$E,'1.BC_Muc tieu (ty) '!D16)</f>
        <v>0</v>
      </c>
      <c r="AB16" s="1068">
        <f>SUMIFS('1.DC_Muc tieu'!$H:$H,'1.DC_Muc tieu'!$E:$E,'1.BC_Muc tieu (ty) '!D16)-SUMIFS('1.DC_Muc tieu'!$H:$H,'1.DC_Muc tieu'!$D:$D,'1.BC_Muc tieu (ty) '!D16)</f>
        <v>0</v>
      </c>
      <c r="AC16" s="1068">
        <f>SUMIFS('1.DC_Muc tieu'!$H:$H,'1.DC_Muc tieu'!$E:$E,'1.BC_Muc tieu (ty) '!E16)-SUMIFS('1.DC_Muc tieu'!$H:$H,'1.DC_Muc tieu'!$D:$D,'1.BC_Muc tieu (ty) '!E16)</f>
        <v>0</v>
      </c>
      <c r="AD16" s="1068">
        <f>SUMIFS('1.DC_Muc tieu'!$J:$J,'1.DC_Muc tieu'!$E:$E,'1.BC_Muc tieu (ty) '!F16)-SUMIFS('1.DC_Muc tieu'!$J:$J,'1.DC_Muc tieu'!$D:$D,'1.BC_Muc tieu (ty) '!F16)</f>
        <v>0</v>
      </c>
      <c r="AE16" s="1068">
        <f t="shared" si="13"/>
        <v>0</v>
      </c>
      <c r="AF16" s="1068">
        <f t="shared" si="14"/>
        <v>0</v>
      </c>
      <c r="AG16" s="1068">
        <f t="shared" si="5"/>
        <v>0.24060000000000001</v>
      </c>
      <c r="AH16" s="1068">
        <f t="shared" si="6"/>
        <v>0</v>
      </c>
      <c r="AI16" s="1068">
        <f t="shared" si="7"/>
        <v>0</v>
      </c>
      <c r="AJ16" s="1068">
        <f t="shared" si="8"/>
        <v>0</v>
      </c>
      <c r="AK16" s="1068">
        <f t="shared" si="9"/>
        <v>0.24060000000000001</v>
      </c>
      <c r="AL16" s="1075">
        <f t="shared" si="15"/>
        <v>0.24060000000000001</v>
      </c>
      <c r="AN16" s="601"/>
    </row>
    <row r="17" spans="1:40" x14ac:dyDescent="0.25">
      <c r="A17" s="1014">
        <f t="shared" si="4"/>
        <v>1</v>
      </c>
      <c r="C17" s="891" t="s">
        <v>202</v>
      </c>
      <c r="D17" s="892" t="s">
        <v>283</v>
      </c>
      <c r="E17" s="1047">
        <f>'1.BC_Ra Soat (ty) '!BS17</f>
        <v>11.423662819</v>
      </c>
      <c r="F17" s="1047">
        <f>'1.BC_Ra Soat (ty) '!BX17</f>
        <v>1.4542276380000001</v>
      </c>
      <c r="G17" s="1047">
        <f>'1.BC_Ra Soat (ty) '!CC17</f>
        <v>5.7251047909999997</v>
      </c>
      <c r="H17" s="1047">
        <f>'1.BC_Ra Soat (ty) '!CH17</f>
        <v>1.2470011860000001</v>
      </c>
      <c r="I17" s="1047">
        <f>'1.BC_Ra Soat (ty) '!CM17</f>
        <v>0</v>
      </c>
      <c r="J17" s="1047">
        <f t="shared" si="10"/>
        <v>19.849996433999998</v>
      </c>
      <c r="K17" s="1047">
        <f>'1.BC_Ra Soat (ty) '!DG17</f>
        <v>19.849996433999998</v>
      </c>
      <c r="L17" s="1047">
        <f>'1.BC_Ra Soat (ty) '!BT17</f>
        <v>7.4653001469999998</v>
      </c>
      <c r="M17" s="1047">
        <f>'1.BC_Ra Soat (ty) '!BY17</f>
        <v>2.0635634039999999</v>
      </c>
      <c r="N17" s="1047">
        <f>'1.BC_Ra Soat (ty) '!CD17</f>
        <v>1.648893959</v>
      </c>
      <c r="O17" s="1047">
        <f>'1.BC_Ra Soat (ty) '!CI17</f>
        <v>1.246767325</v>
      </c>
      <c r="P17" s="1047">
        <f>'1.BC_Ra Soat (ty) '!CN17</f>
        <v>0</v>
      </c>
      <c r="Q17" s="1047">
        <f t="shared" si="11"/>
        <v>12.424524835000001</v>
      </c>
      <c r="R17" s="1047">
        <f>'1.BC_Ra Soat (ty) '!DH17</f>
        <v>12.424524835000001</v>
      </c>
      <c r="S17" s="1047">
        <f>'1.BC_Ra Soat (ty) '!BU17</f>
        <v>15.042599238000001</v>
      </c>
      <c r="T17" s="1047">
        <f>'1.BC_Ra Soat (ty) '!BZ17</f>
        <v>0.38042038900000003</v>
      </c>
      <c r="U17" s="1047">
        <f>'1.BC_Ra Soat (ty) '!CE17</f>
        <v>6.6595841460000003</v>
      </c>
      <c r="V17" s="1047">
        <f>'1.BC_Ra Soat (ty) '!CJ17</f>
        <v>6.1389169819999996</v>
      </c>
      <c r="W17" s="1047">
        <f>'1.BC_Ra Soat (ty) '!CO17</f>
        <v>0</v>
      </c>
      <c r="X17" s="1047">
        <f t="shared" si="12"/>
        <v>28.221520755</v>
      </c>
      <c r="Y17" s="1047">
        <f>'1.BC_Ra Soat (ty) '!DI17</f>
        <v>28.221520755</v>
      </c>
      <c r="Z17" s="980">
        <f>SUMIFS('1.DC_Muc tieu'!$F:$F,'1.DC_Muc tieu'!$D:$D,'1.BC_Muc tieu (ty) '!D17)-SUMIFS('1.DC_Muc tieu'!$F:$F,'1.DC_Muc tieu'!$E:$E,'1.BC_Muc tieu (ty) '!D17)</f>
        <v>0</v>
      </c>
      <c r="AA17" s="980">
        <f>SUMIFS('1.DC_Muc tieu'!$G:$G,'1.DC_Muc tieu'!$D:$D,'1.BC_Muc tieu (ty) '!D17)-SUMIFS('1.DC_Muc tieu'!$G:$G,'1.DC_Muc tieu'!$E:$E,'1.BC_Muc tieu (ty) '!D17)</f>
        <v>0</v>
      </c>
      <c r="AB17" s="980">
        <f>SUMIFS('1.DC_Muc tieu'!$H:$H,'1.DC_Muc tieu'!$E:$E,'1.BC_Muc tieu (ty) '!D17)-SUMIFS('1.DC_Muc tieu'!$H:$H,'1.DC_Muc tieu'!$D:$D,'1.BC_Muc tieu (ty) '!D17)</f>
        <v>0</v>
      </c>
      <c r="AC17" s="980">
        <f>SUMIFS('1.DC_Muc tieu'!$H:$H,'1.DC_Muc tieu'!$E:$E,'1.BC_Muc tieu (ty) '!E17)-SUMIFS('1.DC_Muc tieu'!$H:$H,'1.DC_Muc tieu'!$D:$D,'1.BC_Muc tieu (ty) '!E17)</f>
        <v>0</v>
      </c>
      <c r="AD17" s="980">
        <f>SUMIFS('1.DC_Muc tieu'!$J:$J,'1.DC_Muc tieu'!$E:$E,'1.BC_Muc tieu (ty) '!F17)-SUMIFS('1.DC_Muc tieu'!$J:$J,'1.DC_Muc tieu'!$D:$D,'1.BC_Muc tieu (ty) '!F17)</f>
        <v>0</v>
      </c>
      <c r="AE17" s="980">
        <f t="shared" si="13"/>
        <v>0</v>
      </c>
      <c r="AF17" s="980">
        <f t="shared" si="14"/>
        <v>15.042599238000001</v>
      </c>
      <c r="AG17" s="980">
        <f t="shared" si="5"/>
        <v>0.38042038900000003</v>
      </c>
      <c r="AH17" s="980">
        <f t="shared" si="6"/>
        <v>6.6595841460000003</v>
      </c>
      <c r="AI17" s="980">
        <f t="shared" si="7"/>
        <v>6.1389169819999996</v>
      </c>
      <c r="AJ17" s="980">
        <f t="shared" si="8"/>
        <v>0</v>
      </c>
      <c r="AK17" s="980">
        <f t="shared" si="9"/>
        <v>28.221520755</v>
      </c>
      <c r="AL17" s="1073">
        <f t="shared" si="15"/>
        <v>28.221520755</v>
      </c>
      <c r="AN17" s="601"/>
    </row>
    <row r="18" spans="1:40" s="590" customFormat="1" ht="40.9" customHeight="1" x14ac:dyDescent="0.25">
      <c r="A18" s="1014">
        <f t="shared" si="4"/>
        <v>1</v>
      </c>
      <c r="B18" s="605"/>
      <c r="C18" s="1062" t="s">
        <v>203</v>
      </c>
      <c r="D18" s="1063" t="s">
        <v>284</v>
      </c>
      <c r="E18" s="1060">
        <f>E11+(E12-E13)-E16-E17</f>
        <v>0.84430532200001807</v>
      </c>
      <c r="F18" s="1060">
        <f t="shared" ref="F18:AL18" si="18">F11+(F12-F13)-F16-F17</f>
        <v>0.20598159800000082</v>
      </c>
      <c r="G18" s="1060">
        <f t="shared" si="18"/>
        <v>-2.6470748999997795E-2</v>
      </c>
      <c r="H18" s="1060">
        <f t="shared" si="18"/>
        <v>2.4373419999996093E-2</v>
      </c>
      <c r="I18" s="1060">
        <f t="shared" si="18"/>
        <v>0</v>
      </c>
      <c r="J18" s="1060">
        <f t="shared" si="18"/>
        <v>1.0481895910000176</v>
      </c>
      <c r="K18" s="1060">
        <f t="shared" si="18"/>
        <v>1.0481895910000176</v>
      </c>
      <c r="L18" s="1060">
        <f t="shared" si="18"/>
        <v>-10.641197078000005</v>
      </c>
      <c r="M18" s="1060">
        <f t="shared" si="18"/>
        <v>-6.0224059699999897</v>
      </c>
      <c r="N18" s="1060">
        <f t="shared" si="18"/>
        <v>3.0111094999996535E-2</v>
      </c>
      <c r="O18" s="1060">
        <f t="shared" si="18"/>
        <v>-2.8113419040000025</v>
      </c>
      <c r="P18" s="1060">
        <f t="shared" si="18"/>
        <v>0</v>
      </c>
      <c r="Q18" s="1060">
        <f t="shared" si="18"/>
        <v>-19.444833857000042</v>
      </c>
      <c r="R18" s="1060">
        <f>R11+(R12-R13)-R16-R17</f>
        <v>-19.444833857000042</v>
      </c>
      <c r="S18" s="1060">
        <f t="shared" si="18"/>
        <v>4.7560066610000291</v>
      </c>
      <c r="T18" s="1060">
        <f t="shared" si="18"/>
        <v>30.500467824000008</v>
      </c>
      <c r="U18" s="1060">
        <f t="shared" si="18"/>
        <v>-8.4244272739999957</v>
      </c>
      <c r="V18" s="1060">
        <f t="shared" si="18"/>
        <v>-6.9746399510000003</v>
      </c>
      <c r="W18" s="1060">
        <f t="shared" si="18"/>
        <v>0</v>
      </c>
      <c r="X18" s="1060">
        <f t="shared" si="18"/>
        <v>19.857407260000024</v>
      </c>
      <c r="Y18" s="1060">
        <f t="shared" si="18"/>
        <v>19.857407260000024</v>
      </c>
      <c r="Z18" s="1060">
        <f t="shared" si="18"/>
        <v>0</v>
      </c>
      <c r="AA18" s="1060">
        <f t="shared" si="18"/>
        <v>0</v>
      </c>
      <c r="AB18" s="1060">
        <f t="shared" si="18"/>
        <v>0</v>
      </c>
      <c r="AC18" s="1060">
        <f t="shared" si="18"/>
        <v>0</v>
      </c>
      <c r="AD18" s="1060">
        <f t="shared" si="18"/>
        <v>0</v>
      </c>
      <c r="AE18" s="1060">
        <f t="shared" si="18"/>
        <v>0</v>
      </c>
      <c r="AF18" s="1060">
        <f t="shared" si="18"/>
        <v>4.7560066610000291</v>
      </c>
      <c r="AG18" s="1060">
        <f t="shared" si="18"/>
        <v>30.500467824000008</v>
      </c>
      <c r="AH18" s="1060">
        <f t="shared" si="18"/>
        <v>-8.4244272739999957</v>
      </c>
      <c r="AI18" s="1060">
        <f t="shared" si="18"/>
        <v>-6.9746399510000003</v>
      </c>
      <c r="AJ18" s="1060">
        <f t="shared" si="18"/>
        <v>0</v>
      </c>
      <c r="AK18" s="1060">
        <f t="shared" si="18"/>
        <v>19.857407260000024</v>
      </c>
      <c r="AL18" s="1074">
        <f t="shared" si="18"/>
        <v>19.857407260000024</v>
      </c>
      <c r="AN18" s="884"/>
    </row>
    <row r="19" spans="1:40" x14ac:dyDescent="0.25">
      <c r="A19" s="1014">
        <f t="shared" si="4"/>
        <v>1</v>
      </c>
      <c r="C19" s="891" t="s">
        <v>204</v>
      </c>
      <c r="D19" s="892" t="s">
        <v>285</v>
      </c>
      <c r="E19" s="1047">
        <f>'1.BC_Ra Soat (ty) '!BS19</f>
        <v>1.7769467590000001</v>
      </c>
      <c r="F19" s="1047">
        <f>'1.BC_Ra Soat (ty) '!BX19</f>
        <v>3.3E-3</v>
      </c>
      <c r="G19" s="1047">
        <f>'1.BC_Ra Soat (ty) '!CC19</f>
        <v>0.18183566200000001</v>
      </c>
      <c r="H19" s="1047">
        <f>'1.BC_Ra Soat (ty) '!CH19</f>
        <v>0</v>
      </c>
      <c r="I19" s="1047">
        <f>'1.BC_Ra Soat (ty) '!CM19</f>
        <v>0</v>
      </c>
      <c r="J19" s="1047">
        <f t="shared" si="10"/>
        <v>1.9620824210000003</v>
      </c>
      <c r="K19" s="1047">
        <f>'1.BC_Ra Soat (ty) '!DG19</f>
        <v>1.9620824210000003</v>
      </c>
      <c r="L19" s="1047">
        <f>'1.BC_Ra Soat (ty) '!BT19</f>
        <v>0.10625</v>
      </c>
      <c r="M19" s="1047">
        <f>'1.BC_Ra Soat (ty) '!BY19</f>
        <v>0</v>
      </c>
      <c r="N19" s="1047">
        <f>'1.BC_Ra Soat (ty) '!CD19</f>
        <v>2.817796296</v>
      </c>
      <c r="O19" s="1047">
        <f>'1.BC_Ra Soat (ty) '!CI19</f>
        <v>0.185185185</v>
      </c>
      <c r="P19" s="1047">
        <f>'1.BC_Ra Soat (ty) '!CN19</f>
        <v>0</v>
      </c>
      <c r="Q19" s="1047">
        <f t="shared" si="11"/>
        <v>3.1092314810000001</v>
      </c>
      <c r="R19" s="1047">
        <f>'1.BC_Ra Soat (ty) '!DH19</f>
        <v>3.1092314810000001</v>
      </c>
      <c r="S19" s="1047">
        <f>'1.BC_Ra Soat (ty) '!BU19</f>
        <v>2.3752535000000002E-2</v>
      </c>
      <c r="T19" s="1047">
        <f>'1.BC_Ra Soat (ty) '!BZ19</f>
        <v>2.1050000000000001E-3</v>
      </c>
      <c r="U19" s="1047">
        <f>'1.BC_Ra Soat (ty) '!CE19</f>
        <v>4.8000009999999999E-3</v>
      </c>
      <c r="V19" s="1047">
        <f>'1.BC_Ra Soat (ty) '!CJ19</f>
        <v>0</v>
      </c>
      <c r="W19" s="1047">
        <f>'1.BC_Ra Soat (ty) '!CO19</f>
        <v>0</v>
      </c>
      <c r="X19" s="1047">
        <f t="shared" si="12"/>
        <v>3.0657535999999999E-2</v>
      </c>
      <c r="Y19" s="1047">
        <f>'1.BC_Ra Soat (ty) '!DI19</f>
        <v>3.0657535999999999E-2</v>
      </c>
      <c r="Z19" s="980">
        <f>SUMIFS('1.DC_Muc tieu'!$F:$F,'1.DC_Muc tieu'!$E:$E,'1.BC_Muc tieu (ty) '!D19)-SUMIFS('1.DC_Muc tieu'!$F:$F,'1.DC_Muc tieu'!$D:$D,'1.BC_Muc tieu (ty) '!D19)</f>
        <v>0</v>
      </c>
      <c r="AA19" s="980">
        <f>SUMIFS('1.DC_Muc tieu'!$G:$G,'1.DC_Muc tieu'!$E:$E,'1.BC_Muc tieu (ty) '!D19)-SUMIFS('1.DC_Muc tieu'!$G:$G,'1.DC_Muc tieu'!$D:$D,'1.BC_Muc tieu (ty) '!D19)</f>
        <v>0</v>
      </c>
      <c r="AB19" s="980">
        <f>SUMIFS('1.DC_Muc tieu'!$H:$H,'1.DC_Muc tieu'!$E:$E,'1.BC_Muc tieu (ty) '!D19)-SUMIFS('1.DC_Muc tieu'!$H:$H,'1.DC_Muc tieu'!$D:$D,'1.BC_Muc tieu (ty) '!D19)</f>
        <v>0</v>
      </c>
      <c r="AC19" s="980">
        <f>SUMIFS('1.DC_Muc tieu'!$H:$H,'1.DC_Muc tieu'!$E:$E,'1.BC_Muc tieu (ty) '!$D19)-SUMIFS('1.DC_Muc tieu'!$H:$H,'1.DC_Muc tieu'!$D:$D,'1.BC_Muc tieu (ty) '!$D19)</f>
        <v>0</v>
      </c>
      <c r="AD19" s="980">
        <f>SUMIFS('1.DC_Muc tieu'!$J:$J,'1.DC_Muc tieu'!$E:$E,'1.BC_Muc tieu (ty) '!$D19)-SUMIFS('1.DC_Muc tieu'!$J:$J,'1.DC_Muc tieu'!$D:$D,'1.BC_Muc tieu (ty) '!$D19)</f>
        <v>0</v>
      </c>
      <c r="AE19" s="980">
        <f t="shared" si="13"/>
        <v>0</v>
      </c>
      <c r="AF19" s="980">
        <f t="shared" si="14"/>
        <v>2.3752535000000002E-2</v>
      </c>
      <c r="AG19" s="980">
        <f t="shared" si="5"/>
        <v>2.1050000000000001E-3</v>
      </c>
      <c r="AH19" s="980">
        <f t="shared" si="6"/>
        <v>4.8000009999999999E-3</v>
      </c>
      <c r="AI19" s="980">
        <f t="shared" si="7"/>
        <v>0</v>
      </c>
      <c r="AJ19" s="980">
        <f t="shared" si="8"/>
        <v>0</v>
      </c>
      <c r="AK19" s="980">
        <f t="shared" si="9"/>
        <v>3.0657535999999999E-2</v>
      </c>
      <c r="AL19" s="1073">
        <f t="shared" si="15"/>
        <v>3.0657535999999999E-2</v>
      </c>
      <c r="AN19" s="601"/>
    </row>
    <row r="20" spans="1:40" x14ac:dyDescent="0.25">
      <c r="A20" s="1014">
        <f t="shared" si="4"/>
        <v>1</v>
      </c>
      <c r="C20" s="1069" t="s">
        <v>205</v>
      </c>
      <c r="D20" s="1070" t="s">
        <v>286</v>
      </c>
      <c r="E20" s="1066">
        <f>'1.BC_Ra Soat (ty) '!BS20</f>
        <v>2.4503713220000001</v>
      </c>
      <c r="F20" s="1066">
        <f>'1.BC_Ra Soat (ty) '!BX20</f>
        <v>0</v>
      </c>
      <c r="G20" s="1066">
        <f>'1.BC_Ra Soat (ty) '!CC20</f>
        <v>7.8282826999999999E-2</v>
      </c>
      <c r="H20" s="1066">
        <f>'1.BC_Ra Soat (ty) '!CH20</f>
        <v>0</v>
      </c>
      <c r="I20" s="1066">
        <f>'1.BC_Ra Soat (ty) '!CM20</f>
        <v>0</v>
      </c>
      <c r="J20" s="1066">
        <f t="shared" si="10"/>
        <v>2.5286541490000003</v>
      </c>
      <c r="K20" s="1066">
        <f>'1.BC_Ra Soat (ty) '!DG20</f>
        <v>2.5286541490000003</v>
      </c>
      <c r="L20" s="1066">
        <f>'1.BC_Ra Soat (ty) '!BT20</f>
        <v>0</v>
      </c>
      <c r="M20" s="1066">
        <f>'1.BC_Ra Soat (ty) '!BY20</f>
        <v>0</v>
      </c>
      <c r="N20" s="1066">
        <f>'1.BC_Ra Soat (ty) '!CD20</f>
        <v>2.8114731540000002</v>
      </c>
      <c r="O20" s="1066">
        <f>'1.BC_Ra Soat (ty) '!CI20</f>
        <v>0.57303749999999998</v>
      </c>
      <c r="P20" s="1066">
        <f>'1.BC_Ra Soat (ty) '!CN20</f>
        <v>0</v>
      </c>
      <c r="Q20" s="1066">
        <f t="shared" si="11"/>
        <v>3.3845106540000001</v>
      </c>
      <c r="R20" s="1066">
        <f>'1.BC_Ra Soat (ty) '!DH20</f>
        <v>3.3845106540000001</v>
      </c>
      <c r="S20" s="1066">
        <f>'1.BC_Ra Soat (ty) '!BU20</f>
        <v>0.15272697199999999</v>
      </c>
      <c r="T20" s="1066">
        <f>'1.BC_Ra Soat (ty) '!BZ20</f>
        <v>3.8000099999999998E-4</v>
      </c>
      <c r="U20" s="1066">
        <f>'1.BC_Ra Soat (ty) '!CE20</f>
        <v>0</v>
      </c>
      <c r="V20" s="1066">
        <f>'1.BC_Ra Soat (ty) '!CJ20</f>
        <v>2.2713210000000002E-3</v>
      </c>
      <c r="W20" s="1066">
        <f>'1.BC_Ra Soat (ty) '!CO20</f>
        <v>0</v>
      </c>
      <c r="X20" s="1066">
        <f t="shared" si="12"/>
        <v>0.15537829399999997</v>
      </c>
      <c r="Y20" s="1066">
        <f>'1.BC_Ra Soat (ty) '!DI20</f>
        <v>0.15537829399999997</v>
      </c>
      <c r="Z20" s="1068">
        <f>SUMIFS('1.DC_Muc tieu'!$F:$F,'1.DC_Muc tieu'!$D:$D,'1.BC_Muc tieu (ty) '!D20)-SUMIFS('1.DC_Muc tieu'!$F:$F,'1.DC_Muc tieu'!$E:$E,'1.BC_Muc tieu (ty) '!D20)</f>
        <v>0</v>
      </c>
      <c r="AA20" s="1068">
        <f>SUMIFS('1.DC_Muc tieu'!$G:$G,'1.DC_Muc tieu'!$D:$D,'1.BC_Muc tieu (ty) '!D20)-SUMIFS('1.DC_Muc tieu'!$G:$G,'1.DC_Muc tieu'!$E:$E,'1.BC_Muc tieu (ty) '!D20)</f>
        <v>0</v>
      </c>
      <c r="AB20" s="1068">
        <f>SUMIFS('1.DC_Muc tieu'!$H:$H,'1.DC_Muc tieu'!$E:$E,'1.BC_Muc tieu (ty) '!D20)-SUMIFS('1.DC_Muc tieu'!$H:$H,'1.DC_Muc tieu'!$D:$D,'1.BC_Muc tieu (ty) '!D20)</f>
        <v>0</v>
      </c>
      <c r="AC20" s="1068">
        <f>SUMIFS('1.DC_Muc tieu'!$I:$I,'1.DC_Muc tieu'!$E:$E,'1.BC_Muc tieu (ty) '!$D20)-SUMIFS('1.DC_Muc tieu'!$I:$I,'1.DC_Muc tieu'!$D:$D,'1.BC_Muc tieu (ty) '!$D20)</f>
        <v>0</v>
      </c>
      <c r="AD20" s="1068">
        <f>SUMIFS('1.DC_Muc tieu'!$J:$J,'1.DC_Muc tieu'!$E:$E,'1.BC_Muc tieu (ty) '!$D20)-SUMIFS('1.DC_Muc tieu'!$J:$J,'1.DC_Muc tieu'!$D:$D,'1.BC_Muc tieu (ty) '!$D20)</f>
        <v>0</v>
      </c>
      <c r="AE20" s="1068">
        <f t="shared" si="13"/>
        <v>0</v>
      </c>
      <c r="AF20" s="1068">
        <f t="shared" si="14"/>
        <v>0.15272697199999999</v>
      </c>
      <c r="AG20" s="1068">
        <f t="shared" si="5"/>
        <v>3.8000099999999998E-4</v>
      </c>
      <c r="AH20" s="1068">
        <f t="shared" si="6"/>
        <v>0</v>
      </c>
      <c r="AI20" s="1068">
        <f t="shared" si="7"/>
        <v>2.2713210000000002E-3</v>
      </c>
      <c r="AJ20" s="1068">
        <f t="shared" si="8"/>
        <v>0</v>
      </c>
      <c r="AK20" s="1068">
        <f t="shared" si="9"/>
        <v>0.15537829399999997</v>
      </c>
      <c r="AL20" s="1075">
        <f t="shared" si="15"/>
        <v>0.15537829399999997</v>
      </c>
      <c r="AN20" s="601"/>
    </row>
    <row r="21" spans="1:40" s="590" customFormat="1" x14ac:dyDescent="0.25">
      <c r="A21" s="1014">
        <f t="shared" si="4"/>
        <v>1</v>
      </c>
      <c r="B21" s="605"/>
      <c r="C21" s="886" t="s">
        <v>206</v>
      </c>
      <c r="D21" s="885" t="s">
        <v>287</v>
      </c>
      <c r="E21" s="978">
        <f>E19-E20</f>
        <v>-0.67342456299999998</v>
      </c>
      <c r="F21" s="978">
        <f t="shared" ref="F21:AL21" si="19">F19-F20</f>
        <v>3.3E-3</v>
      </c>
      <c r="G21" s="978">
        <f t="shared" si="19"/>
        <v>0.10355283500000001</v>
      </c>
      <c r="H21" s="978">
        <f t="shared" si="19"/>
        <v>0</v>
      </c>
      <c r="I21" s="978">
        <f t="shared" si="19"/>
        <v>0</v>
      </c>
      <c r="J21" s="978">
        <f t="shared" si="19"/>
        <v>-0.566571728</v>
      </c>
      <c r="K21" s="978">
        <f t="shared" si="19"/>
        <v>-0.566571728</v>
      </c>
      <c r="L21" s="978">
        <f t="shared" si="19"/>
        <v>0.10625</v>
      </c>
      <c r="M21" s="978">
        <f t="shared" si="19"/>
        <v>0</v>
      </c>
      <c r="N21" s="978">
        <f t="shared" si="19"/>
        <v>6.3231419999998373E-3</v>
      </c>
      <c r="O21" s="978">
        <f t="shared" si="19"/>
        <v>-0.38785231499999995</v>
      </c>
      <c r="P21" s="978">
        <f t="shared" si="19"/>
        <v>0</v>
      </c>
      <c r="Q21" s="978">
        <f t="shared" si="19"/>
        <v>-0.27527917299999993</v>
      </c>
      <c r="R21" s="978">
        <f t="shared" si="19"/>
        <v>-0.27527917299999993</v>
      </c>
      <c r="S21" s="978">
        <f t="shared" si="19"/>
        <v>-0.128974437</v>
      </c>
      <c r="T21" s="978">
        <f t="shared" si="19"/>
        <v>1.7249990000000001E-3</v>
      </c>
      <c r="U21" s="978">
        <f t="shared" si="19"/>
        <v>4.8000009999999999E-3</v>
      </c>
      <c r="V21" s="978">
        <f t="shared" si="19"/>
        <v>-2.2713210000000002E-3</v>
      </c>
      <c r="W21" s="978">
        <f t="shared" si="19"/>
        <v>0</v>
      </c>
      <c r="X21" s="978">
        <f t="shared" si="19"/>
        <v>-0.12472075799999997</v>
      </c>
      <c r="Y21" s="978">
        <f t="shared" si="19"/>
        <v>-0.12472075799999997</v>
      </c>
      <c r="Z21" s="978">
        <f t="shared" si="19"/>
        <v>0</v>
      </c>
      <c r="AA21" s="978">
        <f t="shared" si="19"/>
        <v>0</v>
      </c>
      <c r="AB21" s="978">
        <f t="shared" si="19"/>
        <v>0</v>
      </c>
      <c r="AC21" s="978">
        <f t="shared" si="19"/>
        <v>0</v>
      </c>
      <c r="AD21" s="978">
        <f t="shared" si="19"/>
        <v>0</v>
      </c>
      <c r="AE21" s="978">
        <f t="shared" si="19"/>
        <v>0</v>
      </c>
      <c r="AF21" s="978">
        <f t="shared" si="19"/>
        <v>-0.128974437</v>
      </c>
      <c r="AG21" s="978">
        <f t="shared" si="19"/>
        <v>1.7249990000000001E-3</v>
      </c>
      <c r="AH21" s="978">
        <f t="shared" si="19"/>
        <v>4.8000009999999999E-3</v>
      </c>
      <c r="AI21" s="978">
        <f t="shared" si="19"/>
        <v>-2.2713210000000002E-3</v>
      </c>
      <c r="AJ21" s="978">
        <f t="shared" si="19"/>
        <v>0</v>
      </c>
      <c r="AK21" s="978">
        <f t="shared" si="19"/>
        <v>-0.12472075799999997</v>
      </c>
      <c r="AL21" s="1077">
        <f t="shared" si="19"/>
        <v>-0.12472075799999997</v>
      </c>
      <c r="AN21" s="884"/>
    </row>
    <row r="22" spans="1:40" s="590" customFormat="1" ht="30" x14ac:dyDescent="0.25">
      <c r="A22" s="1014">
        <f t="shared" si="4"/>
        <v>1</v>
      </c>
      <c r="B22" s="605"/>
      <c r="C22" s="1062" t="s">
        <v>207</v>
      </c>
      <c r="D22" s="1063" t="s">
        <v>288</v>
      </c>
      <c r="E22" s="1060">
        <f>E18+E21</f>
        <v>0.17088075900001809</v>
      </c>
      <c r="F22" s="1060">
        <f t="shared" ref="F22:AL22" si="20">F18+F21</f>
        <v>0.20928159800000082</v>
      </c>
      <c r="G22" s="1060">
        <f t="shared" si="20"/>
        <v>7.7082086000002215E-2</v>
      </c>
      <c r="H22" s="1060">
        <f t="shared" si="20"/>
        <v>2.4373419999996093E-2</v>
      </c>
      <c r="I22" s="1060">
        <f t="shared" si="20"/>
        <v>0</v>
      </c>
      <c r="J22" s="1060">
        <f t="shared" si="20"/>
        <v>0.48161786300001763</v>
      </c>
      <c r="K22" s="1060">
        <f t="shared" si="20"/>
        <v>0.48161786300001763</v>
      </c>
      <c r="L22" s="1060">
        <f t="shared" si="20"/>
        <v>-10.534947078000005</v>
      </c>
      <c r="M22" s="1060">
        <f t="shared" si="20"/>
        <v>-6.0224059699999897</v>
      </c>
      <c r="N22" s="1060">
        <f t="shared" si="20"/>
        <v>3.6434236999996372E-2</v>
      </c>
      <c r="O22" s="1060">
        <f t="shared" si="20"/>
        <v>-3.1991942190000024</v>
      </c>
      <c r="P22" s="1060">
        <f t="shared" si="20"/>
        <v>0</v>
      </c>
      <c r="Q22" s="1060">
        <f t="shared" si="20"/>
        <v>-19.720113030000043</v>
      </c>
      <c r="R22" s="1060">
        <f t="shared" si="20"/>
        <v>-19.720113030000043</v>
      </c>
      <c r="S22" s="1060">
        <f t="shared" si="20"/>
        <v>4.627032224000029</v>
      </c>
      <c r="T22" s="1060">
        <f t="shared" si="20"/>
        <v>30.502192823000009</v>
      </c>
      <c r="U22" s="1060">
        <f t="shared" si="20"/>
        <v>-8.4196272729999961</v>
      </c>
      <c r="V22" s="1060">
        <f t="shared" si="20"/>
        <v>-6.9769112720000006</v>
      </c>
      <c r="W22" s="1060">
        <f t="shared" si="20"/>
        <v>0</v>
      </c>
      <c r="X22" s="1060">
        <f t="shared" si="20"/>
        <v>19.732686502000025</v>
      </c>
      <c r="Y22" s="1060">
        <f t="shared" si="20"/>
        <v>19.732686502000025</v>
      </c>
      <c r="Z22" s="1060">
        <f t="shared" si="20"/>
        <v>0</v>
      </c>
      <c r="AA22" s="1060">
        <f t="shared" si="20"/>
        <v>0</v>
      </c>
      <c r="AB22" s="1060">
        <f t="shared" si="20"/>
        <v>0</v>
      </c>
      <c r="AC22" s="1060">
        <f t="shared" si="20"/>
        <v>0</v>
      </c>
      <c r="AD22" s="1060">
        <f t="shared" si="20"/>
        <v>0</v>
      </c>
      <c r="AE22" s="1060">
        <f t="shared" si="20"/>
        <v>0</v>
      </c>
      <c r="AF22" s="1060">
        <f t="shared" si="20"/>
        <v>4.627032224000029</v>
      </c>
      <c r="AG22" s="1060">
        <f t="shared" si="20"/>
        <v>30.502192823000009</v>
      </c>
      <c r="AH22" s="1060">
        <f t="shared" si="20"/>
        <v>-8.4196272729999961</v>
      </c>
      <c r="AI22" s="1060">
        <f t="shared" si="20"/>
        <v>-6.9769112720000006</v>
      </c>
      <c r="AJ22" s="1060">
        <f t="shared" si="20"/>
        <v>0</v>
      </c>
      <c r="AK22" s="1060">
        <f t="shared" si="20"/>
        <v>19.732686502000025</v>
      </c>
      <c r="AL22" s="1074">
        <f t="shared" si="20"/>
        <v>19.732686502000025</v>
      </c>
      <c r="AN22" s="884"/>
    </row>
    <row r="23" spans="1:40" x14ac:dyDescent="0.25">
      <c r="A23" s="1014">
        <f t="shared" si="4"/>
        <v>1</v>
      </c>
      <c r="C23" s="1049" t="s">
        <v>208</v>
      </c>
      <c r="D23" s="1050" t="s">
        <v>289</v>
      </c>
      <c r="E23" s="1047">
        <f>'1.BC_Ra Soat (ty) '!BS23</f>
        <v>3.4176152000000001E-2</v>
      </c>
      <c r="F23" s="1047">
        <f>'1.BC_Ra Soat (ty) '!BX23</f>
        <v>0</v>
      </c>
      <c r="G23" s="1047">
        <f>'1.BC_Ra Soat (ty) '!CC23</f>
        <v>1.0791492E-2</v>
      </c>
      <c r="H23" s="1047">
        <f>'1.BC_Ra Soat (ty) '!CH23</f>
        <v>3.4122789999999998E-3</v>
      </c>
      <c r="I23" s="1047">
        <f>'1.BC_Ra Soat (ty) '!CM23</f>
        <v>0</v>
      </c>
      <c r="J23" s="1047">
        <f t="shared" si="10"/>
        <v>4.8379922999999998E-2</v>
      </c>
      <c r="K23" s="1047">
        <f>'1.BC_Ra Soat (ty) '!DG23</f>
        <v>4.8379922999999998E-2</v>
      </c>
      <c r="L23" s="1047">
        <f>'1.BC_Ra Soat (ty) '!BT23</f>
        <v>2.8102223999999999E-2</v>
      </c>
      <c r="M23" s="1047">
        <f>'1.BC_Ra Soat (ty) '!BY23</f>
        <v>0</v>
      </c>
      <c r="N23" s="1047">
        <f>'1.BC_Ra Soat (ty) '!CD23</f>
        <v>7.2868469999999999E-3</v>
      </c>
      <c r="O23" s="1047">
        <f>'1.BC_Ra Soat (ty) '!CI23</f>
        <v>0</v>
      </c>
      <c r="P23" s="1047">
        <f>'1.BC_Ra Soat (ty) '!CN23</f>
        <v>0</v>
      </c>
      <c r="Q23" s="1047">
        <f t="shared" si="11"/>
        <v>3.5389071000000001E-2</v>
      </c>
      <c r="R23" s="1047">
        <f>'1.BC_Ra Soat (ty) '!DH23</f>
        <v>3.5389071000000001E-2</v>
      </c>
      <c r="S23" s="1047">
        <f>'1.BC_Ra Soat (ty) '!BU23</f>
        <v>1.8501272224</v>
      </c>
      <c r="T23" s="1047">
        <f>'1.BC_Ra Soat (ty) '!BZ23</f>
        <v>6.1485585646000001</v>
      </c>
      <c r="U23" s="1047">
        <f>'1.BC_Ra Soat (ty) '!CE23</f>
        <v>0</v>
      </c>
      <c r="V23" s="1047">
        <f>'1.BC_Ra Soat (ty) '!CJ23</f>
        <v>2.2713210000000002E-3</v>
      </c>
      <c r="W23" s="1047">
        <f>'1.BC_Ra Soat (ty) '!CO23</f>
        <v>0</v>
      </c>
      <c r="X23" s="1047">
        <f t="shared" si="12"/>
        <v>8.0009571079999997</v>
      </c>
      <c r="Y23" s="1047">
        <f>'1.BC_Ra Soat (ty) '!DI23</f>
        <v>8.0009571079999997</v>
      </c>
      <c r="Z23" s="1051">
        <f>SUMIFS('1.DC_Muc tieu'!$F:$F,'1.DC_Muc tieu'!$D:$D,'1.BC_Muc tieu (ty) '!D23)-SUMIFS('1.DC_Muc tieu'!$F:$F,'1.DC_Muc tieu'!$E:$E,'1.BC_Muc tieu (ty) '!D23)</f>
        <v>0</v>
      </c>
      <c r="AA23" s="1051">
        <f>SUMIFS('1.DC_Muc tieu'!$G:$G,'1.DC_Muc tieu'!$D:$D,'1.BC_Muc tieu (ty) '!D23)-SUMIFS('1.DC_Muc tieu'!$G:$G,'1.DC_Muc tieu'!$E:$E,'1.BC_Muc tieu (ty) '!D23)</f>
        <v>0</v>
      </c>
      <c r="AB23" s="980">
        <f>SUMIFS('1.DC_Muc tieu'!$H:$H,'1.DC_Muc tieu'!$E:$E,'1.BC_Muc tieu (ty) '!D23)-SUMIFS('1.DC_Muc tieu'!$H:$H,'1.DC_Muc tieu'!$D:$D,'1.BC_Muc tieu (ty) '!D23)</f>
        <v>0</v>
      </c>
      <c r="AC23" s="980">
        <f>SUMIFS('1.DC_Muc tieu'!$H:$H,'1.DC_Muc tieu'!$E:$E,'1.BC_Muc tieu (ty) '!E23)-SUMIFS('1.DC_Muc tieu'!$H:$H,'1.DC_Muc tieu'!$D:$D,'1.BC_Muc tieu (ty) '!E23)</f>
        <v>0</v>
      </c>
      <c r="AD23" s="980">
        <f>SUMIFS('1.DC_Muc tieu'!$J:$J,'1.DC_Muc tieu'!$E:$E,'1.BC_Muc tieu (ty) '!F23)-SUMIFS('1.DC_Muc tieu'!$J:$J,'1.DC_Muc tieu'!$D:$D,'1.BC_Muc tieu (ty) '!F23)</f>
        <v>0</v>
      </c>
      <c r="AE23" s="1051">
        <f t="shared" si="13"/>
        <v>0</v>
      </c>
      <c r="AF23" s="980">
        <f t="shared" si="14"/>
        <v>1.8501272224</v>
      </c>
      <c r="AG23" s="980">
        <f t="shared" si="5"/>
        <v>6.1485585646000001</v>
      </c>
      <c r="AH23" s="980">
        <f t="shared" si="6"/>
        <v>0</v>
      </c>
      <c r="AI23" s="980">
        <f t="shared" si="7"/>
        <v>2.2713210000000002E-3</v>
      </c>
      <c r="AJ23" s="980">
        <f t="shared" si="8"/>
        <v>0</v>
      </c>
      <c r="AK23" s="980">
        <f t="shared" si="9"/>
        <v>8.0009571079999997</v>
      </c>
      <c r="AL23" s="1073">
        <f t="shared" si="15"/>
        <v>8.0009571079999997</v>
      </c>
      <c r="AN23" s="601"/>
    </row>
    <row r="24" spans="1:40" ht="30" x14ac:dyDescent="0.25">
      <c r="A24" s="1014" t="str">
        <f t="shared" si="4"/>
        <v>hide</v>
      </c>
      <c r="C24" s="1049" t="s">
        <v>529</v>
      </c>
      <c r="D24" s="1050" t="s">
        <v>290</v>
      </c>
      <c r="E24" s="1047">
        <f>'1.BC_Ra Soat (ty) '!BS24</f>
        <v>0</v>
      </c>
      <c r="F24" s="1047">
        <f>'1.BC_Ra Soat (ty) '!BX24</f>
        <v>0</v>
      </c>
      <c r="G24" s="1047">
        <f>'1.BC_Ra Soat (ty) '!CC24</f>
        <v>0</v>
      </c>
      <c r="H24" s="1047">
        <f>'1.BC_Ra Soat (ty) '!CH24</f>
        <v>0</v>
      </c>
      <c r="I24" s="1047">
        <f>'1.BC_Ra Soat (ty) '!CM24</f>
        <v>0</v>
      </c>
      <c r="J24" s="1047">
        <f t="shared" si="10"/>
        <v>0</v>
      </c>
      <c r="K24" s="1047">
        <f>'1.BC_Ra Soat (ty) '!DG24</f>
        <v>0</v>
      </c>
      <c r="L24" s="1047">
        <f>'1.BC_Ra Soat (ty) '!BT24</f>
        <v>0</v>
      </c>
      <c r="M24" s="1047">
        <f>'1.BC_Ra Soat (ty) '!BY24</f>
        <v>0</v>
      </c>
      <c r="N24" s="1047">
        <f>'1.BC_Ra Soat (ty) '!CD24</f>
        <v>0</v>
      </c>
      <c r="O24" s="1047">
        <f>'1.BC_Ra Soat (ty) '!CI24</f>
        <v>0</v>
      </c>
      <c r="P24" s="1047">
        <f>'1.BC_Ra Soat (ty) '!CN24</f>
        <v>0</v>
      </c>
      <c r="Q24" s="1047">
        <f t="shared" si="11"/>
        <v>0</v>
      </c>
      <c r="R24" s="1047">
        <f>'1.BC_Ra Soat (ty) '!DH24</f>
        <v>0</v>
      </c>
      <c r="S24" s="1047">
        <f>'1.BC_Ra Soat (ty) '!BU24</f>
        <v>0</v>
      </c>
      <c r="T24" s="1047">
        <f>'1.BC_Ra Soat (ty) '!BZ24</f>
        <v>0</v>
      </c>
      <c r="U24" s="1047">
        <f>'1.BC_Ra Soat (ty) '!CE24</f>
        <v>0</v>
      </c>
      <c r="V24" s="1047">
        <f>'1.BC_Ra Soat (ty) '!CJ24</f>
        <v>0</v>
      </c>
      <c r="W24" s="1047">
        <f>'1.BC_Ra Soat (ty) '!CO24</f>
        <v>0</v>
      </c>
      <c r="X24" s="1047">
        <f t="shared" si="12"/>
        <v>0</v>
      </c>
      <c r="Y24" s="1047">
        <f>'1.BC_Ra Soat (ty) '!DI24</f>
        <v>0</v>
      </c>
      <c r="Z24" s="1051">
        <f>SUMIFS('1.DC_Muc tieu'!$F:$F,'1.DC_Muc tieu'!$D:$D,'1.BC_Muc tieu (ty) '!D24)-SUMIFS('1.DC_Muc tieu'!$F:$F,'1.DC_Muc tieu'!$E:$E,'1.BC_Muc tieu (ty) '!D24)</f>
        <v>0</v>
      </c>
      <c r="AA24" s="1051">
        <f>SUMIFS('1.DC_Muc tieu'!$G:$G,'1.DC_Muc tieu'!$D:$D,'1.BC_Muc tieu (ty) '!D24)-SUMIFS('1.DC_Muc tieu'!$G:$G,'1.DC_Muc tieu'!$E:$E,'1.BC_Muc tieu (ty) '!D24)</f>
        <v>0</v>
      </c>
      <c r="AB24" s="980">
        <f>SUMIFS('1.DC_Muc tieu'!$H:$H,'1.DC_Muc tieu'!$E:$E,'1.BC_Muc tieu (ty) '!D24)-SUMIFS('1.DC_Muc tieu'!$H:$H,'1.DC_Muc tieu'!$D:$D,'1.BC_Muc tieu (ty) '!D24)</f>
        <v>0</v>
      </c>
      <c r="AC24" s="980">
        <f>SUMIFS('1.DC_Muc tieu'!$H:$H,'1.DC_Muc tieu'!$E:$E,'1.BC_Muc tieu (ty) '!E24)-SUMIFS('1.DC_Muc tieu'!$H:$H,'1.DC_Muc tieu'!$D:$D,'1.BC_Muc tieu (ty) '!E24)</f>
        <v>0</v>
      </c>
      <c r="AD24" s="980">
        <f>SUMIFS('1.DC_Muc tieu'!$J:$J,'1.DC_Muc tieu'!$E:$E,'1.BC_Muc tieu (ty) '!F24)-SUMIFS('1.DC_Muc tieu'!$J:$J,'1.DC_Muc tieu'!$D:$D,'1.BC_Muc tieu (ty) '!F24)</f>
        <v>0</v>
      </c>
      <c r="AE24" s="1051">
        <f t="shared" si="13"/>
        <v>0</v>
      </c>
      <c r="AF24" s="980">
        <f t="shared" si="14"/>
        <v>0</v>
      </c>
      <c r="AG24" s="980">
        <f t="shared" si="5"/>
        <v>0</v>
      </c>
      <c r="AH24" s="980">
        <f t="shared" si="6"/>
        <v>0</v>
      </c>
      <c r="AI24" s="980">
        <f t="shared" si="7"/>
        <v>0</v>
      </c>
      <c r="AJ24" s="980">
        <f t="shared" si="8"/>
        <v>0</v>
      </c>
      <c r="AK24" s="980">
        <f t="shared" si="9"/>
        <v>0</v>
      </c>
      <c r="AL24" s="980">
        <f t="shared" si="15"/>
        <v>0</v>
      </c>
      <c r="AN24" s="601"/>
    </row>
    <row r="25" spans="1:40" s="590" customFormat="1" ht="30" x14ac:dyDescent="0.25">
      <c r="A25" s="1014">
        <f t="shared" si="4"/>
        <v>1</v>
      </c>
      <c r="B25" s="605"/>
      <c r="C25" s="1055" t="s">
        <v>530</v>
      </c>
      <c r="D25" s="1056" t="s">
        <v>291</v>
      </c>
      <c r="E25" s="1057">
        <f>E22-E23</f>
        <v>0.13670460700001807</v>
      </c>
      <c r="F25" s="1057">
        <f t="shared" ref="F25:AL25" si="21">F22-F23</f>
        <v>0.20928159800000082</v>
      </c>
      <c r="G25" s="1057">
        <f t="shared" si="21"/>
        <v>6.6290594000002215E-2</v>
      </c>
      <c r="H25" s="1057">
        <f t="shared" si="21"/>
        <v>2.0961140999996093E-2</v>
      </c>
      <c r="I25" s="1057">
        <f t="shared" si="21"/>
        <v>0</v>
      </c>
      <c r="J25" s="1057">
        <f t="shared" si="21"/>
        <v>0.43323794000001764</v>
      </c>
      <c r="K25" s="1057">
        <f t="shared" si="21"/>
        <v>0.43323794000001764</v>
      </c>
      <c r="L25" s="1057">
        <f t="shared" si="21"/>
        <v>-10.563049302000005</v>
      </c>
      <c r="M25" s="1057">
        <f t="shared" si="21"/>
        <v>-6.0224059699999897</v>
      </c>
      <c r="N25" s="1057">
        <f t="shared" si="21"/>
        <v>2.9147389999996373E-2</v>
      </c>
      <c r="O25" s="1057">
        <f t="shared" si="21"/>
        <v>-3.1991942190000024</v>
      </c>
      <c r="P25" s="1057">
        <f t="shared" si="21"/>
        <v>0</v>
      </c>
      <c r="Q25" s="1057">
        <f t="shared" si="21"/>
        <v>-19.755502101000044</v>
      </c>
      <c r="R25" s="1057">
        <f t="shared" si="21"/>
        <v>-19.755502101000044</v>
      </c>
      <c r="S25" s="1057">
        <f t="shared" si="21"/>
        <v>2.7769050016000287</v>
      </c>
      <c r="T25" s="1057">
        <f t="shared" si="21"/>
        <v>24.353634258400007</v>
      </c>
      <c r="U25" s="1057">
        <f t="shared" si="21"/>
        <v>-8.4196272729999961</v>
      </c>
      <c r="V25" s="1057">
        <f t="shared" si="21"/>
        <v>-6.9791825930000009</v>
      </c>
      <c r="W25" s="1057">
        <f t="shared" si="21"/>
        <v>0</v>
      </c>
      <c r="X25" s="1057">
        <f t="shared" si="21"/>
        <v>11.731729394000025</v>
      </c>
      <c r="Y25" s="1057">
        <f t="shared" si="21"/>
        <v>11.731729394000025</v>
      </c>
      <c r="Z25" s="1057">
        <f t="shared" si="21"/>
        <v>0</v>
      </c>
      <c r="AA25" s="1057">
        <f t="shared" si="21"/>
        <v>0</v>
      </c>
      <c r="AB25" s="1057">
        <f t="shared" si="21"/>
        <v>0</v>
      </c>
      <c r="AC25" s="1057">
        <f t="shared" si="21"/>
        <v>0</v>
      </c>
      <c r="AD25" s="1057">
        <f t="shared" si="21"/>
        <v>0</v>
      </c>
      <c r="AE25" s="1057">
        <f t="shared" si="21"/>
        <v>0</v>
      </c>
      <c r="AF25" s="1057">
        <f t="shared" si="21"/>
        <v>2.7769050016000287</v>
      </c>
      <c r="AG25" s="1057">
        <f t="shared" si="21"/>
        <v>24.353634258400007</v>
      </c>
      <c r="AH25" s="1057">
        <f t="shared" si="21"/>
        <v>-8.4196272729999961</v>
      </c>
      <c r="AI25" s="1057">
        <f t="shared" si="21"/>
        <v>-6.9791825930000009</v>
      </c>
      <c r="AJ25" s="1057">
        <f t="shared" si="21"/>
        <v>0</v>
      </c>
      <c r="AK25" s="1057">
        <f t="shared" si="21"/>
        <v>11.731729394000025</v>
      </c>
      <c r="AL25" s="1078">
        <f t="shared" si="21"/>
        <v>11.731729394000025</v>
      </c>
      <c r="AN25" s="884"/>
    </row>
    <row r="26" spans="1:40" s="603" customFormat="1" x14ac:dyDescent="0.25">
      <c r="A26" s="1014">
        <f t="shared" si="4"/>
        <v>1</v>
      </c>
      <c r="C26" s="906"/>
      <c r="D26" s="905"/>
      <c r="E26" s="905"/>
      <c r="F26" s="905"/>
      <c r="G26" s="905"/>
      <c r="H26" s="905"/>
      <c r="I26" s="905"/>
      <c r="J26" s="905"/>
      <c r="K26" s="907"/>
      <c r="L26" s="905"/>
      <c r="M26" s="905"/>
      <c r="N26" s="905"/>
      <c r="O26" s="905"/>
      <c r="P26" s="905"/>
      <c r="Q26" s="905"/>
      <c r="R26" s="908">
        <f>K25-F25-E25</f>
        <v>8.7251734999998748E-2</v>
      </c>
      <c r="S26" s="908"/>
      <c r="T26" s="905"/>
      <c r="U26" s="905"/>
      <c r="V26" s="905"/>
      <c r="W26" s="905"/>
      <c r="X26" s="905"/>
      <c r="Y26" s="908">
        <f>Y25-T25-S25-U25</f>
        <v>-6.9791825930000151</v>
      </c>
      <c r="Z26" s="909"/>
      <c r="AA26" s="909"/>
      <c r="AB26" s="909"/>
      <c r="AC26" s="909"/>
      <c r="AD26" s="909"/>
      <c r="AE26" s="910"/>
      <c r="AF26" s="910"/>
      <c r="AG26" s="910"/>
      <c r="AH26" s="910"/>
      <c r="AI26" s="910"/>
      <c r="AJ26" s="910"/>
      <c r="AK26" s="905"/>
      <c r="AL26" s="910"/>
      <c r="AN26" s="606"/>
    </row>
    <row r="27" spans="1:40" s="603" customFormat="1" x14ac:dyDescent="0.25">
      <c r="A27" s="1014" t="str">
        <f t="shared" si="4"/>
        <v>hide</v>
      </c>
      <c r="C27" s="925" t="s">
        <v>4</v>
      </c>
      <c r="D27" s="905"/>
      <c r="E27" s="905"/>
      <c r="F27" s="905"/>
      <c r="G27" s="905"/>
      <c r="H27" s="905"/>
      <c r="I27" s="905"/>
      <c r="J27" s="905"/>
      <c r="K27" s="907"/>
      <c r="L27" s="905"/>
      <c r="M27" s="905"/>
      <c r="N27" s="905"/>
      <c r="O27" s="905"/>
      <c r="P27" s="905"/>
      <c r="Q27" s="905"/>
      <c r="R27" s="905"/>
      <c r="S27" s="908"/>
      <c r="T27" s="905"/>
      <c r="U27" s="905"/>
      <c r="V27" s="905"/>
      <c r="W27" s="905"/>
      <c r="X27" s="905"/>
      <c r="Y27" s="905"/>
      <c r="Z27" s="909"/>
      <c r="AA27" s="909"/>
      <c r="AB27" s="909"/>
      <c r="AC27" s="909"/>
      <c r="AD27" s="909"/>
      <c r="AE27" s="910"/>
      <c r="AF27" s="606"/>
      <c r="AG27" s="606"/>
      <c r="AH27" s="606"/>
      <c r="AI27" s="606"/>
      <c r="AJ27" s="606"/>
      <c r="AK27" s="905"/>
      <c r="AL27" s="606"/>
    </row>
    <row r="28" spans="1:40" s="590" customFormat="1" x14ac:dyDescent="0.25">
      <c r="A28" s="1014">
        <f t="shared" si="4"/>
        <v>1</v>
      </c>
      <c r="B28" s="917"/>
      <c r="C28" s="2219" t="s">
        <v>24</v>
      </c>
      <c r="D28" s="913"/>
      <c r="E28" s="131" t="s">
        <v>560</v>
      </c>
      <c r="F28" s="131" t="s">
        <v>560</v>
      </c>
      <c r="G28" s="131" t="s">
        <v>560</v>
      </c>
      <c r="H28" s="131">
        <v>2021</v>
      </c>
      <c r="I28" s="131" t="s">
        <v>560</v>
      </c>
      <c r="J28" s="131">
        <v>2021</v>
      </c>
      <c r="K28" s="914" t="s">
        <v>560</v>
      </c>
      <c r="L28" s="131" t="s">
        <v>561</v>
      </c>
      <c r="M28" s="131" t="s">
        <v>561</v>
      </c>
      <c r="N28" s="131" t="s">
        <v>561</v>
      </c>
      <c r="O28" s="131">
        <v>2022</v>
      </c>
      <c r="P28" s="131" t="s">
        <v>561</v>
      </c>
      <c r="Q28" s="131"/>
      <c r="R28" s="131" t="s">
        <v>561</v>
      </c>
      <c r="S28" s="915">
        <v>2023</v>
      </c>
      <c r="T28" s="915">
        <v>2023</v>
      </c>
      <c r="U28" s="915">
        <v>2023</v>
      </c>
      <c r="V28" s="915">
        <v>2023</v>
      </c>
      <c r="W28" s="915">
        <v>2023</v>
      </c>
      <c r="X28" s="915">
        <v>2023</v>
      </c>
      <c r="Y28" s="915">
        <v>2023</v>
      </c>
      <c r="Z28" s="2211" t="s">
        <v>531</v>
      </c>
      <c r="AA28" s="2212"/>
      <c r="AB28" s="2212"/>
      <c r="AC28" s="2212"/>
      <c r="AD28" s="2212"/>
      <c r="AE28" s="2213"/>
      <c r="AF28" s="916" t="s">
        <v>549</v>
      </c>
      <c r="AG28" s="916" t="s">
        <v>549</v>
      </c>
      <c r="AH28" s="916" t="s">
        <v>549</v>
      </c>
      <c r="AI28" s="916" t="s">
        <v>549</v>
      </c>
      <c r="AJ28" s="916" t="s">
        <v>549</v>
      </c>
      <c r="AK28" s="916" t="s">
        <v>549</v>
      </c>
      <c r="AL28" s="917" t="s">
        <v>549</v>
      </c>
    </row>
    <row r="29" spans="1:40" s="590" customFormat="1" ht="45" x14ac:dyDescent="0.25">
      <c r="A29" s="1014">
        <f>IF(SUM(D29:AM29)&lt;&gt;0,1,"hide")</f>
        <v>1</v>
      </c>
      <c r="B29" s="917"/>
      <c r="C29" s="2220"/>
      <c r="D29" s="868" t="s">
        <v>273</v>
      </c>
      <c r="E29" s="898" t="str">
        <f>E6</f>
        <v>1.DV Quang Phát</v>
      </c>
      <c r="F29" s="898" t="str">
        <f>F6</f>
        <v>2.BT Quang Phát</v>
      </c>
      <c r="G29" s="898" t="str">
        <f>G6</f>
        <v>3.Kim Quang Phát</v>
      </c>
      <c r="H29" s="898" t="str">
        <f>H6</f>
        <v>4.Kim Mỹ Linh</v>
      </c>
      <c r="I29" s="898" t="str">
        <f>I6</f>
        <v>5.Vạn Xuân</v>
      </c>
      <c r="J29" s="898" t="s">
        <v>739</v>
      </c>
      <c r="K29" s="983" t="s">
        <v>737</v>
      </c>
      <c r="L29" s="898" t="str">
        <f>L6</f>
        <v>1.DV Quang Phát</v>
      </c>
      <c r="M29" s="898" t="str">
        <f>M6</f>
        <v>2.BT Quang Phát</v>
      </c>
      <c r="N29" s="898" t="str">
        <f>N6</f>
        <v>3.Kim Quang Phát</v>
      </c>
      <c r="O29" s="898" t="str">
        <f>O6</f>
        <v>4.Kim Mỹ Linh</v>
      </c>
      <c r="P29" s="898" t="str">
        <f>P6</f>
        <v>5.Vạn Xuân</v>
      </c>
      <c r="Q29" s="898" t="s">
        <v>739</v>
      </c>
      <c r="R29" s="983" t="s">
        <v>737</v>
      </c>
      <c r="S29" s="899" t="str">
        <f>S6</f>
        <v>1.DV Quang Phát</v>
      </c>
      <c r="T29" s="899" t="str">
        <f>T6</f>
        <v>2.BT Quang Phát</v>
      </c>
      <c r="U29" s="899" t="str">
        <f>U6</f>
        <v>3.Kim Quang Phát</v>
      </c>
      <c r="V29" s="899" t="str">
        <f>V6</f>
        <v>4.Kim Mỹ Linh</v>
      </c>
      <c r="W29" s="899" t="str">
        <f>W6</f>
        <v>5.Vạn Xuân</v>
      </c>
      <c r="X29" s="898" t="s">
        <v>739</v>
      </c>
      <c r="Y29" s="983" t="s">
        <v>737</v>
      </c>
      <c r="Z29" s="900" t="str">
        <f>Z6</f>
        <v>1.DV Quang Phát</v>
      </c>
      <c r="AA29" s="900" t="str">
        <f>AA6</f>
        <v>2.BT Quang Phát</v>
      </c>
      <c r="AB29" s="900" t="str">
        <f>AB6</f>
        <v>3.Kim Quang Phát</v>
      </c>
      <c r="AC29" s="900" t="str">
        <f>AC6</f>
        <v>4.Kim Mỹ Linh</v>
      </c>
      <c r="AD29" s="900" t="str">
        <f>AD6</f>
        <v>5.Vạn Xuân</v>
      </c>
      <c r="AE29" s="869" t="s">
        <v>12</v>
      </c>
      <c r="AF29" s="900" t="str">
        <f t="shared" ref="AF29:AL29" si="22">AF6</f>
        <v>1.DV Quang Phát</v>
      </c>
      <c r="AG29" s="900" t="str">
        <f t="shared" si="22"/>
        <v>2.BT Quang Phát</v>
      </c>
      <c r="AH29" s="900" t="str">
        <f t="shared" si="22"/>
        <v>3.Kim Quang Phát</v>
      </c>
      <c r="AI29" s="900" t="str">
        <f t="shared" si="22"/>
        <v>4.Kim Mỹ Linh</v>
      </c>
      <c r="AJ29" s="900" t="str">
        <f t="shared" si="22"/>
        <v>5.Vạn Xuân</v>
      </c>
      <c r="AK29" s="900" t="str">
        <f t="shared" si="22"/>
        <v>Cộng gộp</v>
      </c>
      <c r="AL29" s="1079" t="str">
        <f t="shared" si="22"/>
        <v>Cộng
Sau bù trừ</v>
      </c>
      <c r="AM29" s="590">
        <v>1</v>
      </c>
    </row>
    <row r="30" spans="1:40" s="986" customFormat="1" x14ac:dyDescent="0.25">
      <c r="A30" s="1014">
        <f t="shared" ref="A30:A61" si="23">IF(SUM(E30:AL30)&lt;&gt;0,1,"hide")</f>
        <v>1</v>
      </c>
      <c r="B30" s="981" t="s">
        <v>25</v>
      </c>
      <c r="C30" s="984" t="s">
        <v>26</v>
      </c>
      <c r="D30" s="981" t="s">
        <v>292</v>
      </c>
      <c r="E30" s="982">
        <f>E31+E34+E38+E47+E50</f>
        <v>135.75356212099999</v>
      </c>
      <c r="F30" s="982">
        <f t="shared" ref="F30:AL30" si="24">F31+F34+F38+F47+F50</f>
        <v>13.701001542999999</v>
      </c>
      <c r="G30" s="982">
        <f t="shared" si="24"/>
        <v>21.116038273000001</v>
      </c>
      <c r="H30" s="982">
        <f t="shared" si="24"/>
        <v>17.609121049999999</v>
      </c>
      <c r="I30" s="982">
        <f t="shared" si="24"/>
        <v>0</v>
      </c>
      <c r="J30" s="982">
        <f t="shared" si="24"/>
        <v>188.17972298699999</v>
      </c>
      <c r="K30" s="982">
        <f t="shared" si="24"/>
        <v>188.17972298699999</v>
      </c>
      <c r="L30" s="982">
        <f t="shared" si="24"/>
        <v>141.180974615</v>
      </c>
      <c r="M30" s="982">
        <f t="shared" si="24"/>
        <v>34.242910011999996</v>
      </c>
      <c r="N30" s="982">
        <f t="shared" si="24"/>
        <v>57.369669881</v>
      </c>
      <c r="O30" s="982">
        <f t="shared" si="24"/>
        <v>21.098515573</v>
      </c>
      <c r="P30" s="982">
        <f t="shared" si="24"/>
        <v>0</v>
      </c>
      <c r="Q30" s="982">
        <f t="shared" si="24"/>
        <v>253.89207008099999</v>
      </c>
      <c r="R30" s="982">
        <f t="shared" si="24"/>
        <v>253.89207008099999</v>
      </c>
      <c r="S30" s="982">
        <f t="shared" si="24"/>
        <v>278.57240894900002</v>
      </c>
      <c r="T30" s="982">
        <f t="shared" si="24"/>
        <v>91.016523059000008</v>
      </c>
      <c r="U30" s="982">
        <f t="shared" si="24"/>
        <v>44.718844116</v>
      </c>
      <c r="V30" s="982">
        <f t="shared" si="24"/>
        <v>51.370294152</v>
      </c>
      <c r="W30" s="982">
        <f t="shared" si="24"/>
        <v>0</v>
      </c>
      <c r="X30" s="982">
        <f t="shared" si="24"/>
        <v>465.67807027599997</v>
      </c>
      <c r="Y30" s="982">
        <f t="shared" si="24"/>
        <v>465.67807027599997</v>
      </c>
      <c r="Z30" s="982">
        <f t="shared" si="24"/>
        <v>0</v>
      </c>
      <c r="AA30" s="982">
        <f t="shared" si="24"/>
        <v>0</v>
      </c>
      <c r="AB30" s="982">
        <f t="shared" si="24"/>
        <v>0</v>
      </c>
      <c r="AC30" s="982">
        <f t="shared" si="24"/>
        <v>0</v>
      </c>
      <c r="AD30" s="982">
        <f t="shared" si="24"/>
        <v>0</v>
      </c>
      <c r="AE30" s="982">
        <f t="shared" si="24"/>
        <v>0</v>
      </c>
      <c r="AF30" s="982">
        <f t="shared" si="24"/>
        <v>278.57240894900002</v>
      </c>
      <c r="AG30" s="982">
        <f t="shared" si="24"/>
        <v>91.016523059000008</v>
      </c>
      <c r="AH30" s="982">
        <f t="shared" si="24"/>
        <v>44.718844116</v>
      </c>
      <c r="AI30" s="982">
        <f t="shared" si="24"/>
        <v>51.370294152</v>
      </c>
      <c r="AJ30" s="982">
        <f t="shared" si="24"/>
        <v>0</v>
      </c>
      <c r="AK30" s="982">
        <f t="shared" si="24"/>
        <v>465.67807027599997</v>
      </c>
      <c r="AL30" s="1080">
        <f t="shared" si="24"/>
        <v>465.67807027599997</v>
      </c>
      <c r="AM30" s="985"/>
    </row>
    <row r="31" spans="1:40" s="986" customFormat="1" x14ac:dyDescent="0.25">
      <c r="A31" s="1014">
        <f t="shared" si="23"/>
        <v>1</v>
      </c>
      <c r="B31" s="987" t="s">
        <v>27</v>
      </c>
      <c r="C31" s="988" t="s">
        <v>28</v>
      </c>
      <c r="D31" s="989" t="s">
        <v>294</v>
      </c>
      <c r="E31" s="990">
        <f>E32+E33</f>
        <v>1.839270717</v>
      </c>
      <c r="F31" s="990">
        <f t="shared" ref="F31:AL31" si="25">F32+F33</f>
        <v>0.95982668500000001</v>
      </c>
      <c r="G31" s="990">
        <f t="shared" si="25"/>
        <v>0.49065459500000003</v>
      </c>
      <c r="H31" s="990">
        <f t="shared" si="25"/>
        <v>0.76002604399999996</v>
      </c>
      <c r="I31" s="990">
        <f t="shared" si="25"/>
        <v>0</v>
      </c>
      <c r="J31" s="990">
        <f t="shared" si="25"/>
        <v>4.0497780409999997</v>
      </c>
      <c r="K31" s="990">
        <f t="shared" si="25"/>
        <v>4.0497780409999997</v>
      </c>
      <c r="L31" s="990">
        <f t="shared" si="25"/>
        <v>10.212877174000001</v>
      </c>
      <c r="M31" s="990">
        <f t="shared" si="25"/>
        <v>10.758610237999999</v>
      </c>
      <c r="N31" s="990">
        <f t="shared" si="25"/>
        <v>11.130311158</v>
      </c>
      <c r="O31" s="990">
        <f t="shared" si="25"/>
        <v>0.45498851400000001</v>
      </c>
      <c r="P31" s="990">
        <f t="shared" si="25"/>
        <v>0</v>
      </c>
      <c r="Q31" s="990">
        <f t="shared" si="25"/>
        <v>32.556787084</v>
      </c>
      <c r="R31" s="990">
        <f t="shared" si="25"/>
        <v>32.556787084</v>
      </c>
      <c r="S31" s="990">
        <f t="shared" si="25"/>
        <v>25.094023905</v>
      </c>
      <c r="T31" s="990">
        <f t="shared" si="25"/>
        <v>16.482060872000002</v>
      </c>
      <c r="U31" s="990">
        <f t="shared" si="25"/>
        <v>1.963401127</v>
      </c>
      <c r="V31" s="990">
        <f t="shared" si="25"/>
        <v>0.24786407399999999</v>
      </c>
      <c r="W31" s="990">
        <f t="shared" si="25"/>
        <v>0</v>
      </c>
      <c r="X31" s="990">
        <f t="shared" si="25"/>
        <v>43.787349978000002</v>
      </c>
      <c r="Y31" s="990">
        <f t="shared" si="25"/>
        <v>43.787349978000002</v>
      </c>
      <c r="Z31" s="990">
        <f t="shared" si="25"/>
        <v>0</v>
      </c>
      <c r="AA31" s="990">
        <f t="shared" si="25"/>
        <v>0</v>
      </c>
      <c r="AB31" s="990">
        <f t="shared" si="25"/>
        <v>0</v>
      </c>
      <c r="AC31" s="990">
        <f t="shared" si="25"/>
        <v>0</v>
      </c>
      <c r="AD31" s="990">
        <f t="shared" si="25"/>
        <v>0</v>
      </c>
      <c r="AE31" s="990">
        <f t="shared" si="25"/>
        <v>0</v>
      </c>
      <c r="AF31" s="990">
        <f t="shared" si="25"/>
        <v>25.094023905</v>
      </c>
      <c r="AG31" s="990">
        <f t="shared" si="25"/>
        <v>16.482060872000002</v>
      </c>
      <c r="AH31" s="990">
        <f t="shared" si="25"/>
        <v>1.963401127</v>
      </c>
      <c r="AI31" s="990">
        <f t="shared" si="25"/>
        <v>0.24786407399999999</v>
      </c>
      <c r="AJ31" s="990">
        <f t="shared" si="25"/>
        <v>0</v>
      </c>
      <c r="AK31" s="990">
        <f t="shared" si="25"/>
        <v>43.787349978000002</v>
      </c>
      <c r="AL31" s="1081">
        <f t="shared" si="25"/>
        <v>43.787349978000002</v>
      </c>
      <c r="AM31" s="985"/>
    </row>
    <row r="32" spans="1:40" s="1044" customFormat="1" x14ac:dyDescent="0.25">
      <c r="A32" s="1038">
        <f t="shared" si="23"/>
        <v>1</v>
      </c>
      <c r="B32" s="1045" t="s">
        <v>29</v>
      </c>
      <c r="C32" s="1046" t="s">
        <v>30</v>
      </c>
      <c r="D32" s="991" t="s">
        <v>296</v>
      </c>
      <c r="E32" s="992">
        <f>'1.BC_Ra Soat (ty) '!BS36</f>
        <v>1.839270717</v>
      </c>
      <c r="F32" s="992">
        <f>'1.BC_Ra Soat (ty) '!BX36</f>
        <v>0.95982668500000001</v>
      </c>
      <c r="G32" s="1033">
        <f>'1.BC_Ra Soat (ty) '!CC36</f>
        <v>0.49065459500000003</v>
      </c>
      <c r="H32" s="1033">
        <f>'1.BC_Ra Soat (ty) '!CH36</f>
        <v>0.76002604399999996</v>
      </c>
      <c r="I32" s="1033">
        <f>'1.BC_Ra Soat (ty) '!CM36</f>
        <v>0</v>
      </c>
      <c r="J32" s="1033">
        <f t="shared" ref="J32:J91" si="26">SUM(E32:I32)</f>
        <v>4.0497780409999997</v>
      </c>
      <c r="K32" s="1033">
        <f>'1.BC_Ra Soat (ty) '!DG36</f>
        <v>4.0497780409999997</v>
      </c>
      <c r="L32" s="1033">
        <f>'1.BC_Ra Soat (ty) '!BT36</f>
        <v>10.212877174000001</v>
      </c>
      <c r="M32" s="1033">
        <f>'1.BC_Ra Soat (ty) '!BY36</f>
        <v>10.758610237999999</v>
      </c>
      <c r="N32" s="1033">
        <f>'1.BC_Ra Soat (ty) '!CD36</f>
        <v>11.130311158</v>
      </c>
      <c r="O32" s="1033">
        <f>'1.BC_Ra Soat (ty) '!CI36</f>
        <v>0.45498851400000001</v>
      </c>
      <c r="P32" s="1033">
        <f>'1.BC_Ra Soat (ty) '!CN36</f>
        <v>0</v>
      </c>
      <c r="Q32" s="1033">
        <f t="shared" ref="Q32:Q91" si="27">SUM(L32:P32)</f>
        <v>32.556787084</v>
      </c>
      <c r="R32" s="1033">
        <f>'1.BC_Ra Soat (ty) '!DH36</f>
        <v>32.556787084</v>
      </c>
      <c r="S32" s="1033">
        <f>'1.BC_Ra Soat (ty) '!BU36</f>
        <v>25.094023905</v>
      </c>
      <c r="T32" s="1033">
        <f>'1.BC_Ra Soat (ty) '!BZ36</f>
        <v>16.482060872000002</v>
      </c>
      <c r="U32" s="1033">
        <f>'1.BC_Ra Soat (ty) '!CE36</f>
        <v>1.963401127</v>
      </c>
      <c r="V32" s="1033">
        <f>'1.BC_Ra Soat (ty) '!CJ36</f>
        <v>0.24786407399999999</v>
      </c>
      <c r="W32" s="1033">
        <f>'1.BC_Ra Soat (ty) '!CO36</f>
        <v>0</v>
      </c>
      <c r="X32" s="1033">
        <f t="shared" ref="X32:X91" si="28">SUM(S32:W32)</f>
        <v>43.787349978000002</v>
      </c>
      <c r="Y32" s="1033">
        <f>'1.BC_Ra Soat (ty) '!DI36</f>
        <v>43.787349978000002</v>
      </c>
      <c r="Z32" s="1033">
        <f>SUMIFS('1.DC_Muc tieu'!F:F,'1.DC_Muc tieu'!$D:$D,'1.BC_Muc tieu (ty) '!$D32)-SUMIFS('1.DC_Muc tieu'!F:F,'1.DC_Muc tieu'!$E:$E,'1.BC_Muc tieu (ty) '!$D32)</f>
        <v>0</v>
      </c>
      <c r="AA32" s="1033">
        <f>SUMIFS('1.DC_Muc tieu'!G:G,'1.DC_Muc tieu'!$D:$D,'1.BC_Muc tieu (ty) '!$D32)-SUMIFS('1.DC_Muc tieu'!G:G,'1.DC_Muc tieu'!$E:$E,'1.BC_Muc tieu (ty) '!$D32)</f>
        <v>0</v>
      </c>
      <c r="AB32" s="1033">
        <f>SUMIFS('1.DC_Muc tieu'!H:H,'1.DC_Muc tieu'!$D:$D,'1.BC_Muc tieu (ty) '!$D32)-SUMIFS('1.DC_Muc tieu'!H:H,'1.DC_Muc tieu'!$E:$E,'1.BC_Muc tieu (ty) '!$D32)</f>
        <v>0</v>
      </c>
      <c r="AC32" s="1033">
        <f>SUMIFS('1.DC_Muc tieu'!I:I,'1.DC_Muc tieu'!$D:$D,'1.BC_Muc tieu (ty) '!$D32)-SUMIFS('1.DC_Muc tieu'!I:I,'1.DC_Muc tieu'!$E:$E,'1.BC_Muc tieu (ty) '!$D32)</f>
        <v>0</v>
      </c>
      <c r="AD32" s="1033">
        <f>SUMIFS('1.DC_Muc tieu'!J:J,'1.DC_Muc tieu'!$D:$D,'1.BC_Muc tieu (ty) '!$D32)-SUMIFS('1.DC_Muc tieu'!J:J,'1.DC_Muc tieu'!$E:$E,'1.BC_Muc tieu (ty) '!$D32)</f>
        <v>0</v>
      </c>
      <c r="AE32" s="1033">
        <f t="shared" ref="AE32:AE91" si="29">SUM(Z32:AC32)</f>
        <v>0</v>
      </c>
      <c r="AF32" s="1033">
        <f>S32+Z32</f>
        <v>25.094023905</v>
      </c>
      <c r="AG32" s="1033">
        <f t="shared" ref="AG32:AJ33" si="30">T32+AA32</f>
        <v>16.482060872000002</v>
      </c>
      <c r="AH32" s="1033">
        <f t="shared" si="30"/>
        <v>1.963401127</v>
      </c>
      <c r="AI32" s="1033">
        <f t="shared" si="30"/>
        <v>0.24786407399999999</v>
      </c>
      <c r="AJ32" s="1033">
        <f t="shared" si="30"/>
        <v>0</v>
      </c>
      <c r="AK32" s="1033">
        <f>AE32+X32</f>
        <v>43.787349978000002</v>
      </c>
      <c r="AL32" s="1082">
        <f>Y32+AE32</f>
        <v>43.787349978000002</v>
      </c>
    </row>
    <row r="33" spans="1:39" s="1044" customFormat="1" x14ac:dyDescent="0.25">
      <c r="A33" s="1038" t="str">
        <f t="shared" si="23"/>
        <v>hide</v>
      </c>
      <c r="B33" s="1045" t="s">
        <v>31</v>
      </c>
      <c r="C33" s="1043" t="s">
        <v>32</v>
      </c>
      <c r="D33" s="991" t="s">
        <v>298</v>
      </c>
      <c r="E33" s="992">
        <f>'1.BC_Ra Soat (ty) '!BS37</f>
        <v>0</v>
      </c>
      <c r="F33" s="992">
        <f>'1.BC_Ra Soat (ty) '!BX37</f>
        <v>0</v>
      </c>
      <c r="G33" s="1033">
        <f>'1.BC_Ra Soat (ty) '!CC37</f>
        <v>0</v>
      </c>
      <c r="H33" s="1033">
        <f>'1.BC_Ra Soat (ty) '!CH37</f>
        <v>0</v>
      </c>
      <c r="I33" s="1033">
        <f>'1.BC_Ra Soat (ty) '!CM37</f>
        <v>0</v>
      </c>
      <c r="J33" s="1033">
        <f t="shared" si="26"/>
        <v>0</v>
      </c>
      <c r="K33" s="1033">
        <f>'1.BC_Ra Soat (ty) '!DG37</f>
        <v>0</v>
      </c>
      <c r="L33" s="1033">
        <f>'1.BC_Ra Soat (ty) '!BT37</f>
        <v>0</v>
      </c>
      <c r="M33" s="1033">
        <f>'1.BC_Ra Soat (ty) '!BY37</f>
        <v>0</v>
      </c>
      <c r="N33" s="1033">
        <f>'1.BC_Ra Soat (ty) '!CD37</f>
        <v>0</v>
      </c>
      <c r="O33" s="1033">
        <f>'1.BC_Ra Soat (ty) '!CI37</f>
        <v>0</v>
      </c>
      <c r="P33" s="1033">
        <f>'1.BC_Ra Soat (ty) '!CN37</f>
        <v>0</v>
      </c>
      <c r="Q33" s="1033">
        <f t="shared" si="27"/>
        <v>0</v>
      </c>
      <c r="R33" s="1033">
        <f>'1.BC_Ra Soat (ty) '!DH37</f>
        <v>0</v>
      </c>
      <c r="S33" s="1033">
        <f>'1.BC_Ra Soat (ty) '!BU37</f>
        <v>0</v>
      </c>
      <c r="T33" s="1033">
        <f>'1.BC_Ra Soat (ty) '!BZ37</f>
        <v>0</v>
      </c>
      <c r="U33" s="1033">
        <f>'1.BC_Ra Soat (ty) '!CE37</f>
        <v>0</v>
      </c>
      <c r="V33" s="1033">
        <f>'1.BC_Ra Soat (ty) '!CJ37</f>
        <v>0</v>
      </c>
      <c r="W33" s="1033">
        <f>'1.BC_Ra Soat (ty) '!CO37</f>
        <v>0</v>
      </c>
      <c r="X33" s="1033">
        <f t="shared" si="28"/>
        <v>0</v>
      </c>
      <c r="Y33" s="1033">
        <f>'1.BC_Ra Soat (ty) '!DI37</f>
        <v>0</v>
      </c>
      <c r="Z33" s="1033">
        <f>SUMIFS('1.DC_Muc tieu'!$F:$F,'1.DC_Muc tieu'!$D:$D,'1.BC_Muc tieu (ty) '!$D33)-SUMIFS('1.DC_Muc tieu'!$F:$F,'1.DC_Muc tieu'!$E:$E,'1.BC_Muc tieu (ty) '!$D33)</f>
        <v>0</v>
      </c>
      <c r="AA33" s="1033">
        <f>SUMIFS('1.DC_Muc tieu'!$F:$F,'1.DC_Muc tieu'!$D:$D,'1.BC_Muc tieu (ty) '!$D33)-SUMIFS('1.DC_Muc tieu'!$F:$F,'1.DC_Muc tieu'!$E:$E,'1.BC_Muc tieu (ty) '!$D33)</f>
        <v>0</v>
      </c>
      <c r="AB33" s="1033">
        <f>SUMIFS('1.DC_Muc tieu'!$F:$F,'1.DC_Muc tieu'!$D:$D,'1.BC_Muc tieu (ty) '!$D33)-SUMIFS('1.DC_Muc tieu'!$F:$F,'1.DC_Muc tieu'!$E:$E,'1.BC_Muc tieu (ty) '!$D33)</f>
        <v>0</v>
      </c>
      <c r="AC33" s="1033">
        <f>SUMIFS('1.DC_Muc tieu'!$F:$F,'1.DC_Muc tieu'!$D:$D,'1.BC_Muc tieu (ty) '!$D33)-SUMIFS('1.DC_Muc tieu'!$F:$F,'1.DC_Muc tieu'!$E:$E,'1.BC_Muc tieu (ty) '!$D33)</f>
        <v>0</v>
      </c>
      <c r="AD33" s="1033">
        <f>SUMIFS('1.DC_Muc tieu'!$F:$F,'1.DC_Muc tieu'!$D:$D,'1.BC_Muc tieu (ty) '!$D33)-SUMIFS('1.DC_Muc tieu'!$F:$F,'1.DC_Muc tieu'!$E:$E,'1.BC_Muc tieu (ty) '!$D33)</f>
        <v>0</v>
      </c>
      <c r="AE33" s="1033">
        <f t="shared" si="29"/>
        <v>0</v>
      </c>
      <c r="AF33" s="1033">
        <f t="shared" ref="AF33" si="31">S33+Z33</f>
        <v>0</v>
      </c>
      <c r="AG33" s="1033">
        <f t="shared" si="30"/>
        <v>0</v>
      </c>
      <c r="AH33" s="1033">
        <f t="shared" si="30"/>
        <v>0</v>
      </c>
      <c r="AI33" s="1033">
        <f t="shared" si="30"/>
        <v>0</v>
      </c>
      <c r="AJ33" s="1033">
        <f t="shared" si="30"/>
        <v>0</v>
      </c>
      <c r="AK33" s="1033">
        <f t="shared" ref="AK33:AK55" si="32">AE33+X33</f>
        <v>0</v>
      </c>
      <c r="AL33" s="1033">
        <f t="shared" ref="AL33:AL37" si="33">Y33+AE33</f>
        <v>0</v>
      </c>
    </row>
    <row r="34" spans="1:39" s="1044" customFormat="1" x14ac:dyDescent="0.25">
      <c r="A34" s="1038" t="str">
        <f t="shared" si="23"/>
        <v>hide</v>
      </c>
      <c r="B34" s="1045" t="s">
        <v>33</v>
      </c>
      <c r="C34" s="1043" t="s">
        <v>34</v>
      </c>
      <c r="D34" s="991" t="s">
        <v>300</v>
      </c>
      <c r="E34" s="992">
        <f>SUM(E35:E37)</f>
        <v>0</v>
      </c>
      <c r="F34" s="992">
        <f t="shared" ref="F34:AL34" si="34">SUM(F35:F37)</f>
        <v>0</v>
      </c>
      <c r="G34" s="1033">
        <f>'1.BC_Ra Soat (ty) '!CC38</f>
        <v>0</v>
      </c>
      <c r="H34" s="1033">
        <f>'1.BC_Ra Soat (ty) '!CH38</f>
        <v>0</v>
      </c>
      <c r="I34" s="1033">
        <f>'1.BC_Ra Soat (ty) '!CM38</f>
        <v>0</v>
      </c>
      <c r="J34" s="1033">
        <f t="shared" si="34"/>
        <v>0</v>
      </c>
      <c r="K34" s="1033">
        <f t="shared" si="34"/>
        <v>0</v>
      </c>
      <c r="L34" s="1033">
        <f>'1.BC_Ra Soat (ty) '!BT38</f>
        <v>0</v>
      </c>
      <c r="M34" s="1033">
        <f>'1.BC_Ra Soat (ty) '!BY38</f>
        <v>0</v>
      </c>
      <c r="N34" s="1033">
        <f>'1.BC_Ra Soat (ty) '!CD38</f>
        <v>0</v>
      </c>
      <c r="O34" s="1033">
        <f>'1.BC_Ra Soat (ty) '!CI38</f>
        <v>0</v>
      </c>
      <c r="P34" s="1033">
        <f>'1.BC_Ra Soat (ty) '!CN38</f>
        <v>0</v>
      </c>
      <c r="Q34" s="1033">
        <f t="shared" si="34"/>
        <v>0</v>
      </c>
      <c r="R34" s="1033">
        <f t="shared" si="34"/>
        <v>0</v>
      </c>
      <c r="S34" s="1033">
        <f>'1.BC_Ra Soat (ty) '!BU38</f>
        <v>0</v>
      </c>
      <c r="T34" s="1033">
        <f>'1.BC_Ra Soat (ty) '!BZ38</f>
        <v>0</v>
      </c>
      <c r="U34" s="1033">
        <f>'1.BC_Ra Soat (ty) '!CE38</f>
        <v>0</v>
      </c>
      <c r="V34" s="1033">
        <f>'1.BC_Ra Soat (ty) '!CJ38</f>
        <v>0</v>
      </c>
      <c r="W34" s="1033">
        <f>'1.BC_Ra Soat (ty) '!CO38</f>
        <v>0</v>
      </c>
      <c r="X34" s="1033">
        <f t="shared" si="28"/>
        <v>0</v>
      </c>
      <c r="Y34" s="1033">
        <f>'1.BC_Ra Soat (ty) '!DI38</f>
        <v>0</v>
      </c>
      <c r="Z34" s="1033">
        <f t="shared" si="34"/>
        <v>0</v>
      </c>
      <c r="AA34" s="1033">
        <f t="shared" si="34"/>
        <v>0</v>
      </c>
      <c r="AB34" s="1033">
        <f t="shared" si="34"/>
        <v>0</v>
      </c>
      <c r="AC34" s="1033">
        <f t="shared" si="34"/>
        <v>0</v>
      </c>
      <c r="AD34" s="1033">
        <f t="shared" si="34"/>
        <v>0</v>
      </c>
      <c r="AE34" s="1033">
        <f t="shared" si="34"/>
        <v>0</v>
      </c>
      <c r="AF34" s="1033">
        <f t="shared" si="34"/>
        <v>0</v>
      </c>
      <c r="AG34" s="1033">
        <f t="shared" si="34"/>
        <v>0</v>
      </c>
      <c r="AH34" s="1033">
        <f t="shared" si="34"/>
        <v>0</v>
      </c>
      <c r="AI34" s="1033">
        <f t="shared" si="34"/>
        <v>0</v>
      </c>
      <c r="AJ34" s="1033">
        <f t="shared" si="34"/>
        <v>0</v>
      </c>
      <c r="AK34" s="1033">
        <f t="shared" si="32"/>
        <v>0</v>
      </c>
      <c r="AL34" s="1033">
        <f t="shared" si="34"/>
        <v>0</v>
      </c>
      <c r="AM34" s="996"/>
    </row>
    <row r="35" spans="1:39" s="1044" customFormat="1" x14ac:dyDescent="0.25">
      <c r="A35" s="1038" t="str">
        <f t="shared" si="23"/>
        <v>hide</v>
      </c>
      <c r="B35" s="1042" t="s">
        <v>29</v>
      </c>
      <c r="C35" s="1043" t="s">
        <v>35</v>
      </c>
      <c r="D35" s="991" t="s">
        <v>302</v>
      </c>
      <c r="E35" s="992">
        <f>'1.BC_Ra Soat (ty) '!BS39</f>
        <v>0</v>
      </c>
      <c r="F35" s="992">
        <f>'1.BC_Ra Soat (ty) '!BX39</f>
        <v>0</v>
      </c>
      <c r="G35" s="1033">
        <f>'1.BC_Ra Soat (ty) '!CC39</f>
        <v>0</v>
      </c>
      <c r="H35" s="1033">
        <f>'1.BC_Ra Soat (ty) '!CH39</f>
        <v>0</v>
      </c>
      <c r="I35" s="1033">
        <f>'1.BC_Ra Soat (ty) '!CM39</f>
        <v>0</v>
      </c>
      <c r="J35" s="1033">
        <f t="shared" si="26"/>
        <v>0</v>
      </c>
      <c r="K35" s="1033">
        <f>'1.BC_Ra Soat (ty) '!DG39</f>
        <v>0</v>
      </c>
      <c r="L35" s="1033">
        <f>'1.BC_Ra Soat (ty) '!BT39</f>
        <v>0</v>
      </c>
      <c r="M35" s="1033">
        <f>'1.BC_Ra Soat (ty) '!BY39</f>
        <v>0</v>
      </c>
      <c r="N35" s="1033">
        <f>'1.BC_Ra Soat (ty) '!CD39</f>
        <v>0</v>
      </c>
      <c r="O35" s="1033">
        <f>'1.BC_Ra Soat (ty) '!CI39</f>
        <v>0</v>
      </c>
      <c r="P35" s="1033">
        <f>'1.BC_Ra Soat (ty) '!CN39</f>
        <v>0</v>
      </c>
      <c r="Q35" s="1033">
        <f t="shared" si="27"/>
        <v>0</v>
      </c>
      <c r="R35" s="1033">
        <f>'1.BC_Ra Soat (ty) '!DH39</f>
        <v>0</v>
      </c>
      <c r="S35" s="1033">
        <f>'1.BC_Ra Soat (ty) '!BU39</f>
        <v>0</v>
      </c>
      <c r="T35" s="1033">
        <f>'1.BC_Ra Soat (ty) '!BZ39</f>
        <v>0</v>
      </c>
      <c r="U35" s="1033">
        <f>'1.BC_Ra Soat (ty) '!CE39</f>
        <v>0</v>
      </c>
      <c r="V35" s="1033">
        <f>'1.BC_Ra Soat (ty) '!CJ39</f>
        <v>0</v>
      </c>
      <c r="W35" s="1033">
        <f>'1.BC_Ra Soat (ty) '!CO39</f>
        <v>0</v>
      </c>
      <c r="X35" s="1033">
        <f t="shared" si="28"/>
        <v>0</v>
      </c>
      <c r="Y35" s="1033">
        <f>'1.BC_Ra Soat (ty) '!DI39</f>
        <v>0</v>
      </c>
      <c r="Z35" s="1033">
        <f>SUMIFS('1.DC_Muc tieu'!$F:$F,'1.DC_Muc tieu'!$D:$D,'1.BC_Muc tieu (ty) '!$D35)-SUMIFS('1.DC_Muc tieu'!$F:$F,'1.DC_Muc tieu'!$E:$E,'1.BC_Muc tieu (ty) '!$D35)</f>
        <v>0</v>
      </c>
      <c r="AA35" s="1033">
        <f>SUMIFS('1.DC_Muc tieu'!$F:$F,'1.DC_Muc tieu'!$D:$D,'1.BC_Muc tieu (ty) '!$D35)-SUMIFS('1.DC_Muc tieu'!$F:$F,'1.DC_Muc tieu'!$E:$E,'1.BC_Muc tieu (ty) '!$D35)</f>
        <v>0</v>
      </c>
      <c r="AB35" s="1033">
        <f>SUMIFS('1.DC_Muc tieu'!$F:$F,'1.DC_Muc tieu'!$D:$D,'1.BC_Muc tieu (ty) '!$D35)-SUMIFS('1.DC_Muc tieu'!$F:$F,'1.DC_Muc tieu'!$E:$E,'1.BC_Muc tieu (ty) '!$D35)</f>
        <v>0</v>
      </c>
      <c r="AC35" s="1033">
        <f>SUMIFS('1.DC_Muc tieu'!$F:$F,'1.DC_Muc tieu'!$D:$D,'1.BC_Muc tieu (ty) '!$D35)-SUMIFS('1.DC_Muc tieu'!$F:$F,'1.DC_Muc tieu'!$E:$E,'1.BC_Muc tieu (ty) '!$D35)</f>
        <v>0</v>
      </c>
      <c r="AD35" s="1033">
        <f>SUMIFS('1.DC_Muc tieu'!$F:$F,'1.DC_Muc tieu'!$D:$D,'1.BC_Muc tieu (ty) '!$D35)-SUMIFS('1.DC_Muc tieu'!$F:$F,'1.DC_Muc tieu'!$E:$E,'1.BC_Muc tieu (ty) '!$D35)</f>
        <v>0</v>
      </c>
      <c r="AE35" s="1033">
        <f t="shared" si="29"/>
        <v>0</v>
      </c>
      <c r="AF35" s="1033">
        <f t="shared" ref="AF35:AF37" si="35">S35+Z35</f>
        <v>0</v>
      </c>
      <c r="AG35" s="1033">
        <f t="shared" ref="AG35:AG37" si="36">T35+AA35</f>
        <v>0</v>
      </c>
      <c r="AH35" s="1033">
        <f t="shared" ref="AH35:AH37" si="37">U35+AB35</f>
        <v>0</v>
      </c>
      <c r="AI35" s="1033">
        <f t="shared" ref="AI35:AI37" si="38">V35+AC35</f>
        <v>0</v>
      </c>
      <c r="AJ35" s="1033">
        <f t="shared" ref="AJ35:AJ37" si="39">W35+AD35</f>
        <v>0</v>
      </c>
      <c r="AK35" s="1033">
        <f t="shared" si="32"/>
        <v>0</v>
      </c>
      <c r="AL35" s="1033">
        <f t="shared" si="33"/>
        <v>0</v>
      </c>
    </row>
    <row r="36" spans="1:39" s="1044" customFormat="1" ht="30" x14ac:dyDescent="0.25">
      <c r="A36" s="1038" t="str">
        <f t="shared" si="23"/>
        <v>hide</v>
      </c>
      <c r="B36" s="1042" t="s">
        <v>31</v>
      </c>
      <c r="C36" s="1043" t="s">
        <v>36</v>
      </c>
      <c r="D36" s="991" t="s">
        <v>304</v>
      </c>
      <c r="E36" s="992">
        <f>'1.BC_Ra Soat (ty) '!BS40</f>
        <v>0</v>
      </c>
      <c r="F36" s="992">
        <f>'1.BC_Ra Soat (ty) '!BX40</f>
        <v>0</v>
      </c>
      <c r="G36" s="1033">
        <f>'1.BC_Ra Soat (ty) '!CC40</f>
        <v>0</v>
      </c>
      <c r="H36" s="1033">
        <f>'1.BC_Ra Soat (ty) '!CH40</f>
        <v>0</v>
      </c>
      <c r="I36" s="1033">
        <f>'1.BC_Ra Soat (ty) '!CM40</f>
        <v>0</v>
      </c>
      <c r="J36" s="1033">
        <f t="shared" si="26"/>
        <v>0</v>
      </c>
      <c r="K36" s="1033">
        <f>'1.BC_Ra Soat (ty) '!DG40</f>
        <v>0</v>
      </c>
      <c r="L36" s="1033">
        <f>'1.BC_Ra Soat (ty) '!BT40</f>
        <v>0</v>
      </c>
      <c r="M36" s="1033">
        <f>'1.BC_Ra Soat (ty) '!BY40</f>
        <v>0</v>
      </c>
      <c r="N36" s="1033">
        <f>'1.BC_Ra Soat (ty) '!CD40</f>
        <v>0</v>
      </c>
      <c r="O36" s="1033">
        <f>'1.BC_Ra Soat (ty) '!CI40</f>
        <v>0</v>
      </c>
      <c r="P36" s="1033">
        <f>'1.BC_Ra Soat (ty) '!CN40</f>
        <v>0</v>
      </c>
      <c r="Q36" s="1033">
        <f t="shared" si="27"/>
        <v>0</v>
      </c>
      <c r="R36" s="1033">
        <f>'1.BC_Ra Soat (ty) '!DH40</f>
        <v>0</v>
      </c>
      <c r="S36" s="1033">
        <f>'1.BC_Ra Soat (ty) '!BU40</f>
        <v>0</v>
      </c>
      <c r="T36" s="1033">
        <f>'1.BC_Ra Soat (ty) '!BZ40</f>
        <v>0</v>
      </c>
      <c r="U36" s="1033">
        <f>'1.BC_Ra Soat (ty) '!CE40</f>
        <v>0</v>
      </c>
      <c r="V36" s="1033">
        <f>'1.BC_Ra Soat (ty) '!CJ40</f>
        <v>0</v>
      </c>
      <c r="W36" s="1033">
        <f>'1.BC_Ra Soat (ty) '!CO40</f>
        <v>0</v>
      </c>
      <c r="X36" s="1033">
        <f t="shared" si="28"/>
        <v>0</v>
      </c>
      <c r="Y36" s="1033">
        <f>'1.BC_Ra Soat (ty) '!DI40</f>
        <v>0</v>
      </c>
      <c r="Z36" s="1033">
        <f>SUMIFS('1.DC_Muc tieu'!$F:$F,'1.DC_Muc tieu'!$D:$D,'1.BC_Muc tieu (ty) '!$D36)-SUMIFS('1.DC_Muc tieu'!$F:$F,'1.DC_Muc tieu'!$E:$E,'1.BC_Muc tieu (ty) '!$D36)</f>
        <v>0</v>
      </c>
      <c r="AA36" s="1033">
        <f>SUMIFS('1.DC_Muc tieu'!$F:$F,'1.DC_Muc tieu'!$D:$D,'1.BC_Muc tieu (ty) '!$D36)-SUMIFS('1.DC_Muc tieu'!$F:$F,'1.DC_Muc tieu'!$E:$E,'1.BC_Muc tieu (ty) '!$D36)</f>
        <v>0</v>
      </c>
      <c r="AB36" s="1033">
        <f>SUMIFS('1.DC_Muc tieu'!$F:$F,'1.DC_Muc tieu'!$D:$D,'1.BC_Muc tieu (ty) '!$D36)-SUMIFS('1.DC_Muc tieu'!$F:$F,'1.DC_Muc tieu'!$E:$E,'1.BC_Muc tieu (ty) '!$D36)</f>
        <v>0</v>
      </c>
      <c r="AC36" s="1033">
        <f>SUMIFS('1.DC_Muc tieu'!$F:$F,'1.DC_Muc tieu'!$D:$D,'1.BC_Muc tieu (ty) '!$D36)-SUMIFS('1.DC_Muc tieu'!$F:$F,'1.DC_Muc tieu'!$E:$E,'1.BC_Muc tieu (ty) '!$D36)</f>
        <v>0</v>
      </c>
      <c r="AD36" s="1033">
        <f>SUMIFS('1.DC_Muc tieu'!$F:$F,'1.DC_Muc tieu'!$D:$D,'1.BC_Muc tieu (ty) '!$D36)-SUMIFS('1.DC_Muc tieu'!$F:$F,'1.DC_Muc tieu'!$E:$E,'1.BC_Muc tieu (ty) '!$D36)</f>
        <v>0</v>
      </c>
      <c r="AE36" s="1033">
        <f t="shared" si="29"/>
        <v>0</v>
      </c>
      <c r="AF36" s="1033">
        <f t="shared" si="35"/>
        <v>0</v>
      </c>
      <c r="AG36" s="1033">
        <f t="shared" si="36"/>
        <v>0</v>
      </c>
      <c r="AH36" s="1033">
        <f t="shared" si="37"/>
        <v>0</v>
      </c>
      <c r="AI36" s="1033">
        <f t="shared" si="38"/>
        <v>0</v>
      </c>
      <c r="AJ36" s="1033">
        <f t="shared" si="39"/>
        <v>0</v>
      </c>
      <c r="AK36" s="1033">
        <f t="shared" si="32"/>
        <v>0</v>
      </c>
      <c r="AL36" s="1033">
        <f t="shared" si="33"/>
        <v>0</v>
      </c>
    </row>
    <row r="37" spans="1:39" s="1044" customFormat="1" x14ac:dyDescent="0.25">
      <c r="A37" s="1038" t="str">
        <f t="shared" si="23"/>
        <v>hide</v>
      </c>
      <c r="B37" s="1042" t="s">
        <v>37</v>
      </c>
      <c r="C37" s="1043" t="s">
        <v>38</v>
      </c>
      <c r="D37" s="991" t="s">
        <v>306</v>
      </c>
      <c r="E37" s="992">
        <f>'1.BC_Ra Soat (ty) '!BS41</f>
        <v>0</v>
      </c>
      <c r="F37" s="992">
        <f>'1.BC_Ra Soat (ty) '!BX41</f>
        <v>0</v>
      </c>
      <c r="G37" s="1033">
        <f>'1.BC_Ra Soat (ty) '!CC41</f>
        <v>0</v>
      </c>
      <c r="H37" s="1033">
        <f>'1.BC_Ra Soat (ty) '!CH41</f>
        <v>0</v>
      </c>
      <c r="I37" s="1033">
        <f>'1.BC_Ra Soat (ty) '!CM41</f>
        <v>0</v>
      </c>
      <c r="J37" s="1033">
        <f t="shared" si="26"/>
        <v>0</v>
      </c>
      <c r="K37" s="1033">
        <f>'1.BC_Ra Soat (ty) '!DG41</f>
        <v>0</v>
      </c>
      <c r="L37" s="1033">
        <f>'1.BC_Ra Soat (ty) '!BT41</f>
        <v>0</v>
      </c>
      <c r="M37" s="1033">
        <f>'1.BC_Ra Soat (ty) '!BY41</f>
        <v>0</v>
      </c>
      <c r="N37" s="1033">
        <f>'1.BC_Ra Soat (ty) '!CD41</f>
        <v>0</v>
      </c>
      <c r="O37" s="1033">
        <f>'1.BC_Ra Soat (ty) '!CI41</f>
        <v>0</v>
      </c>
      <c r="P37" s="1033">
        <f>'1.BC_Ra Soat (ty) '!CN41</f>
        <v>0</v>
      </c>
      <c r="Q37" s="1033">
        <f t="shared" si="27"/>
        <v>0</v>
      </c>
      <c r="R37" s="1033">
        <f>'1.BC_Ra Soat (ty) '!DH41</f>
        <v>0</v>
      </c>
      <c r="S37" s="1033">
        <f>'1.BC_Ra Soat (ty) '!BU41</f>
        <v>0</v>
      </c>
      <c r="T37" s="1033">
        <f>'1.BC_Ra Soat (ty) '!BZ41</f>
        <v>0</v>
      </c>
      <c r="U37" s="1033">
        <f>'1.BC_Ra Soat (ty) '!CE41</f>
        <v>0</v>
      </c>
      <c r="V37" s="1033">
        <f>'1.BC_Ra Soat (ty) '!CJ41</f>
        <v>0</v>
      </c>
      <c r="W37" s="1033">
        <f>'1.BC_Ra Soat (ty) '!CO41</f>
        <v>0</v>
      </c>
      <c r="X37" s="1033">
        <f t="shared" si="28"/>
        <v>0</v>
      </c>
      <c r="Y37" s="1033">
        <f>'1.BC_Ra Soat (ty) '!DI41</f>
        <v>0</v>
      </c>
      <c r="Z37" s="1033">
        <f>SUMIFS('1.DC_Muc tieu'!$F:$F,'1.DC_Muc tieu'!$D:$D,'1.BC_Muc tieu (ty) '!$D37)-SUMIFS('1.DC_Muc tieu'!$F:$F,'1.DC_Muc tieu'!$E:$E,'1.BC_Muc tieu (ty) '!$D37)</f>
        <v>0</v>
      </c>
      <c r="AA37" s="1033">
        <f>SUMIFS('1.DC_Muc tieu'!$F:$F,'1.DC_Muc tieu'!$D:$D,'1.BC_Muc tieu (ty) '!$D37)-SUMIFS('1.DC_Muc tieu'!$F:$F,'1.DC_Muc tieu'!$E:$E,'1.BC_Muc tieu (ty) '!$D37)</f>
        <v>0</v>
      </c>
      <c r="AB37" s="1033">
        <f>SUMIFS('1.DC_Muc tieu'!$F:$F,'1.DC_Muc tieu'!$D:$D,'1.BC_Muc tieu (ty) '!$D37)-SUMIFS('1.DC_Muc tieu'!$F:$F,'1.DC_Muc tieu'!$E:$E,'1.BC_Muc tieu (ty) '!$D37)</f>
        <v>0</v>
      </c>
      <c r="AC37" s="1033">
        <f>SUMIFS('1.DC_Muc tieu'!$F:$F,'1.DC_Muc tieu'!$D:$D,'1.BC_Muc tieu (ty) '!$D37)-SUMIFS('1.DC_Muc tieu'!$F:$F,'1.DC_Muc tieu'!$E:$E,'1.BC_Muc tieu (ty) '!$D37)</f>
        <v>0</v>
      </c>
      <c r="AD37" s="1033">
        <f>SUMIFS('1.DC_Muc tieu'!$F:$F,'1.DC_Muc tieu'!$D:$D,'1.BC_Muc tieu (ty) '!$D37)-SUMIFS('1.DC_Muc tieu'!$F:$F,'1.DC_Muc tieu'!$E:$E,'1.BC_Muc tieu (ty) '!$D37)</f>
        <v>0</v>
      </c>
      <c r="AE37" s="1033">
        <f t="shared" si="29"/>
        <v>0</v>
      </c>
      <c r="AF37" s="1033">
        <f t="shared" si="35"/>
        <v>0</v>
      </c>
      <c r="AG37" s="1033">
        <f t="shared" si="36"/>
        <v>0</v>
      </c>
      <c r="AH37" s="1033">
        <f t="shared" si="37"/>
        <v>0</v>
      </c>
      <c r="AI37" s="1033">
        <f t="shared" si="38"/>
        <v>0</v>
      </c>
      <c r="AJ37" s="1033">
        <f t="shared" si="39"/>
        <v>0</v>
      </c>
      <c r="AK37" s="1033">
        <f t="shared" si="32"/>
        <v>0</v>
      </c>
      <c r="AL37" s="1033">
        <f t="shared" si="33"/>
        <v>0</v>
      </c>
    </row>
    <row r="38" spans="1:39" s="986" customFormat="1" x14ac:dyDescent="0.25">
      <c r="A38" s="1014">
        <f t="shared" si="23"/>
        <v>1</v>
      </c>
      <c r="B38" s="987" t="s">
        <v>39</v>
      </c>
      <c r="C38" s="988" t="s">
        <v>40</v>
      </c>
      <c r="D38" s="989" t="s">
        <v>308</v>
      </c>
      <c r="E38" s="990">
        <f>SUM(E39:E46)</f>
        <v>33.835444195999997</v>
      </c>
      <c r="F38" s="990">
        <f t="shared" ref="F38:AL38" si="40">SUM(F39:F46)</f>
        <v>7.8416034719999992</v>
      </c>
      <c r="G38" s="990">
        <f t="shared" si="40"/>
        <v>14.981552601000001</v>
      </c>
      <c r="H38" s="990">
        <f t="shared" si="40"/>
        <v>13.200431074999999</v>
      </c>
      <c r="I38" s="990">
        <f t="shared" si="40"/>
        <v>0</v>
      </c>
      <c r="J38" s="990">
        <f t="shared" si="40"/>
        <v>69.859031343999987</v>
      </c>
      <c r="K38" s="990">
        <f t="shared" si="40"/>
        <v>69.859031343999987</v>
      </c>
      <c r="L38" s="990">
        <f t="shared" si="40"/>
        <v>36.647695915</v>
      </c>
      <c r="M38" s="990">
        <f t="shared" si="40"/>
        <v>13.003454123999999</v>
      </c>
      <c r="N38" s="990">
        <f t="shared" si="40"/>
        <v>29.281648145999998</v>
      </c>
      <c r="O38" s="990">
        <f t="shared" si="40"/>
        <v>14.547999516000001</v>
      </c>
      <c r="P38" s="990">
        <f t="shared" si="40"/>
        <v>0</v>
      </c>
      <c r="Q38" s="990">
        <f t="shared" si="40"/>
        <v>93.480797700999986</v>
      </c>
      <c r="R38" s="990">
        <f t="shared" si="40"/>
        <v>93.480797700999986</v>
      </c>
      <c r="S38" s="990">
        <f t="shared" si="40"/>
        <v>153.68492576200001</v>
      </c>
      <c r="T38" s="990">
        <f t="shared" si="40"/>
        <v>50.668668330000003</v>
      </c>
      <c r="U38" s="990">
        <f t="shared" si="40"/>
        <v>28.822683962999999</v>
      </c>
      <c r="V38" s="990">
        <f t="shared" si="40"/>
        <v>45.012927699999999</v>
      </c>
      <c r="W38" s="990">
        <f t="shared" si="40"/>
        <v>0</v>
      </c>
      <c r="X38" s="990">
        <f t="shared" si="40"/>
        <v>278.18920575499999</v>
      </c>
      <c r="Y38" s="990">
        <f t="shared" si="40"/>
        <v>278.18920575499999</v>
      </c>
      <c r="Z38" s="990">
        <f t="shared" si="40"/>
        <v>0</v>
      </c>
      <c r="AA38" s="990">
        <f t="shared" si="40"/>
        <v>0</v>
      </c>
      <c r="AB38" s="990">
        <f t="shared" si="40"/>
        <v>0</v>
      </c>
      <c r="AC38" s="990">
        <f t="shared" si="40"/>
        <v>0</v>
      </c>
      <c r="AD38" s="990">
        <f t="shared" si="40"/>
        <v>0</v>
      </c>
      <c r="AE38" s="990">
        <f t="shared" si="40"/>
        <v>0</v>
      </c>
      <c r="AF38" s="990">
        <f t="shared" si="40"/>
        <v>153.68492576200001</v>
      </c>
      <c r="AG38" s="990">
        <f t="shared" si="40"/>
        <v>50.668668330000003</v>
      </c>
      <c r="AH38" s="990">
        <f t="shared" si="40"/>
        <v>28.822683962999999</v>
      </c>
      <c r="AI38" s="990">
        <f t="shared" si="40"/>
        <v>45.012927699999999</v>
      </c>
      <c r="AJ38" s="990">
        <f t="shared" si="40"/>
        <v>0</v>
      </c>
      <c r="AK38" s="990">
        <f t="shared" si="40"/>
        <v>278.18920575499999</v>
      </c>
      <c r="AL38" s="1081">
        <f t="shared" si="40"/>
        <v>278.18920575499999</v>
      </c>
      <c r="AM38" s="985"/>
    </row>
    <row r="39" spans="1:39" s="1044" customFormat="1" x14ac:dyDescent="0.25">
      <c r="A39" s="1038">
        <f t="shared" si="23"/>
        <v>1</v>
      </c>
      <c r="B39" s="1042" t="s">
        <v>29</v>
      </c>
      <c r="C39" s="1046" t="s">
        <v>41</v>
      </c>
      <c r="D39" s="991" t="s">
        <v>310</v>
      </c>
      <c r="E39" s="992">
        <f>'1.BC_Ra Soat (ty) '!BS43</f>
        <v>29.286683581999998</v>
      </c>
      <c r="F39" s="992">
        <f>'1.BC_Ra Soat (ty) '!BX43</f>
        <v>5.268045366</v>
      </c>
      <c r="G39" s="1033">
        <f>'1.BC_Ra Soat (ty) '!CC43</f>
        <v>14.799733171</v>
      </c>
      <c r="H39" s="1033">
        <f>'1.BC_Ra Soat (ty) '!CH43</f>
        <v>13.082433252</v>
      </c>
      <c r="I39" s="1033">
        <f>'1.BC_Ra Soat (ty) '!CM43</f>
        <v>0</v>
      </c>
      <c r="J39" s="1033">
        <f t="shared" si="26"/>
        <v>62.436895370999999</v>
      </c>
      <c r="K39" s="1033">
        <f>'1.BC_Ra Soat (ty) '!DG43</f>
        <v>62.436895370999999</v>
      </c>
      <c r="L39" s="1033">
        <f>'1.BC_Ra Soat (ty) '!BT43</f>
        <v>29.62534161</v>
      </c>
      <c r="M39" s="1033">
        <f>'1.BC_Ra Soat (ty) '!BY43</f>
        <v>11.812757296999999</v>
      </c>
      <c r="N39" s="1033">
        <f>'1.BC_Ra Soat (ty) '!CD43</f>
        <v>29.280642157999999</v>
      </c>
      <c r="O39" s="1033">
        <f>'1.BC_Ra Soat (ty) '!CI43</f>
        <v>14.491580087000001</v>
      </c>
      <c r="P39" s="1033">
        <f>'1.BC_Ra Soat (ty) '!CN43</f>
        <v>0</v>
      </c>
      <c r="Q39" s="1033">
        <f t="shared" si="27"/>
        <v>85.210321151999992</v>
      </c>
      <c r="R39" s="1033">
        <f>'1.BC_Ra Soat (ty) '!DH43</f>
        <v>85.210321151999992</v>
      </c>
      <c r="S39" s="1033">
        <f>'1.BC_Ra Soat (ty) '!BU43</f>
        <v>101.83346009500001</v>
      </c>
      <c r="T39" s="1033">
        <f>'1.BC_Ra Soat (ty) '!BZ43</f>
        <v>48.957714647000003</v>
      </c>
      <c r="U39" s="1033">
        <f>'1.BC_Ra Soat (ty) '!CE43</f>
        <v>33.77267458</v>
      </c>
      <c r="V39" s="1033">
        <f>'1.BC_Ra Soat (ty) '!CJ43</f>
        <v>33.234622688000002</v>
      </c>
      <c r="W39" s="1033">
        <f>'1.BC_Ra Soat (ty) '!CO43</f>
        <v>0</v>
      </c>
      <c r="X39" s="1033">
        <f t="shared" si="28"/>
        <v>217.79847201000001</v>
      </c>
      <c r="Y39" s="1033">
        <f>'1.BC_Ra Soat (ty) '!DI43</f>
        <v>217.79847201000001</v>
      </c>
      <c r="Z39" s="1033">
        <f>SUMIFS('1.DC_Muc tieu'!$F:$F,'1.DC_Muc tieu'!$D:$D,'1.BC_Muc tieu (ty) '!$D39)-SUMIFS('1.DC_Muc tieu'!$F:$F,'1.DC_Muc tieu'!$E:$E,'1.BC_Muc tieu (ty) '!$D39)</f>
        <v>0</v>
      </c>
      <c r="AA39" s="1033">
        <f>SUMIFS('1.DC_Muc tieu'!$F:$F,'1.DC_Muc tieu'!$D:$D,'1.BC_Muc tieu (ty) '!$D39)-SUMIFS('1.DC_Muc tieu'!$F:$F,'1.DC_Muc tieu'!$E:$E,'1.BC_Muc tieu (ty) '!$D39)</f>
        <v>0</v>
      </c>
      <c r="AB39" s="1033">
        <f>SUMIFS('1.DC_Muc tieu'!$F:$F,'1.DC_Muc tieu'!$D:$D,'1.BC_Muc tieu (ty) '!$D39)-SUMIFS('1.DC_Muc tieu'!$F:$F,'1.DC_Muc tieu'!$E:$E,'1.BC_Muc tieu (ty) '!$D39)</f>
        <v>0</v>
      </c>
      <c r="AC39" s="1033">
        <f>SUMIFS('1.DC_Muc tieu'!$F:$F,'1.DC_Muc tieu'!$D:$D,'1.BC_Muc tieu (ty) '!$D39)-SUMIFS('1.DC_Muc tieu'!$F:$F,'1.DC_Muc tieu'!$E:$E,'1.BC_Muc tieu (ty) '!$D39)</f>
        <v>0</v>
      </c>
      <c r="AD39" s="1033">
        <f>SUMIFS('1.DC_Muc tieu'!$F:$F,'1.DC_Muc tieu'!$D:$D,'1.BC_Muc tieu (ty) '!$D39)-SUMIFS('1.DC_Muc tieu'!$F:$F,'1.DC_Muc tieu'!$E:$E,'1.BC_Muc tieu (ty) '!$D39)</f>
        <v>0</v>
      </c>
      <c r="AE39" s="1033">
        <f t="shared" si="29"/>
        <v>0</v>
      </c>
      <c r="AF39" s="1033">
        <f t="shared" ref="AF39:AF46" si="41">S39+Z39</f>
        <v>101.83346009500001</v>
      </c>
      <c r="AG39" s="1033">
        <f t="shared" ref="AG39:AG46" si="42">T39+AA39</f>
        <v>48.957714647000003</v>
      </c>
      <c r="AH39" s="1033">
        <f t="shared" ref="AH39:AH46" si="43">U39+AB39</f>
        <v>33.77267458</v>
      </c>
      <c r="AI39" s="1033">
        <f t="shared" ref="AI39:AI46" si="44">V39+AC39</f>
        <v>33.234622688000002</v>
      </c>
      <c r="AJ39" s="1033">
        <f t="shared" ref="AJ39:AJ46" si="45">W39+AD39</f>
        <v>0</v>
      </c>
      <c r="AK39" s="1033">
        <f t="shared" si="32"/>
        <v>217.79847201000001</v>
      </c>
      <c r="AL39" s="1082">
        <f>Y39+AE39</f>
        <v>217.79847201000001</v>
      </c>
    </row>
    <row r="40" spans="1:39" s="1044" customFormat="1" x14ac:dyDescent="0.25">
      <c r="A40" s="1038">
        <f t="shared" si="23"/>
        <v>1</v>
      </c>
      <c r="B40" s="1042" t="s">
        <v>31</v>
      </c>
      <c r="C40" s="1043" t="s">
        <v>42</v>
      </c>
      <c r="D40" s="991" t="s">
        <v>312</v>
      </c>
      <c r="E40" s="992">
        <f>'1.BC_Ra Soat (ty) '!BS44</f>
        <v>2.4536629670000001</v>
      </c>
      <c r="F40" s="992">
        <f>'1.BC_Ra Soat (ty) '!BX44</f>
        <v>1.9701341059999999</v>
      </c>
      <c r="G40" s="1033">
        <f>'1.BC_Ra Soat (ty) '!CC44</f>
        <v>0</v>
      </c>
      <c r="H40" s="1033">
        <f>'1.BC_Ra Soat (ty) '!CH44</f>
        <v>0.11722312999999999</v>
      </c>
      <c r="I40" s="1033">
        <f>'1.BC_Ra Soat (ty) '!CM44</f>
        <v>0</v>
      </c>
      <c r="J40" s="1033">
        <f t="shared" si="26"/>
        <v>4.5410202030000004</v>
      </c>
      <c r="K40" s="1033">
        <f>'1.BC_Ra Soat (ty) '!DG44</f>
        <v>4.5410202030000004</v>
      </c>
      <c r="L40" s="1033">
        <f>'1.BC_Ra Soat (ty) '!BT44</f>
        <v>4.2971204089999997</v>
      </c>
      <c r="M40" s="1033">
        <f>'1.BC_Ra Soat (ty) '!BY44</f>
        <v>0</v>
      </c>
      <c r="N40" s="1033">
        <f>'1.BC_Ra Soat (ty) '!CD44</f>
        <v>0</v>
      </c>
      <c r="O40" s="1033">
        <f>'1.BC_Ra Soat (ty) '!CI44</f>
        <v>5.5644736E-2</v>
      </c>
      <c r="P40" s="1033">
        <f>'1.BC_Ra Soat (ty) '!CN44</f>
        <v>0</v>
      </c>
      <c r="Q40" s="1033">
        <f t="shared" si="27"/>
        <v>4.3527651449999993</v>
      </c>
      <c r="R40" s="1033">
        <f>'1.BC_Ra Soat (ty) '!DH44</f>
        <v>4.3527651449999993</v>
      </c>
      <c r="S40" s="1033">
        <f>'1.BC_Ra Soat (ty) '!BU44</f>
        <v>51.552067612999998</v>
      </c>
      <c r="T40" s="1033">
        <f>'1.BC_Ra Soat (ty) '!BZ44</f>
        <v>0.55061328300000001</v>
      </c>
      <c r="U40" s="1033">
        <f>'1.BC_Ra Soat (ty) '!CE44</f>
        <v>0</v>
      </c>
      <c r="V40" s="1033">
        <f>'1.BC_Ra Soat (ty) '!CJ44</f>
        <v>16.777440319</v>
      </c>
      <c r="W40" s="1033">
        <f>'1.BC_Ra Soat (ty) '!CO44</f>
        <v>0</v>
      </c>
      <c r="X40" s="1033">
        <f t="shared" si="28"/>
        <v>68.880121215000003</v>
      </c>
      <c r="Y40" s="1033">
        <f>'1.BC_Ra Soat (ty) '!DI44</f>
        <v>68.880121215000003</v>
      </c>
      <c r="Z40" s="1033">
        <f>SUMIFS('1.DC_Muc tieu'!$F:$F,'1.DC_Muc tieu'!$D:$D,'1.BC_Muc tieu (ty) '!$D40)-SUMIFS('1.DC_Muc tieu'!$F:$F,'1.DC_Muc tieu'!$E:$E,'1.BC_Muc tieu (ty) '!$D40)</f>
        <v>0</v>
      </c>
      <c r="AA40" s="1033">
        <f>SUMIFS('1.DC_Muc tieu'!$F:$F,'1.DC_Muc tieu'!$D:$D,'1.BC_Muc tieu (ty) '!$D40)-SUMIFS('1.DC_Muc tieu'!$F:$F,'1.DC_Muc tieu'!$E:$E,'1.BC_Muc tieu (ty) '!$D40)</f>
        <v>0</v>
      </c>
      <c r="AB40" s="1033">
        <f>SUMIFS('1.DC_Muc tieu'!$F:$F,'1.DC_Muc tieu'!$D:$D,'1.BC_Muc tieu (ty) '!$D40)-SUMIFS('1.DC_Muc tieu'!$F:$F,'1.DC_Muc tieu'!$E:$E,'1.BC_Muc tieu (ty) '!$D40)</f>
        <v>0</v>
      </c>
      <c r="AC40" s="1033">
        <f>SUMIFS('1.DC_Muc tieu'!$F:$F,'1.DC_Muc tieu'!$D:$D,'1.BC_Muc tieu (ty) '!$D40)-SUMIFS('1.DC_Muc tieu'!$F:$F,'1.DC_Muc tieu'!$E:$E,'1.BC_Muc tieu (ty) '!$D40)</f>
        <v>0</v>
      </c>
      <c r="AD40" s="1033">
        <f>SUMIFS('1.DC_Muc tieu'!$F:$F,'1.DC_Muc tieu'!$D:$D,'1.BC_Muc tieu (ty) '!$D40)-SUMIFS('1.DC_Muc tieu'!$F:$F,'1.DC_Muc tieu'!$E:$E,'1.BC_Muc tieu (ty) '!$D40)</f>
        <v>0</v>
      </c>
      <c r="AE40" s="1033">
        <f t="shared" si="29"/>
        <v>0</v>
      </c>
      <c r="AF40" s="1033">
        <f t="shared" si="41"/>
        <v>51.552067612999998</v>
      </c>
      <c r="AG40" s="1033">
        <f t="shared" si="42"/>
        <v>0.55061328300000001</v>
      </c>
      <c r="AH40" s="1033">
        <f t="shared" si="43"/>
        <v>0</v>
      </c>
      <c r="AI40" s="1033">
        <f t="shared" si="44"/>
        <v>16.777440319</v>
      </c>
      <c r="AJ40" s="1033">
        <f t="shared" si="45"/>
        <v>0</v>
      </c>
      <c r="AK40" s="1033">
        <f t="shared" si="32"/>
        <v>68.880121215000003</v>
      </c>
      <c r="AL40" s="1082">
        <f>Y40+AE40</f>
        <v>68.880121215000003</v>
      </c>
    </row>
    <row r="41" spans="1:39" s="1044" customFormat="1" x14ac:dyDescent="0.25">
      <c r="A41" s="1038">
        <f t="shared" si="23"/>
        <v>1</v>
      </c>
      <c r="B41" s="1042" t="s">
        <v>37</v>
      </c>
      <c r="C41" s="1043" t="s">
        <v>43</v>
      </c>
      <c r="D41" s="991" t="s">
        <v>314</v>
      </c>
      <c r="E41" s="992">
        <f>'1.BC_Ra Soat (ty) '!BS45</f>
        <v>0</v>
      </c>
      <c r="F41" s="992">
        <f>'1.BC_Ra Soat (ty) '!BX45</f>
        <v>0</v>
      </c>
      <c r="G41" s="1033">
        <f>'1.BC_Ra Soat (ty) '!CC45</f>
        <v>0</v>
      </c>
      <c r="H41" s="1033">
        <f>'1.BC_Ra Soat (ty) '!CH45</f>
        <v>0</v>
      </c>
      <c r="I41" s="1033">
        <f>'1.BC_Ra Soat (ty) '!CM45</f>
        <v>0</v>
      </c>
      <c r="J41" s="1033">
        <f t="shared" si="26"/>
        <v>0</v>
      </c>
      <c r="K41" s="1033">
        <f>'1.BC_Ra Soat (ty) '!DG45</f>
        <v>0</v>
      </c>
      <c r="L41" s="1033">
        <f>'1.BC_Ra Soat (ty) '!BT45</f>
        <v>2.7252338960000002</v>
      </c>
      <c r="M41" s="1033">
        <f>'1.BC_Ra Soat (ty) '!BY45</f>
        <v>0</v>
      </c>
      <c r="N41" s="1033">
        <f>'1.BC_Ra Soat (ty) '!CD45</f>
        <v>0</v>
      </c>
      <c r="O41" s="1033">
        <f>'1.BC_Ra Soat (ty) '!CI45</f>
        <v>0</v>
      </c>
      <c r="P41" s="1033">
        <f>'1.BC_Ra Soat (ty) '!CN45</f>
        <v>0</v>
      </c>
      <c r="Q41" s="1033">
        <f t="shared" si="27"/>
        <v>2.7252338960000002</v>
      </c>
      <c r="R41" s="1033">
        <f>'1.BC_Ra Soat (ty) '!DH45</f>
        <v>2.7252338960000002</v>
      </c>
      <c r="S41" s="1033">
        <f>'1.BC_Ra Soat (ty) '!BU45</f>
        <v>3.8493980539999999</v>
      </c>
      <c r="T41" s="1033">
        <f>'1.BC_Ra Soat (ty) '!BZ45</f>
        <v>1.1603403999999999</v>
      </c>
      <c r="U41" s="1033">
        <f>'1.BC_Ra Soat (ty) '!CE45</f>
        <v>0</v>
      </c>
      <c r="V41" s="1033">
        <f>'1.BC_Ra Soat (ty) '!CJ45</f>
        <v>0</v>
      </c>
      <c r="W41" s="1033">
        <f>'1.BC_Ra Soat (ty) '!CO45</f>
        <v>0</v>
      </c>
      <c r="X41" s="1033">
        <f t="shared" si="28"/>
        <v>5.0097384539999998</v>
      </c>
      <c r="Y41" s="1033">
        <f>'1.BC_Ra Soat (ty) '!DI45</f>
        <v>5.0097384539999998</v>
      </c>
      <c r="Z41" s="1033">
        <f>SUMIFS('1.DC_Muc tieu'!$F:$F,'1.DC_Muc tieu'!$D:$D,'1.BC_Muc tieu (ty) '!$D41)-SUMIFS('1.DC_Muc tieu'!$F:$F,'1.DC_Muc tieu'!$E:$E,'1.BC_Muc tieu (ty) '!$D41)</f>
        <v>0</v>
      </c>
      <c r="AA41" s="1033">
        <f>SUMIFS('1.DC_Muc tieu'!$F:$F,'1.DC_Muc tieu'!$D:$D,'1.BC_Muc tieu (ty) '!$D41)-SUMIFS('1.DC_Muc tieu'!$F:$F,'1.DC_Muc tieu'!$E:$E,'1.BC_Muc tieu (ty) '!$D41)</f>
        <v>0</v>
      </c>
      <c r="AB41" s="1033">
        <f>SUMIFS('1.DC_Muc tieu'!$F:$F,'1.DC_Muc tieu'!$D:$D,'1.BC_Muc tieu (ty) '!$D41)-SUMIFS('1.DC_Muc tieu'!$F:$F,'1.DC_Muc tieu'!$E:$E,'1.BC_Muc tieu (ty) '!$D41)</f>
        <v>0</v>
      </c>
      <c r="AC41" s="1033">
        <f>SUMIFS('1.DC_Muc tieu'!$F:$F,'1.DC_Muc tieu'!$D:$D,'1.BC_Muc tieu (ty) '!$D41)-SUMIFS('1.DC_Muc tieu'!$F:$F,'1.DC_Muc tieu'!$E:$E,'1.BC_Muc tieu (ty) '!$D41)</f>
        <v>0</v>
      </c>
      <c r="AD41" s="1033">
        <f>SUMIFS('1.DC_Muc tieu'!$F:$F,'1.DC_Muc tieu'!$D:$D,'1.BC_Muc tieu (ty) '!$D41)-SUMIFS('1.DC_Muc tieu'!$F:$F,'1.DC_Muc tieu'!$E:$E,'1.BC_Muc tieu (ty) '!$D41)</f>
        <v>0</v>
      </c>
      <c r="AE41" s="1033">
        <f t="shared" si="29"/>
        <v>0</v>
      </c>
      <c r="AF41" s="1033">
        <f t="shared" si="41"/>
        <v>3.8493980539999999</v>
      </c>
      <c r="AG41" s="1033">
        <f t="shared" si="42"/>
        <v>1.1603403999999999</v>
      </c>
      <c r="AH41" s="1033">
        <f t="shared" si="43"/>
        <v>0</v>
      </c>
      <c r="AI41" s="1033">
        <f t="shared" si="44"/>
        <v>0</v>
      </c>
      <c r="AJ41" s="1033">
        <f t="shared" si="45"/>
        <v>0</v>
      </c>
      <c r="AK41" s="1033">
        <f t="shared" si="32"/>
        <v>5.0097384539999998</v>
      </c>
      <c r="AL41" s="1082">
        <f>Y41+AE41</f>
        <v>5.0097384539999998</v>
      </c>
    </row>
    <row r="42" spans="1:39" s="1044" customFormat="1" ht="30" x14ac:dyDescent="0.25">
      <c r="A42" s="1038" t="str">
        <f t="shared" si="23"/>
        <v>hide</v>
      </c>
      <c r="B42" s="1042" t="s">
        <v>44</v>
      </c>
      <c r="C42" s="1043" t="s">
        <v>45</v>
      </c>
      <c r="D42" s="991" t="s">
        <v>316</v>
      </c>
      <c r="E42" s="992">
        <f>'1.BC_Ra Soat (ty) '!BS46</f>
        <v>0</v>
      </c>
      <c r="F42" s="992">
        <f>'1.BC_Ra Soat (ty) '!BX46</f>
        <v>0</v>
      </c>
      <c r="G42" s="1033">
        <f>'1.BC_Ra Soat (ty) '!CC46</f>
        <v>0</v>
      </c>
      <c r="H42" s="1033">
        <f>'1.BC_Ra Soat (ty) '!CH46</f>
        <v>0</v>
      </c>
      <c r="I42" s="1033">
        <f>'1.BC_Ra Soat (ty) '!CM46</f>
        <v>0</v>
      </c>
      <c r="J42" s="1033">
        <f t="shared" si="26"/>
        <v>0</v>
      </c>
      <c r="K42" s="1033">
        <f>'1.BC_Ra Soat (ty) '!DG46</f>
        <v>0</v>
      </c>
      <c r="L42" s="1033">
        <f>'1.BC_Ra Soat (ty) '!BT46</f>
        <v>0</v>
      </c>
      <c r="M42" s="1033">
        <f>'1.BC_Ra Soat (ty) '!BY46</f>
        <v>0</v>
      </c>
      <c r="N42" s="1033">
        <f>'1.BC_Ra Soat (ty) '!CD46</f>
        <v>0</v>
      </c>
      <c r="O42" s="1033">
        <f>'1.BC_Ra Soat (ty) '!CI46</f>
        <v>0</v>
      </c>
      <c r="P42" s="1033">
        <f>'1.BC_Ra Soat (ty) '!CN46</f>
        <v>0</v>
      </c>
      <c r="Q42" s="1033">
        <f t="shared" si="27"/>
        <v>0</v>
      </c>
      <c r="R42" s="1033">
        <f>'1.BC_Ra Soat (ty) '!DH46</f>
        <v>0</v>
      </c>
      <c r="S42" s="1033">
        <f>'1.BC_Ra Soat (ty) '!BU46</f>
        <v>0</v>
      </c>
      <c r="T42" s="1033">
        <f>'1.BC_Ra Soat (ty) '!BZ46</f>
        <v>0</v>
      </c>
      <c r="U42" s="1033">
        <f>'1.BC_Ra Soat (ty) '!CE46</f>
        <v>0</v>
      </c>
      <c r="V42" s="1033">
        <f>'1.BC_Ra Soat (ty) '!CJ46</f>
        <v>0</v>
      </c>
      <c r="W42" s="1033">
        <f>'1.BC_Ra Soat (ty) '!CO46</f>
        <v>0</v>
      </c>
      <c r="X42" s="1033">
        <f t="shared" si="28"/>
        <v>0</v>
      </c>
      <c r="Y42" s="1033">
        <f>'1.BC_Ra Soat (ty) '!DI46</f>
        <v>0</v>
      </c>
      <c r="Z42" s="1033">
        <f>SUMIFS('1.DC_Muc tieu'!$F:$F,'1.DC_Muc tieu'!$D:$D,'1.BC_Muc tieu (ty) '!$D42)-SUMIFS('1.DC_Muc tieu'!$F:$F,'1.DC_Muc tieu'!$E:$E,'1.BC_Muc tieu (ty) '!$D42)</f>
        <v>0</v>
      </c>
      <c r="AA42" s="1033">
        <f>SUMIFS('1.DC_Muc tieu'!$F:$F,'1.DC_Muc tieu'!$D:$D,'1.BC_Muc tieu (ty) '!$D42)-SUMIFS('1.DC_Muc tieu'!$F:$F,'1.DC_Muc tieu'!$E:$E,'1.BC_Muc tieu (ty) '!$D42)</f>
        <v>0</v>
      </c>
      <c r="AB42" s="1033">
        <f>SUMIFS('1.DC_Muc tieu'!$F:$F,'1.DC_Muc tieu'!$D:$D,'1.BC_Muc tieu (ty) '!$D42)-SUMIFS('1.DC_Muc tieu'!$F:$F,'1.DC_Muc tieu'!$E:$E,'1.BC_Muc tieu (ty) '!$D42)</f>
        <v>0</v>
      </c>
      <c r="AC42" s="1033">
        <f>SUMIFS('1.DC_Muc tieu'!$F:$F,'1.DC_Muc tieu'!$D:$D,'1.BC_Muc tieu (ty) '!$D42)-SUMIFS('1.DC_Muc tieu'!$F:$F,'1.DC_Muc tieu'!$E:$E,'1.BC_Muc tieu (ty) '!$D42)</f>
        <v>0</v>
      </c>
      <c r="AD42" s="1033">
        <f>SUMIFS('1.DC_Muc tieu'!$F:$F,'1.DC_Muc tieu'!$D:$D,'1.BC_Muc tieu (ty) '!$D42)-SUMIFS('1.DC_Muc tieu'!$F:$F,'1.DC_Muc tieu'!$E:$E,'1.BC_Muc tieu (ty) '!$D42)</f>
        <v>0</v>
      </c>
      <c r="AE42" s="1033">
        <f t="shared" si="29"/>
        <v>0</v>
      </c>
      <c r="AF42" s="1033">
        <f t="shared" si="41"/>
        <v>0</v>
      </c>
      <c r="AG42" s="1033">
        <f t="shared" si="42"/>
        <v>0</v>
      </c>
      <c r="AH42" s="1033">
        <f t="shared" si="43"/>
        <v>0</v>
      </c>
      <c r="AI42" s="1033">
        <f t="shared" si="44"/>
        <v>0</v>
      </c>
      <c r="AJ42" s="1033">
        <f t="shared" si="45"/>
        <v>0</v>
      </c>
      <c r="AK42" s="1033">
        <f t="shared" si="32"/>
        <v>0</v>
      </c>
      <c r="AL42" s="1033">
        <f t="shared" ref="AL42:AL46" si="46">Y42+AE42</f>
        <v>0</v>
      </c>
    </row>
    <row r="43" spans="1:39" s="1044" customFormat="1" x14ac:dyDescent="0.25">
      <c r="A43" s="1038" t="str">
        <f t="shared" si="23"/>
        <v>hide</v>
      </c>
      <c r="B43" s="1042" t="s">
        <v>46</v>
      </c>
      <c r="C43" s="1043" t="s">
        <v>47</v>
      </c>
      <c r="D43" s="991" t="s">
        <v>318</v>
      </c>
      <c r="E43" s="992">
        <f>'1.BC_Ra Soat (ty) '!BS47</f>
        <v>0</v>
      </c>
      <c r="F43" s="992">
        <f>'1.BC_Ra Soat (ty) '!BX47</f>
        <v>0</v>
      </c>
      <c r="G43" s="1033">
        <f>'1.BC_Ra Soat (ty) '!CC47</f>
        <v>0</v>
      </c>
      <c r="H43" s="1033">
        <f>'1.BC_Ra Soat (ty) '!CH47</f>
        <v>0</v>
      </c>
      <c r="I43" s="1033">
        <f>'1.BC_Ra Soat (ty) '!CM47</f>
        <v>0</v>
      </c>
      <c r="J43" s="1033">
        <f t="shared" si="26"/>
        <v>0</v>
      </c>
      <c r="K43" s="1033">
        <f>'1.BC_Ra Soat (ty) '!DG47</f>
        <v>0</v>
      </c>
      <c r="L43" s="1033">
        <f>'1.BC_Ra Soat (ty) '!BT47</f>
        <v>0</v>
      </c>
      <c r="M43" s="1033">
        <f>'1.BC_Ra Soat (ty) '!BY47</f>
        <v>0</v>
      </c>
      <c r="N43" s="1033">
        <f>'1.BC_Ra Soat (ty) '!CD47</f>
        <v>0</v>
      </c>
      <c r="O43" s="1033">
        <f>'1.BC_Ra Soat (ty) '!CI47</f>
        <v>0</v>
      </c>
      <c r="P43" s="1033">
        <f>'1.BC_Ra Soat (ty) '!CN47</f>
        <v>0</v>
      </c>
      <c r="Q43" s="1033">
        <f t="shared" si="27"/>
        <v>0</v>
      </c>
      <c r="R43" s="1033">
        <f>'1.BC_Ra Soat (ty) '!DH47</f>
        <v>0</v>
      </c>
      <c r="S43" s="1033">
        <f>'1.BC_Ra Soat (ty) '!BU47</f>
        <v>0</v>
      </c>
      <c r="T43" s="1033">
        <f>'1.BC_Ra Soat (ty) '!BZ47</f>
        <v>0</v>
      </c>
      <c r="U43" s="1033">
        <f>'1.BC_Ra Soat (ty) '!CE47</f>
        <v>0</v>
      </c>
      <c r="V43" s="1033">
        <f>'1.BC_Ra Soat (ty) '!CJ47</f>
        <v>0</v>
      </c>
      <c r="W43" s="1033">
        <f>'1.BC_Ra Soat (ty) '!CO47</f>
        <v>0</v>
      </c>
      <c r="X43" s="1033">
        <f t="shared" si="28"/>
        <v>0</v>
      </c>
      <c r="Y43" s="1033">
        <f>'1.BC_Ra Soat (ty) '!DI47</f>
        <v>0</v>
      </c>
      <c r="Z43" s="1033">
        <f>SUMIFS('1.DC_Muc tieu'!$F:$F,'1.DC_Muc tieu'!$D:$D,'1.BC_Muc tieu (ty) '!$D43)-SUMIFS('1.DC_Muc tieu'!$F:$F,'1.DC_Muc tieu'!$E:$E,'1.BC_Muc tieu (ty) '!$D43)</f>
        <v>0</v>
      </c>
      <c r="AA43" s="1033">
        <f>SUMIFS('1.DC_Muc tieu'!$F:$F,'1.DC_Muc tieu'!$D:$D,'1.BC_Muc tieu (ty) '!$D43)-SUMIFS('1.DC_Muc tieu'!$F:$F,'1.DC_Muc tieu'!$E:$E,'1.BC_Muc tieu (ty) '!$D43)</f>
        <v>0</v>
      </c>
      <c r="AB43" s="1033">
        <f>SUMIFS('1.DC_Muc tieu'!$F:$F,'1.DC_Muc tieu'!$D:$D,'1.BC_Muc tieu (ty) '!$D43)-SUMIFS('1.DC_Muc tieu'!$F:$F,'1.DC_Muc tieu'!$E:$E,'1.BC_Muc tieu (ty) '!$D43)</f>
        <v>0</v>
      </c>
      <c r="AC43" s="1033">
        <f>SUMIFS('1.DC_Muc tieu'!$F:$F,'1.DC_Muc tieu'!$D:$D,'1.BC_Muc tieu (ty) '!$D43)-SUMIFS('1.DC_Muc tieu'!$F:$F,'1.DC_Muc tieu'!$E:$E,'1.BC_Muc tieu (ty) '!$D43)</f>
        <v>0</v>
      </c>
      <c r="AD43" s="1033">
        <f>SUMIFS('1.DC_Muc tieu'!$F:$F,'1.DC_Muc tieu'!$D:$D,'1.BC_Muc tieu (ty) '!$D43)-SUMIFS('1.DC_Muc tieu'!$F:$F,'1.DC_Muc tieu'!$E:$E,'1.BC_Muc tieu (ty) '!$D43)</f>
        <v>0</v>
      </c>
      <c r="AE43" s="1033">
        <f t="shared" si="29"/>
        <v>0</v>
      </c>
      <c r="AF43" s="1033">
        <f t="shared" si="41"/>
        <v>0</v>
      </c>
      <c r="AG43" s="1033">
        <f t="shared" si="42"/>
        <v>0</v>
      </c>
      <c r="AH43" s="1033">
        <f t="shared" si="43"/>
        <v>0</v>
      </c>
      <c r="AI43" s="1033">
        <f t="shared" si="44"/>
        <v>0</v>
      </c>
      <c r="AJ43" s="1033">
        <f t="shared" si="45"/>
        <v>0</v>
      </c>
      <c r="AK43" s="1033">
        <f t="shared" si="32"/>
        <v>0</v>
      </c>
      <c r="AL43" s="1033">
        <f t="shared" si="46"/>
        <v>0</v>
      </c>
    </row>
    <row r="44" spans="1:39" s="1044" customFormat="1" x14ac:dyDescent="0.25">
      <c r="A44" s="1038">
        <f t="shared" si="23"/>
        <v>1</v>
      </c>
      <c r="B44" s="1042" t="s">
        <v>48</v>
      </c>
      <c r="C44" s="1043" t="s">
        <v>49</v>
      </c>
      <c r="D44" s="991" t="s">
        <v>320</v>
      </c>
      <c r="E44" s="992">
        <f>'1.BC_Ra Soat (ty) '!BS48</f>
        <v>2.0950976469999998</v>
      </c>
      <c r="F44" s="992">
        <f>'1.BC_Ra Soat (ty) '!BX48</f>
        <v>0.60342399999999996</v>
      </c>
      <c r="G44" s="1033">
        <f>'1.BC_Ra Soat (ty) '!CC48</f>
        <v>0.18181943</v>
      </c>
      <c r="H44" s="1033">
        <f>'1.BC_Ra Soat (ty) '!CH48</f>
        <v>7.7469300000000002E-4</v>
      </c>
      <c r="I44" s="1033">
        <f>'1.BC_Ra Soat (ty) '!CM48</f>
        <v>0</v>
      </c>
      <c r="J44" s="1033">
        <f t="shared" si="26"/>
        <v>2.8811157699999996</v>
      </c>
      <c r="K44" s="1033">
        <f>'1.BC_Ra Soat (ty) '!DG48</f>
        <v>2.8811157699999996</v>
      </c>
      <c r="L44" s="1033">
        <f>'1.BC_Ra Soat (ty) '!BT48</f>
        <v>0</v>
      </c>
      <c r="M44" s="1033">
        <f>'1.BC_Ra Soat (ty) '!BY48</f>
        <v>1.190696827</v>
      </c>
      <c r="N44" s="1033">
        <f>'1.BC_Ra Soat (ty) '!CD48</f>
        <v>1.005988E-3</v>
      </c>
      <c r="O44" s="1033">
        <f>'1.BC_Ra Soat (ty) '!CI48</f>
        <v>7.7469300000000002E-4</v>
      </c>
      <c r="P44" s="1033">
        <f>'1.BC_Ra Soat (ty) '!CN48</f>
        <v>0</v>
      </c>
      <c r="Q44" s="1033">
        <f t="shared" si="27"/>
        <v>1.1924775080000001</v>
      </c>
      <c r="R44" s="1033">
        <f>'1.BC_Ra Soat (ty) '!DH48</f>
        <v>1.1924775080000001</v>
      </c>
      <c r="S44" s="1033">
        <f>'1.BC_Ra Soat (ty) '!BU48</f>
        <v>0</v>
      </c>
      <c r="T44" s="1033">
        <f>'1.BC_Ra Soat (ty) '!BZ48</f>
        <v>0</v>
      </c>
      <c r="U44" s="1033">
        <f>'1.BC_Ra Soat (ty) '!CE48</f>
        <v>9.3829999999999998E-6</v>
      </c>
      <c r="V44" s="1033">
        <f>'1.BC_Ra Soat (ty) '!CJ48</f>
        <v>8.6469300000000004E-4</v>
      </c>
      <c r="W44" s="1033">
        <f>'1.BC_Ra Soat (ty) '!CO48</f>
        <v>0</v>
      </c>
      <c r="X44" s="1033">
        <f t="shared" si="28"/>
        <v>8.74076E-4</v>
      </c>
      <c r="Y44" s="1033">
        <f>'1.BC_Ra Soat (ty) '!DI48</f>
        <v>8.74076E-4</v>
      </c>
      <c r="Z44" s="1033">
        <f>SUMIFS('1.DC_Muc tieu'!$F:$F,'1.DC_Muc tieu'!$D:$D,'1.BC_Muc tieu (ty) '!$D44)-SUMIFS('1.DC_Muc tieu'!$F:$F,'1.DC_Muc tieu'!$E:$E,'1.BC_Muc tieu (ty) '!$D44)</f>
        <v>0</v>
      </c>
      <c r="AA44" s="1033">
        <f>SUMIFS('1.DC_Muc tieu'!$F:$F,'1.DC_Muc tieu'!$D:$D,'1.BC_Muc tieu (ty) '!$D44)-SUMIFS('1.DC_Muc tieu'!$F:$F,'1.DC_Muc tieu'!$E:$E,'1.BC_Muc tieu (ty) '!$D44)</f>
        <v>0</v>
      </c>
      <c r="AB44" s="1033">
        <f>SUMIFS('1.DC_Muc tieu'!$F:$F,'1.DC_Muc tieu'!$D:$D,'1.BC_Muc tieu (ty) '!$D44)-SUMIFS('1.DC_Muc tieu'!$F:$F,'1.DC_Muc tieu'!$E:$E,'1.BC_Muc tieu (ty) '!$D44)</f>
        <v>0</v>
      </c>
      <c r="AC44" s="1033">
        <f>SUMIFS('1.DC_Muc tieu'!$F:$F,'1.DC_Muc tieu'!$D:$D,'1.BC_Muc tieu (ty) '!$D44)-SUMIFS('1.DC_Muc tieu'!$F:$F,'1.DC_Muc tieu'!$E:$E,'1.BC_Muc tieu (ty) '!$D44)</f>
        <v>0</v>
      </c>
      <c r="AD44" s="1033">
        <f>SUMIFS('1.DC_Muc tieu'!$F:$F,'1.DC_Muc tieu'!$D:$D,'1.BC_Muc tieu (ty) '!$D44)-SUMIFS('1.DC_Muc tieu'!$F:$F,'1.DC_Muc tieu'!$E:$E,'1.BC_Muc tieu (ty) '!$D44)</f>
        <v>0</v>
      </c>
      <c r="AE44" s="1033">
        <f t="shared" si="29"/>
        <v>0</v>
      </c>
      <c r="AF44" s="1033">
        <f t="shared" si="41"/>
        <v>0</v>
      </c>
      <c r="AG44" s="1033">
        <f t="shared" si="42"/>
        <v>0</v>
      </c>
      <c r="AH44" s="1033">
        <f t="shared" si="43"/>
        <v>9.3829999999999998E-6</v>
      </c>
      <c r="AI44" s="1033">
        <f t="shared" si="44"/>
        <v>8.6469300000000004E-4</v>
      </c>
      <c r="AJ44" s="1033">
        <f t="shared" si="45"/>
        <v>0</v>
      </c>
      <c r="AK44" s="1033">
        <f t="shared" si="32"/>
        <v>8.74076E-4</v>
      </c>
      <c r="AL44" s="1082">
        <f t="shared" si="46"/>
        <v>8.74076E-4</v>
      </c>
    </row>
    <row r="45" spans="1:39" s="1044" customFormat="1" x14ac:dyDescent="0.25">
      <c r="A45" s="1038">
        <f t="shared" si="23"/>
        <v>1</v>
      </c>
      <c r="B45" s="1042" t="s">
        <v>50</v>
      </c>
      <c r="C45" s="1043" t="s">
        <v>51</v>
      </c>
      <c r="D45" s="991" t="s">
        <v>322</v>
      </c>
      <c r="E45" s="992">
        <f>'1.BC_Ra Soat (ty) '!BS49</f>
        <v>0</v>
      </c>
      <c r="F45" s="992">
        <f>'1.BC_Ra Soat (ty) '!BX49</f>
        <v>0</v>
      </c>
      <c r="G45" s="1033">
        <f>'1.BC_Ra Soat (ty) '!CC49</f>
        <v>0</v>
      </c>
      <c r="H45" s="1033">
        <f>'1.BC_Ra Soat (ty) '!CH49</f>
        <v>0</v>
      </c>
      <c r="I45" s="1033">
        <f>'1.BC_Ra Soat (ty) '!CM49</f>
        <v>0</v>
      </c>
      <c r="J45" s="1033">
        <f t="shared" si="26"/>
        <v>0</v>
      </c>
      <c r="K45" s="1033">
        <f>'1.BC_Ra Soat (ty) '!DG49</f>
        <v>0</v>
      </c>
      <c r="L45" s="1033">
        <f>'1.BC_Ra Soat (ty) '!BT49</f>
        <v>0</v>
      </c>
      <c r="M45" s="1033">
        <f>'1.BC_Ra Soat (ty) '!BY49</f>
        <v>0</v>
      </c>
      <c r="N45" s="1033">
        <f>'1.BC_Ra Soat (ty) '!CD49</f>
        <v>0</v>
      </c>
      <c r="O45" s="1033">
        <f>'1.BC_Ra Soat (ty) '!CI49</f>
        <v>0</v>
      </c>
      <c r="P45" s="1033">
        <f>'1.BC_Ra Soat (ty) '!CN49</f>
        <v>0</v>
      </c>
      <c r="Q45" s="1033">
        <f t="shared" si="27"/>
        <v>0</v>
      </c>
      <c r="R45" s="1033">
        <f>'1.BC_Ra Soat (ty) '!DH49</f>
        <v>0</v>
      </c>
      <c r="S45" s="1033">
        <f>'1.BC_Ra Soat (ty) '!BU49</f>
        <v>-3.55</v>
      </c>
      <c r="T45" s="1033">
        <f>'1.BC_Ra Soat (ty) '!BZ49</f>
        <v>0</v>
      </c>
      <c r="U45" s="1033">
        <f>'1.BC_Ra Soat (ty) '!CE49</f>
        <v>-4.95</v>
      </c>
      <c r="V45" s="1033">
        <f>'1.BC_Ra Soat (ty) '!CJ49</f>
        <v>-5</v>
      </c>
      <c r="W45" s="1033">
        <f>'1.BC_Ra Soat (ty) '!CO49</f>
        <v>0</v>
      </c>
      <c r="X45" s="1033">
        <f t="shared" si="28"/>
        <v>-13.5</v>
      </c>
      <c r="Y45" s="1033">
        <f>'1.BC_Ra Soat (ty) '!DI49</f>
        <v>-13.5</v>
      </c>
      <c r="Z45" s="1033">
        <f>SUMIFS('1.DC_Muc tieu'!$F:$F,'1.DC_Muc tieu'!$D:$D,'1.BC_Muc tieu (ty) '!$D45)-SUMIFS('1.DC_Muc tieu'!$F:$F,'1.DC_Muc tieu'!$E:$E,'1.BC_Muc tieu (ty) '!$D45)</f>
        <v>0</v>
      </c>
      <c r="AA45" s="1033">
        <f>SUMIFS('1.DC_Muc tieu'!$F:$F,'1.DC_Muc tieu'!$D:$D,'1.BC_Muc tieu (ty) '!$D45)-SUMIFS('1.DC_Muc tieu'!$F:$F,'1.DC_Muc tieu'!$E:$E,'1.BC_Muc tieu (ty) '!$D45)</f>
        <v>0</v>
      </c>
      <c r="AB45" s="1033">
        <f>SUMIFS('1.DC_Muc tieu'!$F:$F,'1.DC_Muc tieu'!$D:$D,'1.BC_Muc tieu (ty) '!$D45)-SUMIFS('1.DC_Muc tieu'!$F:$F,'1.DC_Muc tieu'!$E:$E,'1.BC_Muc tieu (ty) '!$D45)</f>
        <v>0</v>
      </c>
      <c r="AC45" s="1033">
        <f>SUMIFS('1.DC_Muc tieu'!$F:$F,'1.DC_Muc tieu'!$D:$D,'1.BC_Muc tieu (ty) '!$D45)-SUMIFS('1.DC_Muc tieu'!$F:$F,'1.DC_Muc tieu'!$E:$E,'1.BC_Muc tieu (ty) '!$D45)</f>
        <v>0</v>
      </c>
      <c r="AD45" s="1033">
        <f>SUMIFS('1.DC_Muc tieu'!$F:$F,'1.DC_Muc tieu'!$D:$D,'1.BC_Muc tieu (ty) '!$D45)-SUMIFS('1.DC_Muc tieu'!$F:$F,'1.DC_Muc tieu'!$E:$E,'1.BC_Muc tieu (ty) '!$D45)</f>
        <v>0</v>
      </c>
      <c r="AE45" s="1033">
        <f t="shared" si="29"/>
        <v>0</v>
      </c>
      <c r="AF45" s="1033">
        <f t="shared" si="41"/>
        <v>-3.55</v>
      </c>
      <c r="AG45" s="1033">
        <f t="shared" si="42"/>
        <v>0</v>
      </c>
      <c r="AH45" s="1033">
        <f t="shared" si="43"/>
        <v>-4.95</v>
      </c>
      <c r="AI45" s="1033">
        <f t="shared" si="44"/>
        <v>-5</v>
      </c>
      <c r="AJ45" s="1033">
        <f t="shared" si="45"/>
        <v>0</v>
      </c>
      <c r="AK45" s="1033">
        <f t="shared" si="32"/>
        <v>-13.5</v>
      </c>
      <c r="AL45" s="1082">
        <f t="shared" si="46"/>
        <v>-13.5</v>
      </c>
    </row>
    <row r="46" spans="1:39" s="1044" customFormat="1" x14ac:dyDescent="0.25">
      <c r="A46" s="1038" t="str">
        <f t="shared" si="23"/>
        <v>hide</v>
      </c>
      <c r="B46" s="1042" t="s">
        <v>52</v>
      </c>
      <c r="C46" s="1043" t="s">
        <v>53</v>
      </c>
      <c r="D46" s="991" t="s">
        <v>324</v>
      </c>
      <c r="E46" s="992">
        <f>'1.BC_Ra Soat (ty) '!BS50</f>
        <v>0</v>
      </c>
      <c r="F46" s="992">
        <f>'1.BC_Ra Soat (ty) '!BX50</f>
        <v>0</v>
      </c>
      <c r="G46" s="1033">
        <f>'1.BC_Ra Soat (ty) '!CC50</f>
        <v>0</v>
      </c>
      <c r="H46" s="1033">
        <f>'1.BC_Ra Soat (ty) '!CH50</f>
        <v>0</v>
      </c>
      <c r="I46" s="1033">
        <f>'1.BC_Ra Soat (ty) '!CM50</f>
        <v>0</v>
      </c>
      <c r="J46" s="1033">
        <f t="shared" si="26"/>
        <v>0</v>
      </c>
      <c r="K46" s="1033">
        <f>'1.BC_Ra Soat (ty) '!DG50</f>
        <v>0</v>
      </c>
      <c r="L46" s="1033">
        <f>'1.BC_Ra Soat (ty) '!BT50</f>
        <v>0</v>
      </c>
      <c r="M46" s="1033">
        <f>'1.BC_Ra Soat (ty) '!BY50</f>
        <v>0</v>
      </c>
      <c r="N46" s="1033">
        <f>'1.BC_Ra Soat (ty) '!CD50</f>
        <v>0</v>
      </c>
      <c r="O46" s="1033">
        <f>'1.BC_Ra Soat (ty) '!CI50</f>
        <v>0</v>
      </c>
      <c r="P46" s="1033">
        <f>'1.BC_Ra Soat (ty) '!CN50</f>
        <v>0</v>
      </c>
      <c r="Q46" s="1033">
        <f t="shared" si="27"/>
        <v>0</v>
      </c>
      <c r="R46" s="1033">
        <f>'1.BC_Ra Soat (ty) '!DH50</f>
        <v>0</v>
      </c>
      <c r="S46" s="1033">
        <f>'1.BC_Ra Soat (ty) '!BU50</f>
        <v>0</v>
      </c>
      <c r="T46" s="1033">
        <f>'1.BC_Ra Soat (ty) '!BZ50</f>
        <v>0</v>
      </c>
      <c r="U46" s="1033">
        <f>'1.BC_Ra Soat (ty) '!CE50</f>
        <v>0</v>
      </c>
      <c r="V46" s="1033">
        <f>'1.BC_Ra Soat (ty) '!CJ50</f>
        <v>0</v>
      </c>
      <c r="W46" s="1033">
        <f>'1.BC_Ra Soat (ty) '!CO50</f>
        <v>0</v>
      </c>
      <c r="X46" s="1033">
        <f t="shared" si="28"/>
        <v>0</v>
      </c>
      <c r="Y46" s="1033">
        <f>'1.BC_Ra Soat (ty) '!DI50</f>
        <v>0</v>
      </c>
      <c r="Z46" s="1033">
        <f>SUMIFS('1.DC_Muc tieu'!$F:$F,'1.DC_Muc tieu'!$D:$D,'1.BC_Muc tieu (ty) '!$D46)-SUMIFS('1.DC_Muc tieu'!$F:$F,'1.DC_Muc tieu'!$E:$E,'1.BC_Muc tieu (ty) '!$D46)</f>
        <v>0</v>
      </c>
      <c r="AA46" s="1033">
        <f>SUMIFS('1.DC_Muc tieu'!$F:$F,'1.DC_Muc tieu'!$D:$D,'1.BC_Muc tieu (ty) '!$D46)-SUMIFS('1.DC_Muc tieu'!$F:$F,'1.DC_Muc tieu'!$E:$E,'1.BC_Muc tieu (ty) '!$D46)</f>
        <v>0</v>
      </c>
      <c r="AB46" s="1033">
        <f>SUMIFS('1.DC_Muc tieu'!$F:$F,'1.DC_Muc tieu'!$D:$D,'1.BC_Muc tieu (ty) '!$D46)-SUMIFS('1.DC_Muc tieu'!$F:$F,'1.DC_Muc tieu'!$E:$E,'1.BC_Muc tieu (ty) '!$D46)</f>
        <v>0</v>
      </c>
      <c r="AC46" s="1033">
        <f>SUMIFS('1.DC_Muc tieu'!$F:$F,'1.DC_Muc tieu'!$D:$D,'1.BC_Muc tieu (ty) '!$D46)-SUMIFS('1.DC_Muc tieu'!$F:$F,'1.DC_Muc tieu'!$E:$E,'1.BC_Muc tieu (ty) '!$D46)</f>
        <v>0</v>
      </c>
      <c r="AD46" s="1033">
        <f>SUMIFS('1.DC_Muc tieu'!$F:$F,'1.DC_Muc tieu'!$D:$D,'1.BC_Muc tieu (ty) '!$D46)-SUMIFS('1.DC_Muc tieu'!$F:$F,'1.DC_Muc tieu'!$E:$E,'1.BC_Muc tieu (ty) '!$D46)</f>
        <v>0</v>
      </c>
      <c r="AE46" s="1033">
        <f t="shared" si="29"/>
        <v>0</v>
      </c>
      <c r="AF46" s="1033">
        <f t="shared" si="41"/>
        <v>0</v>
      </c>
      <c r="AG46" s="1033">
        <f t="shared" si="42"/>
        <v>0</v>
      </c>
      <c r="AH46" s="1033">
        <f t="shared" si="43"/>
        <v>0</v>
      </c>
      <c r="AI46" s="1033">
        <f t="shared" si="44"/>
        <v>0</v>
      </c>
      <c r="AJ46" s="1033">
        <f t="shared" si="45"/>
        <v>0</v>
      </c>
      <c r="AK46" s="1033">
        <f t="shared" si="32"/>
        <v>0</v>
      </c>
      <c r="AL46" s="1033">
        <f t="shared" si="46"/>
        <v>0</v>
      </c>
    </row>
    <row r="47" spans="1:39" s="986" customFormat="1" x14ac:dyDescent="0.25">
      <c r="A47" s="1014">
        <f t="shared" si="23"/>
        <v>1</v>
      </c>
      <c r="B47" s="987" t="s">
        <v>54</v>
      </c>
      <c r="C47" s="988" t="s">
        <v>55</v>
      </c>
      <c r="D47" s="989" t="s">
        <v>326</v>
      </c>
      <c r="E47" s="990">
        <f>SUM(E48:E49)</f>
        <v>94.021665814000002</v>
      </c>
      <c r="F47" s="990">
        <f t="shared" ref="F47:AL47" si="47">SUM(F48:F49)</f>
        <v>2.53623047</v>
      </c>
      <c r="G47" s="990">
        <f t="shared" si="47"/>
        <v>4.768423243</v>
      </c>
      <c r="H47" s="990">
        <f t="shared" si="47"/>
        <v>2.3379587509999999</v>
      </c>
      <c r="I47" s="990">
        <f t="shared" si="47"/>
        <v>0</v>
      </c>
      <c r="J47" s="990">
        <f t="shared" si="47"/>
        <v>103.66427827800001</v>
      </c>
      <c r="K47" s="990">
        <f t="shared" si="47"/>
        <v>103.66427827800001</v>
      </c>
      <c r="L47" s="990">
        <f t="shared" si="47"/>
        <v>87.198075833000004</v>
      </c>
      <c r="M47" s="990">
        <f t="shared" si="47"/>
        <v>7.52476389</v>
      </c>
      <c r="N47" s="990">
        <f t="shared" si="47"/>
        <v>15.355885287</v>
      </c>
      <c r="O47" s="990">
        <f t="shared" si="47"/>
        <v>4.6762684139999999</v>
      </c>
      <c r="P47" s="990">
        <f t="shared" si="47"/>
        <v>0</v>
      </c>
      <c r="Q47" s="990">
        <f t="shared" si="47"/>
        <v>114.75499342400001</v>
      </c>
      <c r="R47" s="990">
        <f t="shared" si="47"/>
        <v>114.75499342400001</v>
      </c>
      <c r="S47" s="990">
        <f t="shared" si="47"/>
        <v>93.350460760999994</v>
      </c>
      <c r="T47" s="990">
        <f t="shared" si="47"/>
        <v>20.812400135000001</v>
      </c>
      <c r="U47" s="990">
        <f t="shared" si="47"/>
        <v>12.734286994</v>
      </c>
      <c r="V47" s="990">
        <f t="shared" si="47"/>
        <v>4.7437299829999997</v>
      </c>
      <c r="W47" s="990">
        <f t="shared" si="47"/>
        <v>0</v>
      </c>
      <c r="X47" s="990">
        <f t="shared" si="47"/>
        <v>131.64087787299999</v>
      </c>
      <c r="Y47" s="990">
        <f t="shared" si="47"/>
        <v>131.64087787299999</v>
      </c>
      <c r="Z47" s="990">
        <f t="shared" si="47"/>
        <v>0</v>
      </c>
      <c r="AA47" s="990">
        <f t="shared" si="47"/>
        <v>0</v>
      </c>
      <c r="AB47" s="990">
        <f t="shared" si="47"/>
        <v>0</v>
      </c>
      <c r="AC47" s="990">
        <f t="shared" si="47"/>
        <v>0</v>
      </c>
      <c r="AD47" s="990">
        <f t="shared" si="47"/>
        <v>0</v>
      </c>
      <c r="AE47" s="990">
        <f t="shared" si="47"/>
        <v>0</v>
      </c>
      <c r="AF47" s="990">
        <f t="shared" si="47"/>
        <v>93.350460760999994</v>
      </c>
      <c r="AG47" s="990">
        <f t="shared" si="47"/>
        <v>20.812400135000001</v>
      </c>
      <c r="AH47" s="990">
        <f t="shared" si="47"/>
        <v>12.734286994</v>
      </c>
      <c r="AI47" s="990">
        <f t="shared" si="47"/>
        <v>4.7437299829999997</v>
      </c>
      <c r="AJ47" s="990">
        <f t="shared" si="47"/>
        <v>0</v>
      </c>
      <c r="AK47" s="990">
        <f t="shared" si="47"/>
        <v>131.64087787299999</v>
      </c>
      <c r="AL47" s="1081">
        <f t="shared" si="47"/>
        <v>131.64087787299999</v>
      </c>
      <c r="AM47" s="985"/>
    </row>
    <row r="48" spans="1:39" s="1044" customFormat="1" x14ac:dyDescent="0.25">
      <c r="A48" s="1038">
        <f t="shared" si="23"/>
        <v>1</v>
      </c>
      <c r="B48" s="1042" t="s">
        <v>29</v>
      </c>
      <c r="C48" s="1043" t="s">
        <v>55</v>
      </c>
      <c r="D48" s="991" t="s">
        <v>328</v>
      </c>
      <c r="E48" s="992">
        <f>'1.BC_Ra Soat (ty) '!BS52</f>
        <v>94.021665814000002</v>
      </c>
      <c r="F48" s="992">
        <f>'1.BC_Ra Soat (ty) '!BX52</f>
        <v>2.53623047</v>
      </c>
      <c r="G48" s="1033">
        <f>'1.BC_Ra Soat (ty) '!CC52</f>
        <v>4.768423243</v>
      </c>
      <c r="H48" s="1033">
        <f>'1.BC_Ra Soat (ty) '!CH52</f>
        <v>2.3379587509999999</v>
      </c>
      <c r="I48" s="1033">
        <f>'1.BC_Ra Soat (ty) '!CM52</f>
        <v>0</v>
      </c>
      <c r="J48" s="1033">
        <f t="shared" si="26"/>
        <v>103.66427827800001</v>
      </c>
      <c r="K48" s="1033">
        <f>'1.BC_Ra Soat (ty) '!DG52</f>
        <v>103.66427827800001</v>
      </c>
      <c r="L48" s="1033">
        <f>'1.BC_Ra Soat (ty) '!BT52</f>
        <v>87.198075833000004</v>
      </c>
      <c r="M48" s="1033">
        <f>'1.BC_Ra Soat (ty) '!BY52</f>
        <v>7.52476389</v>
      </c>
      <c r="N48" s="1033">
        <f>'1.BC_Ra Soat (ty) '!CD52</f>
        <v>15.355885287</v>
      </c>
      <c r="O48" s="1033">
        <f>'1.BC_Ra Soat (ty) '!CI52</f>
        <v>4.6762684139999999</v>
      </c>
      <c r="P48" s="1033">
        <f>'1.BC_Ra Soat (ty) '!CN52</f>
        <v>0</v>
      </c>
      <c r="Q48" s="1033">
        <f t="shared" si="27"/>
        <v>114.75499342400001</v>
      </c>
      <c r="R48" s="1033">
        <f>'1.BC_Ra Soat (ty) '!DH52</f>
        <v>114.75499342400001</v>
      </c>
      <c r="S48" s="1033">
        <f>'1.BC_Ra Soat (ty) '!BU52</f>
        <v>93.350460760999994</v>
      </c>
      <c r="T48" s="1033">
        <f>'1.BC_Ra Soat (ty) '!BZ52</f>
        <v>20.812400135000001</v>
      </c>
      <c r="U48" s="1033">
        <f>'1.BC_Ra Soat (ty) '!CE52</f>
        <v>12.734286994</v>
      </c>
      <c r="V48" s="1033">
        <f>'1.BC_Ra Soat (ty) '!CJ52</f>
        <v>4.7437299829999997</v>
      </c>
      <c r="W48" s="1033">
        <f>'1.BC_Ra Soat (ty) '!CO52</f>
        <v>0</v>
      </c>
      <c r="X48" s="1033">
        <f t="shared" si="28"/>
        <v>131.64087787299999</v>
      </c>
      <c r="Y48" s="1033">
        <f>'1.BC_Ra Soat (ty) '!DI52</f>
        <v>131.64087787299999</v>
      </c>
      <c r="Z48" s="1033">
        <f>SUMIFS('1.DC_Muc tieu'!$F:$F,'1.DC_Muc tieu'!$D:$D,'1.BC_Muc tieu (ty) '!$D48)-SUMIFS('1.DC_Muc tieu'!$F:$F,'1.DC_Muc tieu'!$E:$E,'1.BC_Muc tieu (ty) '!$D48)</f>
        <v>0</v>
      </c>
      <c r="AA48" s="1033">
        <f>SUMIFS('1.DC_Muc tieu'!$F:$F,'1.DC_Muc tieu'!$D:$D,'1.BC_Muc tieu (ty) '!$D48)-SUMIFS('1.DC_Muc tieu'!$F:$F,'1.DC_Muc tieu'!$E:$E,'1.BC_Muc tieu (ty) '!$D48)</f>
        <v>0</v>
      </c>
      <c r="AB48" s="1033">
        <f>SUMIFS('1.DC_Muc tieu'!$F:$F,'1.DC_Muc tieu'!$D:$D,'1.BC_Muc tieu (ty) '!$D48)-SUMIFS('1.DC_Muc tieu'!$F:$F,'1.DC_Muc tieu'!$E:$E,'1.BC_Muc tieu (ty) '!$D48)</f>
        <v>0</v>
      </c>
      <c r="AC48" s="1033">
        <f>SUMIFS('1.DC_Muc tieu'!$F:$F,'1.DC_Muc tieu'!$D:$D,'1.BC_Muc tieu (ty) '!$D48)-SUMIFS('1.DC_Muc tieu'!$F:$F,'1.DC_Muc tieu'!$E:$E,'1.BC_Muc tieu (ty) '!$D48)</f>
        <v>0</v>
      </c>
      <c r="AD48" s="1033">
        <f>SUMIFS('1.DC_Muc tieu'!$F:$F,'1.DC_Muc tieu'!$D:$D,'1.BC_Muc tieu (ty) '!$D48)-SUMIFS('1.DC_Muc tieu'!$F:$F,'1.DC_Muc tieu'!$E:$E,'1.BC_Muc tieu (ty) '!$D48)</f>
        <v>0</v>
      </c>
      <c r="AE48" s="1033">
        <f t="shared" si="29"/>
        <v>0</v>
      </c>
      <c r="AF48" s="1033">
        <f t="shared" ref="AF48:AF49" si="48">S48+Z48</f>
        <v>93.350460760999994</v>
      </c>
      <c r="AG48" s="1033">
        <f t="shared" ref="AG48:AG49" si="49">T48+AA48</f>
        <v>20.812400135000001</v>
      </c>
      <c r="AH48" s="1033">
        <f t="shared" ref="AH48:AH49" si="50">U48+AB48</f>
        <v>12.734286994</v>
      </c>
      <c r="AI48" s="1033">
        <f t="shared" ref="AI48:AI49" si="51">V48+AC48</f>
        <v>4.7437299829999997</v>
      </c>
      <c r="AJ48" s="1033">
        <f t="shared" ref="AJ48:AJ49" si="52">W48+AD48</f>
        <v>0</v>
      </c>
      <c r="AK48" s="1033">
        <f t="shared" si="32"/>
        <v>131.64087787299999</v>
      </c>
      <c r="AL48" s="1082">
        <f t="shared" ref="AL48:AL49" si="53">Y48+AE48</f>
        <v>131.64087787299999</v>
      </c>
    </row>
    <row r="49" spans="1:39" s="1044" customFormat="1" x14ac:dyDescent="0.25">
      <c r="A49" s="1038" t="str">
        <f t="shared" si="23"/>
        <v>hide</v>
      </c>
      <c r="B49" s="1042" t="s">
        <v>31</v>
      </c>
      <c r="C49" s="1043" t="s">
        <v>56</v>
      </c>
      <c r="D49" s="991" t="s">
        <v>330</v>
      </c>
      <c r="E49" s="992">
        <f>'1.BC_Ra Soat (ty) '!BS53</f>
        <v>0</v>
      </c>
      <c r="F49" s="992">
        <f>'1.BC_Ra Soat (ty) '!BX53</f>
        <v>0</v>
      </c>
      <c r="G49" s="1033">
        <f>'1.BC_Ra Soat (ty) '!CC53</f>
        <v>0</v>
      </c>
      <c r="H49" s="1033">
        <f>'1.BC_Ra Soat (ty) '!CH53</f>
        <v>0</v>
      </c>
      <c r="I49" s="1033">
        <f>'1.BC_Ra Soat (ty) '!CM53</f>
        <v>0</v>
      </c>
      <c r="J49" s="1033">
        <f t="shared" si="26"/>
        <v>0</v>
      </c>
      <c r="K49" s="1033">
        <f>'1.BC_Ra Soat (ty) '!DG53</f>
        <v>0</v>
      </c>
      <c r="L49" s="1033">
        <f>'1.BC_Ra Soat (ty) '!BT53</f>
        <v>0</v>
      </c>
      <c r="M49" s="1033">
        <f>'1.BC_Ra Soat (ty) '!BY53</f>
        <v>0</v>
      </c>
      <c r="N49" s="1033">
        <f>'1.BC_Ra Soat (ty) '!CD53</f>
        <v>0</v>
      </c>
      <c r="O49" s="1033">
        <f>'1.BC_Ra Soat (ty) '!CI53</f>
        <v>0</v>
      </c>
      <c r="P49" s="1033">
        <f>'1.BC_Ra Soat (ty) '!CN53</f>
        <v>0</v>
      </c>
      <c r="Q49" s="1033">
        <f t="shared" si="27"/>
        <v>0</v>
      </c>
      <c r="R49" s="1033">
        <f>'1.BC_Ra Soat (ty) '!DH53</f>
        <v>0</v>
      </c>
      <c r="S49" s="1033">
        <f>'1.BC_Ra Soat (ty) '!BU53</f>
        <v>0</v>
      </c>
      <c r="T49" s="1033">
        <f>'1.BC_Ra Soat (ty) '!BZ53</f>
        <v>0</v>
      </c>
      <c r="U49" s="1033">
        <f>'1.BC_Ra Soat (ty) '!CE53</f>
        <v>0</v>
      </c>
      <c r="V49" s="1033">
        <f>'1.BC_Ra Soat (ty) '!CJ53</f>
        <v>0</v>
      </c>
      <c r="W49" s="1033">
        <f>'1.BC_Ra Soat (ty) '!CO53</f>
        <v>0</v>
      </c>
      <c r="X49" s="1033">
        <f t="shared" si="28"/>
        <v>0</v>
      </c>
      <c r="Y49" s="1033">
        <f>'1.BC_Ra Soat (ty) '!DI53</f>
        <v>0</v>
      </c>
      <c r="Z49" s="1033">
        <f>SUMIFS('1.DC_Muc tieu'!$F:$F,'1.DC_Muc tieu'!$D:$D,'1.BC_Muc tieu (ty) '!$D49)-SUMIFS('1.DC_Muc tieu'!$F:$F,'1.DC_Muc tieu'!$E:$E,'1.BC_Muc tieu (ty) '!$D49)</f>
        <v>0</v>
      </c>
      <c r="AA49" s="1033">
        <f>SUMIFS('1.DC_Muc tieu'!$F:$F,'1.DC_Muc tieu'!$D:$D,'1.BC_Muc tieu (ty) '!$D49)-SUMIFS('1.DC_Muc tieu'!$F:$F,'1.DC_Muc tieu'!$E:$E,'1.BC_Muc tieu (ty) '!$D49)</f>
        <v>0</v>
      </c>
      <c r="AB49" s="1033">
        <f>SUMIFS('1.DC_Muc tieu'!$F:$F,'1.DC_Muc tieu'!$D:$D,'1.BC_Muc tieu (ty) '!$D49)-SUMIFS('1.DC_Muc tieu'!$F:$F,'1.DC_Muc tieu'!$E:$E,'1.BC_Muc tieu (ty) '!$D49)</f>
        <v>0</v>
      </c>
      <c r="AC49" s="1033">
        <f>SUMIFS('1.DC_Muc tieu'!$F:$F,'1.DC_Muc tieu'!$D:$D,'1.BC_Muc tieu (ty) '!$D49)-SUMIFS('1.DC_Muc tieu'!$F:$F,'1.DC_Muc tieu'!$E:$E,'1.BC_Muc tieu (ty) '!$D49)</f>
        <v>0</v>
      </c>
      <c r="AD49" s="1033">
        <f>SUMIFS('1.DC_Muc tieu'!$F:$F,'1.DC_Muc tieu'!$D:$D,'1.BC_Muc tieu (ty) '!$D49)-SUMIFS('1.DC_Muc tieu'!$F:$F,'1.DC_Muc tieu'!$E:$E,'1.BC_Muc tieu (ty) '!$D49)</f>
        <v>0</v>
      </c>
      <c r="AE49" s="1033">
        <f t="shared" si="29"/>
        <v>0</v>
      </c>
      <c r="AF49" s="1033">
        <f t="shared" si="48"/>
        <v>0</v>
      </c>
      <c r="AG49" s="1033">
        <f t="shared" si="49"/>
        <v>0</v>
      </c>
      <c r="AH49" s="1033">
        <f t="shared" si="50"/>
        <v>0</v>
      </c>
      <c r="AI49" s="1033">
        <f t="shared" si="51"/>
        <v>0</v>
      </c>
      <c r="AJ49" s="1033">
        <f t="shared" si="52"/>
        <v>0</v>
      </c>
      <c r="AK49" s="1033">
        <f t="shared" si="32"/>
        <v>0</v>
      </c>
      <c r="AL49" s="1033">
        <f t="shared" si="53"/>
        <v>0</v>
      </c>
    </row>
    <row r="50" spans="1:39" s="986" customFormat="1" x14ac:dyDescent="0.25">
      <c r="A50" s="1014">
        <f t="shared" si="23"/>
        <v>1</v>
      </c>
      <c r="B50" s="987" t="s">
        <v>57</v>
      </c>
      <c r="C50" s="988" t="s">
        <v>58</v>
      </c>
      <c r="D50" s="989" t="s">
        <v>332</v>
      </c>
      <c r="E50" s="990">
        <f>SUM(E51:E55)</f>
        <v>6.0571813939999997</v>
      </c>
      <c r="F50" s="990">
        <f t="shared" ref="F50:AL50" si="54">SUM(F51:F55)</f>
        <v>2.3633409159999998</v>
      </c>
      <c r="G50" s="990">
        <f t="shared" si="54"/>
        <v>0.875407834</v>
      </c>
      <c r="H50" s="990">
        <f t="shared" si="54"/>
        <v>1.3107051799999998</v>
      </c>
      <c r="I50" s="990">
        <f t="shared" si="54"/>
        <v>0</v>
      </c>
      <c r="J50" s="990">
        <f t="shared" si="54"/>
        <v>10.606635323999997</v>
      </c>
      <c r="K50" s="990">
        <f t="shared" si="54"/>
        <v>10.606635323999997</v>
      </c>
      <c r="L50" s="990">
        <f t="shared" si="54"/>
        <v>7.1223256930000005</v>
      </c>
      <c r="M50" s="990">
        <f t="shared" si="54"/>
        <v>2.95608176</v>
      </c>
      <c r="N50" s="990">
        <f t="shared" si="54"/>
        <v>1.6018252899999998</v>
      </c>
      <c r="O50" s="990">
        <f t="shared" si="54"/>
        <v>1.4192591289999998</v>
      </c>
      <c r="P50" s="990">
        <f t="shared" si="54"/>
        <v>0</v>
      </c>
      <c r="Q50" s="990">
        <f t="shared" si="54"/>
        <v>13.099491872000002</v>
      </c>
      <c r="R50" s="990">
        <f t="shared" si="54"/>
        <v>13.099491872000002</v>
      </c>
      <c r="S50" s="990">
        <f t="shared" si="54"/>
        <v>6.4429985209999998</v>
      </c>
      <c r="T50" s="990">
        <f t="shared" si="54"/>
        <v>3.053393722</v>
      </c>
      <c r="U50" s="990">
        <f t="shared" si="54"/>
        <v>1.198472032</v>
      </c>
      <c r="V50" s="990">
        <f t="shared" si="54"/>
        <v>1.3657723949999998</v>
      </c>
      <c r="W50" s="990">
        <f t="shared" si="54"/>
        <v>0</v>
      </c>
      <c r="X50" s="990">
        <f t="shared" si="54"/>
        <v>12.060636669999999</v>
      </c>
      <c r="Y50" s="990">
        <f t="shared" si="54"/>
        <v>12.060636669999999</v>
      </c>
      <c r="Z50" s="990">
        <f t="shared" si="54"/>
        <v>0</v>
      </c>
      <c r="AA50" s="990">
        <f t="shared" si="54"/>
        <v>0</v>
      </c>
      <c r="AB50" s="990">
        <f t="shared" si="54"/>
        <v>0</v>
      </c>
      <c r="AC50" s="990">
        <f t="shared" si="54"/>
        <v>0</v>
      </c>
      <c r="AD50" s="990">
        <f t="shared" si="54"/>
        <v>0</v>
      </c>
      <c r="AE50" s="990">
        <f t="shared" si="54"/>
        <v>0</v>
      </c>
      <c r="AF50" s="990">
        <f t="shared" si="54"/>
        <v>6.4429985209999998</v>
      </c>
      <c r="AG50" s="990">
        <f t="shared" si="54"/>
        <v>3.053393722</v>
      </c>
      <c r="AH50" s="990">
        <f t="shared" si="54"/>
        <v>1.198472032</v>
      </c>
      <c r="AI50" s="990">
        <f t="shared" si="54"/>
        <v>1.3657723949999998</v>
      </c>
      <c r="AJ50" s="990">
        <f t="shared" si="54"/>
        <v>0</v>
      </c>
      <c r="AK50" s="990">
        <f t="shared" si="54"/>
        <v>12.060636669999999</v>
      </c>
      <c r="AL50" s="1081">
        <f t="shared" si="54"/>
        <v>12.060636669999999</v>
      </c>
      <c r="AM50" s="985"/>
    </row>
    <row r="51" spans="1:39" s="1044" customFormat="1" x14ac:dyDescent="0.25">
      <c r="A51" s="1038">
        <f t="shared" si="23"/>
        <v>1</v>
      </c>
      <c r="B51" s="1042" t="s">
        <v>29</v>
      </c>
      <c r="C51" s="1043" t="s">
        <v>59</v>
      </c>
      <c r="D51" s="991" t="s">
        <v>334</v>
      </c>
      <c r="E51" s="992">
        <f>'1.BC_Ra Soat (ty) '!BS55</f>
        <v>0</v>
      </c>
      <c r="F51" s="992">
        <f>'1.BC_Ra Soat (ty) '!BX55</f>
        <v>0</v>
      </c>
      <c r="G51" s="1033">
        <f>'1.BC_Ra Soat (ty) '!CC55</f>
        <v>0</v>
      </c>
      <c r="H51" s="1033">
        <f>'1.BC_Ra Soat (ty) '!CH55</f>
        <v>0</v>
      </c>
      <c r="I51" s="1033">
        <f>'1.BC_Ra Soat (ty) '!CM55</f>
        <v>0</v>
      </c>
      <c r="J51" s="1033">
        <f t="shared" si="26"/>
        <v>0</v>
      </c>
      <c r="K51" s="1033">
        <f>'1.BC_Ra Soat (ty) '!DG55</f>
        <v>0</v>
      </c>
      <c r="L51" s="1033">
        <f>'1.BC_Ra Soat (ty) '!BT55</f>
        <v>0</v>
      </c>
      <c r="M51" s="1033">
        <f>'1.BC_Ra Soat (ty) '!BY55</f>
        <v>-0.74154054899999999</v>
      </c>
      <c r="N51" s="1033">
        <f>'1.BC_Ra Soat (ty) '!CD55</f>
        <v>0</v>
      </c>
      <c r="O51" s="1033">
        <f>'1.BC_Ra Soat (ty) '!CI55</f>
        <v>0</v>
      </c>
      <c r="P51" s="1033">
        <f>'1.BC_Ra Soat (ty) '!CN55</f>
        <v>0</v>
      </c>
      <c r="Q51" s="1033">
        <f t="shared" si="27"/>
        <v>-0.74154054899999999</v>
      </c>
      <c r="R51" s="1033">
        <f>'1.BC_Ra Soat (ty) '!DH55</f>
        <v>-0.74154054899999999</v>
      </c>
      <c r="S51" s="1033">
        <f>'1.BC_Ra Soat (ty) '!BU55</f>
        <v>0</v>
      </c>
      <c r="T51" s="1033">
        <f>'1.BC_Ra Soat (ty) '!BZ55</f>
        <v>0</v>
      </c>
      <c r="U51" s="1033">
        <f>'1.BC_Ra Soat (ty) '!CE55</f>
        <v>0</v>
      </c>
      <c r="V51" s="1033">
        <f>'1.BC_Ra Soat (ty) '!CJ55</f>
        <v>0</v>
      </c>
      <c r="W51" s="1033">
        <f>'1.BC_Ra Soat (ty) '!CO55</f>
        <v>0</v>
      </c>
      <c r="X51" s="1033">
        <f t="shared" si="28"/>
        <v>0</v>
      </c>
      <c r="Y51" s="1033">
        <f>'1.BC_Ra Soat (ty) '!DI55</f>
        <v>0</v>
      </c>
      <c r="Z51" s="1033">
        <f>SUMIFS('1.DC_Muc tieu'!$F:$F,'1.DC_Muc tieu'!$D:$D,'1.BC_Muc tieu (ty) '!$D51)-SUMIFS('1.DC_Muc tieu'!$F:$F,'1.DC_Muc tieu'!$E:$E,'1.BC_Muc tieu (ty) '!$D51)</f>
        <v>0</v>
      </c>
      <c r="AA51" s="1033">
        <f>SUMIFS('1.DC_Muc tieu'!$F:$F,'1.DC_Muc tieu'!$D:$D,'1.BC_Muc tieu (ty) '!$D51)-SUMIFS('1.DC_Muc tieu'!$F:$F,'1.DC_Muc tieu'!$E:$E,'1.BC_Muc tieu (ty) '!$D51)</f>
        <v>0</v>
      </c>
      <c r="AB51" s="1033">
        <f>SUMIFS('1.DC_Muc tieu'!$F:$F,'1.DC_Muc tieu'!$D:$D,'1.BC_Muc tieu (ty) '!$D51)-SUMIFS('1.DC_Muc tieu'!$F:$F,'1.DC_Muc tieu'!$E:$E,'1.BC_Muc tieu (ty) '!$D51)</f>
        <v>0</v>
      </c>
      <c r="AC51" s="1033">
        <f>SUMIFS('1.DC_Muc tieu'!$F:$F,'1.DC_Muc tieu'!$D:$D,'1.BC_Muc tieu (ty) '!$D51)-SUMIFS('1.DC_Muc tieu'!$F:$F,'1.DC_Muc tieu'!$E:$E,'1.BC_Muc tieu (ty) '!$D51)</f>
        <v>0</v>
      </c>
      <c r="AD51" s="1033">
        <f>SUMIFS('1.DC_Muc tieu'!$F:$F,'1.DC_Muc tieu'!$D:$D,'1.BC_Muc tieu (ty) '!$D51)-SUMIFS('1.DC_Muc tieu'!$F:$F,'1.DC_Muc tieu'!$E:$E,'1.BC_Muc tieu (ty) '!$D51)</f>
        <v>0</v>
      </c>
      <c r="AE51" s="1033">
        <f t="shared" si="29"/>
        <v>0</v>
      </c>
      <c r="AF51" s="1033">
        <f t="shared" ref="AF51:AF55" si="55">S51+Z51</f>
        <v>0</v>
      </c>
      <c r="AG51" s="1033">
        <f t="shared" ref="AG51:AG55" si="56">T51+AA51</f>
        <v>0</v>
      </c>
      <c r="AH51" s="1033">
        <f t="shared" ref="AH51:AH55" si="57">U51+AB51</f>
        <v>0</v>
      </c>
      <c r="AI51" s="1033">
        <f t="shared" ref="AI51:AI55" si="58">V51+AC51</f>
        <v>0</v>
      </c>
      <c r="AJ51" s="1033">
        <f t="shared" ref="AJ51:AJ55" si="59">W51+AD51</f>
        <v>0</v>
      </c>
      <c r="AK51" s="1033">
        <f t="shared" si="32"/>
        <v>0</v>
      </c>
      <c r="AL51" s="1033">
        <f t="shared" ref="AL51:AL55" si="60">Y51+AE51</f>
        <v>0</v>
      </c>
    </row>
    <row r="52" spans="1:39" s="1044" customFormat="1" x14ac:dyDescent="0.25">
      <c r="A52" s="1038">
        <f t="shared" si="23"/>
        <v>1</v>
      </c>
      <c r="B52" s="1042" t="s">
        <v>31</v>
      </c>
      <c r="C52" s="1043" t="s">
        <v>60</v>
      </c>
      <c r="D52" s="991" t="s">
        <v>336</v>
      </c>
      <c r="E52" s="992">
        <f>'1.BC_Ra Soat (ty) '!BS56</f>
        <v>0</v>
      </c>
      <c r="F52" s="992">
        <f>'1.BC_Ra Soat (ty) '!BX56</f>
        <v>1.3266313949999999</v>
      </c>
      <c r="G52" s="1033">
        <f>'1.BC_Ra Soat (ty) '!CC56</f>
        <v>3.9883241E-2</v>
      </c>
      <c r="H52" s="1033">
        <f>'1.BC_Ra Soat (ty) '!CH56</f>
        <v>4.8349831000000003E-2</v>
      </c>
      <c r="I52" s="1033">
        <f>'1.BC_Ra Soat (ty) '!CM56</f>
        <v>0</v>
      </c>
      <c r="J52" s="1033">
        <f t="shared" si="26"/>
        <v>1.4148644669999999</v>
      </c>
      <c r="K52" s="1033">
        <f>'1.BC_Ra Soat (ty) '!DG56</f>
        <v>1.4148644669999999</v>
      </c>
      <c r="L52" s="1033">
        <f>'1.BC_Ra Soat (ty) '!BT56</f>
        <v>0.90722602699999999</v>
      </c>
      <c r="M52" s="1033">
        <f>'1.BC_Ra Soat (ty) '!BY56</f>
        <v>2.6559127880000002</v>
      </c>
      <c r="N52" s="1033">
        <f>'1.BC_Ra Soat (ty) '!CD56</f>
        <v>0.40885084799999999</v>
      </c>
      <c r="O52" s="1033">
        <f>'1.BC_Ra Soat (ty) '!CI56</f>
        <v>0.15690377999999999</v>
      </c>
      <c r="P52" s="1033">
        <f>'1.BC_Ra Soat (ty) '!CN56</f>
        <v>0</v>
      </c>
      <c r="Q52" s="1033">
        <f t="shared" si="27"/>
        <v>4.1288934430000008</v>
      </c>
      <c r="R52" s="1033">
        <f>'1.BC_Ra Soat (ty) '!DH56</f>
        <v>4.1288934430000008</v>
      </c>
      <c r="S52" s="1033">
        <f>'1.BC_Ra Soat (ty) '!BU56</f>
        <v>4.002E-6</v>
      </c>
      <c r="T52" s="1033">
        <f>'1.BC_Ra Soat (ty) '!BZ56</f>
        <v>2.011684201</v>
      </c>
      <c r="U52" s="1033">
        <f>'1.BC_Ra Soat (ty) '!CE56</f>
        <v>4.2330288000000001E-2</v>
      </c>
      <c r="V52" s="1033">
        <f>'1.BC_Ra Soat (ty) '!CJ56</f>
        <v>0.103417046</v>
      </c>
      <c r="W52" s="1033">
        <f>'1.BC_Ra Soat (ty) '!CO56</f>
        <v>0</v>
      </c>
      <c r="X52" s="1033">
        <f t="shared" si="28"/>
        <v>2.157435537</v>
      </c>
      <c r="Y52" s="1033">
        <f>'1.BC_Ra Soat (ty) '!DI56</f>
        <v>2.157435537</v>
      </c>
      <c r="Z52" s="1033">
        <f>SUMIFS('1.DC_Muc tieu'!$F:$F,'1.DC_Muc tieu'!$D:$D,'1.BC_Muc tieu (ty) '!$D52)-SUMIFS('1.DC_Muc tieu'!$F:$F,'1.DC_Muc tieu'!$E:$E,'1.BC_Muc tieu (ty) '!$D52)</f>
        <v>0</v>
      </c>
      <c r="AA52" s="1033">
        <f>SUMIFS('1.DC_Muc tieu'!$F:$F,'1.DC_Muc tieu'!$D:$D,'1.BC_Muc tieu (ty) '!$D52)-SUMIFS('1.DC_Muc tieu'!$F:$F,'1.DC_Muc tieu'!$E:$E,'1.BC_Muc tieu (ty) '!$D52)</f>
        <v>0</v>
      </c>
      <c r="AB52" s="1033">
        <f>SUMIFS('1.DC_Muc tieu'!$F:$F,'1.DC_Muc tieu'!$D:$D,'1.BC_Muc tieu (ty) '!$D52)-SUMIFS('1.DC_Muc tieu'!$F:$F,'1.DC_Muc tieu'!$E:$E,'1.BC_Muc tieu (ty) '!$D52)</f>
        <v>0</v>
      </c>
      <c r="AC52" s="1033">
        <f>SUMIFS('1.DC_Muc tieu'!$F:$F,'1.DC_Muc tieu'!$D:$D,'1.BC_Muc tieu (ty) '!$D52)-SUMIFS('1.DC_Muc tieu'!$F:$F,'1.DC_Muc tieu'!$E:$E,'1.BC_Muc tieu (ty) '!$D52)</f>
        <v>0</v>
      </c>
      <c r="AD52" s="1033">
        <f>SUMIFS('1.DC_Muc tieu'!$F:$F,'1.DC_Muc tieu'!$D:$D,'1.BC_Muc tieu (ty) '!$D52)-SUMIFS('1.DC_Muc tieu'!$F:$F,'1.DC_Muc tieu'!$E:$E,'1.BC_Muc tieu (ty) '!$D52)</f>
        <v>0</v>
      </c>
      <c r="AE52" s="1033">
        <f t="shared" si="29"/>
        <v>0</v>
      </c>
      <c r="AF52" s="1033">
        <f t="shared" si="55"/>
        <v>4.002E-6</v>
      </c>
      <c r="AG52" s="1033">
        <f t="shared" si="56"/>
        <v>2.011684201</v>
      </c>
      <c r="AH52" s="1033">
        <f t="shared" si="57"/>
        <v>4.2330288000000001E-2</v>
      </c>
      <c r="AI52" s="1033">
        <f t="shared" si="58"/>
        <v>0.103417046</v>
      </c>
      <c r="AJ52" s="1033">
        <f t="shared" si="59"/>
        <v>0</v>
      </c>
      <c r="AK52" s="1033">
        <f t="shared" si="32"/>
        <v>2.157435537</v>
      </c>
      <c r="AL52" s="1082">
        <f t="shared" si="60"/>
        <v>2.157435537</v>
      </c>
    </row>
    <row r="53" spans="1:39" s="1044" customFormat="1" x14ac:dyDescent="0.25">
      <c r="A53" s="1038" t="str">
        <f t="shared" si="23"/>
        <v>hide</v>
      </c>
      <c r="B53" s="1042" t="s">
        <v>37</v>
      </c>
      <c r="C53" s="1043" t="s">
        <v>61</v>
      </c>
      <c r="D53" s="991" t="s">
        <v>338</v>
      </c>
      <c r="E53" s="992">
        <f>'1.BC_Ra Soat (ty) '!BS57</f>
        <v>0</v>
      </c>
      <c r="F53" s="992">
        <f>'1.BC_Ra Soat (ty) '!BX57</f>
        <v>0</v>
      </c>
      <c r="G53" s="1033">
        <f>'1.BC_Ra Soat (ty) '!CC57</f>
        <v>0</v>
      </c>
      <c r="H53" s="1033">
        <f>'1.BC_Ra Soat (ty) '!CH57</f>
        <v>0</v>
      </c>
      <c r="I53" s="1033">
        <f>'1.BC_Ra Soat (ty) '!CM57</f>
        <v>0</v>
      </c>
      <c r="J53" s="1033">
        <f t="shared" si="26"/>
        <v>0</v>
      </c>
      <c r="K53" s="1033">
        <f>'1.BC_Ra Soat (ty) '!DG57</f>
        <v>0</v>
      </c>
      <c r="L53" s="1033">
        <f>'1.BC_Ra Soat (ty) '!BT57</f>
        <v>0</v>
      </c>
      <c r="M53" s="1033">
        <f>'1.BC_Ra Soat (ty) '!BY57</f>
        <v>0</v>
      </c>
      <c r="N53" s="1033">
        <f>'1.BC_Ra Soat (ty) '!CD57</f>
        <v>0</v>
      </c>
      <c r="O53" s="1033">
        <f>'1.BC_Ra Soat (ty) '!CI57</f>
        <v>0</v>
      </c>
      <c r="P53" s="1033">
        <f>'1.BC_Ra Soat (ty) '!CN57</f>
        <v>0</v>
      </c>
      <c r="Q53" s="1033">
        <f t="shared" si="27"/>
        <v>0</v>
      </c>
      <c r="R53" s="1033">
        <f>'1.BC_Ra Soat (ty) '!DH57</f>
        <v>0</v>
      </c>
      <c r="S53" s="1033">
        <f>'1.BC_Ra Soat (ty) '!BU57</f>
        <v>0</v>
      </c>
      <c r="T53" s="1033">
        <f>'1.BC_Ra Soat (ty) '!BZ57</f>
        <v>0</v>
      </c>
      <c r="U53" s="1033">
        <f>'1.BC_Ra Soat (ty) '!CE57</f>
        <v>0</v>
      </c>
      <c r="V53" s="1033">
        <f>'1.BC_Ra Soat (ty) '!CJ57</f>
        <v>0</v>
      </c>
      <c r="W53" s="1033">
        <f>'1.BC_Ra Soat (ty) '!CO57</f>
        <v>0</v>
      </c>
      <c r="X53" s="1033">
        <f t="shared" si="28"/>
        <v>0</v>
      </c>
      <c r="Y53" s="1033">
        <f>'1.BC_Ra Soat (ty) '!DI57</f>
        <v>0</v>
      </c>
      <c r="Z53" s="1033">
        <f>SUMIFS('1.DC_Muc tieu'!$F:$F,'1.DC_Muc tieu'!$D:$D,'1.BC_Muc tieu (ty) '!$D53)-SUMIFS('1.DC_Muc tieu'!$F:$F,'1.DC_Muc tieu'!$E:$E,'1.BC_Muc tieu (ty) '!$D53)</f>
        <v>0</v>
      </c>
      <c r="AA53" s="1033">
        <f>SUMIFS('1.DC_Muc tieu'!$F:$F,'1.DC_Muc tieu'!$D:$D,'1.BC_Muc tieu (ty) '!$D53)-SUMIFS('1.DC_Muc tieu'!$F:$F,'1.DC_Muc tieu'!$E:$E,'1.BC_Muc tieu (ty) '!$D53)</f>
        <v>0</v>
      </c>
      <c r="AB53" s="1033">
        <f>SUMIFS('1.DC_Muc tieu'!$F:$F,'1.DC_Muc tieu'!$D:$D,'1.BC_Muc tieu (ty) '!$D53)-SUMIFS('1.DC_Muc tieu'!$F:$F,'1.DC_Muc tieu'!$E:$E,'1.BC_Muc tieu (ty) '!$D53)</f>
        <v>0</v>
      </c>
      <c r="AC53" s="1033">
        <f>SUMIFS('1.DC_Muc tieu'!$F:$F,'1.DC_Muc tieu'!$D:$D,'1.BC_Muc tieu (ty) '!$D53)-SUMIFS('1.DC_Muc tieu'!$F:$F,'1.DC_Muc tieu'!$E:$E,'1.BC_Muc tieu (ty) '!$D53)</f>
        <v>0</v>
      </c>
      <c r="AD53" s="1033">
        <f>SUMIFS('1.DC_Muc tieu'!$F:$F,'1.DC_Muc tieu'!$D:$D,'1.BC_Muc tieu (ty) '!$D53)-SUMIFS('1.DC_Muc tieu'!$F:$F,'1.DC_Muc tieu'!$E:$E,'1.BC_Muc tieu (ty) '!$D53)</f>
        <v>0</v>
      </c>
      <c r="AE53" s="1033">
        <f t="shared" si="29"/>
        <v>0</v>
      </c>
      <c r="AF53" s="1033">
        <f t="shared" si="55"/>
        <v>0</v>
      </c>
      <c r="AG53" s="1033">
        <f t="shared" si="56"/>
        <v>0</v>
      </c>
      <c r="AH53" s="1033">
        <f t="shared" si="57"/>
        <v>0</v>
      </c>
      <c r="AI53" s="1033">
        <f t="shared" si="58"/>
        <v>0</v>
      </c>
      <c r="AJ53" s="1033">
        <f t="shared" si="59"/>
        <v>0</v>
      </c>
      <c r="AK53" s="1033">
        <f t="shared" si="32"/>
        <v>0</v>
      </c>
      <c r="AL53" s="1033">
        <f t="shared" si="60"/>
        <v>0</v>
      </c>
    </row>
    <row r="54" spans="1:39" s="1044" customFormat="1" x14ac:dyDescent="0.25">
      <c r="A54" s="1038" t="str">
        <f t="shared" si="23"/>
        <v>hide</v>
      </c>
      <c r="B54" s="1042" t="s">
        <v>44</v>
      </c>
      <c r="C54" s="1043" t="s">
        <v>62</v>
      </c>
      <c r="D54" s="991" t="s">
        <v>340</v>
      </c>
      <c r="E54" s="992">
        <f>'1.BC_Ra Soat (ty) '!BS58</f>
        <v>0</v>
      </c>
      <c r="F54" s="992">
        <f>'1.BC_Ra Soat (ty) '!BX58</f>
        <v>0</v>
      </c>
      <c r="G54" s="1033">
        <f>'1.BC_Ra Soat (ty) '!CC58</f>
        <v>0</v>
      </c>
      <c r="H54" s="1033">
        <f>'1.BC_Ra Soat (ty) '!CH58</f>
        <v>0</v>
      </c>
      <c r="I54" s="1033">
        <f>'1.BC_Ra Soat (ty) '!CM58</f>
        <v>0</v>
      </c>
      <c r="J54" s="1033">
        <f t="shared" si="26"/>
        <v>0</v>
      </c>
      <c r="K54" s="1033">
        <f>'1.BC_Ra Soat (ty) '!DG58</f>
        <v>0</v>
      </c>
      <c r="L54" s="1033">
        <f>'1.BC_Ra Soat (ty) '!BT58</f>
        <v>0</v>
      </c>
      <c r="M54" s="1033">
        <f>'1.BC_Ra Soat (ty) '!BY58</f>
        <v>0</v>
      </c>
      <c r="N54" s="1033">
        <f>'1.BC_Ra Soat (ty) '!CD58</f>
        <v>0</v>
      </c>
      <c r="O54" s="1033">
        <f>'1.BC_Ra Soat (ty) '!CI58</f>
        <v>0</v>
      </c>
      <c r="P54" s="1033">
        <f>'1.BC_Ra Soat (ty) '!CN58</f>
        <v>0</v>
      </c>
      <c r="Q54" s="1033">
        <f t="shared" si="27"/>
        <v>0</v>
      </c>
      <c r="R54" s="1033">
        <f>'1.BC_Ra Soat (ty) '!DH58</f>
        <v>0</v>
      </c>
      <c r="S54" s="1033">
        <f>'1.BC_Ra Soat (ty) '!BU58</f>
        <v>0</v>
      </c>
      <c r="T54" s="1033">
        <f>'1.BC_Ra Soat (ty) '!BZ58</f>
        <v>0</v>
      </c>
      <c r="U54" s="1033">
        <f>'1.BC_Ra Soat (ty) '!CE58</f>
        <v>0</v>
      </c>
      <c r="V54" s="1033">
        <f>'1.BC_Ra Soat (ty) '!CJ58</f>
        <v>0</v>
      </c>
      <c r="W54" s="1033">
        <f>'1.BC_Ra Soat (ty) '!CO58</f>
        <v>0</v>
      </c>
      <c r="X54" s="1033">
        <f t="shared" si="28"/>
        <v>0</v>
      </c>
      <c r="Y54" s="1033">
        <f>'1.BC_Ra Soat (ty) '!DI58</f>
        <v>0</v>
      </c>
      <c r="Z54" s="1033">
        <f>SUMIFS('1.DC_Muc tieu'!$F:$F,'1.DC_Muc tieu'!$D:$D,'1.BC_Muc tieu (ty) '!$D54)-SUMIFS('1.DC_Muc tieu'!$F:$F,'1.DC_Muc tieu'!$E:$E,'1.BC_Muc tieu (ty) '!$D54)</f>
        <v>0</v>
      </c>
      <c r="AA54" s="1033">
        <f>SUMIFS('1.DC_Muc tieu'!$F:$F,'1.DC_Muc tieu'!$D:$D,'1.BC_Muc tieu (ty) '!$D54)-SUMIFS('1.DC_Muc tieu'!$F:$F,'1.DC_Muc tieu'!$E:$E,'1.BC_Muc tieu (ty) '!$D54)</f>
        <v>0</v>
      </c>
      <c r="AB54" s="1033">
        <f>SUMIFS('1.DC_Muc tieu'!$F:$F,'1.DC_Muc tieu'!$D:$D,'1.BC_Muc tieu (ty) '!$D54)-SUMIFS('1.DC_Muc tieu'!$F:$F,'1.DC_Muc tieu'!$E:$E,'1.BC_Muc tieu (ty) '!$D54)</f>
        <v>0</v>
      </c>
      <c r="AC54" s="1033">
        <f>SUMIFS('1.DC_Muc tieu'!$F:$F,'1.DC_Muc tieu'!$D:$D,'1.BC_Muc tieu (ty) '!$D54)-SUMIFS('1.DC_Muc tieu'!$F:$F,'1.DC_Muc tieu'!$E:$E,'1.BC_Muc tieu (ty) '!$D54)</f>
        <v>0</v>
      </c>
      <c r="AD54" s="1033">
        <f>SUMIFS('1.DC_Muc tieu'!$F:$F,'1.DC_Muc tieu'!$D:$D,'1.BC_Muc tieu (ty) '!$D54)-SUMIFS('1.DC_Muc tieu'!$F:$F,'1.DC_Muc tieu'!$E:$E,'1.BC_Muc tieu (ty) '!$D54)</f>
        <v>0</v>
      </c>
      <c r="AE54" s="1033">
        <f t="shared" si="29"/>
        <v>0</v>
      </c>
      <c r="AF54" s="1033">
        <f t="shared" si="55"/>
        <v>0</v>
      </c>
      <c r="AG54" s="1033">
        <f t="shared" si="56"/>
        <v>0</v>
      </c>
      <c r="AH54" s="1033">
        <f t="shared" si="57"/>
        <v>0</v>
      </c>
      <c r="AI54" s="1033">
        <f t="shared" si="58"/>
        <v>0</v>
      </c>
      <c r="AJ54" s="1033">
        <f t="shared" si="59"/>
        <v>0</v>
      </c>
      <c r="AK54" s="1033">
        <f t="shared" si="32"/>
        <v>0</v>
      </c>
      <c r="AL54" s="1033">
        <f t="shared" si="60"/>
        <v>0</v>
      </c>
    </row>
    <row r="55" spans="1:39" s="1044" customFormat="1" x14ac:dyDescent="0.25">
      <c r="A55" s="1038">
        <f t="shared" si="23"/>
        <v>1</v>
      </c>
      <c r="B55" s="1042" t="s">
        <v>46</v>
      </c>
      <c r="C55" s="1043" t="s">
        <v>58</v>
      </c>
      <c r="D55" s="991" t="s">
        <v>342</v>
      </c>
      <c r="E55" s="992">
        <f>'1.BC_Ra Soat (ty) '!BS59</f>
        <v>6.0571813939999997</v>
      </c>
      <c r="F55" s="992">
        <f>'1.BC_Ra Soat (ty) '!BX59</f>
        <v>1.0367095209999999</v>
      </c>
      <c r="G55" s="1033">
        <f>'1.BC_Ra Soat (ty) '!CC59</f>
        <v>0.83552459300000004</v>
      </c>
      <c r="H55" s="1033">
        <f>'1.BC_Ra Soat (ty) '!CH59</f>
        <v>1.2623553489999999</v>
      </c>
      <c r="I55" s="1033">
        <f>'1.BC_Ra Soat (ty) '!CM59</f>
        <v>0</v>
      </c>
      <c r="J55" s="1033">
        <f t="shared" si="26"/>
        <v>9.1917708569999981</v>
      </c>
      <c r="K55" s="1033">
        <f>'1.BC_Ra Soat (ty) '!DG59</f>
        <v>9.1917708569999981</v>
      </c>
      <c r="L55" s="1033">
        <f>'1.BC_Ra Soat (ty) '!BT59</f>
        <v>6.2150996660000004</v>
      </c>
      <c r="M55" s="1033">
        <f>'1.BC_Ra Soat (ty) '!BY59</f>
        <v>1.041709521</v>
      </c>
      <c r="N55" s="1033">
        <f>'1.BC_Ra Soat (ty) '!CD59</f>
        <v>1.1929744419999999</v>
      </c>
      <c r="O55" s="1033">
        <f>'1.BC_Ra Soat (ty) '!CI59</f>
        <v>1.2623553489999999</v>
      </c>
      <c r="P55" s="1033">
        <f>'1.BC_Ra Soat (ty) '!CN59</f>
        <v>0</v>
      </c>
      <c r="Q55" s="1033">
        <f t="shared" si="27"/>
        <v>9.7121389780000005</v>
      </c>
      <c r="R55" s="1033">
        <f>'1.BC_Ra Soat (ty) '!DH59</f>
        <v>9.7121389780000005</v>
      </c>
      <c r="S55" s="1033">
        <f>'1.BC_Ra Soat (ty) '!BU59</f>
        <v>6.442994519</v>
      </c>
      <c r="T55" s="1033">
        <f>'1.BC_Ra Soat (ty) '!BZ59</f>
        <v>1.041709521</v>
      </c>
      <c r="U55" s="1033">
        <f>'1.BC_Ra Soat (ty) '!CE59</f>
        <v>1.1561417439999999</v>
      </c>
      <c r="V55" s="1033">
        <f>'1.BC_Ra Soat (ty) '!CJ59</f>
        <v>1.2623553489999999</v>
      </c>
      <c r="W55" s="1033">
        <f>'1.BC_Ra Soat (ty) '!CO59</f>
        <v>0</v>
      </c>
      <c r="X55" s="1033">
        <f t="shared" si="28"/>
        <v>9.9032011329999996</v>
      </c>
      <c r="Y55" s="1033">
        <f>'1.BC_Ra Soat (ty) '!DI59</f>
        <v>9.9032011329999996</v>
      </c>
      <c r="Z55" s="1033">
        <f>SUMIFS('1.DC_Muc tieu'!$F:$F,'1.DC_Muc tieu'!$D:$D,'1.BC_Muc tieu (ty) '!$D55)-SUMIFS('1.DC_Muc tieu'!$F:$F,'1.DC_Muc tieu'!$E:$E,'1.BC_Muc tieu (ty) '!$D55)</f>
        <v>0</v>
      </c>
      <c r="AA55" s="1033">
        <f>SUMIFS('1.DC_Muc tieu'!$F:$F,'1.DC_Muc tieu'!$D:$D,'1.BC_Muc tieu (ty) '!$D55)-SUMIFS('1.DC_Muc tieu'!$F:$F,'1.DC_Muc tieu'!$E:$E,'1.BC_Muc tieu (ty) '!$D55)</f>
        <v>0</v>
      </c>
      <c r="AB55" s="1033">
        <f>SUMIFS('1.DC_Muc tieu'!$F:$F,'1.DC_Muc tieu'!$D:$D,'1.BC_Muc tieu (ty) '!$D55)-SUMIFS('1.DC_Muc tieu'!$F:$F,'1.DC_Muc tieu'!$E:$E,'1.BC_Muc tieu (ty) '!$D55)</f>
        <v>0</v>
      </c>
      <c r="AC55" s="1033">
        <f>SUMIFS('1.DC_Muc tieu'!$F:$F,'1.DC_Muc tieu'!$D:$D,'1.BC_Muc tieu (ty) '!$D55)-SUMIFS('1.DC_Muc tieu'!$F:$F,'1.DC_Muc tieu'!$E:$E,'1.BC_Muc tieu (ty) '!$D55)</f>
        <v>0</v>
      </c>
      <c r="AD55" s="1033">
        <f>SUMIFS('1.DC_Muc tieu'!$F:$F,'1.DC_Muc tieu'!$D:$D,'1.BC_Muc tieu (ty) '!$D55)-SUMIFS('1.DC_Muc tieu'!$F:$F,'1.DC_Muc tieu'!$E:$E,'1.BC_Muc tieu (ty) '!$D55)</f>
        <v>0</v>
      </c>
      <c r="AE55" s="1033">
        <f t="shared" si="29"/>
        <v>0</v>
      </c>
      <c r="AF55" s="1033">
        <f t="shared" si="55"/>
        <v>6.442994519</v>
      </c>
      <c r="AG55" s="1033">
        <f t="shared" si="56"/>
        <v>1.041709521</v>
      </c>
      <c r="AH55" s="1033">
        <f t="shared" si="57"/>
        <v>1.1561417439999999</v>
      </c>
      <c r="AI55" s="1033">
        <f t="shared" si="58"/>
        <v>1.2623553489999999</v>
      </c>
      <c r="AJ55" s="1033">
        <f t="shared" si="59"/>
        <v>0</v>
      </c>
      <c r="AK55" s="1033">
        <f t="shared" si="32"/>
        <v>9.9032011329999996</v>
      </c>
      <c r="AL55" s="1082">
        <f t="shared" si="60"/>
        <v>9.9032011329999996</v>
      </c>
    </row>
    <row r="56" spans="1:39" s="986" customFormat="1" x14ac:dyDescent="0.25">
      <c r="A56" s="1014">
        <f t="shared" si="23"/>
        <v>1</v>
      </c>
      <c r="B56" s="981" t="s">
        <v>63</v>
      </c>
      <c r="C56" s="984" t="s">
        <v>64</v>
      </c>
      <c r="D56" s="995" t="s">
        <v>343</v>
      </c>
      <c r="E56" s="982">
        <f>E57+E65+E75+E78+E81+E87</f>
        <v>71.423302014000001</v>
      </c>
      <c r="F56" s="982">
        <f t="shared" ref="F56:AL56" si="61">F57+F65+F75+F78+F81+F87</f>
        <v>39.777749645999997</v>
      </c>
      <c r="G56" s="982">
        <f t="shared" si="61"/>
        <v>11.845734922</v>
      </c>
      <c r="H56" s="982">
        <f t="shared" si="61"/>
        <v>16.636991667</v>
      </c>
      <c r="I56" s="982">
        <f t="shared" si="61"/>
        <v>0</v>
      </c>
      <c r="J56" s="982">
        <f t="shared" si="61"/>
        <v>139.683778249</v>
      </c>
      <c r="K56" s="982">
        <f t="shared" si="61"/>
        <v>139.683778249</v>
      </c>
      <c r="L56" s="982">
        <f t="shared" si="61"/>
        <v>88.724910612000002</v>
      </c>
      <c r="M56" s="982">
        <f t="shared" si="61"/>
        <v>52.561073148999995</v>
      </c>
      <c r="N56" s="982">
        <f t="shared" si="61"/>
        <v>5.3279779419999995</v>
      </c>
      <c r="O56" s="982">
        <f t="shared" si="61"/>
        <v>14.094311318000001</v>
      </c>
      <c r="P56" s="982">
        <f t="shared" si="61"/>
        <v>0</v>
      </c>
      <c r="Q56" s="982">
        <f t="shared" si="61"/>
        <v>160.70827302099997</v>
      </c>
      <c r="R56" s="982">
        <f t="shared" si="61"/>
        <v>160.70827302099997</v>
      </c>
      <c r="S56" s="982">
        <f t="shared" si="61"/>
        <v>87.670528820000001</v>
      </c>
      <c r="T56" s="982">
        <f t="shared" si="61"/>
        <v>53.186805326999995</v>
      </c>
      <c r="U56" s="982">
        <f t="shared" si="61"/>
        <v>3.4467086079999998</v>
      </c>
      <c r="V56" s="982">
        <f t="shared" si="61"/>
        <v>13.414311317999999</v>
      </c>
      <c r="W56" s="982">
        <f t="shared" si="61"/>
        <v>0</v>
      </c>
      <c r="X56" s="982">
        <f t="shared" si="61"/>
        <v>157.718354073</v>
      </c>
      <c r="Y56" s="982">
        <f t="shared" si="61"/>
        <v>157.718354073</v>
      </c>
      <c r="Z56" s="982">
        <f t="shared" si="61"/>
        <v>0</v>
      </c>
      <c r="AA56" s="982">
        <f t="shared" si="61"/>
        <v>0</v>
      </c>
      <c r="AB56" s="982">
        <f t="shared" si="61"/>
        <v>0</v>
      </c>
      <c r="AC56" s="982">
        <f t="shared" si="61"/>
        <v>0</v>
      </c>
      <c r="AD56" s="982">
        <f t="shared" si="61"/>
        <v>0</v>
      </c>
      <c r="AE56" s="982">
        <f t="shared" si="61"/>
        <v>0</v>
      </c>
      <c r="AF56" s="982">
        <f t="shared" si="61"/>
        <v>87.670528820000001</v>
      </c>
      <c r="AG56" s="982">
        <f t="shared" si="61"/>
        <v>53.186805326999995</v>
      </c>
      <c r="AH56" s="982">
        <f t="shared" si="61"/>
        <v>3.4467086079999998</v>
      </c>
      <c r="AI56" s="982">
        <f t="shared" si="61"/>
        <v>13.414311317999999</v>
      </c>
      <c r="AJ56" s="982">
        <f t="shared" si="61"/>
        <v>0</v>
      </c>
      <c r="AK56" s="982">
        <f t="shared" si="61"/>
        <v>157.71835407299997</v>
      </c>
      <c r="AL56" s="1080">
        <f t="shared" si="61"/>
        <v>157.71835407299997</v>
      </c>
      <c r="AM56" s="985"/>
    </row>
    <row r="57" spans="1:39" s="986" customFormat="1" x14ac:dyDescent="0.25">
      <c r="A57" s="1014" t="str">
        <f t="shared" si="23"/>
        <v>hide</v>
      </c>
      <c r="B57" s="987" t="s">
        <v>27</v>
      </c>
      <c r="C57" s="988" t="s">
        <v>65</v>
      </c>
      <c r="D57" s="989" t="s">
        <v>345</v>
      </c>
      <c r="E57" s="990">
        <f>SUM(E58:E64)</f>
        <v>0</v>
      </c>
      <c r="F57" s="990">
        <f t="shared" ref="F57:AL57" si="62">SUM(F58:F64)</f>
        <v>0</v>
      </c>
      <c r="G57" s="1032">
        <f>'1.BC_Ra Soat (ty) '!CC61</f>
        <v>0</v>
      </c>
      <c r="H57" s="1032">
        <f>'1.BC_Ra Soat (ty) '!CH61</f>
        <v>0</v>
      </c>
      <c r="I57" s="1032">
        <f>'1.BC_Ra Soat (ty) '!CM61</f>
        <v>0</v>
      </c>
      <c r="J57" s="1032">
        <f t="shared" si="62"/>
        <v>0</v>
      </c>
      <c r="K57" s="1032">
        <f t="shared" si="62"/>
        <v>0</v>
      </c>
      <c r="L57" s="1032">
        <f>'1.BC_Ra Soat (ty) '!BT61</f>
        <v>0</v>
      </c>
      <c r="M57" s="1032">
        <f>'1.BC_Ra Soat (ty) '!BY61</f>
        <v>0</v>
      </c>
      <c r="N57" s="1032">
        <f>'1.BC_Ra Soat (ty) '!CD61</f>
        <v>0</v>
      </c>
      <c r="O57" s="1032">
        <f>'1.BC_Ra Soat (ty) '!CI61</f>
        <v>0</v>
      </c>
      <c r="P57" s="1032">
        <f>'1.BC_Ra Soat (ty) '!CN61</f>
        <v>0</v>
      </c>
      <c r="Q57" s="1032">
        <f t="shared" si="62"/>
        <v>0</v>
      </c>
      <c r="R57" s="1032">
        <f t="shared" si="62"/>
        <v>0</v>
      </c>
      <c r="S57" s="1032">
        <f>'1.BC_Ra Soat (ty) '!BU61</f>
        <v>0</v>
      </c>
      <c r="T57" s="1032">
        <f>'1.BC_Ra Soat (ty) '!BZ61</f>
        <v>0</v>
      </c>
      <c r="U57" s="1032">
        <f>'1.BC_Ra Soat (ty) '!CE61</f>
        <v>0</v>
      </c>
      <c r="V57" s="1032">
        <f>'1.BC_Ra Soat (ty) '!CJ61</f>
        <v>0</v>
      </c>
      <c r="W57" s="1032">
        <f>'1.BC_Ra Soat (ty) '!CO61</f>
        <v>0</v>
      </c>
      <c r="X57" s="1032">
        <f t="shared" si="28"/>
        <v>0</v>
      </c>
      <c r="Y57" s="1032">
        <f>'1.BC_Ra Soat (ty) '!DI61</f>
        <v>0</v>
      </c>
      <c r="Z57" s="1032">
        <f t="shared" si="62"/>
        <v>0</v>
      </c>
      <c r="AA57" s="1032">
        <f t="shared" si="62"/>
        <v>0</v>
      </c>
      <c r="AB57" s="1032">
        <f t="shared" si="62"/>
        <v>0</v>
      </c>
      <c r="AC57" s="1032">
        <f t="shared" si="62"/>
        <v>0</v>
      </c>
      <c r="AD57" s="1032">
        <f t="shared" si="62"/>
        <v>0</v>
      </c>
      <c r="AE57" s="1032">
        <f t="shared" si="62"/>
        <v>0</v>
      </c>
      <c r="AF57" s="1032">
        <f t="shared" si="62"/>
        <v>0</v>
      </c>
      <c r="AG57" s="1032">
        <f t="shared" si="62"/>
        <v>0</v>
      </c>
      <c r="AH57" s="1032">
        <f t="shared" si="62"/>
        <v>0</v>
      </c>
      <c r="AI57" s="1032">
        <f t="shared" si="62"/>
        <v>0</v>
      </c>
      <c r="AJ57" s="1032">
        <f t="shared" si="62"/>
        <v>0</v>
      </c>
      <c r="AK57" s="1032">
        <f t="shared" si="62"/>
        <v>0</v>
      </c>
      <c r="AL57" s="1032">
        <f t="shared" si="62"/>
        <v>0</v>
      </c>
      <c r="AM57" s="985"/>
    </row>
    <row r="58" spans="1:39" s="896" customFormat="1" x14ac:dyDescent="0.25">
      <c r="A58" s="1014" t="str">
        <f t="shared" si="23"/>
        <v>hide</v>
      </c>
      <c r="B58" s="994" t="s">
        <v>29</v>
      </c>
      <c r="C58" s="993" t="s">
        <v>66</v>
      </c>
      <c r="D58" s="991" t="s">
        <v>347</v>
      </c>
      <c r="E58" s="992">
        <f>'1.BC_Ra Soat (ty) '!BS62</f>
        <v>0</v>
      </c>
      <c r="F58" s="992">
        <f>'1.BC_Ra Soat (ty) '!BX62</f>
        <v>0</v>
      </c>
      <c r="G58" s="1032">
        <f>'1.BC_Ra Soat (ty) '!CC62</f>
        <v>0</v>
      </c>
      <c r="H58" s="1032">
        <f>'1.BC_Ra Soat (ty) '!CH62</f>
        <v>0</v>
      </c>
      <c r="I58" s="1032">
        <f>'1.BC_Ra Soat (ty) '!CM62</f>
        <v>0</v>
      </c>
      <c r="J58" s="1033">
        <f t="shared" si="26"/>
        <v>0</v>
      </c>
      <c r="K58" s="1033">
        <f>'1.BC_Ra Soat (ty) '!DG62</f>
        <v>0</v>
      </c>
      <c r="L58" s="1032">
        <f>'1.BC_Ra Soat (ty) '!BT62</f>
        <v>0</v>
      </c>
      <c r="M58" s="1032">
        <f>'1.BC_Ra Soat (ty) '!BY62</f>
        <v>0</v>
      </c>
      <c r="N58" s="1032">
        <f>'1.BC_Ra Soat (ty) '!CD62</f>
        <v>0</v>
      </c>
      <c r="O58" s="1032">
        <f>'1.BC_Ra Soat (ty) '!CI62</f>
        <v>0</v>
      </c>
      <c r="P58" s="1032">
        <f>'1.BC_Ra Soat (ty) '!CN62</f>
        <v>0</v>
      </c>
      <c r="Q58" s="1033">
        <f t="shared" si="27"/>
        <v>0</v>
      </c>
      <c r="R58" s="1033">
        <f>'1.BC_Ra Soat (ty) '!DH62</f>
        <v>0</v>
      </c>
      <c r="S58" s="1032">
        <f>'1.BC_Ra Soat (ty) '!BU62</f>
        <v>0</v>
      </c>
      <c r="T58" s="1032">
        <f>'1.BC_Ra Soat (ty) '!BZ62</f>
        <v>0</v>
      </c>
      <c r="U58" s="1032">
        <f>'1.BC_Ra Soat (ty) '!CE62</f>
        <v>0</v>
      </c>
      <c r="V58" s="1032">
        <f>'1.BC_Ra Soat (ty) '!CJ62</f>
        <v>0</v>
      </c>
      <c r="W58" s="1032">
        <f>'1.BC_Ra Soat (ty) '!CO62</f>
        <v>0</v>
      </c>
      <c r="X58" s="1032">
        <f t="shared" si="28"/>
        <v>0</v>
      </c>
      <c r="Y58" s="1032">
        <f>'1.BC_Ra Soat (ty) '!DI62</f>
        <v>0</v>
      </c>
      <c r="Z58" s="1033">
        <f>SUMIFS('1.DC_Muc tieu'!$F:$F,'1.DC_Muc tieu'!$D:$D,'1.BC_Muc tieu (ty) '!$D58)-SUMIFS('1.DC_Muc tieu'!$F:$F,'1.DC_Muc tieu'!$E:$E,'1.BC_Muc tieu (ty) '!$D58)</f>
        <v>0</v>
      </c>
      <c r="AA58" s="1033">
        <f>SUMIFS('1.DC_Muc tieu'!$F:$F,'1.DC_Muc tieu'!$D:$D,'1.BC_Muc tieu (ty) '!$D58)-SUMIFS('1.DC_Muc tieu'!$F:$F,'1.DC_Muc tieu'!$E:$E,'1.BC_Muc tieu (ty) '!$D58)</f>
        <v>0</v>
      </c>
      <c r="AB58" s="1033">
        <f>SUMIFS('1.DC_Muc tieu'!$F:$F,'1.DC_Muc tieu'!$D:$D,'1.BC_Muc tieu (ty) '!$D58)-SUMIFS('1.DC_Muc tieu'!$F:$F,'1.DC_Muc tieu'!$E:$E,'1.BC_Muc tieu (ty) '!$D58)</f>
        <v>0</v>
      </c>
      <c r="AC58" s="1033">
        <f>SUMIFS('1.DC_Muc tieu'!$F:$F,'1.DC_Muc tieu'!$D:$D,'1.BC_Muc tieu (ty) '!$D58)-SUMIFS('1.DC_Muc tieu'!$F:$F,'1.DC_Muc tieu'!$E:$E,'1.BC_Muc tieu (ty) '!$D58)</f>
        <v>0</v>
      </c>
      <c r="AD58" s="1033">
        <f>SUMIFS('1.DC_Muc tieu'!$F:$F,'1.DC_Muc tieu'!$D:$D,'1.BC_Muc tieu (ty) '!$D58)-SUMIFS('1.DC_Muc tieu'!$F:$F,'1.DC_Muc tieu'!$E:$E,'1.BC_Muc tieu (ty) '!$D58)</f>
        <v>0</v>
      </c>
      <c r="AE58" s="1033">
        <f t="shared" si="29"/>
        <v>0</v>
      </c>
      <c r="AF58" s="1033">
        <f t="shared" ref="AF58:AF64" si="63">S58+Z58</f>
        <v>0</v>
      </c>
      <c r="AG58" s="1033">
        <f t="shared" ref="AG58:AG64" si="64">T58+AA58</f>
        <v>0</v>
      </c>
      <c r="AH58" s="1033">
        <f t="shared" ref="AH58:AH64" si="65">U58+AB58</f>
        <v>0</v>
      </c>
      <c r="AI58" s="1033">
        <f t="shared" ref="AI58:AI64" si="66">V58+AC58</f>
        <v>0</v>
      </c>
      <c r="AJ58" s="1033">
        <f t="shared" ref="AJ58:AJ64" si="67">W58+AD58</f>
        <v>0</v>
      </c>
      <c r="AK58" s="1033">
        <f t="shared" ref="AK58:AK64" si="68">AE58+X58</f>
        <v>0</v>
      </c>
      <c r="AL58" s="1033">
        <f t="shared" ref="AL58:AL64" si="69">Y58+AE58</f>
        <v>0</v>
      </c>
    </row>
    <row r="59" spans="1:39" s="896" customFormat="1" x14ac:dyDescent="0.25">
      <c r="A59" s="1014" t="str">
        <f t="shared" si="23"/>
        <v>hide</v>
      </c>
      <c r="B59" s="994" t="s">
        <v>31</v>
      </c>
      <c r="C59" s="993" t="s">
        <v>67</v>
      </c>
      <c r="D59" s="991" t="s">
        <v>349</v>
      </c>
      <c r="E59" s="992">
        <f>'1.BC_Ra Soat (ty) '!BS63</f>
        <v>0</v>
      </c>
      <c r="F59" s="992">
        <f>'1.BC_Ra Soat (ty) '!BX63</f>
        <v>0</v>
      </c>
      <c r="G59" s="1032">
        <f>'1.BC_Ra Soat (ty) '!CC63</f>
        <v>0</v>
      </c>
      <c r="H59" s="1032">
        <f>'1.BC_Ra Soat (ty) '!CH63</f>
        <v>0</v>
      </c>
      <c r="I59" s="1032">
        <f>'1.BC_Ra Soat (ty) '!CM63</f>
        <v>0</v>
      </c>
      <c r="J59" s="1033">
        <f t="shared" si="26"/>
        <v>0</v>
      </c>
      <c r="K59" s="1033">
        <f>'1.BC_Ra Soat (ty) '!DG63</f>
        <v>0</v>
      </c>
      <c r="L59" s="1032">
        <f>'1.BC_Ra Soat (ty) '!BT63</f>
        <v>0</v>
      </c>
      <c r="M59" s="1032">
        <f>'1.BC_Ra Soat (ty) '!BY63</f>
        <v>0</v>
      </c>
      <c r="N59" s="1032">
        <f>'1.BC_Ra Soat (ty) '!CD63</f>
        <v>0</v>
      </c>
      <c r="O59" s="1032">
        <f>'1.BC_Ra Soat (ty) '!CI63</f>
        <v>0</v>
      </c>
      <c r="P59" s="1032">
        <f>'1.BC_Ra Soat (ty) '!CN63</f>
        <v>0</v>
      </c>
      <c r="Q59" s="1033">
        <f t="shared" si="27"/>
        <v>0</v>
      </c>
      <c r="R59" s="1033">
        <f>'1.BC_Ra Soat (ty) '!DH63</f>
        <v>0</v>
      </c>
      <c r="S59" s="1032">
        <f>'1.BC_Ra Soat (ty) '!BU63</f>
        <v>0</v>
      </c>
      <c r="T59" s="1032">
        <f>'1.BC_Ra Soat (ty) '!BZ63</f>
        <v>0</v>
      </c>
      <c r="U59" s="1032">
        <f>'1.BC_Ra Soat (ty) '!CE63</f>
        <v>0</v>
      </c>
      <c r="V59" s="1032">
        <f>'1.BC_Ra Soat (ty) '!CJ63</f>
        <v>0</v>
      </c>
      <c r="W59" s="1032">
        <f>'1.BC_Ra Soat (ty) '!CO63</f>
        <v>0</v>
      </c>
      <c r="X59" s="1032">
        <f t="shared" si="28"/>
        <v>0</v>
      </c>
      <c r="Y59" s="1032">
        <f>'1.BC_Ra Soat (ty) '!DI63</f>
        <v>0</v>
      </c>
      <c r="Z59" s="1033">
        <f>SUMIFS('1.DC_Muc tieu'!$F:$F,'1.DC_Muc tieu'!$D:$D,'1.BC_Muc tieu (ty) '!$D59)-SUMIFS('1.DC_Muc tieu'!$F:$F,'1.DC_Muc tieu'!$E:$E,'1.BC_Muc tieu (ty) '!$D59)</f>
        <v>0</v>
      </c>
      <c r="AA59" s="1033">
        <f>SUMIFS('1.DC_Muc tieu'!$F:$F,'1.DC_Muc tieu'!$D:$D,'1.BC_Muc tieu (ty) '!$D59)-SUMIFS('1.DC_Muc tieu'!$F:$F,'1.DC_Muc tieu'!$E:$E,'1.BC_Muc tieu (ty) '!$D59)</f>
        <v>0</v>
      </c>
      <c r="AB59" s="1033">
        <f>SUMIFS('1.DC_Muc tieu'!$F:$F,'1.DC_Muc tieu'!$D:$D,'1.BC_Muc tieu (ty) '!$D59)-SUMIFS('1.DC_Muc tieu'!$F:$F,'1.DC_Muc tieu'!$E:$E,'1.BC_Muc tieu (ty) '!$D59)</f>
        <v>0</v>
      </c>
      <c r="AC59" s="1033">
        <f>SUMIFS('1.DC_Muc tieu'!$F:$F,'1.DC_Muc tieu'!$D:$D,'1.BC_Muc tieu (ty) '!$D59)-SUMIFS('1.DC_Muc tieu'!$F:$F,'1.DC_Muc tieu'!$E:$E,'1.BC_Muc tieu (ty) '!$D59)</f>
        <v>0</v>
      </c>
      <c r="AD59" s="1033">
        <f>SUMIFS('1.DC_Muc tieu'!$F:$F,'1.DC_Muc tieu'!$D:$D,'1.BC_Muc tieu (ty) '!$D59)-SUMIFS('1.DC_Muc tieu'!$F:$F,'1.DC_Muc tieu'!$E:$E,'1.BC_Muc tieu (ty) '!$D59)</f>
        <v>0</v>
      </c>
      <c r="AE59" s="1033">
        <f t="shared" si="29"/>
        <v>0</v>
      </c>
      <c r="AF59" s="1033">
        <f t="shared" si="63"/>
        <v>0</v>
      </c>
      <c r="AG59" s="1033">
        <f t="shared" si="64"/>
        <v>0</v>
      </c>
      <c r="AH59" s="1033">
        <f t="shared" si="65"/>
        <v>0</v>
      </c>
      <c r="AI59" s="1033">
        <f t="shared" si="66"/>
        <v>0</v>
      </c>
      <c r="AJ59" s="1033">
        <f t="shared" si="67"/>
        <v>0</v>
      </c>
      <c r="AK59" s="1033">
        <f t="shared" si="68"/>
        <v>0</v>
      </c>
      <c r="AL59" s="1033">
        <f t="shared" si="69"/>
        <v>0</v>
      </c>
    </row>
    <row r="60" spans="1:39" s="896" customFormat="1" x14ac:dyDescent="0.25">
      <c r="A60" s="1014" t="str">
        <f t="shared" si="23"/>
        <v>hide</v>
      </c>
      <c r="B60" s="994" t="s">
        <v>37</v>
      </c>
      <c r="C60" s="993" t="s">
        <v>68</v>
      </c>
      <c r="D60" s="991" t="s">
        <v>351</v>
      </c>
      <c r="E60" s="992">
        <f>'1.BC_Ra Soat (ty) '!BS64</f>
        <v>0</v>
      </c>
      <c r="F60" s="992">
        <f>'1.BC_Ra Soat (ty) '!BX64</f>
        <v>0</v>
      </c>
      <c r="G60" s="1032">
        <f>'1.BC_Ra Soat (ty) '!CC64</f>
        <v>0</v>
      </c>
      <c r="H60" s="1032">
        <f>'1.BC_Ra Soat (ty) '!CH64</f>
        <v>0</v>
      </c>
      <c r="I60" s="1032">
        <f>'1.BC_Ra Soat (ty) '!CM64</f>
        <v>0</v>
      </c>
      <c r="J60" s="1033">
        <f t="shared" si="26"/>
        <v>0</v>
      </c>
      <c r="K60" s="1033">
        <f>'1.BC_Ra Soat (ty) '!DG64</f>
        <v>0</v>
      </c>
      <c r="L60" s="1032">
        <f>'1.BC_Ra Soat (ty) '!BT64</f>
        <v>0</v>
      </c>
      <c r="M60" s="1032">
        <f>'1.BC_Ra Soat (ty) '!BY64</f>
        <v>0</v>
      </c>
      <c r="N60" s="1032">
        <f>'1.BC_Ra Soat (ty) '!CD64</f>
        <v>0</v>
      </c>
      <c r="O60" s="1032">
        <f>'1.BC_Ra Soat (ty) '!CI64</f>
        <v>0</v>
      </c>
      <c r="P60" s="1032">
        <f>'1.BC_Ra Soat (ty) '!CN64</f>
        <v>0</v>
      </c>
      <c r="Q60" s="1033">
        <f t="shared" si="27"/>
        <v>0</v>
      </c>
      <c r="R60" s="1033">
        <f>'1.BC_Ra Soat (ty) '!DH64</f>
        <v>0</v>
      </c>
      <c r="S60" s="1032">
        <f>'1.BC_Ra Soat (ty) '!BU64</f>
        <v>0</v>
      </c>
      <c r="T60" s="1032">
        <f>'1.BC_Ra Soat (ty) '!BZ64</f>
        <v>0</v>
      </c>
      <c r="U60" s="1032">
        <f>'1.BC_Ra Soat (ty) '!CE64</f>
        <v>0</v>
      </c>
      <c r="V60" s="1032">
        <f>'1.BC_Ra Soat (ty) '!CJ64</f>
        <v>0</v>
      </c>
      <c r="W60" s="1032">
        <f>'1.BC_Ra Soat (ty) '!CO64</f>
        <v>0</v>
      </c>
      <c r="X60" s="1032">
        <f t="shared" si="28"/>
        <v>0</v>
      </c>
      <c r="Y60" s="1032">
        <f>'1.BC_Ra Soat (ty) '!DI64</f>
        <v>0</v>
      </c>
      <c r="Z60" s="1033">
        <f>SUMIFS('1.DC_Muc tieu'!$F:$F,'1.DC_Muc tieu'!$D:$D,'1.BC_Muc tieu (ty) '!$D60)-SUMIFS('1.DC_Muc tieu'!$F:$F,'1.DC_Muc tieu'!$E:$E,'1.BC_Muc tieu (ty) '!$D60)</f>
        <v>0</v>
      </c>
      <c r="AA60" s="1033">
        <f>SUMIFS('1.DC_Muc tieu'!$F:$F,'1.DC_Muc tieu'!$D:$D,'1.BC_Muc tieu (ty) '!$D60)-SUMIFS('1.DC_Muc tieu'!$F:$F,'1.DC_Muc tieu'!$E:$E,'1.BC_Muc tieu (ty) '!$D60)</f>
        <v>0</v>
      </c>
      <c r="AB60" s="1033">
        <f>SUMIFS('1.DC_Muc tieu'!$F:$F,'1.DC_Muc tieu'!$D:$D,'1.BC_Muc tieu (ty) '!$D60)-SUMIFS('1.DC_Muc tieu'!$F:$F,'1.DC_Muc tieu'!$E:$E,'1.BC_Muc tieu (ty) '!$D60)</f>
        <v>0</v>
      </c>
      <c r="AC60" s="1033">
        <f>SUMIFS('1.DC_Muc tieu'!$F:$F,'1.DC_Muc tieu'!$D:$D,'1.BC_Muc tieu (ty) '!$D60)-SUMIFS('1.DC_Muc tieu'!$F:$F,'1.DC_Muc tieu'!$E:$E,'1.BC_Muc tieu (ty) '!$D60)</f>
        <v>0</v>
      </c>
      <c r="AD60" s="1033">
        <f>SUMIFS('1.DC_Muc tieu'!$F:$F,'1.DC_Muc tieu'!$D:$D,'1.BC_Muc tieu (ty) '!$D60)-SUMIFS('1.DC_Muc tieu'!$F:$F,'1.DC_Muc tieu'!$E:$E,'1.BC_Muc tieu (ty) '!$D60)</f>
        <v>0</v>
      </c>
      <c r="AE60" s="1033">
        <f t="shared" si="29"/>
        <v>0</v>
      </c>
      <c r="AF60" s="1033">
        <f t="shared" si="63"/>
        <v>0</v>
      </c>
      <c r="AG60" s="1033">
        <f t="shared" si="64"/>
        <v>0</v>
      </c>
      <c r="AH60" s="1033">
        <f t="shared" si="65"/>
        <v>0</v>
      </c>
      <c r="AI60" s="1033">
        <f t="shared" si="66"/>
        <v>0</v>
      </c>
      <c r="AJ60" s="1033">
        <f t="shared" si="67"/>
        <v>0</v>
      </c>
      <c r="AK60" s="1033">
        <f t="shared" si="68"/>
        <v>0</v>
      </c>
      <c r="AL60" s="1033">
        <f t="shared" si="69"/>
        <v>0</v>
      </c>
    </row>
    <row r="61" spans="1:39" s="896" customFormat="1" x14ac:dyDescent="0.25">
      <c r="A61" s="1014" t="str">
        <f t="shared" si="23"/>
        <v>hide</v>
      </c>
      <c r="B61" s="994" t="s">
        <v>44</v>
      </c>
      <c r="C61" s="993" t="s">
        <v>69</v>
      </c>
      <c r="D61" s="991" t="s">
        <v>353</v>
      </c>
      <c r="E61" s="992">
        <f>'1.BC_Ra Soat (ty) '!BS65</f>
        <v>0</v>
      </c>
      <c r="F61" s="992">
        <f>'1.BC_Ra Soat (ty) '!BX65</f>
        <v>0</v>
      </c>
      <c r="G61" s="1032">
        <f>'1.BC_Ra Soat (ty) '!CC65</f>
        <v>0</v>
      </c>
      <c r="H61" s="1032">
        <f>'1.BC_Ra Soat (ty) '!CH65</f>
        <v>0</v>
      </c>
      <c r="I61" s="1032">
        <f>'1.BC_Ra Soat (ty) '!CM65</f>
        <v>0</v>
      </c>
      <c r="J61" s="1033">
        <f t="shared" si="26"/>
        <v>0</v>
      </c>
      <c r="K61" s="1033">
        <f>'1.BC_Ra Soat (ty) '!DG65</f>
        <v>0</v>
      </c>
      <c r="L61" s="1032">
        <f>'1.BC_Ra Soat (ty) '!BT65</f>
        <v>0</v>
      </c>
      <c r="M61" s="1032">
        <f>'1.BC_Ra Soat (ty) '!BY65</f>
        <v>0</v>
      </c>
      <c r="N61" s="1032">
        <f>'1.BC_Ra Soat (ty) '!CD65</f>
        <v>0</v>
      </c>
      <c r="O61" s="1032">
        <f>'1.BC_Ra Soat (ty) '!CI65</f>
        <v>0</v>
      </c>
      <c r="P61" s="1032">
        <f>'1.BC_Ra Soat (ty) '!CN65</f>
        <v>0</v>
      </c>
      <c r="Q61" s="1033">
        <f t="shared" si="27"/>
        <v>0</v>
      </c>
      <c r="R61" s="1033">
        <f>'1.BC_Ra Soat (ty) '!DH65</f>
        <v>0</v>
      </c>
      <c r="S61" s="1032">
        <f>'1.BC_Ra Soat (ty) '!BU65</f>
        <v>0</v>
      </c>
      <c r="T61" s="1032">
        <f>'1.BC_Ra Soat (ty) '!BZ65</f>
        <v>0</v>
      </c>
      <c r="U61" s="1032">
        <f>'1.BC_Ra Soat (ty) '!CE65</f>
        <v>0</v>
      </c>
      <c r="V61" s="1032">
        <f>'1.BC_Ra Soat (ty) '!CJ65</f>
        <v>0</v>
      </c>
      <c r="W61" s="1032">
        <f>'1.BC_Ra Soat (ty) '!CO65</f>
        <v>0</v>
      </c>
      <c r="X61" s="1032">
        <f t="shared" si="28"/>
        <v>0</v>
      </c>
      <c r="Y61" s="1032">
        <f>'1.BC_Ra Soat (ty) '!DI65</f>
        <v>0</v>
      </c>
      <c r="Z61" s="1033">
        <f>SUMIFS('1.DC_Muc tieu'!$F:$F,'1.DC_Muc tieu'!$D:$D,'1.BC_Muc tieu (ty) '!$D61)-SUMIFS('1.DC_Muc tieu'!$F:$F,'1.DC_Muc tieu'!$E:$E,'1.BC_Muc tieu (ty) '!$D61)</f>
        <v>0</v>
      </c>
      <c r="AA61" s="1033">
        <f>SUMIFS('1.DC_Muc tieu'!$F:$F,'1.DC_Muc tieu'!$D:$D,'1.BC_Muc tieu (ty) '!$D61)-SUMIFS('1.DC_Muc tieu'!$F:$F,'1.DC_Muc tieu'!$E:$E,'1.BC_Muc tieu (ty) '!$D61)</f>
        <v>0</v>
      </c>
      <c r="AB61" s="1033">
        <f>SUMIFS('1.DC_Muc tieu'!$F:$F,'1.DC_Muc tieu'!$D:$D,'1.BC_Muc tieu (ty) '!$D61)-SUMIFS('1.DC_Muc tieu'!$F:$F,'1.DC_Muc tieu'!$E:$E,'1.BC_Muc tieu (ty) '!$D61)</f>
        <v>0</v>
      </c>
      <c r="AC61" s="1033">
        <f>SUMIFS('1.DC_Muc tieu'!$F:$F,'1.DC_Muc tieu'!$D:$D,'1.BC_Muc tieu (ty) '!$D61)-SUMIFS('1.DC_Muc tieu'!$F:$F,'1.DC_Muc tieu'!$E:$E,'1.BC_Muc tieu (ty) '!$D61)</f>
        <v>0</v>
      </c>
      <c r="AD61" s="1033">
        <f>SUMIFS('1.DC_Muc tieu'!$F:$F,'1.DC_Muc tieu'!$D:$D,'1.BC_Muc tieu (ty) '!$D61)-SUMIFS('1.DC_Muc tieu'!$F:$F,'1.DC_Muc tieu'!$E:$E,'1.BC_Muc tieu (ty) '!$D61)</f>
        <v>0</v>
      </c>
      <c r="AE61" s="1033">
        <f t="shared" si="29"/>
        <v>0</v>
      </c>
      <c r="AF61" s="1033">
        <f t="shared" si="63"/>
        <v>0</v>
      </c>
      <c r="AG61" s="1033">
        <f t="shared" si="64"/>
        <v>0</v>
      </c>
      <c r="AH61" s="1033">
        <f t="shared" si="65"/>
        <v>0</v>
      </c>
      <c r="AI61" s="1033">
        <f t="shared" si="66"/>
        <v>0</v>
      </c>
      <c r="AJ61" s="1033">
        <f t="shared" si="67"/>
        <v>0</v>
      </c>
      <c r="AK61" s="1033">
        <f t="shared" si="68"/>
        <v>0</v>
      </c>
      <c r="AL61" s="1033">
        <f t="shared" si="69"/>
        <v>0</v>
      </c>
    </row>
    <row r="62" spans="1:39" s="896" customFormat="1" x14ac:dyDescent="0.25">
      <c r="A62" s="1014" t="str">
        <f t="shared" ref="A62:A95" si="70">IF(SUM(E62:AL62)&lt;&gt;0,1,"hide")</f>
        <v>hide</v>
      </c>
      <c r="B62" s="994" t="s">
        <v>46</v>
      </c>
      <c r="C62" s="993" t="s">
        <v>70</v>
      </c>
      <c r="D62" s="991" t="s">
        <v>355</v>
      </c>
      <c r="E62" s="992">
        <f>'1.BC_Ra Soat (ty) '!BS66</f>
        <v>0</v>
      </c>
      <c r="F62" s="992">
        <f>'1.BC_Ra Soat (ty) '!BX66</f>
        <v>0</v>
      </c>
      <c r="G62" s="1032">
        <f>'1.BC_Ra Soat (ty) '!CC66</f>
        <v>0</v>
      </c>
      <c r="H62" s="1032">
        <f>'1.BC_Ra Soat (ty) '!CH66</f>
        <v>0</v>
      </c>
      <c r="I62" s="1032">
        <f>'1.BC_Ra Soat (ty) '!CM66</f>
        <v>0</v>
      </c>
      <c r="J62" s="1033">
        <f t="shared" si="26"/>
        <v>0</v>
      </c>
      <c r="K62" s="1033">
        <f>'1.BC_Ra Soat (ty) '!DG66</f>
        <v>0</v>
      </c>
      <c r="L62" s="1032">
        <f>'1.BC_Ra Soat (ty) '!BT66</f>
        <v>0</v>
      </c>
      <c r="M62" s="1032">
        <f>'1.BC_Ra Soat (ty) '!BY66</f>
        <v>0</v>
      </c>
      <c r="N62" s="1032">
        <f>'1.BC_Ra Soat (ty) '!CD66</f>
        <v>0</v>
      </c>
      <c r="O62" s="1032">
        <f>'1.BC_Ra Soat (ty) '!CI66</f>
        <v>0</v>
      </c>
      <c r="P62" s="1032">
        <f>'1.BC_Ra Soat (ty) '!CN66</f>
        <v>0</v>
      </c>
      <c r="Q62" s="1033">
        <f t="shared" si="27"/>
        <v>0</v>
      </c>
      <c r="R62" s="1033">
        <f>'1.BC_Ra Soat (ty) '!DH66</f>
        <v>0</v>
      </c>
      <c r="S62" s="1032">
        <f>'1.BC_Ra Soat (ty) '!BU66</f>
        <v>0</v>
      </c>
      <c r="T62" s="1032">
        <f>'1.BC_Ra Soat (ty) '!BZ66</f>
        <v>0</v>
      </c>
      <c r="U62" s="1032">
        <f>'1.BC_Ra Soat (ty) '!CE66</f>
        <v>0</v>
      </c>
      <c r="V62" s="1032">
        <f>'1.BC_Ra Soat (ty) '!CJ66</f>
        <v>0</v>
      </c>
      <c r="W62" s="1032">
        <f>'1.BC_Ra Soat (ty) '!CO66</f>
        <v>0</v>
      </c>
      <c r="X62" s="1032">
        <f t="shared" si="28"/>
        <v>0</v>
      </c>
      <c r="Y62" s="1032">
        <f>'1.BC_Ra Soat (ty) '!DI66</f>
        <v>0</v>
      </c>
      <c r="Z62" s="1033">
        <f>SUMIFS('1.DC_Muc tieu'!$F:$F,'1.DC_Muc tieu'!$D:$D,'1.BC_Muc tieu (ty) '!$D62)-SUMIFS('1.DC_Muc tieu'!$F:$F,'1.DC_Muc tieu'!$E:$E,'1.BC_Muc tieu (ty) '!$D62)</f>
        <v>0</v>
      </c>
      <c r="AA62" s="1033">
        <f>SUMIFS('1.DC_Muc tieu'!$F:$F,'1.DC_Muc tieu'!$D:$D,'1.BC_Muc tieu (ty) '!$D62)-SUMIFS('1.DC_Muc tieu'!$F:$F,'1.DC_Muc tieu'!$E:$E,'1.BC_Muc tieu (ty) '!$D62)</f>
        <v>0</v>
      </c>
      <c r="AB62" s="1033">
        <f>SUMIFS('1.DC_Muc tieu'!$F:$F,'1.DC_Muc tieu'!$D:$D,'1.BC_Muc tieu (ty) '!$D62)-SUMIFS('1.DC_Muc tieu'!$F:$F,'1.DC_Muc tieu'!$E:$E,'1.BC_Muc tieu (ty) '!$D62)</f>
        <v>0</v>
      </c>
      <c r="AC62" s="1033">
        <f>SUMIFS('1.DC_Muc tieu'!$F:$F,'1.DC_Muc tieu'!$D:$D,'1.BC_Muc tieu (ty) '!$D62)-SUMIFS('1.DC_Muc tieu'!$F:$F,'1.DC_Muc tieu'!$E:$E,'1.BC_Muc tieu (ty) '!$D62)</f>
        <v>0</v>
      </c>
      <c r="AD62" s="1033">
        <f>SUMIFS('1.DC_Muc tieu'!$F:$F,'1.DC_Muc tieu'!$D:$D,'1.BC_Muc tieu (ty) '!$D62)-SUMIFS('1.DC_Muc tieu'!$F:$F,'1.DC_Muc tieu'!$E:$E,'1.BC_Muc tieu (ty) '!$D62)</f>
        <v>0</v>
      </c>
      <c r="AE62" s="1033">
        <f t="shared" si="29"/>
        <v>0</v>
      </c>
      <c r="AF62" s="1033">
        <f t="shared" si="63"/>
        <v>0</v>
      </c>
      <c r="AG62" s="1033">
        <f t="shared" si="64"/>
        <v>0</v>
      </c>
      <c r="AH62" s="1033">
        <f t="shared" si="65"/>
        <v>0</v>
      </c>
      <c r="AI62" s="1033">
        <f t="shared" si="66"/>
        <v>0</v>
      </c>
      <c r="AJ62" s="1033">
        <f t="shared" si="67"/>
        <v>0</v>
      </c>
      <c r="AK62" s="1033">
        <f t="shared" si="68"/>
        <v>0</v>
      </c>
      <c r="AL62" s="1033">
        <f t="shared" si="69"/>
        <v>0</v>
      </c>
    </row>
    <row r="63" spans="1:39" s="896" customFormat="1" x14ac:dyDescent="0.25">
      <c r="A63" s="1014" t="str">
        <f t="shared" si="70"/>
        <v>hide</v>
      </c>
      <c r="B63" s="994" t="s">
        <v>48</v>
      </c>
      <c r="C63" s="993" t="s">
        <v>71</v>
      </c>
      <c r="D63" s="991" t="s">
        <v>357</v>
      </c>
      <c r="E63" s="992">
        <f>'1.BC_Ra Soat (ty) '!BS67</f>
        <v>0</v>
      </c>
      <c r="F63" s="992">
        <f>'1.BC_Ra Soat (ty) '!BX67</f>
        <v>0</v>
      </c>
      <c r="G63" s="1032">
        <f>'1.BC_Ra Soat (ty) '!CC67</f>
        <v>0</v>
      </c>
      <c r="H63" s="1032">
        <f>'1.BC_Ra Soat (ty) '!CH67</f>
        <v>0</v>
      </c>
      <c r="I63" s="1032">
        <f>'1.BC_Ra Soat (ty) '!CM67</f>
        <v>0</v>
      </c>
      <c r="J63" s="1033">
        <f t="shared" si="26"/>
        <v>0</v>
      </c>
      <c r="K63" s="1033">
        <f>'1.BC_Ra Soat (ty) '!DG67</f>
        <v>0</v>
      </c>
      <c r="L63" s="1032">
        <f>'1.BC_Ra Soat (ty) '!BT67</f>
        <v>0</v>
      </c>
      <c r="M63" s="1032">
        <f>'1.BC_Ra Soat (ty) '!BY67</f>
        <v>0</v>
      </c>
      <c r="N63" s="1032">
        <f>'1.BC_Ra Soat (ty) '!CD67</f>
        <v>0</v>
      </c>
      <c r="O63" s="1032">
        <f>'1.BC_Ra Soat (ty) '!CI67</f>
        <v>0</v>
      </c>
      <c r="P63" s="1032">
        <f>'1.BC_Ra Soat (ty) '!CN67</f>
        <v>0</v>
      </c>
      <c r="Q63" s="1033">
        <f t="shared" si="27"/>
        <v>0</v>
      </c>
      <c r="R63" s="1033">
        <f>'1.BC_Ra Soat (ty) '!DH67</f>
        <v>0</v>
      </c>
      <c r="S63" s="1032">
        <f>'1.BC_Ra Soat (ty) '!BU67</f>
        <v>0</v>
      </c>
      <c r="T63" s="1032">
        <f>'1.BC_Ra Soat (ty) '!BZ67</f>
        <v>0</v>
      </c>
      <c r="U63" s="1032">
        <f>'1.BC_Ra Soat (ty) '!CE67</f>
        <v>0</v>
      </c>
      <c r="V63" s="1032">
        <f>'1.BC_Ra Soat (ty) '!CJ67</f>
        <v>0</v>
      </c>
      <c r="W63" s="1032">
        <f>'1.BC_Ra Soat (ty) '!CO67</f>
        <v>0</v>
      </c>
      <c r="X63" s="1032">
        <f t="shared" si="28"/>
        <v>0</v>
      </c>
      <c r="Y63" s="1032">
        <f>'1.BC_Ra Soat (ty) '!DI67</f>
        <v>0</v>
      </c>
      <c r="Z63" s="1033">
        <f>SUMIFS('1.DC_Muc tieu'!$F:$F,'1.DC_Muc tieu'!$D:$D,'1.BC_Muc tieu (ty) '!$D63)-SUMIFS('1.DC_Muc tieu'!$F:$F,'1.DC_Muc tieu'!$E:$E,'1.BC_Muc tieu (ty) '!$D63)</f>
        <v>0</v>
      </c>
      <c r="AA63" s="1033">
        <f>SUMIFS('1.DC_Muc tieu'!$F:$F,'1.DC_Muc tieu'!$D:$D,'1.BC_Muc tieu (ty) '!$D63)-SUMIFS('1.DC_Muc tieu'!$F:$F,'1.DC_Muc tieu'!$E:$E,'1.BC_Muc tieu (ty) '!$D63)</f>
        <v>0</v>
      </c>
      <c r="AB63" s="1033">
        <f>SUMIFS('1.DC_Muc tieu'!$F:$F,'1.DC_Muc tieu'!$D:$D,'1.BC_Muc tieu (ty) '!$D63)-SUMIFS('1.DC_Muc tieu'!$F:$F,'1.DC_Muc tieu'!$E:$E,'1.BC_Muc tieu (ty) '!$D63)</f>
        <v>0</v>
      </c>
      <c r="AC63" s="1033">
        <f>SUMIFS('1.DC_Muc tieu'!$F:$F,'1.DC_Muc tieu'!$D:$D,'1.BC_Muc tieu (ty) '!$D63)-SUMIFS('1.DC_Muc tieu'!$F:$F,'1.DC_Muc tieu'!$E:$E,'1.BC_Muc tieu (ty) '!$D63)</f>
        <v>0</v>
      </c>
      <c r="AD63" s="1033">
        <f>SUMIFS('1.DC_Muc tieu'!$F:$F,'1.DC_Muc tieu'!$D:$D,'1.BC_Muc tieu (ty) '!$D63)-SUMIFS('1.DC_Muc tieu'!$F:$F,'1.DC_Muc tieu'!$E:$E,'1.BC_Muc tieu (ty) '!$D63)</f>
        <v>0</v>
      </c>
      <c r="AE63" s="1033">
        <f t="shared" si="29"/>
        <v>0</v>
      </c>
      <c r="AF63" s="1033">
        <f t="shared" si="63"/>
        <v>0</v>
      </c>
      <c r="AG63" s="1033">
        <f t="shared" si="64"/>
        <v>0</v>
      </c>
      <c r="AH63" s="1033">
        <f t="shared" si="65"/>
        <v>0</v>
      </c>
      <c r="AI63" s="1033">
        <f t="shared" si="66"/>
        <v>0</v>
      </c>
      <c r="AJ63" s="1033">
        <f t="shared" si="67"/>
        <v>0</v>
      </c>
      <c r="AK63" s="1033">
        <f t="shared" si="68"/>
        <v>0</v>
      </c>
      <c r="AL63" s="1033">
        <f t="shared" si="69"/>
        <v>0</v>
      </c>
    </row>
    <row r="64" spans="1:39" s="896" customFormat="1" x14ac:dyDescent="0.25">
      <c r="A64" s="1014" t="str">
        <f t="shared" si="70"/>
        <v>hide</v>
      </c>
      <c r="B64" s="994" t="s">
        <v>50</v>
      </c>
      <c r="C64" s="993" t="s">
        <v>72</v>
      </c>
      <c r="D64" s="991" t="s">
        <v>359</v>
      </c>
      <c r="E64" s="992">
        <f>'1.BC_Ra Soat (ty) '!BS68</f>
        <v>0</v>
      </c>
      <c r="F64" s="992">
        <f>'1.BC_Ra Soat (ty) '!BX68</f>
        <v>0</v>
      </c>
      <c r="G64" s="1032">
        <f>'1.BC_Ra Soat (ty) '!CC68</f>
        <v>0</v>
      </c>
      <c r="H64" s="1032">
        <f>'1.BC_Ra Soat (ty) '!CH68</f>
        <v>0</v>
      </c>
      <c r="I64" s="1032">
        <f>'1.BC_Ra Soat (ty) '!CM68</f>
        <v>0</v>
      </c>
      <c r="J64" s="1033">
        <f t="shared" si="26"/>
        <v>0</v>
      </c>
      <c r="K64" s="1033">
        <f>'1.BC_Ra Soat (ty) '!DG68</f>
        <v>0</v>
      </c>
      <c r="L64" s="1032">
        <f>'1.BC_Ra Soat (ty) '!BT68</f>
        <v>0</v>
      </c>
      <c r="M64" s="1032">
        <f>'1.BC_Ra Soat (ty) '!BY68</f>
        <v>0</v>
      </c>
      <c r="N64" s="1032">
        <f>'1.BC_Ra Soat (ty) '!CD68</f>
        <v>0</v>
      </c>
      <c r="O64" s="1032">
        <f>'1.BC_Ra Soat (ty) '!CI68</f>
        <v>0</v>
      </c>
      <c r="P64" s="1032">
        <f>'1.BC_Ra Soat (ty) '!CN68</f>
        <v>0</v>
      </c>
      <c r="Q64" s="1033">
        <f t="shared" si="27"/>
        <v>0</v>
      </c>
      <c r="R64" s="1033">
        <f>'1.BC_Ra Soat (ty) '!DH68</f>
        <v>0</v>
      </c>
      <c r="S64" s="1032">
        <f>'1.BC_Ra Soat (ty) '!BU68</f>
        <v>0</v>
      </c>
      <c r="T64" s="1032">
        <f>'1.BC_Ra Soat (ty) '!BZ68</f>
        <v>0</v>
      </c>
      <c r="U64" s="1032">
        <f>'1.BC_Ra Soat (ty) '!CE68</f>
        <v>0</v>
      </c>
      <c r="V64" s="1032">
        <f>'1.BC_Ra Soat (ty) '!CJ68</f>
        <v>0</v>
      </c>
      <c r="W64" s="1032">
        <f>'1.BC_Ra Soat (ty) '!CO68</f>
        <v>0</v>
      </c>
      <c r="X64" s="1032">
        <f t="shared" si="28"/>
        <v>0</v>
      </c>
      <c r="Y64" s="1032">
        <f>'1.BC_Ra Soat (ty) '!DI68</f>
        <v>0</v>
      </c>
      <c r="Z64" s="1033">
        <f>SUMIFS('1.DC_Muc tieu'!$F:$F,'1.DC_Muc tieu'!$D:$D,'1.BC_Muc tieu (ty) '!$D64)-SUMIFS('1.DC_Muc tieu'!$F:$F,'1.DC_Muc tieu'!$E:$E,'1.BC_Muc tieu (ty) '!$D64)</f>
        <v>0</v>
      </c>
      <c r="AA64" s="1033">
        <f>SUMIFS('1.DC_Muc tieu'!$F:$F,'1.DC_Muc tieu'!$D:$D,'1.BC_Muc tieu (ty) '!$D64)-SUMIFS('1.DC_Muc tieu'!$F:$F,'1.DC_Muc tieu'!$E:$E,'1.BC_Muc tieu (ty) '!$D64)</f>
        <v>0</v>
      </c>
      <c r="AB64" s="1033">
        <f>SUMIFS('1.DC_Muc tieu'!$F:$F,'1.DC_Muc tieu'!$D:$D,'1.BC_Muc tieu (ty) '!$D64)-SUMIFS('1.DC_Muc tieu'!$F:$F,'1.DC_Muc tieu'!$E:$E,'1.BC_Muc tieu (ty) '!$D64)</f>
        <v>0</v>
      </c>
      <c r="AC64" s="1033">
        <f>SUMIFS('1.DC_Muc tieu'!$F:$F,'1.DC_Muc tieu'!$D:$D,'1.BC_Muc tieu (ty) '!$D64)-SUMIFS('1.DC_Muc tieu'!$F:$F,'1.DC_Muc tieu'!$E:$E,'1.BC_Muc tieu (ty) '!$D64)</f>
        <v>0</v>
      </c>
      <c r="AD64" s="1033">
        <f>SUMIFS('1.DC_Muc tieu'!$F:$F,'1.DC_Muc tieu'!$D:$D,'1.BC_Muc tieu (ty) '!$D64)-SUMIFS('1.DC_Muc tieu'!$F:$F,'1.DC_Muc tieu'!$E:$E,'1.BC_Muc tieu (ty) '!$D64)</f>
        <v>0</v>
      </c>
      <c r="AE64" s="1033">
        <f t="shared" si="29"/>
        <v>0</v>
      </c>
      <c r="AF64" s="1033">
        <f t="shared" si="63"/>
        <v>0</v>
      </c>
      <c r="AG64" s="1033">
        <f t="shared" si="64"/>
        <v>0</v>
      </c>
      <c r="AH64" s="1033">
        <f t="shared" si="65"/>
        <v>0</v>
      </c>
      <c r="AI64" s="1033">
        <f t="shared" si="66"/>
        <v>0</v>
      </c>
      <c r="AJ64" s="1033">
        <f t="shared" si="67"/>
        <v>0</v>
      </c>
      <c r="AK64" s="1033">
        <f t="shared" si="68"/>
        <v>0</v>
      </c>
      <c r="AL64" s="1033">
        <f t="shared" si="69"/>
        <v>0</v>
      </c>
    </row>
    <row r="65" spans="1:39" s="986" customFormat="1" x14ac:dyDescent="0.25">
      <c r="A65" s="1014">
        <f t="shared" si="70"/>
        <v>1</v>
      </c>
      <c r="B65" s="987" t="s">
        <v>33</v>
      </c>
      <c r="C65" s="988" t="s">
        <v>73</v>
      </c>
      <c r="D65" s="989" t="s">
        <v>361</v>
      </c>
      <c r="E65" s="990">
        <f>E66+E69+E72</f>
        <v>71.423302014000001</v>
      </c>
      <c r="F65" s="990">
        <f t="shared" ref="F65:AL65" si="71">F66+F69+F72</f>
        <v>24.222985919999999</v>
      </c>
      <c r="G65" s="1032">
        <f>'1.BC_Ra Soat (ty) '!CC69</f>
        <v>11.845734922</v>
      </c>
      <c r="H65" s="1032">
        <f>'1.BC_Ra Soat (ty) '!CH69</f>
        <v>16.636991667</v>
      </c>
      <c r="I65" s="1032">
        <f>'1.BC_Ra Soat (ty) '!CM69</f>
        <v>0</v>
      </c>
      <c r="J65" s="1032">
        <f t="shared" si="71"/>
        <v>124.129014523</v>
      </c>
      <c r="K65" s="1032">
        <f t="shared" si="71"/>
        <v>124.129014523</v>
      </c>
      <c r="L65" s="1032">
        <f>'1.BC_Ra Soat (ty) '!BT69</f>
        <v>68.709711184</v>
      </c>
      <c r="M65" s="1032">
        <f>'1.BC_Ra Soat (ty) '!BY69</f>
        <v>37.006309422999998</v>
      </c>
      <c r="N65" s="1032">
        <f>'1.BC_Ra Soat (ty) '!CD69</f>
        <v>6.1748661709999997</v>
      </c>
      <c r="O65" s="1032">
        <f>'1.BC_Ra Soat (ty) '!CI69</f>
        <v>15.356666667000001</v>
      </c>
      <c r="P65" s="1032">
        <f>'1.BC_Ra Soat (ty) '!CN69</f>
        <v>0</v>
      </c>
      <c r="Q65" s="1032">
        <f t="shared" si="71"/>
        <v>127.24755344499998</v>
      </c>
      <c r="R65" s="1032">
        <f t="shared" si="71"/>
        <v>127.24755344499998</v>
      </c>
      <c r="S65" s="1032">
        <f>'1.BC_Ra Soat (ty) '!BU69</f>
        <v>67.636107296000006</v>
      </c>
      <c r="T65" s="1032">
        <f>'1.BC_Ra Soat (ty) '!BZ69</f>
        <v>38.373582149999997</v>
      </c>
      <c r="U65" s="1032">
        <f>'1.BC_Ra Soat (ty) '!CE69</f>
        <v>4.2935968369999999</v>
      </c>
      <c r="V65" s="1032">
        <f>'1.BC_Ra Soat (ty) '!CJ69</f>
        <v>14.676666666999999</v>
      </c>
      <c r="W65" s="1032">
        <f>'1.BC_Ra Soat (ty) '!CO69</f>
        <v>0</v>
      </c>
      <c r="X65" s="1032">
        <f t="shared" si="28"/>
        <v>124.97995295000001</v>
      </c>
      <c r="Y65" s="1032">
        <f>'1.BC_Ra Soat (ty) '!DI69</f>
        <v>124.97995295000001</v>
      </c>
      <c r="Z65" s="1032">
        <f t="shared" si="71"/>
        <v>0</v>
      </c>
      <c r="AA65" s="1032">
        <f t="shared" si="71"/>
        <v>0</v>
      </c>
      <c r="AB65" s="1032">
        <f t="shared" si="71"/>
        <v>0</v>
      </c>
      <c r="AC65" s="1032">
        <f t="shared" si="71"/>
        <v>0</v>
      </c>
      <c r="AD65" s="1032">
        <f t="shared" si="71"/>
        <v>0</v>
      </c>
      <c r="AE65" s="1032">
        <f t="shared" si="71"/>
        <v>0</v>
      </c>
      <c r="AF65" s="1032">
        <f t="shared" si="71"/>
        <v>67.636107296000006</v>
      </c>
      <c r="AG65" s="1032">
        <f t="shared" si="71"/>
        <v>38.373582149999997</v>
      </c>
      <c r="AH65" s="1032">
        <f t="shared" si="71"/>
        <v>4.2935968369999999</v>
      </c>
      <c r="AI65" s="1032">
        <f t="shared" si="71"/>
        <v>14.676666666999999</v>
      </c>
      <c r="AJ65" s="1032">
        <f t="shared" si="71"/>
        <v>0</v>
      </c>
      <c r="AK65" s="1032">
        <f t="shared" si="71"/>
        <v>124.97995294999998</v>
      </c>
      <c r="AL65" s="1081">
        <f t="shared" si="71"/>
        <v>124.97995294999998</v>
      </c>
      <c r="AM65" s="985"/>
    </row>
    <row r="66" spans="1:39" s="896" customFormat="1" x14ac:dyDescent="0.25">
      <c r="A66" s="1014">
        <f t="shared" si="70"/>
        <v>1</v>
      </c>
      <c r="B66" s="994" t="s">
        <v>29</v>
      </c>
      <c r="C66" s="993" t="s">
        <v>74</v>
      </c>
      <c r="D66" s="991" t="s">
        <v>362</v>
      </c>
      <c r="E66" s="992">
        <f>E68+E67</f>
        <v>71.423302014000001</v>
      </c>
      <c r="F66" s="992">
        <f t="shared" ref="F66:AL66" si="72">F68+F67</f>
        <v>24.222985919999999</v>
      </c>
      <c r="G66" s="992">
        <f t="shared" si="72"/>
        <v>11.845734922</v>
      </c>
      <c r="H66" s="992">
        <f t="shared" si="72"/>
        <v>16.636991667</v>
      </c>
      <c r="I66" s="992">
        <f t="shared" si="72"/>
        <v>0</v>
      </c>
      <c r="J66" s="992">
        <f t="shared" si="72"/>
        <v>124.129014523</v>
      </c>
      <c r="K66" s="992">
        <f t="shared" si="72"/>
        <v>124.129014523</v>
      </c>
      <c r="L66" s="992">
        <f t="shared" si="72"/>
        <v>68.709711184000014</v>
      </c>
      <c r="M66" s="992">
        <f t="shared" si="72"/>
        <v>37.006309422999998</v>
      </c>
      <c r="N66" s="992">
        <f t="shared" si="72"/>
        <v>6.1748661710000006</v>
      </c>
      <c r="O66" s="992">
        <f t="shared" si="72"/>
        <v>15.356666667000001</v>
      </c>
      <c r="P66" s="992">
        <f t="shared" si="72"/>
        <v>0</v>
      </c>
      <c r="Q66" s="992">
        <f t="shared" si="72"/>
        <v>127.24755344499998</v>
      </c>
      <c r="R66" s="992">
        <f t="shared" si="72"/>
        <v>127.24755344499998</v>
      </c>
      <c r="S66" s="992">
        <f t="shared" si="72"/>
        <v>67.636107296000006</v>
      </c>
      <c r="T66" s="992">
        <f t="shared" si="72"/>
        <v>38.373582149999997</v>
      </c>
      <c r="U66" s="992">
        <f t="shared" si="72"/>
        <v>4.2935968369999999</v>
      </c>
      <c r="V66" s="992">
        <f t="shared" si="72"/>
        <v>14.676666666999999</v>
      </c>
      <c r="W66" s="992">
        <f t="shared" si="72"/>
        <v>0</v>
      </c>
      <c r="X66" s="992">
        <f t="shared" si="72"/>
        <v>124.97995294999998</v>
      </c>
      <c r="Y66" s="992">
        <f t="shared" si="72"/>
        <v>124.97995294999998</v>
      </c>
      <c r="Z66" s="992">
        <f t="shared" si="72"/>
        <v>0</v>
      </c>
      <c r="AA66" s="992">
        <f t="shared" si="72"/>
        <v>0</v>
      </c>
      <c r="AB66" s="992">
        <f t="shared" si="72"/>
        <v>0</v>
      </c>
      <c r="AC66" s="992">
        <f t="shared" si="72"/>
        <v>0</v>
      </c>
      <c r="AD66" s="992">
        <f t="shared" si="72"/>
        <v>0</v>
      </c>
      <c r="AE66" s="992">
        <f t="shared" si="72"/>
        <v>0</v>
      </c>
      <c r="AF66" s="992">
        <f t="shared" si="72"/>
        <v>67.636107296000006</v>
      </c>
      <c r="AG66" s="992">
        <f t="shared" si="72"/>
        <v>38.373582149999997</v>
      </c>
      <c r="AH66" s="992">
        <f t="shared" si="72"/>
        <v>4.2935968369999999</v>
      </c>
      <c r="AI66" s="992">
        <f t="shared" si="72"/>
        <v>14.676666666999999</v>
      </c>
      <c r="AJ66" s="992">
        <f t="shared" si="72"/>
        <v>0</v>
      </c>
      <c r="AK66" s="992">
        <f t="shared" si="72"/>
        <v>124.97995294999998</v>
      </c>
      <c r="AL66" s="1082">
        <f t="shared" si="72"/>
        <v>124.97995294999998</v>
      </c>
      <c r="AM66" s="996"/>
    </row>
    <row r="67" spans="1:39" s="1000" customFormat="1" x14ac:dyDescent="0.25">
      <c r="A67" s="1039">
        <f t="shared" si="70"/>
        <v>1</v>
      </c>
      <c r="B67" s="997" t="s">
        <v>75</v>
      </c>
      <c r="C67" s="998" t="s">
        <v>76</v>
      </c>
      <c r="D67" s="999" t="s">
        <v>364</v>
      </c>
      <c r="E67" s="1031">
        <f>'1.BC_Ra Soat (ty) '!BS71</f>
        <v>105.661195764</v>
      </c>
      <c r="F67" s="1031">
        <f>'1.BC_Ra Soat (ty) '!BX71</f>
        <v>25.215497996</v>
      </c>
      <c r="G67" s="1034">
        <f>'1.BC_Ra Soat (ty) '!CC71</f>
        <v>18.567043278</v>
      </c>
      <c r="H67" s="1034">
        <f>'1.BC_Ra Soat (ty) '!CH71</f>
        <v>17.654900000000001</v>
      </c>
      <c r="I67" s="1034">
        <f>'1.BC_Ra Soat (ty) '!CM71</f>
        <v>0</v>
      </c>
      <c r="J67" s="1034">
        <f t="shared" si="26"/>
        <v>167.09863703799999</v>
      </c>
      <c r="K67" s="1034">
        <f>'1.BC_Ra Soat (ty) '!DG71</f>
        <v>167.09863703799999</v>
      </c>
      <c r="L67" s="1034">
        <f>'1.BC_Ra Soat (ty) '!BT71</f>
        <v>116.93899320600001</v>
      </c>
      <c r="M67" s="1034">
        <f>'1.BC_Ra Soat (ty) '!BY71</f>
        <v>41.652349848</v>
      </c>
      <c r="N67" s="1034">
        <f>'1.BC_Ra Soat (ty) '!CD71</f>
        <v>11.287616005</v>
      </c>
      <c r="O67" s="1034">
        <f>'1.BC_Ra Soat (ty) '!CI71</f>
        <v>17</v>
      </c>
      <c r="P67" s="1034">
        <f>'1.BC_Ra Soat (ty) '!CN71</f>
        <v>0</v>
      </c>
      <c r="Q67" s="1034">
        <f t="shared" si="27"/>
        <v>186.87895905899998</v>
      </c>
      <c r="R67" s="1034">
        <f>'1.BC_Ra Soat (ty) '!DH71</f>
        <v>186.87895905899998</v>
      </c>
      <c r="S67" s="1034">
        <f>'1.BC_Ra Soat (ty) '!BU71</f>
        <v>116.93899320600001</v>
      </c>
      <c r="T67" s="1034">
        <f>'1.BC_Ra Soat (ty) '!BZ71</f>
        <v>43.019622575</v>
      </c>
      <c r="U67" s="1034">
        <f>'1.BC_Ra Soat (ty) '!CE71</f>
        <v>11.287616005</v>
      </c>
      <c r="V67" s="1034">
        <f>'1.BC_Ra Soat (ty) '!CJ71</f>
        <v>17</v>
      </c>
      <c r="W67" s="1034">
        <f>'1.BC_Ra Soat (ty) '!CO71</f>
        <v>0</v>
      </c>
      <c r="X67" s="1034">
        <f t="shared" si="28"/>
        <v>188.24623178599998</v>
      </c>
      <c r="Y67" s="1034">
        <f>'1.BC_Ra Soat (ty) '!DI71</f>
        <v>188.24623178599998</v>
      </c>
      <c r="Z67" s="1034">
        <f>SUMIFS('1.DC_Muc tieu'!$F:$F,'1.DC_Muc tieu'!$D:$D,'1.BC_Muc tieu (ty) '!$D67)-SUMIFS('1.DC_Muc tieu'!$F:$F,'1.DC_Muc tieu'!$E:$E,'1.BC_Muc tieu (ty) '!$D67)</f>
        <v>0</v>
      </c>
      <c r="AA67" s="1034">
        <f>SUMIFS('1.DC_Muc tieu'!$F:$F,'1.DC_Muc tieu'!$D:$D,'1.BC_Muc tieu (ty) '!$D67)-SUMIFS('1.DC_Muc tieu'!$F:$F,'1.DC_Muc tieu'!$E:$E,'1.BC_Muc tieu (ty) '!$D67)</f>
        <v>0</v>
      </c>
      <c r="AB67" s="1034">
        <f>SUMIFS('1.DC_Muc tieu'!$F:$F,'1.DC_Muc tieu'!$D:$D,'1.BC_Muc tieu (ty) '!$D67)-SUMIFS('1.DC_Muc tieu'!$F:$F,'1.DC_Muc tieu'!$E:$E,'1.BC_Muc tieu (ty) '!$D67)</f>
        <v>0</v>
      </c>
      <c r="AC67" s="1034">
        <f>SUMIFS('1.DC_Muc tieu'!$F:$F,'1.DC_Muc tieu'!$D:$D,'1.BC_Muc tieu (ty) '!$D67)-SUMIFS('1.DC_Muc tieu'!$F:$F,'1.DC_Muc tieu'!$E:$E,'1.BC_Muc tieu (ty) '!$D67)</f>
        <v>0</v>
      </c>
      <c r="AD67" s="1034">
        <f>SUMIFS('1.DC_Muc tieu'!$F:$F,'1.DC_Muc tieu'!$D:$D,'1.BC_Muc tieu (ty) '!$D67)-SUMIFS('1.DC_Muc tieu'!$F:$F,'1.DC_Muc tieu'!$E:$E,'1.BC_Muc tieu (ty) '!$D67)</f>
        <v>0</v>
      </c>
      <c r="AE67" s="1034">
        <f t="shared" si="29"/>
        <v>0</v>
      </c>
      <c r="AF67" s="1034">
        <f t="shared" ref="AF67:AF68" si="73">S67+Z67</f>
        <v>116.93899320600001</v>
      </c>
      <c r="AG67" s="1034">
        <f t="shared" ref="AG67:AG68" si="74">T67+AA67</f>
        <v>43.019622575</v>
      </c>
      <c r="AH67" s="1034">
        <f t="shared" ref="AH67:AH68" si="75">U67+AB67</f>
        <v>11.287616005</v>
      </c>
      <c r="AI67" s="1034">
        <f t="shared" ref="AI67:AI68" si="76">V67+AC67</f>
        <v>17</v>
      </c>
      <c r="AJ67" s="1034">
        <f t="shared" ref="AJ67:AJ68" si="77">W67+AD67</f>
        <v>0</v>
      </c>
      <c r="AK67" s="1033">
        <f t="shared" ref="AK67:AK91" si="78">AE67+X67</f>
        <v>188.24623178599998</v>
      </c>
      <c r="AL67" s="1083">
        <f t="shared" ref="AL67:AL74" si="79">Y67+AE67</f>
        <v>188.24623178599998</v>
      </c>
    </row>
    <row r="68" spans="1:39" s="1000" customFormat="1" x14ac:dyDescent="0.25">
      <c r="A68" s="1039">
        <f t="shared" si="70"/>
        <v>1</v>
      </c>
      <c r="B68" s="997" t="s">
        <v>75</v>
      </c>
      <c r="C68" s="998" t="s">
        <v>77</v>
      </c>
      <c r="D68" s="999" t="s">
        <v>366</v>
      </c>
      <c r="E68" s="1031">
        <f>'1.BC_Ra Soat (ty) '!BS72</f>
        <v>-34.237893749999998</v>
      </c>
      <c r="F68" s="1031">
        <f>'1.BC_Ra Soat (ty) '!BX72</f>
        <v>-0.99251207600000002</v>
      </c>
      <c r="G68" s="1034">
        <f>'1.BC_Ra Soat (ty) '!CC72</f>
        <v>-6.7213083559999998</v>
      </c>
      <c r="H68" s="1034">
        <f>'1.BC_Ra Soat (ty) '!CH72</f>
        <v>-1.0179083330000001</v>
      </c>
      <c r="I68" s="1034">
        <f>'1.BC_Ra Soat (ty) '!CM72</f>
        <v>0</v>
      </c>
      <c r="J68" s="1034">
        <f t="shared" si="26"/>
        <v>-42.969622514999998</v>
      </c>
      <c r="K68" s="1034">
        <f>'1.BC_Ra Soat (ty) '!DG72</f>
        <v>-42.969622514999998</v>
      </c>
      <c r="L68" s="1034">
        <f>'1.BC_Ra Soat (ty) '!BT72</f>
        <v>-48.229282022</v>
      </c>
      <c r="M68" s="1034">
        <f>'1.BC_Ra Soat (ty) '!BY72</f>
        <v>-4.6460404249999998</v>
      </c>
      <c r="N68" s="1034">
        <f>'1.BC_Ra Soat (ty) '!CD72</f>
        <v>-5.1127498339999997</v>
      </c>
      <c r="O68" s="1034">
        <f>'1.BC_Ra Soat (ty) '!CI72</f>
        <v>-1.643333333</v>
      </c>
      <c r="P68" s="1034">
        <f>'1.BC_Ra Soat (ty) '!CN72</f>
        <v>0</v>
      </c>
      <c r="Q68" s="1034">
        <f t="shared" si="27"/>
        <v>-59.631405614000002</v>
      </c>
      <c r="R68" s="1034">
        <f>'1.BC_Ra Soat (ty) '!DH72</f>
        <v>-59.631405614000002</v>
      </c>
      <c r="S68" s="1034">
        <f>'1.BC_Ra Soat (ty) '!BU72</f>
        <v>-49.302885910000001</v>
      </c>
      <c r="T68" s="1034">
        <f>'1.BC_Ra Soat (ty) '!BZ72</f>
        <v>-4.6460404249999998</v>
      </c>
      <c r="U68" s="1034">
        <f>'1.BC_Ra Soat (ty) '!CE72</f>
        <v>-6.9940191680000003</v>
      </c>
      <c r="V68" s="1034">
        <f>'1.BC_Ra Soat (ty) '!CJ72</f>
        <v>-2.3233333329999999</v>
      </c>
      <c r="W68" s="1034">
        <f>'1.BC_Ra Soat (ty) '!CO72</f>
        <v>0</v>
      </c>
      <c r="X68" s="1034">
        <f t="shared" si="28"/>
        <v>-63.266278836000005</v>
      </c>
      <c r="Y68" s="1034">
        <f>'1.BC_Ra Soat (ty) '!DI72</f>
        <v>-63.266278836000005</v>
      </c>
      <c r="Z68" s="1034">
        <f>SUMIFS('1.DC_Muc tieu'!$F:$F,'1.DC_Muc tieu'!$D:$D,'1.BC_Muc tieu (ty) '!$D68)-SUMIFS('1.DC_Muc tieu'!$F:$F,'1.DC_Muc tieu'!$E:$E,'1.BC_Muc tieu (ty) '!$D68)</f>
        <v>0</v>
      </c>
      <c r="AA68" s="1034">
        <f>SUMIFS('1.DC_Muc tieu'!$F:$F,'1.DC_Muc tieu'!$D:$D,'1.BC_Muc tieu (ty) '!$D68)-SUMIFS('1.DC_Muc tieu'!$F:$F,'1.DC_Muc tieu'!$E:$E,'1.BC_Muc tieu (ty) '!$D68)</f>
        <v>0</v>
      </c>
      <c r="AB68" s="1034">
        <f>SUMIFS('1.DC_Muc tieu'!$F:$F,'1.DC_Muc tieu'!$D:$D,'1.BC_Muc tieu (ty) '!$D68)-SUMIFS('1.DC_Muc tieu'!$F:$F,'1.DC_Muc tieu'!$E:$E,'1.BC_Muc tieu (ty) '!$D68)</f>
        <v>0</v>
      </c>
      <c r="AC68" s="1034">
        <f>SUMIFS('1.DC_Muc tieu'!$F:$F,'1.DC_Muc tieu'!$D:$D,'1.BC_Muc tieu (ty) '!$D68)-SUMIFS('1.DC_Muc tieu'!$F:$F,'1.DC_Muc tieu'!$E:$E,'1.BC_Muc tieu (ty) '!$D68)</f>
        <v>0</v>
      </c>
      <c r="AD68" s="1034">
        <f>SUMIFS('1.DC_Muc tieu'!$F:$F,'1.DC_Muc tieu'!$D:$D,'1.BC_Muc tieu (ty) '!$D68)-SUMIFS('1.DC_Muc tieu'!$F:$F,'1.DC_Muc tieu'!$E:$E,'1.BC_Muc tieu (ty) '!$D68)</f>
        <v>0</v>
      </c>
      <c r="AE68" s="1034">
        <f t="shared" si="29"/>
        <v>0</v>
      </c>
      <c r="AF68" s="1034">
        <f t="shared" si="73"/>
        <v>-49.302885910000001</v>
      </c>
      <c r="AG68" s="1034">
        <f t="shared" si="74"/>
        <v>-4.6460404249999998</v>
      </c>
      <c r="AH68" s="1034">
        <f t="shared" si="75"/>
        <v>-6.9940191680000003</v>
      </c>
      <c r="AI68" s="1034">
        <f t="shared" si="76"/>
        <v>-2.3233333329999999</v>
      </c>
      <c r="AJ68" s="1034">
        <f t="shared" si="77"/>
        <v>0</v>
      </c>
      <c r="AK68" s="1033">
        <f t="shared" si="78"/>
        <v>-63.266278836000005</v>
      </c>
      <c r="AL68" s="1083">
        <f t="shared" si="79"/>
        <v>-63.266278836000005</v>
      </c>
    </row>
    <row r="69" spans="1:39" s="896" customFormat="1" x14ac:dyDescent="0.25">
      <c r="A69" s="1014" t="str">
        <f t="shared" si="70"/>
        <v>hide</v>
      </c>
      <c r="B69" s="994" t="s">
        <v>31</v>
      </c>
      <c r="C69" s="993" t="s">
        <v>78</v>
      </c>
      <c r="D69" s="991" t="s">
        <v>367</v>
      </c>
      <c r="E69" s="992">
        <f>E71+E70</f>
        <v>0</v>
      </c>
      <c r="F69" s="992">
        <f t="shared" ref="F69:AL69" si="80">F71+F70</f>
        <v>0</v>
      </c>
      <c r="G69" s="992">
        <f t="shared" si="80"/>
        <v>0</v>
      </c>
      <c r="H69" s="992">
        <f t="shared" si="80"/>
        <v>0</v>
      </c>
      <c r="I69" s="992">
        <f t="shared" si="80"/>
        <v>0</v>
      </c>
      <c r="J69" s="992">
        <f t="shared" si="80"/>
        <v>0</v>
      </c>
      <c r="K69" s="992">
        <f t="shared" si="80"/>
        <v>0</v>
      </c>
      <c r="L69" s="992">
        <f t="shared" si="80"/>
        <v>0</v>
      </c>
      <c r="M69" s="992">
        <f t="shared" si="80"/>
        <v>0</v>
      </c>
      <c r="N69" s="992">
        <f t="shared" si="80"/>
        <v>0</v>
      </c>
      <c r="O69" s="992">
        <f t="shared" si="80"/>
        <v>0</v>
      </c>
      <c r="P69" s="992">
        <f t="shared" si="80"/>
        <v>0</v>
      </c>
      <c r="Q69" s="992">
        <f t="shared" si="80"/>
        <v>0</v>
      </c>
      <c r="R69" s="992">
        <f t="shared" si="80"/>
        <v>0</v>
      </c>
      <c r="S69" s="992">
        <f t="shared" si="80"/>
        <v>0</v>
      </c>
      <c r="T69" s="992">
        <f t="shared" si="80"/>
        <v>0</v>
      </c>
      <c r="U69" s="992">
        <f t="shared" si="80"/>
        <v>0</v>
      </c>
      <c r="V69" s="992">
        <f t="shared" si="80"/>
        <v>0</v>
      </c>
      <c r="W69" s="992">
        <f t="shared" si="80"/>
        <v>0</v>
      </c>
      <c r="X69" s="992">
        <f t="shared" si="80"/>
        <v>0</v>
      </c>
      <c r="Y69" s="992">
        <f t="shared" si="80"/>
        <v>0</v>
      </c>
      <c r="Z69" s="992">
        <f t="shared" si="80"/>
        <v>0</v>
      </c>
      <c r="AA69" s="992">
        <f t="shared" si="80"/>
        <v>0</v>
      </c>
      <c r="AB69" s="992">
        <f t="shared" si="80"/>
        <v>0</v>
      </c>
      <c r="AC69" s="992">
        <f t="shared" si="80"/>
        <v>0</v>
      </c>
      <c r="AD69" s="992">
        <f t="shared" si="80"/>
        <v>0</v>
      </c>
      <c r="AE69" s="992">
        <f t="shared" si="80"/>
        <v>0</v>
      </c>
      <c r="AF69" s="992">
        <f t="shared" si="80"/>
        <v>0</v>
      </c>
      <c r="AG69" s="992">
        <f t="shared" si="80"/>
        <v>0</v>
      </c>
      <c r="AH69" s="992">
        <f t="shared" si="80"/>
        <v>0</v>
      </c>
      <c r="AI69" s="992">
        <f t="shared" si="80"/>
        <v>0</v>
      </c>
      <c r="AJ69" s="992">
        <f t="shared" si="80"/>
        <v>0</v>
      </c>
      <c r="AK69" s="992">
        <f t="shared" si="80"/>
        <v>0</v>
      </c>
      <c r="AL69" s="992">
        <f t="shared" si="80"/>
        <v>0</v>
      </c>
      <c r="AM69" s="996"/>
    </row>
    <row r="70" spans="1:39" s="1000" customFormat="1" x14ac:dyDescent="0.25">
      <c r="A70" s="1039" t="str">
        <f t="shared" si="70"/>
        <v>hide</v>
      </c>
      <c r="B70" s="997" t="s">
        <v>75</v>
      </c>
      <c r="C70" s="998" t="s">
        <v>76</v>
      </c>
      <c r="D70" s="999" t="s">
        <v>368</v>
      </c>
      <c r="E70" s="1031">
        <f>'1.BC_Ra Soat (ty) '!BS74</f>
        <v>0</v>
      </c>
      <c r="F70" s="1031">
        <f>'1.BC_Ra Soat (ty) '!BX74</f>
        <v>0</v>
      </c>
      <c r="G70" s="1034">
        <f>'1.BC_Ra Soat (ty) '!CC74</f>
        <v>0</v>
      </c>
      <c r="H70" s="1034">
        <f>'1.BC_Ra Soat (ty) '!CH74</f>
        <v>0</v>
      </c>
      <c r="I70" s="1034">
        <f>'1.BC_Ra Soat (ty) '!CM74</f>
        <v>0</v>
      </c>
      <c r="J70" s="1034">
        <f t="shared" si="26"/>
        <v>0</v>
      </c>
      <c r="K70" s="1034">
        <f>'1.BC_Ra Soat (ty) '!DG74</f>
        <v>0</v>
      </c>
      <c r="L70" s="1034">
        <f>'1.BC_Ra Soat (ty) '!BT74</f>
        <v>0</v>
      </c>
      <c r="M70" s="1034">
        <f>'1.BC_Ra Soat (ty) '!BY74</f>
        <v>0</v>
      </c>
      <c r="N70" s="1034">
        <f>'1.BC_Ra Soat (ty) '!CD74</f>
        <v>0</v>
      </c>
      <c r="O70" s="1034">
        <f>'1.BC_Ra Soat (ty) '!CI74</f>
        <v>0</v>
      </c>
      <c r="P70" s="1034">
        <f>'1.BC_Ra Soat (ty) '!CN74</f>
        <v>0</v>
      </c>
      <c r="Q70" s="1034">
        <f t="shared" si="27"/>
        <v>0</v>
      </c>
      <c r="R70" s="1034">
        <f>'1.BC_Ra Soat (ty) '!DH74</f>
        <v>0</v>
      </c>
      <c r="S70" s="1034">
        <f>'1.BC_Ra Soat (ty) '!BU74</f>
        <v>0</v>
      </c>
      <c r="T70" s="1034">
        <f>'1.BC_Ra Soat (ty) '!BZ74</f>
        <v>0</v>
      </c>
      <c r="U70" s="1034">
        <f>'1.BC_Ra Soat (ty) '!CE74</f>
        <v>0</v>
      </c>
      <c r="V70" s="1034">
        <f>'1.BC_Ra Soat (ty) '!CJ74</f>
        <v>0</v>
      </c>
      <c r="W70" s="1034">
        <f>'1.BC_Ra Soat (ty) '!CO74</f>
        <v>0</v>
      </c>
      <c r="X70" s="1034">
        <f t="shared" si="28"/>
        <v>0</v>
      </c>
      <c r="Y70" s="1034">
        <f>'1.BC_Ra Soat (ty) '!DI74</f>
        <v>0</v>
      </c>
      <c r="Z70" s="1034">
        <f>SUMIFS('1.DC_Muc tieu'!$F:$F,'1.DC_Muc tieu'!$D:$D,'1.BC_Muc tieu (ty) '!$D70)-SUMIFS('1.DC_Muc tieu'!$F:$F,'1.DC_Muc tieu'!$E:$E,'1.BC_Muc tieu (ty) '!$D70)</f>
        <v>0</v>
      </c>
      <c r="AA70" s="1034">
        <f>SUMIFS('1.DC_Muc tieu'!$F:$F,'1.DC_Muc tieu'!$D:$D,'1.BC_Muc tieu (ty) '!$D70)-SUMIFS('1.DC_Muc tieu'!$F:$F,'1.DC_Muc tieu'!$E:$E,'1.BC_Muc tieu (ty) '!$D70)</f>
        <v>0</v>
      </c>
      <c r="AB70" s="1034">
        <f>SUMIFS('1.DC_Muc tieu'!$F:$F,'1.DC_Muc tieu'!$D:$D,'1.BC_Muc tieu (ty) '!$D70)-SUMIFS('1.DC_Muc tieu'!$F:$F,'1.DC_Muc tieu'!$E:$E,'1.BC_Muc tieu (ty) '!$D70)</f>
        <v>0</v>
      </c>
      <c r="AC70" s="1034">
        <f>SUMIFS('1.DC_Muc tieu'!$F:$F,'1.DC_Muc tieu'!$D:$D,'1.BC_Muc tieu (ty) '!$D70)-SUMIFS('1.DC_Muc tieu'!$F:$F,'1.DC_Muc tieu'!$E:$E,'1.BC_Muc tieu (ty) '!$D70)</f>
        <v>0</v>
      </c>
      <c r="AD70" s="1034">
        <f>SUMIFS('1.DC_Muc tieu'!$F:$F,'1.DC_Muc tieu'!$D:$D,'1.BC_Muc tieu (ty) '!$D70)-SUMIFS('1.DC_Muc tieu'!$F:$F,'1.DC_Muc tieu'!$E:$E,'1.BC_Muc tieu (ty) '!$D70)</f>
        <v>0</v>
      </c>
      <c r="AE70" s="1034">
        <f t="shared" si="29"/>
        <v>0</v>
      </c>
      <c r="AF70" s="1034">
        <f t="shared" ref="AF70:AF71" si="81">S70+Z70</f>
        <v>0</v>
      </c>
      <c r="AG70" s="1034">
        <f t="shared" ref="AG70:AG71" si="82">T70+AA70</f>
        <v>0</v>
      </c>
      <c r="AH70" s="1034">
        <f t="shared" ref="AH70:AH71" si="83">U70+AB70</f>
        <v>0</v>
      </c>
      <c r="AI70" s="1034">
        <f t="shared" ref="AI70:AI71" si="84">V70+AC70</f>
        <v>0</v>
      </c>
      <c r="AJ70" s="1034">
        <f t="shared" ref="AJ70:AJ71" si="85">W70+AD70</f>
        <v>0</v>
      </c>
      <c r="AK70" s="1033">
        <f t="shared" si="78"/>
        <v>0</v>
      </c>
      <c r="AL70" s="1034">
        <f t="shared" si="79"/>
        <v>0</v>
      </c>
    </row>
    <row r="71" spans="1:39" s="1000" customFormat="1" x14ac:dyDescent="0.25">
      <c r="A71" s="1039" t="str">
        <f t="shared" si="70"/>
        <v>hide</v>
      </c>
      <c r="B71" s="997" t="s">
        <v>75</v>
      </c>
      <c r="C71" s="998" t="s">
        <v>77</v>
      </c>
      <c r="D71" s="999" t="s">
        <v>369</v>
      </c>
      <c r="E71" s="1031">
        <f>'1.BC_Ra Soat (ty) '!BS75</f>
        <v>0</v>
      </c>
      <c r="F71" s="1031">
        <f>'1.BC_Ra Soat (ty) '!BX75</f>
        <v>0</v>
      </c>
      <c r="G71" s="1034">
        <f>'1.BC_Ra Soat (ty) '!CC75</f>
        <v>0</v>
      </c>
      <c r="H71" s="1034">
        <f>'1.BC_Ra Soat (ty) '!CH75</f>
        <v>0</v>
      </c>
      <c r="I71" s="1034">
        <f>'1.BC_Ra Soat (ty) '!CM75</f>
        <v>0</v>
      </c>
      <c r="J71" s="1034">
        <f t="shared" si="26"/>
        <v>0</v>
      </c>
      <c r="K71" s="1034">
        <f>'1.BC_Ra Soat (ty) '!DG75</f>
        <v>0</v>
      </c>
      <c r="L71" s="1034">
        <f>'1.BC_Ra Soat (ty) '!BT75</f>
        <v>0</v>
      </c>
      <c r="M71" s="1034">
        <f>'1.BC_Ra Soat (ty) '!BY75</f>
        <v>0</v>
      </c>
      <c r="N71" s="1034">
        <f>'1.BC_Ra Soat (ty) '!CD75</f>
        <v>0</v>
      </c>
      <c r="O71" s="1034">
        <f>'1.BC_Ra Soat (ty) '!CI75</f>
        <v>0</v>
      </c>
      <c r="P71" s="1034">
        <f>'1.BC_Ra Soat (ty) '!CN75</f>
        <v>0</v>
      </c>
      <c r="Q71" s="1034">
        <f t="shared" si="27"/>
        <v>0</v>
      </c>
      <c r="R71" s="1034">
        <f>'1.BC_Ra Soat (ty) '!DH75</f>
        <v>0</v>
      </c>
      <c r="S71" s="1034">
        <f>'1.BC_Ra Soat (ty) '!BU75</f>
        <v>0</v>
      </c>
      <c r="T71" s="1034">
        <f>'1.BC_Ra Soat (ty) '!BZ75</f>
        <v>0</v>
      </c>
      <c r="U71" s="1034">
        <f>'1.BC_Ra Soat (ty) '!CE75</f>
        <v>0</v>
      </c>
      <c r="V71" s="1034">
        <f>'1.BC_Ra Soat (ty) '!CJ75</f>
        <v>0</v>
      </c>
      <c r="W71" s="1034">
        <f>'1.BC_Ra Soat (ty) '!CO75</f>
        <v>0</v>
      </c>
      <c r="X71" s="1034">
        <f t="shared" si="28"/>
        <v>0</v>
      </c>
      <c r="Y71" s="1034">
        <f>'1.BC_Ra Soat (ty) '!DI75</f>
        <v>0</v>
      </c>
      <c r="Z71" s="1034">
        <f>SUMIFS('1.DC_Muc tieu'!$F:$F,'1.DC_Muc tieu'!$D:$D,'1.BC_Muc tieu (ty) '!$D71)-SUMIFS('1.DC_Muc tieu'!$F:$F,'1.DC_Muc tieu'!$E:$E,'1.BC_Muc tieu (ty) '!$D71)</f>
        <v>0</v>
      </c>
      <c r="AA71" s="1034">
        <f>SUMIFS('1.DC_Muc tieu'!$F:$F,'1.DC_Muc tieu'!$D:$D,'1.BC_Muc tieu (ty) '!$D71)-SUMIFS('1.DC_Muc tieu'!$F:$F,'1.DC_Muc tieu'!$E:$E,'1.BC_Muc tieu (ty) '!$D71)</f>
        <v>0</v>
      </c>
      <c r="AB71" s="1034">
        <f>SUMIFS('1.DC_Muc tieu'!$F:$F,'1.DC_Muc tieu'!$D:$D,'1.BC_Muc tieu (ty) '!$D71)-SUMIFS('1.DC_Muc tieu'!$F:$F,'1.DC_Muc tieu'!$E:$E,'1.BC_Muc tieu (ty) '!$D71)</f>
        <v>0</v>
      </c>
      <c r="AC71" s="1034">
        <f>SUMIFS('1.DC_Muc tieu'!$F:$F,'1.DC_Muc tieu'!$D:$D,'1.BC_Muc tieu (ty) '!$D71)-SUMIFS('1.DC_Muc tieu'!$F:$F,'1.DC_Muc tieu'!$E:$E,'1.BC_Muc tieu (ty) '!$D71)</f>
        <v>0</v>
      </c>
      <c r="AD71" s="1034">
        <f>SUMIFS('1.DC_Muc tieu'!$F:$F,'1.DC_Muc tieu'!$D:$D,'1.BC_Muc tieu (ty) '!$D71)-SUMIFS('1.DC_Muc tieu'!$F:$F,'1.DC_Muc tieu'!$E:$E,'1.BC_Muc tieu (ty) '!$D71)</f>
        <v>0</v>
      </c>
      <c r="AE71" s="1034">
        <f t="shared" si="29"/>
        <v>0</v>
      </c>
      <c r="AF71" s="1034">
        <f t="shared" si="81"/>
        <v>0</v>
      </c>
      <c r="AG71" s="1034">
        <f t="shared" si="82"/>
        <v>0</v>
      </c>
      <c r="AH71" s="1034">
        <f t="shared" si="83"/>
        <v>0</v>
      </c>
      <c r="AI71" s="1034">
        <f t="shared" si="84"/>
        <v>0</v>
      </c>
      <c r="AJ71" s="1034">
        <f t="shared" si="85"/>
        <v>0</v>
      </c>
      <c r="AK71" s="1033">
        <f t="shared" si="78"/>
        <v>0</v>
      </c>
      <c r="AL71" s="1034">
        <f t="shared" si="79"/>
        <v>0</v>
      </c>
    </row>
    <row r="72" spans="1:39" s="896" customFormat="1" x14ac:dyDescent="0.25">
      <c r="A72" s="1014" t="str">
        <f t="shared" si="70"/>
        <v>hide</v>
      </c>
      <c r="B72" s="994" t="s">
        <v>37</v>
      </c>
      <c r="C72" s="993" t="s">
        <v>79</v>
      </c>
      <c r="D72" s="991" t="s">
        <v>370</v>
      </c>
      <c r="E72" s="992">
        <f>E74+E73</f>
        <v>0</v>
      </c>
      <c r="F72" s="992">
        <f t="shared" ref="F72:AJ72" si="86">F74+F73</f>
        <v>0</v>
      </c>
      <c r="G72" s="992">
        <f t="shared" si="86"/>
        <v>0</v>
      </c>
      <c r="H72" s="992">
        <f t="shared" si="86"/>
        <v>0</v>
      </c>
      <c r="I72" s="992">
        <f t="shared" si="86"/>
        <v>0</v>
      </c>
      <c r="J72" s="992">
        <f t="shared" si="86"/>
        <v>0</v>
      </c>
      <c r="K72" s="992">
        <f t="shared" si="86"/>
        <v>0</v>
      </c>
      <c r="L72" s="992">
        <f t="shared" si="86"/>
        <v>0</v>
      </c>
      <c r="M72" s="992">
        <f t="shared" si="86"/>
        <v>0</v>
      </c>
      <c r="N72" s="992">
        <f t="shared" si="86"/>
        <v>0</v>
      </c>
      <c r="O72" s="992">
        <f t="shared" si="86"/>
        <v>0</v>
      </c>
      <c r="P72" s="992">
        <f t="shared" si="86"/>
        <v>0</v>
      </c>
      <c r="Q72" s="992">
        <f t="shared" si="86"/>
        <v>0</v>
      </c>
      <c r="R72" s="992">
        <f t="shared" si="86"/>
        <v>0</v>
      </c>
      <c r="S72" s="992">
        <f t="shared" si="86"/>
        <v>0</v>
      </c>
      <c r="T72" s="992">
        <f t="shared" si="86"/>
        <v>0</v>
      </c>
      <c r="U72" s="992">
        <f t="shared" si="86"/>
        <v>0</v>
      </c>
      <c r="V72" s="992">
        <f t="shared" si="86"/>
        <v>0</v>
      </c>
      <c r="W72" s="992">
        <f t="shared" si="86"/>
        <v>0</v>
      </c>
      <c r="X72" s="992">
        <f t="shared" si="86"/>
        <v>0</v>
      </c>
      <c r="Y72" s="992">
        <f t="shared" si="86"/>
        <v>0</v>
      </c>
      <c r="Z72" s="992">
        <f t="shared" si="86"/>
        <v>0</v>
      </c>
      <c r="AA72" s="992">
        <f t="shared" si="86"/>
        <v>0</v>
      </c>
      <c r="AB72" s="992">
        <f t="shared" si="86"/>
        <v>0</v>
      </c>
      <c r="AC72" s="992">
        <f t="shared" si="86"/>
        <v>0</v>
      </c>
      <c r="AD72" s="992">
        <f t="shared" si="86"/>
        <v>0</v>
      </c>
      <c r="AE72" s="992">
        <f t="shared" si="86"/>
        <v>0</v>
      </c>
      <c r="AF72" s="992">
        <f t="shared" si="86"/>
        <v>0</v>
      </c>
      <c r="AG72" s="992">
        <f t="shared" si="86"/>
        <v>0</v>
      </c>
      <c r="AH72" s="992">
        <f t="shared" si="86"/>
        <v>0</v>
      </c>
      <c r="AI72" s="992">
        <f t="shared" si="86"/>
        <v>0</v>
      </c>
      <c r="AJ72" s="992">
        <f t="shared" si="86"/>
        <v>0</v>
      </c>
      <c r="AK72" s="1033">
        <f t="shared" ref="AK72:AL72" si="87">AK74+AK73</f>
        <v>0</v>
      </c>
      <c r="AL72" s="1033">
        <f t="shared" si="87"/>
        <v>0</v>
      </c>
    </row>
    <row r="73" spans="1:39" s="1000" customFormat="1" x14ac:dyDescent="0.25">
      <c r="A73" s="1039" t="str">
        <f t="shared" si="70"/>
        <v>hide</v>
      </c>
      <c r="B73" s="997" t="s">
        <v>75</v>
      </c>
      <c r="C73" s="998" t="s">
        <v>76</v>
      </c>
      <c r="D73" s="999" t="s">
        <v>371</v>
      </c>
      <c r="E73" s="1031">
        <f>'1.BC_Ra Soat (ty) '!BS77</f>
        <v>0</v>
      </c>
      <c r="F73" s="1031">
        <f>'1.BC_Ra Soat (ty) '!BX77</f>
        <v>0</v>
      </c>
      <c r="G73" s="1034">
        <f>'1.BC_Ra Soat (ty) '!CC77</f>
        <v>0</v>
      </c>
      <c r="H73" s="1034">
        <f>'1.BC_Ra Soat (ty) '!CH77</f>
        <v>0</v>
      </c>
      <c r="I73" s="1034">
        <f>'1.BC_Ra Soat (ty) '!CM77</f>
        <v>0</v>
      </c>
      <c r="J73" s="1034">
        <f t="shared" si="26"/>
        <v>0</v>
      </c>
      <c r="K73" s="1034">
        <f>'1.BC_Ra Soat (ty) '!DG77</f>
        <v>0</v>
      </c>
      <c r="L73" s="1034">
        <f>'1.BC_Ra Soat (ty) '!BT77</f>
        <v>0</v>
      </c>
      <c r="M73" s="1034">
        <f>'1.BC_Ra Soat (ty) '!BY77</f>
        <v>0</v>
      </c>
      <c r="N73" s="1034">
        <f>'1.BC_Ra Soat (ty) '!CD77</f>
        <v>0</v>
      </c>
      <c r="O73" s="1034">
        <f>'1.BC_Ra Soat (ty) '!CI77</f>
        <v>0</v>
      </c>
      <c r="P73" s="1034">
        <f>'1.BC_Ra Soat (ty) '!CN77</f>
        <v>0</v>
      </c>
      <c r="Q73" s="1034">
        <f t="shared" si="27"/>
        <v>0</v>
      </c>
      <c r="R73" s="1034">
        <f>'1.BC_Ra Soat (ty) '!DH77</f>
        <v>0</v>
      </c>
      <c r="S73" s="1034">
        <f>'1.BC_Ra Soat (ty) '!BU77</f>
        <v>0</v>
      </c>
      <c r="T73" s="1034">
        <f>'1.BC_Ra Soat (ty) '!BZ77</f>
        <v>0</v>
      </c>
      <c r="U73" s="1034">
        <f>'1.BC_Ra Soat (ty) '!CE77</f>
        <v>0</v>
      </c>
      <c r="V73" s="1034">
        <f>'1.BC_Ra Soat (ty) '!CJ77</f>
        <v>0</v>
      </c>
      <c r="W73" s="1034">
        <f>'1.BC_Ra Soat (ty) '!CO77</f>
        <v>0</v>
      </c>
      <c r="X73" s="1034">
        <f t="shared" si="28"/>
        <v>0</v>
      </c>
      <c r="Y73" s="1034">
        <f>'1.BC_Ra Soat (ty) '!DI77</f>
        <v>0</v>
      </c>
      <c r="Z73" s="1034">
        <f>SUMIFS('1.DC_Muc tieu'!$F:$F,'1.DC_Muc tieu'!$D:$D,'1.BC_Muc tieu (ty) '!$D73)-SUMIFS('1.DC_Muc tieu'!$F:$F,'1.DC_Muc tieu'!$E:$E,'1.BC_Muc tieu (ty) '!$D73)</f>
        <v>0</v>
      </c>
      <c r="AA73" s="1034">
        <f>SUMIFS('1.DC_Muc tieu'!$F:$F,'1.DC_Muc tieu'!$D:$D,'1.BC_Muc tieu (ty) '!$D73)-SUMIFS('1.DC_Muc tieu'!$F:$F,'1.DC_Muc tieu'!$E:$E,'1.BC_Muc tieu (ty) '!$D73)</f>
        <v>0</v>
      </c>
      <c r="AB73" s="1034">
        <f>SUMIFS('1.DC_Muc tieu'!$F:$F,'1.DC_Muc tieu'!$D:$D,'1.BC_Muc tieu (ty) '!$D73)-SUMIFS('1.DC_Muc tieu'!$F:$F,'1.DC_Muc tieu'!$E:$E,'1.BC_Muc tieu (ty) '!$D73)</f>
        <v>0</v>
      </c>
      <c r="AC73" s="1034">
        <f>SUMIFS('1.DC_Muc tieu'!$F:$F,'1.DC_Muc tieu'!$D:$D,'1.BC_Muc tieu (ty) '!$D73)-SUMIFS('1.DC_Muc tieu'!$F:$F,'1.DC_Muc tieu'!$E:$E,'1.BC_Muc tieu (ty) '!$D73)</f>
        <v>0</v>
      </c>
      <c r="AD73" s="1034">
        <f>SUMIFS('1.DC_Muc tieu'!$F:$F,'1.DC_Muc tieu'!$D:$D,'1.BC_Muc tieu (ty) '!$D73)-SUMIFS('1.DC_Muc tieu'!$F:$F,'1.DC_Muc tieu'!$E:$E,'1.BC_Muc tieu (ty) '!$D73)</f>
        <v>0</v>
      </c>
      <c r="AE73" s="1034">
        <f t="shared" si="29"/>
        <v>0</v>
      </c>
      <c r="AF73" s="1034">
        <f t="shared" ref="AF73:AF74" si="88">S73+Z73</f>
        <v>0</v>
      </c>
      <c r="AG73" s="1034">
        <f t="shared" ref="AG73:AG74" si="89">T73+AA73</f>
        <v>0</v>
      </c>
      <c r="AH73" s="1034">
        <f t="shared" ref="AH73:AH74" si="90">U73+AB73</f>
        <v>0</v>
      </c>
      <c r="AI73" s="1034">
        <f t="shared" ref="AI73:AI74" si="91">V73+AC73</f>
        <v>0</v>
      </c>
      <c r="AJ73" s="1034">
        <f t="shared" ref="AJ73:AJ74" si="92">W73+AD73</f>
        <v>0</v>
      </c>
      <c r="AK73" s="1033">
        <f t="shared" si="78"/>
        <v>0</v>
      </c>
      <c r="AL73" s="1034">
        <f t="shared" si="79"/>
        <v>0</v>
      </c>
    </row>
    <row r="74" spans="1:39" s="1000" customFormat="1" x14ac:dyDescent="0.25">
      <c r="A74" s="1039" t="str">
        <f t="shared" si="70"/>
        <v>hide</v>
      </c>
      <c r="B74" s="997" t="s">
        <v>75</v>
      </c>
      <c r="C74" s="998" t="s">
        <v>77</v>
      </c>
      <c r="D74" s="999" t="s">
        <v>372</v>
      </c>
      <c r="E74" s="1031">
        <f>'1.BC_Ra Soat (ty) '!BS78</f>
        <v>0</v>
      </c>
      <c r="F74" s="1031">
        <f>'1.BC_Ra Soat (ty) '!BX78</f>
        <v>0</v>
      </c>
      <c r="G74" s="1034">
        <f>'1.BC_Ra Soat (ty) '!CC78</f>
        <v>0</v>
      </c>
      <c r="H74" s="1034">
        <f>'1.BC_Ra Soat (ty) '!CH78</f>
        <v>0</v>
      </c>
      <c r="I74" s="1034">
        <f>'1.BC_Ra Soat (ty) '!CM78</f>
        <v>0</v>
      </c>
      <c r="J74" s="1034">
        <f t="shared" si="26"/>
        <v>0</v>
      </c>
      <c r="K74" s="1034">
        <f>'1.BC_Ra Soat (ty) '!DG78</f>
        <v>0</v>
      </c>
      <c r="L74" s="1034">
        <f>'1.BC_Ra Soat (ty) '!BT78</f>
        <v>0</v>
      </c>
      <c r="M74" s="1034">
        <f>'1.BC_Ra Soat (ty) '!BY78</f>
        <v>0</v>
      </c>
      <c r="N74" s="1034">
        <f>'1.BC_Ra Soat (ty) '!CD78</f>
        <v>0</v>
      </c>
      <c r="O74" s="1034">
        <f>'1.BC_Ra Soat (ty) '!CI78</f>
        <v>0</v>
      </c>
      <c r="P74" s="1034">
        <f>'1.BC_Ra Soat (ty) '!CN78</f>
        <v>0</v>
      </c>
      <c r="Q74" s="1034">
        <f t="shared" si="27"/>
        <v>0</v>
      </c>
      <c r="R74" s="1034">
        <f>'1.BC_Ra Soat (ty) '!DH78</f>
        <v>0</v>
      </c>
      <c r="S74" s="1034">
        <f>'1.BC_Ra Soat (ty) '!BU78</f>
        <v>0</v>
      </c>
      <c r="T74" s="1034">
        <f>'1.BC_Ra Soat (ty) '!BZ78</f>
        <v>0</v>
      </c>
      <c r="U74" s="1034">
        <f>'1.BC_Ra Soat (ty) '!CE78</f>
        <v>0</v>
      </c>
      <c r="V74" s="1034">
        <f>'1.BC_Ra Soat (ty) '!CJ78</f>
        <v>0</v>
      </c>
      <c r="W74" s="1034">
        <f>'1.BC_Ra Soat (ty) '!CO78</f>
        <v>0</v>
      </c>
      <c r="X74" s="1034">
        <f t="shared" si="28"/>
        <v>0</v>
      </c>
      <c r="Y74" s="1034">
        <f>'1.BC_Ra Soat (ty) '!DI78</f>
        <v>0</v>
      </c>
      <c r="Z74" s="1034">
        <f>SUMIFS('1.DC_Muc tieu'!$F:$F,'1.DC_Muc tieu'!$D:$D,'1.BC_Muc tieu (ty) '!$D74)-SUMIFS('1.DC_Muc tieu'!$F:$F,'1.DC_Muc tieu'!$E:$E,'1.BC_Muc tieu (ty) '!$D74)</f>
        <v>0</v>
      </c>
      <c r="AA74" s="1034">
        <f>SUMIFS('1.DC_Muc tieu'!$F:$F,'1.DC_Muc tieu'!$D:$D,'1.BC_Muc tieu (ty) '!$D74)-SUMIFS('1.DC_Muc tieu'!$F:$F,'1.DC_Muc tieu'!$E:$E,'1.BC_Muc tieu (ty) '!$D74)</f>
        <v>0</v>
      </c>
      <c r="AB74" s="1034">
        <f>SUMIFS('1.DC_Muc tieu'!$F:$F,'1.DC_Muc tieu'!$D:$D,'1.BC_Muc tieu (ty) '!$D74)-SUMIFS('1.DC_Muc tieu'!$F:$F,'1.DC_Muc tieu'!$E:$E,'1.BC_Muc tieu (ty) '!$D74)</f>
        <v>0</v>
      </c>
      <c r="AC74" s="1034">
        <f>SUMIFS('1.DC_Muc tieu'!$F:$F,'1.DC_Muc tieu'!$D:$D,'1.BC_Muc tieu (ty) '!$D74)-SUMIFS('1.DC_Muc tieu'!$F:$F,'1.DC_Muc tieu'!$E:$E,'1.BC_Muc tieu (ty) '!$D74)</f>
        <v>0</v>
      </c>
      <c r="AD74" s="1034">
        <f>SUMIFS('1.DC_Muc tieu'!$F:$F,'1.DC_Muc tieu'!$D:$D,'1.BC_Muc tieu (ty) '!$D74)-SUMIFS('1.DC_Muc tieu'!$F:$F,'1.DC_Muc tieu'!$E:$E,'1.BC_Muc tieu (ty) '!$D74)</f>
        <v>0</v>
      </c>
      <c r="AE74" s="1034">
        <f t="shared" si="29"/>
        <v>0</v>
      </c>
      <c r="AF74" s="1034">
        <f t="shared" si="88"/>
        <v>0</v>
      </c>
      <c r="AG74" s="1034">
        <f t="shared" si="89"/>
        <v>0</v>
      </c>
      <c r="AH74" s="1034">
        <f t="shared" si="90"/>
        <v>0</v>
      </c>
      <c r="AI74" s="1034">
        <f t="shared" si="91"/>
        <v>0</v>
      </c>
      <c r="AJ74" s="1034">
        <f t="shared" si="92"/>
        <v>0</v>
      </c>
      <c r="AK74" s="1033">
        <f t="shared" si="78"/>
        <v>0</v>
      </c>
      <c r="AL74" s="1034">
        <f t="shared" si="79"/>
        <v>0</v>
      </c>
    </row>
    <row r="75" spans="1:39" s="986" customFormat="1" x14ac:dyDescent="0.25">
      <c r="A75" s="1014" t="str">
        <f t="shared" si="70"/>
        <v>hide</v>
      </c>
      <c r="B75" s="987" t="s">
        <v>39</v>
      </c>
      <c r="C75" s="988" t="s">
        <v>80</v>
      </c>
      <c r="D75" s="989" t="s">
        <v>374</v>
      </c>
      <c r="E75" s="990">
        <f>E76+E77</f>
        <v>0</v>
      </c>
      <c r="F75" s="990">
        <f t="shared" ref="F75:AL75" si="93">F76+F77</f>
        <v>0</v>
      </c>
      <c r="G75" s="990">
        <f t="shared" si="93"/>
        <v>0</v>
      </c>
      <c r="H75" s="990">
        <f t="shared" si="93"/>
        <v>0</v>
      </c>
      <c r="I75" s="990">
        <f t="shared" si="93"/>
        <v>0</v>
      </c>
      <c r="J75" s="990">
        <f t="shared" si="93"/>
        <v>0</v>
      </c>
      <c r="K75" s="990">
        <f t="shared" si="93"/>
        <v>0</v>
      </c>
      <c r="L75" s="990">
        <f t="shared" si="93"/>
        <v>0</v>
      </c>
      <c r="M75" s="990">
        <f t="shared" si="93"/>
        <v>0</v>
      </c>
      <c r="N75" s="990">
        <f t="shared" si="93"/>
        <v>0</v>
      </c>
      <c r="O75" s="990">
        <f t="shared" si="93"/>
        <v>0</v>
      </c>
      <c r="P75" s="990">
        <f t="shared" si="93"/>
        <v>0</v>
      </c>
      <c r="Q75" s="990">
        <f t="shared" si="93"/>
        <v>0</v>
      </c>
      <c r="R75" s="990">
        <f t="shared" si="93"/>
        <v>0</v>
      </c>
      <c r="S75" s="990">
        <f t="shared" si="93"/>
        <v>0</v>
      </c>
      <c r="T75" s="990">
        <f t="shared" si="93"/>
        <v>0</v>
      </c>
      <c r="U75" s="990">
        <f t="shared" si="93"/>
        <v>0</v>
      </c>
      <c r="V75" s="990">
        <f t="shared" si="93"/>
        <v>0</v>
      </c>
      <c r="W75" s="990">
        <f t="shared" si="93"/>
        <v>0</v>
      </c>
      <c r="X75" s="990">
        <f t="shared" si="93"/>
        <v>0</v>
      </c>
      <c r="Y75" s="990">
        <f t="shared" si="93"/>
        <v>0</v>
      </c>
      <c r="Z75" s="990">
        <f t="shared" si="93"/>
        <v>0</v>
      </c>
      <c r="AA75" s="990">
        <f t="shared" si="93"/>
        <v>0</v>
      </c>
      <c r="AB75" s="990">
        <f t="shared" si="93"/>
        <v>0</v>
      </c>
      <c r="AC75" s="990">
        <f t="shared" si="93"/>
        <v>0</v>
      </c>
      <c r="AD75" s="990">
        <f t="shared" si="93"/>
        <v>0</v>
      </c>
      <c r="AE75" s="990">
        <f t="shared" si="93"/>
        <v>0</v>
      </c>
      <c r="AF75" s="990">
        <f t="shared" si="93"/>
        <v>0</v>
      </c>
      <c r="AG75" s="990">
        <f t="shared" si="93"/>
        <v>0</v>
      </c>
      <c r="AH75" s="990">
        <f t="shared" si="93"/>
        <v>0</v>
      </c>
      <c r="AI75" s="990">
        <f t="shared" si="93"/>
        <v>0</v>
      </c>
      <c r="AJ75" s="990">
        <f t="shared" si="93"/>
        <v>0</v>
      </c>
      <c r="AK75" s="990">
        <f t="shared" si="93"/>
        <v>0</v>
      </c>
      <c r="AL75" s="990">
        <f t="shared" si="93"/>
        <v>0</v>
      </c>
      <c r="AM75" s="985"/>
    </row>
    <row r="76" spans="1:39" s="1044" customFormat="1" x14ac:dyDescent="0.25">
      <c r="A76" s="1038" t="str">
        <f t="shared" si="70"/>
        <v>hide</v>
      </c>
      <c r="B76" s="1045" t="s">
        <v>75</v>
      </c>
      <c r="C76" s="1043" t="s">
        <v>76</v>
      </c>
      <c r="D76" s="991" t="s">
        <v>375</v>
      </c>
      <c r="E76" s="992">
        <f>'1.BC_Ra Soat (ty) '!BS80</f>
        <v>0</v>
      </c>
      <c r="F76" s="992">
        <f>'1.BC_Ra Soat (ty) '!BX80</f>
        <v>0</v>
      </c>
      <c r="G76" s="1033">
        <f>'1.BC_Ra Soat (ty) '!CC80</f>
        <v>0</v>
      </c>
      <c r="H76" s="1033">
        <f>'1.BC_Ra Soat (ty) '!CH80</f>
        <v>0</v>
      </c>
      <c r="I76" s="1033">
        <f>'1.BC_Ra Soat (ty) '!CM80</f>
        <v>0</v>
      </c>
      <c r="J76" s="1033">
        <f t="shared" si="26"/>
        <v>0</v>
      </c>
      <c r="K76" s="1033">
        <f>'1.BC_Ra Soat (ty) '!DG80</f>
        <v>0</v>
      </c>
      <c r="L76" s="1033">
        <f>'1.BC_Ra Soat (ty) '!BT80</f>
        <v>0</v>
      </c>
      <c r="M76" s="1033">
        <f>'1.BC_Ra Soat (ty) '!BY80</f>
        <v>0</v>
      </c>
      <c r="N76" s="1033">
        <f>'1.BC_Ra Soat (ty) '!CD80</f>
        <v>0</v>
      </c>
      <c r="O76" s="1033">
        <f>'1.BC_Ra Soat (ty) '!CI80</f>
        <v>0</v>
      </c>
      <c r="P76" s="1033">
        <f>'1.BC_Ra Soat (ty) '!CN80</f>
        <v>0</v>
      </c>
      <c r="Q76" s="1033">
        <f t="shared" si="27"/>
        <v>0</v>
      </c>
      <c r="R76" s="1033">
        <f>'1.BC_Ra Soat (ty) '!DH80</f>
        <v>0</v>
      </c>
      <c r="S76" s="1033">
        <f>'1.BC_Ra Soat (ty) '!BU80</f>
        <v>0</v>
      </c>
      <c r="T76" s="1033">
        <f>'1.BC_Ra Soat (ty) '!BZ80</f>
        <v>0</v>
      </c>
      <c r="U76" s="1033">
        <f>'1.BC_Ra Soat (ty) '!CE80</f>
        <v>0</v>
      </c>
      <c r="V76" s="1033">
        <f>'1.BC_Ra Soat (ty) '!CJ80</f>
        <v>0</v>
      </c>
      <c r="W76" s="1033">
        <f>'1.BC_Ra Soat (ty) '!CO80</f>
        <v>0</v>
      </c>
      <c r="X76" s="1033">
        <f t="shared" si="28"/>
        <v>0</v>
      </c>
      <c r="Y76" s="1033">
        <f>'1.BC_Ra Soat (ty) '!DI80</f>
        <v>0</v>
      </c>
      <c r="Z76" s="1033">
        <f>SUMIFS('1.DC_Muc tieu'!$F:$F,'1.DC_Muc tieu'!$D:$D,'1.BC_Muc tieu (ty) '!$D76)-SUMIFS('1.DC_Muc tieu'!$F:$F,'1.DC_Muc tieu'!$E:$E,'1.BC_Muc tieu (ty) '!$D76)</f>
        <v>0</v>
      </c>
      <c r="AA76" s="1033">
        <f>SUMIFS('1.DC_Muc tieu'!$F:$F,'1.DC_Muc tieu'!$D:$D,'1.BC_Muc tieu (ty) '!$D76)-SUMIFS('1.DC_Muc tieu'!$F:$F,'1.DC_Muc tieu'!$E:$E,'1.BC_Muc tieu (ty) '!$D76)</f>
        <v>0</v>
      </c>
      <c r="AB76" s="1033">
        <f>SUMIFS('1.DC_Muc tieu'!$F:$F,'1.DC_Muc tieu'!$D:$D,'1.BC_Muc tieu (ty) '!$D76)-SUMIFS('1.DC_Muc tieu'!$F:$F,'1.DC_Muc tieu'!$E:$E,'1.BC_Muc tieu (ty) '!$D76)</f>
        <v>0</v>
      </c>
      <c r="AC76" s="1033">
        <f>SUMIFS('1.DC_Muc tieu'!$F:$F,'1.DC_Muc tieu'!$D:$D,'1.BC_Muc tieu (ty) '!$D76)-SUMIFS('1.DC_Muc tieu'!$F:$F,'1.DC_Muc tieu'!$E:$E,'1.BC_Muc tieu (ty) '!$D76)</f>
        <v>0</v>
      </c>
      <c r="AD76" s="1033">
        <f>SUMIFS('1.DC_Muc tieu'!$F:$F,'1.DC_Muc tieu'!$D:$D,'1.BC_Muc tieu (ty) '!$D76)-SUMIFS('1.DC_Muc tieu'!$F:$F,'1.DC_Muc tieu'!$E:$E,'1.BC_Muc tieu (ty) '!$D76)</f>
        <v>0</v>
      </c>
      <c r="AE76" s="1033">
        <f t="shared" si="29"/>
        <v>0</v>
      </c>
      <c r="AF76" s="1033">
        <f t="shared" ref="AF76:AF77" si="94">S76+Z76</f>
        <v>0</v>
      </c>
      <c r="AG76" s="1033">
        <f t="shared" ref="AG76:AG77" si="95">T76+AA76</f>
        <v>0</v>
      </c>
      <c r="AH76" s="1033">
        <f t="shared" ref="AH76:AH77" si="96">U76+AB76</f>
        <v>0</v>
      </c>
      <c r="AI76" s="1033">
        <f t="shared" ref="AI76:AI77" si="97">V76+AC76</f>
        <v>0</v>
      </c>
      <c r="AJ76" s="1033">
        <f t="shared" ref="AJ76:AJ77" si="98">W76+AD76</f>
        <v>0</v>
      </c>
      <c r="AK76" s="1033">
        <f t="shared" si="78"/>
        <v>0</v>
      </c>
      <c r="AL76" s="1033">
        <f t="shared" ref="AL76:AL77" si="99">Y76+AE76</f>
        <v>0</v>
      </c>
    </row>
    <row r="77" spans="1:39" s="1044" customFormat="1" x14ac:dyDescent="0.25">
      <c r="A77" s="1038" t="str">
        <f t="shared" si="70"/>
        <v>hide</v>
      </c>
      <c r="B77" s="1045" t="s">
        <v>75</v>
      </c>
      <c r="C77" s="1043" t="s">
        <v>77</v>
      </c>
      <c r="D77" s="991" t="s">
        <v>376</v>
      </c>
      <c r="E77" s="992">
        <f>'1.BC_Ra Soat (ty) '!BS81</f>
        <v>0</v>
      </c>
      <c r="F77" s="992">
        <f>'1.BC_Ra Soat (ty) '!BX81</f>
        <v>0</v>
      </c>
      <c r="G77" s="1033">
        <f>'1.BC_Ra Soat (ty) '!CC81</f>
        <v>0</v>
      </c>
      <c r="H77" s="1033">
        <f>'1.BC_Ra Soat (ty) '!CH81</f>
        <v>0</v>
      </c>
      <c r="I77" s="1033">
        <f>'1.BC_Ra Soat (ty) '!CM81</f>
        <v>0</v>
      </c>
      <c r="J77" s="1033">
        <f t="shared" si="26"/>
        <v>0</v>
      </c>
      <c r="K77" s="1033">
        <f>'1.BC_Ra Soat (ty) '!DG81</f>
        <v>0</v>
      </c>
      <c r="L77" s="1033">
        <f>'1.BC_Ra Soat (ty) '!BT81</f>
        <v>0</v>
      </c>
      <c r="M77" s="1033">
        <f>'1.BC_Ra Soat (ty) '!BY81</f>
        <v>0</v>
      </c>
      <c r="N77" s="1033">
        <f>'1.BC_Ra Soat (ty) '!CD81</f>
        <v>0</v>
      </c>
      <c r="O77" s="1033">
        <f>'1.BC_Ra Soat (ty) '!CI81</f>
        <v>0</v>
      </c>
      <c r="P77" s="1033">
        <f>'1.BC_Ra Soat (ty) '!CN81</f>
        <v>0</v>
      </c>
      <c r="Q77" s="1033">
        <f t="shared" si="27"/>
        <v>0</v>
      </c>
      <c r="R77" s="1033">
        <f>'1.BC_Ra Soat (ty) '!DH81</f>
        <v>0</v>
      </c>
      <c r="S77" s="1033">
        <f>'1.BC_Ra Soat (ty) '!BU81</f>
        <v>0</v>
      </c>
      <c r="T77" s="1033">
        <f>'1.BC_Ra Soat (ty) '!BZ81</f>
        <v>0</v>
      </c>
      <c r="U77" s="1033">
        <f>'1.BC_Ra Soat (ty) '!CE81</f>
        <v>0</v>
      </c>
      <c r="V77" s="1033">
        <f>'1.BC_Ra Soat (ty) '!CJ81</f>
        <v>0</v>
      </c>
      <c r="W77" s="1033">
        <f>'1.BC_Ra Soat (ty) '!CO81</f>
        <v>0</v>
      </c>
      <c r="X77" s="1033">
        <f t="shared" si="28"/>
        <v>0</v>
      </c>
      <c r="Y77" s="1033">
        <f>'1.BC_Ra Soat (ty) '!DI81</f>
        <v>0</v>
      </c>
      <c r="Z77" s="1033">
        <f>SUMIFS('1.DC_Muc tieu'!$F:$F,'1.DC_Muc tieu'!$D:$D,'1.BC_Muc tieu (ty) '!$D77)-SUMIFS('1.DC_Muc tieu'!$F:$F,'1.DC_Muc tieu'!$E:$E,'1.BC_Muc tieu (ty) '!$D77)</f>
        <v>0</v>
      </c>
      <c r="AA77" s="1033">
        <f>SUMIFS('1.DC_Muc tieu'!$F:$F,'1.DC_Muc tieu'!$D:$D,'1.BC_Muc tieu (ty) '!$D77)-SUMIFS('1.DC_Muc tieu'!$F:$F,'1.DC_Muc tieu'!$E:$E,'1.BC_Muc tieu (ty) '!$D77)</f>
        <v>0</v>
      </c>
      <c r="AB77" s="1033">
        <f>SUMIFS('1.DC_Muc tieu'!$F:$F,'1.DC_Muc tieu'!$D:$D,'1.BC_Muc tieu (ty) '!$D77)-SUMIFS('1.DC_Muc tieu'!$F:$F,'1.DC_Muc tieu'!$E:$E,'1.BC_Muc tieu (ty) '!$D77)</f>
        <v>0</v>
      </c>
      <c r="AC77" s="1033">
        <f>SUMIFS('1.DC_Muc tieu'!$F:$F,'1.DC_Muc tieu'!$D:$D,'1.BC_Muc tieu (ty) '!$D77)-SUMIFS('1.DC_Muc tieu'!$F:$F,'1.DC_Muc tieu'!$E:$E,'1.BC_Muc tieu (ty) '!$D77)</f>
        <v>0</v>
      </c>
      <c r="AD77" s="1033">
        <f>SUMIFS('1.DC_Muc tieu'!$F:$F,'1.DC_Muc tieu'!$D:$D,'1.BC_Muc tieu (ty) '!$D77)-SUMIFS('1.DC_Muc tieu'!$F:$F,'1.DC_Muc tieu'!$E:$E,'1.BC_Muc tieu (ty) '!$D77)</f>
        <v>0</v>
      </c>
      <c r="AE77" s="1033">
        <f t="shared" si="29"/>
        <v>0</v>
      </c>
      <c r="AF77" s="1033">
        <f t="shared" si="94"/>
        <v>0</v>
      </c>
      <c r="AG77" s="1033">
        <f t="shared" si="95"/>
        <v>0</v>
      </c>
      <c r="AH77" s="1033">
        <f t="shared" si="96"/>
        <v>0</v>
      </c>
      <c r="AI77" s="1033">
        <f t="shared" si="97"/>
        <v>0</v>
      </c>
      <c r="AJ77" s="1033">
        <f t="shared" si="98"/>
        <v>0</v>
      </c>
      <c r="AK77" s="1033">
        <f t="shared" si="78"/>
        <v>0</v>
      </c>
      <c r="AL77" s="1033">
        <f t="shared" si="99"/>
        <v>0</v>
      </c>
    </row>
    <row r="78" spans="1:39" s="986" customFormat="1" x14ac:dyDescent="0.25">
      <c r="A78" s="1014">
        <f t="shared" si="70"/>
        <v>1</v>
      </c>
      <c r="B78" s="987" t="s">
        <v>54</v>
      </c>
      <c r="C78" s="988" t="s">
        <v>81</v>
      </c>
      <c r="D78" s="989" t="s">
        <v>378</v>
      </c>
      <c r="E78" s="990">
        <f>E79+E80</f>
        <v>0</v>
      </c>
      <c r="F78" s="990">
        <f t="shared" ref="F78:AL78" si="100">F79+F80</f>
        <v>15.554763725999999</v>
      </c>
      <c r="G78" s="990">
        <f t="shared" si="100"/>
        <v>0</v>
      </c>
      <c r="H78" s="990">
        <f t="shared" si="100"/>
        <v>0</v>
      </c>
      <c r="I78" s="990">
        <f t="shared" si="100"/>
        <v>0</v>
      </c>
      <c r="J78" s="990">
        <f t="shared" si="100"/>
        <v>15.554763725999999</v>
      </c>
      <c r="K78" s="990">
        <f t="shared" si="100"/>
        <v>15.554763725999999</v>
      </c>
      <c r="L78" s="990">
        <f t="shared" si="100"/>
        <v>23.415620350999998</v>
      </c>
      <c r="M78" s="990">
        <f t="shared" si="100"/>
        <v>15.554763725999999</v>
      </c>
      <c r="N78" s="990">
        <f t="shared" si="100"/>
        <v>0</v>
      </c>
      <c r="O78" s="990">
        <f t="shared" si="100"/>
        <v>0</v>
      </c>
      <c r="P78" s="990">
        <f t="shared" si="100"/>
        <v>0</v>
      </c>
      <c r="Q78" s="990">
        <f t="shared" si="100"/>
        <v>38.970384076999999</v>
      </c>
      <c r="R78" s="990">
        <f t="shared" si="100"/>
        <v>38.970384076999999</v>
      </c>
      <c r="S78" s="990">
        <f t="shared" si="100"/>
        <v>23.434842446999998</v>
      </c>
      <c r="T78" s="990">
        <f t="shared" si="100"/>
        <v>15.554763725999999</v>
      </c>
      <c r="U78" s="990">
        <f t="shared" si="100"/>
        <v>0</v>
      </c>
      <c r="V78" s="990">
        <f t="shared" si="100"/>
        <v>0</v>
      </c>
      <c r="W78" s="990">
        <f t="shared" si="100"/>
        <v>0</v>
      </c>
      <c r="X78" s="990">
        <f t="shared" si="100"/>
        <v>38.989606172999999</v>
      </c>
      <c r="Y78" s="990">
        <f t="shared" si="100"/>
        <v>38.989606172999999</v>
      </c>
      <c r="Z78" s="990">
        <f t="shared" si="100"/>
        <v>0</v>
      </c>
      <c r="AA78" s="990">
        <f t="shared" si="100"/>
        <v>0</v>
      </c>
      <c r="AB78" s="990">
        <f t="shared" si="100"/>
        <v>0</v>
      </c>
      <c r="AC78" s="990">
        <f t="shared" si="100"/>
        <v>0</v>
      </c>
      <c r="AD78" s="990">
        <f t="shared" si="100"/>
        <v>0</v>
      </c>
      <c r="AE78" s="990">
        <f t="shared" si="100"/>
        <v>0</v>
      </c>
      <c r="AF78" s="990">
        <f t="shared" si="100"/>
        <v>23.434842446999998</v>
      </c>
      <c r="AG78" s="990">
        <f t="shared" si="100"/>
        <v>15.554763725999999</v>
      </c>
      <c r="AH78" s="990">
        <f t="shared" si="100"/>
        <v>0</v>
      </c>
      <c r="AI78" s="990">
        <f t="shared" si="100"/>
        <v>0</v>
      </c>
      <c r="AJ78" s="990">
        <f t="shared" si="100"/>
        <v>0</v>
      </c>
      <c r="AK78" s="990">
        <f t="shared" si="100"/>
        <v>38.989606172999999</v>
      </c>
      <c r="AL78" s="1081">
        <f t="shared" si="100"/>
        <v>38.989606172999999</v>
      </c>
      <c r="AM78" s="985"/>
    </row>
    <row r="79" spans="1:39" s="1044" customFormat="1" ht="30" x14ac:dyDescent="0.25">
      <c r="A79" s="1038" t="str">
        <f t="shared" si="70"/>
        <v>hide</v>
      </c>
      <c r="B79" s="1042" t="s">
        <v>29</v>
      </c>
      <c r="C79" s="1043" t="s">
        <v>82</v>
      </c>
      <c r="D79" s="991" t="s">
        <v>380</v>
      </c>
      <c r="E79" s="992">
        <f>'1.BC_Ra Soat (ty) '!BS83</f>
        <v>0</v>
      </c>
      <c r="F79" s="992">
        <f>'1.BC_Ra Soat (ty) '!BX83</f>
        <v>0</v>
      </c>
      <c r="G79" s="1033">
        <f>'1.BC_Ra Soat (ty) '!CC83</f>
        <v>0</v>
      </c>
      <c r="H79" s="1033">
        <f>'1.BC_Ra Soat (ty) '!CH83</f>
        <v>0</v>
      </c>
      <c r="I79" s="1033">
        <f>'1.BC_Ra Soat (ty) '!CM83</f>
        <v>0</v>
      </c>
      <c r="J79" s="1033">
        <f t="shared" si="26"/>
        <v>0</v>
      </c>
      <c r="K79" s="1033">
        <f>'1.BC_Ra Soat (ty) '!DG83</f>
        <v>0</v>
      </c>
      <c r="L79" s="1033">
        <f>'1.BC_Ra Soat (ty) '!BT83</f>
        <v>0</v>
      </c>
      <c r="M79" s="1033">
        <f>'1.BC_Ra Soat (ty) '!BY83</f>
        <v>0</v>
      </c>
      <c r="N79" s="1033">
        <f>'1.BC_Ra Soat (ty) '!CD83</f>
        <v>0</v>
      </c>
      <c r="O79" s="1033">
        <f>'1.BC_Ra Soat (ty) '!CI83</f>
        <v>0</v>
      </c>
      <c r="P79" s="1033">
        <f>'1.BC_Ra Soat (ty) '!CN83</f>
        <v>0</v>
      </c>
      <c r="Q79" s="1033">
        <f t="shared" si="27"/>
        <v>0</v>
      </c>
      <c r="R79" s="1033">
        <f>'1.BC_Ra Soat (ty) '!DH83</f>
        <v>0</v>
      </c>
      <c r="S79" s="1033">
        <f>'1.BC_Ra Soat (ty) '!BU83</f>
        <v>0</v>
      </c>
      <c r="T79" s="1033">
        <f>'1.BC_Ra Soat (ty) '!BZ83</f>
        <v>0</v>
      </c>
      <c r="U79" s="1033">
        <f>'1.BC_Ra Soat (ty) '!CE83</f>
        <v>0</v>
      </c>
      <c r="V79" s="1033">
        <f>'1.BC_Ra Soat (ty) '!CJ83</f>
        <v>0</v>
      </c>
      <c r="W79" s="1033">
        <f>'1.BC_Ra Soat (ty) '!CO83</f>
        <v>0</v>
      </c>
      <c r="X79" s="1033">
        <f t="shared" si="28"/>
        <v>0</v>
      </c>
      <c r="Y79" s="1033">
        <f>'1.BC_Ra Soat (ty) '!DI83</f>
        <v>0</v>
      </c>
      <c r="Z79" s="1033">
        <f>SUMIFS('1.DC_Muc tieu'!$F:$F,'1.DC_Muc tieu'!$D:$D,'1.BC_Muc tieu (ty) '!$D79)-SUMIFS('1.DC_Muc tieu'!$F:$F,'1.DC_Muc tieu'!$E:$E,'1.BC_Muc tieu (ty) '!$D79)</f>
        <v>0</v>
      </c>
      <c r="AA79" s="1033">
        <f>SUMIFS('1.DC_Muc tieu'!$F:$F,'1.DC_Muc tieu'!$D:$D,'1.BC_Muc tieu (ty) '!$D79)-SUMIFS('1.DC_Muc tieu'!$F:$F,'1.DC_Muc tieu'!$E:$E,'1.BC_Muc tieu (ty) '!$D79)</f>
        <v>0</v>
      </c>
      <c r="AB79" s="1033">
        <f>SUMIFS('1.DC_Muc tieu'!$F:$F,'1.DC_Muc tieu'!$D:$D,'1.BC_Muc tieu (ty) '!$D79)-SUMIFS('1.DC_Muc tieu'!$F:$F,'1.DC_Muc tieu'!$E:$E,'1.BC_Muc tieu (ty) '!$D79)</f>
        <v>0</v>
      </c>
      <c r="AC79" s="1033">
        <f>SUMIFS('1.DC_Muc tieu'!$F:$F,'1.DC_Muc tieu'!$D:$D,'1.BC_Muc tieu (ty) '!$D79)-SUMIFS('1.DC_Muc tieu'!$F:$F,'1.DC_Muc tieu'!$E:$E,'1.BC_Muc tieu (ty) '!$D79)</f>
        <v>0</v>
      </c>
      <c r="AD79" s="1033">
        <f>SUMIFS('1.DC_Muc tieu'!$F:$F,'1.DC_Muc tieu'!$D:$D,'1.BC_Muc tieu (ty) '!$D79)-SUMIFS('1.DC_Muc tieu'!$F:$F,'1.DC_Muc tieu'!$E:$E,'1.BC_Muc tieu (ty) '!$D79)</f>
        <v>0</v>
      </c>
      <c r="AE79" s="1033">
        <f t="shared" si="29"/>
        <v>0</v>
      </c>
      <c r="AF79" s="1033">
        <f t="shared" ref="AF79:AF80" si="101">S79+Z79</f>
        <v>0</v>
      </c>
      <c r="AG79" s="1033">
        <f t="shared" ref="AG79:AG80" si="102">T79+AA79</f>
        <v>0</v>
      </c>
      <c r="AH79" s="1033">
        <f t="shared" ref="AH79:AH80" si="103">U79+AB79</f>
        <v>0</v>
      </c>
      <c r="AI79" s="1033">
        <f t="shared" ref="AI79:AI80" si="104">V79+AC79</f>
        <v>0</v>
      </c>
      <c r="AJ79" s="1033">
        <f t="shared" ref="AJ79:AJ80" si="105">W79+AD79</f>
        <v>0</v>
      </c>
      <c r="AK79" s="1033">
        <f t="shared" si="78"/>
        <v>0</v>
      </c>
      <c r="AL79" s="1033">
        <f t="shared" ref="AL79:AL80" si="106">Y79+AE79</f>
        <v>0</v>
      </c>
    </row>
    <row r="80" spans="1:39" s="1044" customFormat="1" x14ac:dyDescent="0.25">
      <c r="A80" s="1038">
        <f t="shared" si="70"/>
        <v>1</v>
      </c>
      <c r="B80" s="1042" t="s">
        <v>31</v>
      </c>
      <c r="C80" s="1043" t="s">
        <v>83</v>
      </c>
      <c r="D80" s="991" t="s">
        <v>382</v>
      </c>
      <c r="E80" s="992">
        <f>'1.BC_Ra Soat (ty) '!BS84</f>
        <v>0</v>
      </c>
      <c r="F80" s="992">
        <f>'1.BC_Ra Soat (ty) '!BX84</f>
        <v>15.554763725999999</v>
      </c>
      <c r="G80" s="1033">
        <f>'1.BC_Ra Soat (ty) '!CC84</f>
        <v>0</v>
      </c>
      <c r="H80" s="1033">
        <f>'1.BC_Ra Soat (ty) '!CH84</f>
        <v>0</v>
      </c>
      <c r="I80" s="1033">
        <f>'1.BC_Ra Soat (ty) '!CM84</f>
        <v>0</v>
      </c>
      <c r="J80" s="1033">
        <f t="shared" si="26"/>
        <v>15.554763725999999</v>
      </c>
      <c r="K80" s="1033">
        <f>'1.BC_Ra Soat (ty) '!DG84</f>
        <v>15.554763725999999</v>
      </c>
      <c r="L80" s="1033">
        <f>'1.BC_Ra Soat (ty) '!BT84</f>
        <v>23.415620350999998</v>
      </c>
      <c r="M80" s="1033">
        <f>'1.BC_Ra Soat (ty) '!BY84</f>
        <v>15.554763725999999</v>
      </c>
      <c r="N80" s="1033">
        <f>'1.BC_Ra Soat (ty) '!CD84</f>
        <v>0</v>
      </c>
      <c r="O80" s="1033">
        <f>'1.BC_Ra Soat (ty) '!CI84</f>
        <v>0</v>
      </c>
      <c r="P80" s="1033">
        <f>'1.BC_Ra Soat (ty) '!CN84</f>
        <v>0</v>
      </c>
      <c r="Q80" s="1033">
        <f t="shared" si="27"/>
        <v>38.970384076999999</v>
      </c>
      <c r="R80" s="1033">
        <f>'1.BC_Ra Soat (ty) '!DH84</f>
        <v>38.970384076999999</v>
      </c>
      <c r="S80" s="1033">
        <f>'1.BC_Ra Soat (ty) '!BU84</f>
        <v>23.434842446999998</v>
      </c>
      <c r="T80" s="1033">
        <f>'1.BC_Ra Soat (ty) '!BZ84</f>
        <v>15.554763725999999</v>
      </c>
      <c r="U80" s="1033">
        <f>'1.BC_Ra Soat (ty) '!CE84</f>
        <v>0</v>
      </c>
      <c r="V80" s="1033">
        <f>'1.BC_Ra Soat (ty) '!CJ84</f>
        <v>0</v>
      </c>
      <c r="W80" s="1033">
        <f>'1.BC_Ra Soat (ty) '!CO84</f>
        <v>0</v>
      </c>
      <c r="X80" s="1033">
        <f t="shared" si="28"/>
        <v>38.989606172999999</v>
      </c>
      <c r="Y80" s="1033">
        <f>'1.BC_Ra Soat (ty) '!DI84</f>
        <v>38.989606172999999</v>
      </c>
      <c r="Z80" s="1033">
        <f>SUMIFS('1.DC_Muc tieu'!$F:$F,'1.DC_Muc tieu'!$D:$D,'1.BC_Muc tieu (ty) '!$D80)-SUMIFS('1.DC_Muc tieu'!$F:$F,'1.DC_Muc tieu'!$E:$E,'1.BC_Muc tieu (ty) '!$D80)</f>
        <v>0</v>
      </c>
      <c r="AA80" s="1033">
        <f>SUMIFS('1.DC_Muc tieu'!$F:$F,'1.DC_Muc tieu'!$D:$D,'1.BC_Muc tieu (ty) '!$D80)-SUMIFS('1.DC_Muc tieu'!$F:$F,'1.DC_Muc tieu'!$E:$E,'1.BC_Muc tieu (ty) '!$D80)</f>
        <v>0</v>
      </c>
      <c r="AB80" s="1033">
        <f>SUMIFS('1.DC_Muc tieu'!$F:$F,'1.DC_Muc tieu'!$D:$D,'1.BC_Muc tieu (ty) '!$D80)-SUMIFS('1.DC_Muc tieu'!$F:$F,'1.DC_Muc tieu'!$E:$E,'1.BC_Muc tieu (ty) '!$D80)</f>
        <v>0</v>
      </c>
      <c r="AC80" s="1033">
        <f>SUMIFS('1.DC_Muc tieu'!$F:$F,'1.DC_Muc tieu'!$D:$D,'1.BC_Muc tieu (ty) '!$D80)-SUMIFS('1.DC_Muc tieu'!$F:$F,'1.DC_Muc tieu'!$E:$E,'1.BC_Muc tieu (ty) '!$D80)</f>
        <v>0</v>
      </c>
      <c r="AD80" s="1033">
        <f>SUMIFS('1.DC_Muc tieu'!$F:$F,'1.DC_Muc tieu'!$D:$D,'1.BC_Muc tieu (ty) '!$D80)-SUMIFS('1.DC_Muc tieu'!$F:$F,'1.DC_Muc tieu'!$E:$E,'1.BC_Muc tieu (ty) '!$D80)</f>
        <v>0</v>
      </c>
      <c r="AE80" s="1033">
        <f t="shared" si="29"/>
        <v>0</v>
      </c>
      <c r="AF80" s="1033">
        <f t="shared" si="101"/>
        <v>23.434842446999998</v>
      </c>
      <c r="AG80" s="1033">
        <f t="shared" si="102"/>
        <v>15.554763725999999</v>
      </c>
      <c r="AH80" s="1033">
        <f t="shared" si="103"/>
        <v>0</v>
      </c>
      <c r="AI80" s="1033">
        <f t="shared" si="104"/>
        <v>0</v>
      </c>
      <c r="AJ80" s="1033">
        <f t="shared" si="105"/>
        <v>0</v>
      </c>
      <c r="AK80" s="1033">
        <f t="shared" si="78"/>
        <v>38.989606172999999</v>
      </c>
      <c r="AL80" s="1082">
        <f t="shared" si="106"/>
        <v>38.989606172999999</v>
      </c>
    </row>
    <row r="81" spans="1:39" s="986" customFormat="1" x14ac:dyDescent="0.25">
      <c r="A81" s="1014">
        <f t="shared" si="70"/>
        <v>1</v>
      </c>
      <c r="B81" s="987" t="s">
        <v>57</v>
      </c>
      <c r="C81" s="988" t="s">
        <v>84</v>
      </c>
      <c r="D81" s="989" t="s">
        <v>384</v>
      </c>
      <c r="E81" s="990">
        <f>SUM(E82:E86)</f>
        <v>0</v>
      </c>
      <c r="F81" s="990">
        <f t="shared" ref="F81:AL81" si="107">SUM(F82:F86)</f>
        <v>0</v>
      </c>
      <c r="G81" s="990">
        <f t="shared" si="107"/>
        <v>0</v>
      </c>
      <c r="H81" s="990">
        <f t="shared" si="107"/>
        <v>0</v>
      </c>
      <c r="I81" s="990">
        <f t="shared" si="107"/>
        <v>0</v>
      </c>
      <c r="J81" s="990">
        <f t="shared" si="107"/>
        <v>0</v>
      </c>
      <c r="K81" s="990">
        <f t="shared" si="107"/>
        <v>0</v>
      </c>
      <c r="L81" s="990">
        <f t="shared" si="107"/>
        <v>-3.400420923</v>
      </c>
      <c r="M81" s="990">
        <f t="shared" si="107"/>
        <v>0</v>
      </c>
      <c r="N81" s="990">
        <f t="shared" si="107"/>
        <v>-0.84688822900000005</v>
      </c>
      <c r="O81" s="990">
        <f t="shared" si="107"/>
        <v>-1.2623553489999999</v>
      </c>
      <c r="P81" s="990">
        <f t="shared" si="107"/>
        <v>0</v>
      </c>
      <c r="Q81" s="990">
        <f t="shared" si="107"/>
        <v>-5.5096645009999996</v>
      </c>
      <c r="R81" s="990">
        <f t="shared" si="107"/>
        <v>-5.5096645009999996</v>
      </c>
      <c r="S81" s="990">
        <f t="shared" si="107"/>
        <v>-3.400420923</v>
      </c>
      <c r="T81" s="990">
        <f t="shared" si="107"/>
        <v>-0.74154054899999999</v>
      </c>
      <c r="U81" s="990">
        <f t="shared" si="107"/>
        <v>-0.84688822900000005</v>
      </c>
      <c r="V81" s="990">
        <f t="shared" si="107"/>
        <v>-1.2623553489999999</v>
      </c>
      <c r="W81" s="990">
        <f t="shared" si="107"/>
        <v>0</v>
      </c>
      <c r="X81" s="990">
        <f t="shared" si="107"/>
        <v>-6.2512050500000003</v>
      </c>
      <c r="Y81" s="990">
        <f t="shared" si="107"/>
        <v>-6.2512050500000003</v>
      </c>
      <c r="Z81" s="990">
        <f t="shared" si="107"/>
        <v>0</v>
      </c>
      <c r="AA81" s="990">
        <f t="shared" si="107"/>
        <v>0</v>
      </c>
      <c r="AB81" s="990">
        <f t="shared" si="107"/>
        <v>0</v>
      </c>
      <c r="AC81" s="990">
        <f t="shared" si="107"/>
        <v>0</v>
      </c>
      <c r="AD81" s="990">
        <f t="shared" si="107"/>
        <v>0</v>
      </c>
      <c r="AE81" s="990">
        <f t="shared" si="107"/>
        <v>0</v>
      </c>
      <c r="AF81" s="990">
        <f t="shared" si="107"/>
        <v>-3.400420923</v>
      </c>
      <c r="AG81" s="990">
        <f t="shared" si="107"/>
        <v>-0.74154054899999999</v>
      </c>
      <c r="AH81" s="990">
        <f t="shared" si="107"/>
        <v>-0.84688822900000005</v>
      </c>
      <c r="AI81" s="990">
        <f t="shared" si="107"/>
        <v>-1.2623553489999999</v>
      </c>
      <c r="AJ81" s="990">
        <f t="shared" si="107"/>
        <v>0</v>
      </c>
      <c r="AK81" s="990">
        <f t="shared" si="107"/>
        <v>-6.2512050500000003</v>
      </c>
      <c r="AL81" s="1081">
        <f t="shared" si="107"/>
        <v>-6.2512050500000003</v>
      </c>
      <c r="AM81" s="990">
        <f t="shared" ref="AM81" si="108">SUM(AM82:AM86)</f>
        <v>0</v>
      </c>
    </row>
    <row r="82" spans="1:39" s="896" customFormat="1" x14ac:dyDescent="0.25">
      <c r="A82" s="1014" t="str">
        <f t="shared" si="70"/>
        <v>hide</v>
      </c>
      <c r="B82" s="994" t="s">
        <v>29</v>
      </c>
      <c r="C82" s="993" t="s">
        <v>85</v>
      </c>
      <c r="D82" s="991" t="s">
        <v>386</v>
      </c>
      <c r="E82" s="992">
        <f>'1.BC_Ra Soat (ty) '!BS86</f>
        <v>0</v>
      </c>
      <c r="F82" s="992">
        <f>'1.BC_Ra Soat (ty) '!BX86</f>
        <v>0</v>
      </c>
      <c r="G82" s="1033">
        <f>'1.BC_Ra Soat (ty) '!CC86</f>
        <v>0</v>
      </c>
      <c r="H82" s="1033">
        <f>'1.BC_Ra Soat (ty) '!CH86</f>
        <v>0</v>
      </c>
      <c r="I82" s="1033">
        <f>'1.BC_Ra Soat (ty) '!CM86</f>
        <v>0</v>
      </c>
      <c r="J82" s="1033">
        <f t="shared" si="26"/>
        <v>0</v>
      </c>
      <c r="K82" s="1033">
        <f>'1.BC_Ra Soat (ty) '!DG86</f>
        <v>0</v>
      </c>
      <c r="L82" s="1033">
        <f>'1.BC_Ra Soat (ty) '!BT86</f>
        <v>0</v>
      </c>
      <c r="M82" s="1033">
        <f>'1.BC_Ra Soat (ty) '!BY86</f>
        <v>0</v>
      </c>
      <c r="N82" s="1033">
        <f>'1.BC_Ra Soat (ty) '!CD86</f>
        <v>0</v>
      </c>
      <c r="O82" s="1033">
        <f>'1.BC_Ra Soat (ty) '!CI86</f>
        <v>0</v>
      </c>
      <c r="P82" s="1033">
        <f>'1.BC_Ra Soat (ty) '!CN86</f>
        <v>0</v>
      </c>
      <c r="Q82" s="1033">
        <f t="shared" si="27"/>
        <v>0</v>
      </c>
      <c r="R82" s="1033">
        <f>'1.BC_Ra Soat (ty) '!DH86</f>
        <v>0</v>
      </c>
      <c r="S82" s="1033">
        <f>'1.BC_Ra Soat (ty) '!BU86</f>
        <v>0</v>
      </c>
      <c r="T82" s="1033">
        <f>'1.BC_Ra Soat (ty) '!BZ86</f>
        <v>0</v>
      </c>
      <c r="U82" s="1033">
        <f>'1.BC_Ra Soat (ty) '!CE86</f>
        <v>0</v>
      </c>
      <c r="V82" s="1033">
        <f>'1.BC_Ra Soat (ty) '!CJ86</f>
        <v>0</v>
      </c>
      <c r="W82" s="1033">
        <f>'1.BC_Ra Soat (ty) '!CO86</f>
        <v>0</v>
      </c>
      <c r="X82" s="1033">
        <f t="shared" si="28"/>
        <v>0</v>
      </c>
      <c r="Y82" s="1033">
        <f>'1.BC_Ra Soat (ty) '!DI86</f>
        <v>0</v>
      </c>
      <c r="Z82" s="1033">
        <f>SUMIFS('1.DC_Muc tieu'!$F:$F,'1.DC_Muc tieu'!$D:$D,'1.BC_Muc tieu (ty) '!$D82)-SUMIFS('1.DC_Muc tieu'!$F:$F,'1.DC_Muc tieu'!$E:$E,'1.BC_Muc tieu (ty) '!$D82)</f>
        <v>0</v>
      </c>
      <c r="AA82" s="1033">
        <f>SUMIFS('1.DC_Muc tieu'!$F:$F,'1.DC_Muc tieu'!$D:$D,'1.BC_Muc tieu (ty) '!$D82)-SUMIFS('1.DC_Muc tieu'!$F:$F,'1.DC_Muc tieu'!$E:$E,'1.BC_Muc tieu (ty) '!$D82)</f>
        <v>0</v>
      </c>
      <c r="AB82" s="1033">
        <f>SUMIFS('1.DC_Muc tieu'!$F:$F,'1.DC_Muc tieu'!$D:$D,'1.BC_Muc tieu (ty) '!$D82)-SUMIFS('1.DC_Muc tieu'!$F:$F,'1.DC_Muc tieu'!$E:$E,'1.BC_Muc tieu (ty) '!$D82)</f>
        <v>0</v>
      </c>
      <c r="AC82" s="1033">
        <f>SUMIFS('1.DC_Muc tieu'!$F:$F,'1.DC_Muc tieu'!$D:$D,'1.BC_Muc tieu (ty) '!$D82)-SUMIFS('1.DC_Muc tieu'!$F:$F,'1.DC_Muc tieu'!$E:$E,'1.BC_Muc tieu (ty) '!$D82)</f>
        <v>0</v>
      </c>
      <c r="AD82" s="1033">
        <f>SUMIFS('1.DC_Muc tieu'!$F:$F,'1.DC_Muc tieu'!$D:$D,'1.BC_Muc tieu (ty) '!$D82)-SUMIFS('1.DC_Muc tieu'!$F:$F,'1.DC_Muc tieu'!$E:$E,'1.BC_Muc tieu (ty) '!$D82)</f>
        <v>0</v>
      </c>
      <c r="AE82" s="1033">
        <f t="shared" si="29"/>
        <v>0</v>
      </c>
      <c r="AF82" s="1033">
        <f t="shared" ref="AF82:AF86" si="109">S82+Z82</f>
        <v>0</v>
      </c>
      <c r="AG82" s="1033">
        <f t="shared" ref="AG82:AG86" si="110">T82+AA82</f>
        <v>0</v>
      </c>
      <c r="AH82" s="1033">
        <f t="shared" ref="AH82:AH86" si="111">U82+AB82</f>
        <v>0</v>
      </c>
      <c r="AI82" s="1033">
        <f t="shared" ref="AI82:AI86" si="112">V82+AC82</f>
        <v>0</v>
      </c>
      <c r="AJ82" s="1033">
        <f t="shared" ref="AJ82:AJ86" si="113">W82+AD82</f>
        <v>0</v>
      </c>
      <c r="AK82" s="1033">
        <f t="shared" si="78"/>
        <v>0</v>
      </c>
      <c r="AL82" s="1033">
        <f t="shared" ref="AL82:AL86" si="114">Y82+AE82</f>
        <v>0</v>
      </c>
    </row>
    <row r="83" spans="1:39" s="896" customFormat="1" x14ac:dyDescent="0.25">
      <c r="A83" s="1014" t="str">
        <f t="shared" si="70"/>
        <v>hide</v>
      </c>
      <c r="B83" s="994" t="s">
        <v>31</v>
      </c>
      <c r="C83" s="993" t="s">
        <v>86</v>
      </c>
      <c r="D83" s="991" t="s">
        <v>388</v>
      </c>
      <c r="E83" s="992">
        <f>'1.BC_Ra Soat (ty) '!BS87</f>
        <v>0</v>
      </c>
      <c r="F83" s="992">
        <f>'1.BC_Ra Soat (ty) '!BX87</f>
        <v>0</v>
      </c>
      <c r="G83" s="1033">
        <f>'1.BC_Ra Soat (ty) '!CC87</f>
        <v>0</v>
      </c>
      <c r="H83" s="1033">
        <f>'1.BC_Ra Soat (ty) '!CH87</f>
        <v>0</v>
      </c>
      <c r="I83" s="1033">
        <f>'1.BC_Ra Soat (ty) '!CM87</f>
        <v>0</v>
      </c>
      <c r="J83" s="1033">
        <f t="shared" si="26"/>
        <v>0</v>
      </c>
      <c r="K83" s="1033">
        <f>'1.BC_Ra Soat (ty) '!DG87</f>
        <v>0</v>
      </c>
      <c r="L83" s="1033">
        <f>'1.BC_Ra Soat (ty) '!BT87</f>
        <v>0</v>
      </c>
      <c r="M83" s="1033">
        <f>'1.BC_Ra Soat (ty) '!BY87</f>
        <v>0</v>
      </c>
      <c r="N83" s="1033">
        <f>'1.BC_Ra Soat (ty) '!CD87</f>
        <v>0</v>
      </c>
      <c r="O83" s="1033">
        <f>'1.BC_Ra Soat (ty) '!CI87</f>
        <v>0</v>
      </c>
      <c r="P83" s="1033">
        <f>'1.BC_Ra Soat (ty) '!CN87</f>
        <v>0</v>
      </c>
      <c r="Q83" s="1033">
        <f t="shared" si="27"/>
        <v>0</v>
      </c>
      <c r="R83" s="1033">
        <f>'1.BC_Ra Soat (ty) '!DH87</f>
        <v>0</v>
      </c>
      <c r="S83" s="1033">
        <f>'1.BC_Ra Soat (ty) '!BU87</f>
        <v>0</v>
      </c>
      <c r="T83" s="1033">
        <f>'1.BC_Ra Soat (ty) '!BZ87</f>
        <v>0</v>
      </c>
      <c r="U83" s="1033">
        <f>'1.BC_Ra Soat (ty) '!CE87</f>
        <v>0</v>
      </c>
      <c r="V83" s="1033">
        <f>'1.BC_Ra Soat (ty) '!CJ87</f>
        <v>0</v>
      </c>
      <c r="W83" s="1033">
        <f>'1.BC_Ra Soat (ty) '!CO87</f>
        <v>0</v>
      </c>
      <c r="X83" s="1033">
        <f t="shared" si="28"/>
        <v>0</v>
      </c>
      <c r="Y83" s="1033">
        <f>'1.BC_Ra Soat (ty) '!DI87</f>
        <v>0</v>
      </c>
      <c r="Z83" s="1033">
        <f>SUMIFS('1.DC_Muc tieu'!$F:$F,'1.DC_Muc tieu'!$D:$D,'1.BC_Muc tieu (ty) '!$D83)-SUMIFS('1.DC_Muc tieu'!$F:$F,'1.DC_Muc tieu'!$E:$E,'1.BC_Muc tieu (ty) '!$D83)</f>
        <v>0</v>
      </c>
      <c r="AA83" s="1033">
        <f>SUMIFS('1.DC_Muc tieu'!$F:$F,'1.DC_Muc tieu'!$D:$D,'1.BC_Muc tieu (ty) '!$D83)-SUMIFS('1.DC_Muc tieu'!$F:$F,'1.DC_Muc tieu'!$E:$E,'1.BC_Muc tieu (ty) '!$D83)</f>
        <v>0</v>
      </c>
      <c r="AB83" s="1033">
        <f>SUMIFS('1.DC_Muc tieu'!$F:$F,'1.DC_Muc tieu'!$D:$D,'1.BC_Muc tieu (ty) '!$D83)-SUMIFS('1.DC_Muc tieu'!$F:$F,'1.DC_Muc tieu'!$E:$E,'1.BC_Muc tieu (ty) '!$D83)</f>
        <v>0</v>
      </c>
      <c r="AC83" s="1033">
        <f>SUMIFS('1.DC_Muc tieu'!$F:$F,'1.DC_Muc tieu'!$D:$D,'1.BC_Muc tieu (ty) '!$D83)-SUMIFS('1.DC_Muc tieu'!$F:$F,'1.DC_Muc tieu'!$E:$E,'1.BC_Muc tieu (ty) '!$D83)</f>
        <v>0</v>
      </c>
      <c r="AD83" s="1033">
        <f>SUMIFS('1.DC_Muc tieu'!$F:$F,'1.DC_Muc tieu'!$D:$D,'1.BC_Muc tieu (ty) '!$D83)-SUMIFS('1.DC_Muc tieu'!$F:$F,'1.DC_Muc tieu'!$E:$E,'1.BC_Muc tieu (ty) '!$D83)</f>
        <v>0</v>
      </c>
      <c r="AE83" s="1033">
        <f t="shared" si="29"/>
        <v>0</v>
      </c>
      <c r="AF83" s="1033">
        <f t="shared" si="109"/>
        <v>0</v>
      </c>
      <c r="AG83" s="1033">
        <f t="shared" si="110"/>
        <v>0</v>
      </c>
      <c r="AH83" s="1033">
        <f t="shared" si="111"/>
        <v>0</v>
      </c>
      <c r="AI83" s="1033">
        <f t="shared" si="112"/>
        <v>0</v>
      </c>
      <c r="AJ83" s="1033">
        <f t="shared" si="113"/>
        <v>0</v>
      </c>
      <c r="AK83" s="1033">
        <f t="shared" si="78"/>
        <v>0</v>
      </c>
      <c r="AL83" s="1033">
        <f t="shared" si="114"/>
        <v>0</v>
      </c>
    </row>
    <row r="84" spans="1:39" s="896" customFormat="1" x14ac:dyDescent="0.25">
      <c r="A84" s="1014" t="str">
        <f t="shared" si="70"/>
        <v>hide</v>
      </c>
      <c r="B84" s="994" t="s">
        <v>37</v>
      </c>
      <c r="C84" s="993" t="s">
        <v>87</v>
      </c>
      <c r="D84" s="991" t="s">
        <v>390</v>
      </c>
      <c r="E84" s="992">
        <f>'1.BC_Ra Soat (ty) '!BS88</f>
        <v>0</v>
      </c>
      <c r="F84" s="992">
        <f>'1.BC_Ra Soat (ty) '!BX88</f>
        <v>0</v>
      </c>
      <c r="G84" s="1033">
        <f>'1.BC_Ra Soat (ty) '!CC88</f>
        <v>0</v>
      </c>
      <c r="H84" s="1033">
        <f>'1.BC_Ra Soat (ty) '!CH88</f>
        <v>0</v>
      </c>
      <c r="I84" s="1033">
        <f>'1.BC_Ra Soat (ty) '!CM88</f>
        <v>0</v>
      </c>
      <c r="J84" s="1033">
        <f t="shared" si="26"/>
        <v>0</v>
      </c>
      <c r="K84" s="1033">
        <f>'1.BC_Ra Soat (ty) '!DG88</f>
        <v>0</v>
      </c>
      <c r="L84" s="1033">
        <f>'1.BC_Ra Soat (ty) '!BT88</f>
        <v>0</v>
      </c>
      <c r="M84" s="1033">
        <f>'1.BC_Ra Soat (ty) '!BY88</f>
        <v>0</v>
      </c>
      <c r="N84" s="1033">
        <f>'1.BC_Ra Soat (ty) '!CD88</f>
        <v>0</v>
      </c>
      <c r="O84" s="1033">
        <f>'1.BC_Ra Soat (ty) '!CI88</f>
        <v>0</v>
      </c>
      <c r="P84" s="1033">
        <f>'1.BC_Ra Soat (ty) '!CN88</f>
        <v>0</v>
      </c>
      <c r="Q84" s="1033">
        <f t="shared" si="27"/>
        <v>0</v>
      </c>
      <c r="R84" s="1033">
        <f>'1.BC_Ra Soat (ty) '!DH88</f>
        <v>0</v>
      </c>
      <c r="S84" s="1033">
        <f>'1.BC_Ra Soat (ty) '!BU88</f>
        <v>0</v>
      </c>
      <c r="T84" s="1033">
        <f>'1.BC_Ra Soat (ty) '!BZ88</f>
        <v>0</v>
      </c>
      <c r="U84" s="1033">
        <f>'1.BC_Ra Soat (ty) '!CE88</f>
        <v>0</v>
      </c>
      <c r="V84" s="1033">
        <f>'1.BC_Ra Soat (ty) '!CJ88</f>
        <v>0</v>
      </c>
      <c r="W84" s="1033">
        <f>'1.BC_Ra Soat (ty) '!CO88</f>
        <v>0</v>
      </c>
      <c r="X84" s="1033">
        <f t="shared" si="28"/>
        <v>0</v>
      </c>
      <c r="Y84" s="1033">
        <f>'1.BC_Ra Soat (ty) '!DI88</f>
        <v>0</v>
      </c>
      <c r="Z84" s="1033">
        <f>SUMIFS('1.DC_Muc tieu'!$F:$F,'1.DC_Muc tieu'!$D:$D,'1.BC_Muc tieu (ty) '!$D84)-SUMIFS('1.DC_Muc tieu'!$F:$F,'1.DC_Muc tieu'!$E:$E,'1.BC_Muc tieu (ty) '!$D84)</f>
        <v>0</v>
      </c>
      <c r="AA84" s="1033">
        <f>SUMIFS('1.DC_Muc tieu'!$F:$F,'1.DC_Muc tieu'!$D:$D,'1.BC_Muc tieu (ty) '!$D84)-SUMIFS('1.DC_Muc tieu'!$F:$F,'1.DC_Muc tieu'!$E:$E,'1.BC_Muc tieu (ty) '!$D84)</f>
        <v>0</v>
      </c>
      <c r="AB84" s="1033">
        <f>SUMIFS('1.DC_Muc tieu'!$F:$F,'1.DC_Muc tieu'!$D:$D,'1.BC_Muc tieu (ty) '!$D84)-SUMIFS('1.DC_Muc tieu'!$F:$F,'1.DC_Muc tieu'!$E:$E,'1.BC_Muc tieu (ty) '!$D84)</f>
        <v>0</v>
      </c>
      <c r="AC84" s="1033">
        <f>SUMIFS('1.DC_Muc tieu'!$F:$F,'1.DC_Muc tieu'!$D:$D,'1.BC_Muc tieu (ty) '!$D84)-SUMIFS('1.DC_Muc tieu'!$F:$F,'1.DC_Muc tieu'!$E:$E,'1.BC_Muc tieu (ty) '!$D84)</f>
        <v>0</v>
      </c>
      <c r="AD84" s="1033">
        <f>SUMIFS('1.DC_Muc tieu'!$F:$F,'1.DC_Muc tieu'!$D:$D,'1.BC_Muc tieu (ty) '!$D84)-SUMIFS('1.DC_Muc tieu'!$F:$F,'1.DC_Muc tieu'!$E:$E,'1.BC_Muc tieu (ty) '!$D84)</f>
        <v>0</v>
      </c>
      <c r="AE84" s="1033">
        <f>SUM(Z84:AC84)</f>
        <v>0</v>
      </c>
      <c r="AF84" s="1033">
        <f t="shared" si="109"/>
        <v>0</v>
      </c>
      <c r="AG84" s="1033">
        <f t="shared" si="110"/>
        <v>0</v>
      </c>
      <c r="AH84" s="1033">
        <f t="shared" si="111"/>
        <v>0</v>
      </c>
      <c r="AI84" s="1033">
        <f t="shared" si="112"/>
        <v>0</v>
      </c>
      <c r="AJ84" s="1033">
        <f t="shared" si="113"/>
        <v>0</v>
      </c>
      <c r="AK84" s="1033">
        <f t="shared" si="78"/>
        <v>0</v>
      </c>
      <c r="AL84" s="1033">
        <f t="shared" si="114"/>
        <v>0</v>
      </c>
    </row>
    <row r="85" spans="1:39" s="896" customFormat="1" x14ac:dyDescent="0.25">
      <c r="A85" s="1014">
        <f t="shared" si="70"/>
        <v>1</v>
      </c>
      <c r="B85" s="994" t="s">
        <v>44</v>
      </c>
      <c r="C85" s="993" t="s">
        <v>88</v>
      </c>
      <c r="D85" s="991" t="s">
        <v>392</v>
      </c>
      <c r="E85" s="992">
        <f>'1.BC_Ra Soat (ty) '!BS89</f>
        <v>0</v>
      </c>
      <c r="F85" s="992">
        <f>'1.BC_Ra Soat (ty) '!BX89</f>
        <v>0</v>
      </c>
      <c r="G85" s="1033">
        <f>'1.BC_Ra Soat (ty) '!CC89</f>
        <v>0</v>
      </c>
      <c r="H85" s="1033">
        <f>'1.BC_Ra Soat (ty) '!CH89</f>
        <v>0</v>
      </c>
      <c r="I85" s="1033">
        <f>'1.BC_Ra Soat (ty) '!CM89</f>
        <v>0</v>
      </c>
      <c r="J85" s="1033">
        <f t="shared" si="26"/>
        <v>0</v>
      </c>
      <c r="K85" s="1033">
        <f>'1.BC_Ra Soat (ty) '!DG89</f>
        <v>0</v>
      </c>
      <c r="L85" s="1033">
        <f>'1.BC_Ra Soat (ty) '!BT89</f>
        <v>-3.400420923</v>
      </c>
      <c r="M85" s="1033">
        <f>'1.BC_Ra Soat (ty) '!BY89</f>
        <v>0</v>
      </c>
      <c r="N85" s="1033">
        <f>'1.BC_Ra Soat (ty) '!CD89</f>
        <v>-0.84688822900000005</v>
      </c>
      <c r="O85" s="1033">
        <f>'1.BC_Ra Soat (ty) '!CI89</f>
        <v>-1.2623553489999999</v>
      </c>
      <c r="P85" s="1033">
        <f>'1.BC_Ra Soat (ty) '!CN89</f>
        <v>0</v>
      </c>
      <c r="Q85" s="1033">
        <f t="shared" si="27"/>
        <v>-5.5096645009999996</v>
      </c>
      <c r="R85" s="1033">
        <f>'1.BC_Ra Soat (ty) '!DH89</f>
        <v>-5.5096645009999996</v>
      </c>
      <c r="S85" s="1033">
        <f>'1.BC_Ra Soat (ty) '!BU89</f>
        <v>-3.400420923</v>
      </c>
      <c r="T85" s="1033">
        <f>'1.BC_Ra Soat (ty) '!BZ89</f>
        <v>-0.74154054899999999</v>
      </c>
      <c r="U85" s="1033">
        <f>'1.BC_Ra Soat (ty) '!CE89</f>
        <v>-0.84688822900000005</v>
      </c>
      <c r="V85" s="1033">
        <f>'1.BC_Ra Soat (ty) '!CJ89</f>
        <v>-1.2623553489999999</v>
      </c>
      <c r="W85" s="1033">
        <f>'1.BC_Ra Soat (ty) '!CO89</f>
        <v>0</v>
      </c>
      <c r="X85" s="1033">
        <f t="shared" si="28"/>
        <v>-6.2512050500000003</v>
      </c>
      <c r="Y85" s="1033">
        <f>'1.BC_Ra Soat (ty) '!DI89</f>
        <v>-6.2512050500000003</v>
      </c>
      <c r="Z85" s="1033">
        <f>SUMIFS('1.DC_Muc tieu'!$F:$F,'1.DC_Muc tieu'!$D:$D,'1.BC_Muc tieu (ty) '!$D85)-SUMIFS('1.DC_Muc tieu'!$F:$F,'1.DC_Muc tieu'!$E:$E,'1.BC_Muc tieu (ty) '!$D85)</f>
        <v>0</v>
      </c>
      <c r="AA85" s="1033">
        <f>SUMIFS('1.DC_Muc tieu'!$F:$F,'1.DC_Muc tieu'!$D:$D,'1.BC_Muc tieu (ty) '!$D85)-SUMIFS('1.DC_Muc tieu'!$F:$F,'1.DC_Muc tieu'!$E:$E,'1.BC_Muc tieu (ty) '!$D85)</f>
        <v>0</v>
      </c>
      <c r="AB85" s="1033">
        <f>SUMIFS('1.DC_Muc tieu'!$F:$F,'1.DC_Muc tieu'!$D:$D,'1.BC_Muc tieu (ty) '!$D85)-SUMIFS('1.DC_Muc tieu'!$F:$F,'1.DC_Muc tieu'!$E:$E,'1.BC_Muc tieu (ty) '!$D85)</f>
        <v>0</v>
      </c>
      <c r="AC85" s="1033">
        <f>SUMIFS('1.DC_Muc tieu'!$F:$F,'1.DC_Muc tieu'!$D:$D,'1.BC_Muc tieu (ty) '!$D85)-SUMIFS('1.DC_Muc tieu'!$F:$F,'1.DC_Muc tieu'!$E:$E,'1.BC_Muc tieu (ty) '!$D85)</f>
        <v>0</v>
      </c>
      <c r="AD85" s="1033">
        <f>SUMIFS('1.DC_Muc tieu'!$F:$F,'1.DC_Muc tieu'!$D:$D,'1.BC_Muc tieu (ty) '!$D85)-SUMIFS('1.DC_Muc tieu'!$F:$F,'1.DC_Muc tieu'!$E:$E,'1.BC_Muc tieu (ty) '!$D85)</f>
        <v>0</v>
      </c>
      <c r="AE85" s="1033">
        <f t="shared" si="29"/>
        <v>0</v>
      </c>
      <c r="AF85" s="1033">
        <f t="shared" si="109"/>
        <v>-3.400420923</v>
      </c>
      <c r="AG85" s="1033">
        <f t="shared" si="110"/>
        <v>-0.74154054899999999</v>
      </c>
      <c r="AH85" s="1033">
        <f t="shared" si="111"/>
        <v>-0.84688822900000005</v>
      </c>
      <c r="AI85" s="1033">
        <f t="shared" si="112"/>
        <v>-1.2623553489999999</v>
      </c>
      <c r="AJ85" s="1033">
        <f t="shared" si="113"/>
        <v>0</v>
      </c>
      <c r="AK85" s="1033">
        <f t="shared" si="78"/>
        <v>-6.2512050500000003</v>
      </c>
      <c r="AL85" s="1082">
        <f t="shared" si="114"/>
        <v>-6.2512050500000003</v>
      </c>
    </row>
    <row r="86" spans="1:39" s="896" customFormat="1" x14ac:dyDescent="0.25">
      <c r="A86" s="1014" t="str">
        <f t="shared" si="70"/>
        <v>hide</v>
      </c>
      <c r="B86" s="994" t="s">
        <v>46</v>
      </c>
      <c r="C86" s="993" t="s">
        <v>38</v>
      </c>
      <c r="D86" s="991" t="s">
        <v>394</v>
      </c>
      <c r="E86" s="992">
        <f>'1.BC_Ra Soat (ty) '!BS90</f>
        <v>0</v>
      </c>
      <c r="F86" s="992">
        <f>'1.BC_Ra Soat (ty) '!BX90</f>
        <v>0</v>
      </c>
      <c r="G86" s="1033">
        <f>'1.BC_Ra Soat (ty) '!CC90</f>
        <v>0</v>
      </c>
      <c r="H86" s="1033">
        <f>'1.BC_Ra Soat (ty) '!CH90</f>
        <v>0</v>
      </c>
      <c r="I86" s="1033">
        <f>'1.BC_Ra Soat (ty) '!CM90</f>
        <v>0</v>
      </c>
      <c r="J86" s="1033">
        <f t="shared" si="26"/>
        <v>0</v>
      </c>
      <c r="K86" s="1033">
        <f>'1.BC_Ra Soat (ty) '!DG90</f>
        <v>0</v>
      </c>
      <c r="L86" s="1033">
        <f>'1.BC_Ra Soat (ty) '!BT90</f>
        <v>0</v>
      </c>
      <c r="M86" s="1033">
        <f>'1.BC_Ra Soat (ty) '!BY90</f>
        <v>0</v>
      </c>
      <c r="N86" s="1033">
        <f>'1.BC_Ra Soat (ty) '!CD90</f>
        <v>0</v>
      </c>
      <c r="O86" s="1033">
        <f>'1.BC_Ra Soat (ty) '!CI90</f>
        <v>0</v>
      </c>
      <c r="P86" s="1033">
        <f>'1.BC_Ra Soat (ty) '!CN90</f>
        <v>0</v>
      </c>
      <c r="Q86" s="1033">
        <f t="shared" si="27"/>
        <v>0</v>
      </c>
      <c r="R86" s="1033">
        <f>'1.BC_Ra Soat (ty) '!DH90</f>
        <v>0</v>
      </c>
      <c r="S86" s="1033">
        <f>'1.BC_Ra Soat (ty) '!BU90</f>
        <v>0</v>
      </c>
      <c r="T86" s="1033">
        <f>'1.BC_Ra Soat (ty) '!BZ90</f>
        <v>0</v>
      </c>
      <c r="U86" s="1033">
        <f>'1.BC_Ra Soat (ty) '!CE90</f>
        <v>0</v>
      </c>
      <c r="V86" s="1033">
        <f>'1.BC_Ra Soat (ty) '!CJ90</f>
        <v>0</v>
      </c>
      <c r="W86" s="1033">
        <f>'1.BC_Ra Soat (ty) '!CO90</f>
        <v>0</v>
      </c>
      <c r="X86" s="1033">
        <f t="shared" si="28"/>
        <v>0</v>
      </c>
      <c r="Y86" s="1033">
        <f>'1.BC_Ra Soat (ty) '!DI90</f>
        <v>0</v>
      </c>
      <c r="Z86" s="1033">
        <f>SUMIFS('1.DC_Muc tieu'!$F:$F,'1.DC_Muc tieu'!$D:$D,'1.BC_Muc tieu (ty) '!$D86)-SUMIFS('1.DC_Muc tieu'!$F:$F,'1.DC_Muc tieu'!$E:$E,'1.BC_Muc tieu (ty) '!$D86)</f>
        <v>0</v>
      </c>
      <c r="AA86" s="1033">
        <f>SUMIFS('1.DC_Muc tieu'!$F:$F,'1.DC_Muc tieu'!$D:$D,'1.BC_Muc tieu (ty) '!$D86)-SUMIFS('1.DC_Muc tieu'!$F:$F,'1.DC_Muc tieu'!$E:$E,'1.BC_Muc tieu (ty) '!$D86)</f>
        <v>0</v>
      </c>
      <c r="AB86" s="1033">
        <f>SUMIFS('1.DC_Muc tieu'!$F:$F,'1.DC_Muc tieu'!$D:$D,'1.BC_Muc tieu (ty) '!$D86)-SUMIFS('1.DC_Muc tieu'!$F:$F,'1.DC_Muc tieu'!$E:$E,'1.BC_Muc tieu (ty) '!$D86)</f>
        <v>0</v>
      </c>
      <c r="AC86" s="1033">
        <f>SUMIFS('1.DC_Muc tieu'!$F:$F,'1.DC_Muc tieu'!$D:$D,'1.BC_Muc tieu (ty) '!$D86)-SUMIFS('1.DC_Muc tieu'!$F:$F,'1.DC_Muc tieu'!$E:$E,'1.BC_Muc tieu (ty) '!$D86)</f>
        <v>0</v>
      </c>
      <c r="AD86" s="1033">
        <f>SUMIFS('1.DC_Muc tieu'!$F:$F,'1.DC_Muc tieu'!$D:$D,'1.BC_Muc tieu (ty) '!$D86)-SUMIFS('1.DC_Muc tieu'!$F:$F,'1.DC_Muc tieu'!$E:$E,'1.BC_Muc tieu (ty) '!$D86)</f>
        <v>0</v>
      </c>
      <c r="AE86" s="1033">
        <f t="shared" si="29"/>
        <v>0</v>
      </c>
      <c r="AF86" s="1033">
        <f t="shared" si="109"/>
        <v>0</v>
      </c>
      <c r="AG86" s="1033">
        <f t="shared" si="110"/>
        <v>0</v>
      </c>
      <c r="AH86" s="1033">
        <f t="shared" si="111"/>
        <v>0</v>
      </c>
      <c r="AI86" s="1033">
        <f t="shared" si="112"/>
        <v>0</v>
      </c>
      <c r="AJ86" s="1033">
        <f t="shared" si="113"/>
        <v>0</v>
      </c>
      <c r="AK86" s="1033">
        <f t="shared" si="78"/>
        <v>0</v>
      </c>
      <c r="AL86" s="1033">
        <f t="shared" si="114"/>
        <v>0</v>
      </c>
    </row>
    <row r="87" spans="1:39" s="986" customFormat="1" x14ac:dyDescent="0.25">
      <c r="A87" s="1014" t="str">
        <f t="shared" si="70"/>
        <v>hide</v>
      </c>
      <c r="B87" s="987" t="s">
        <v>89</v>
      </c>
      <c r="C87" s="988" t="s">
        <v>90</v>
      </c>
      <c r="D87" s="989" t="s">
        <v>396</v>
      </c>
      <c r="E87" s="990">
        <f>SUM(E88:E91)</f>
        <v>0</v>
      </c>
      <c r="F87" s="990">
        <f t="shared" ref="F87:AL87" si="115">SUM(F88:F91)</f>
        <v>0</v>
      </c>
      <c r="G87" s="990">
        <f t="shared" si="115"/>
        <v>0</v>
      </c>
      <c r="H87" s="990">
        <f t="shared" si="115"/>
        <v>0</v>
      </c>
      <c r="I87" s="990">
        <f t="shared" si="115"/>
        <v>0</v>
      </c>
      <c r="J87" s="990">
        <f t="shared" si="115"/>
        <v>0</v>
      </c>
      <c r="K87" s="990">
        <f t="shared" si="115"/>
        <v>0</v>
      </c>
      <c r="L87" s="990">
        <f t="shared" si="115"/>
        <v>0</v>
      </c>
      <c r="M87" s="990">
        <f t="shared" si="115"/>
        <v>0</v>
      </c>
      <c r="N87" s="990">
        <f t="shared" si="115"/>
        <v>0</v>
      </c>
      <c r="O87" s="990">
        <f t="shared" si="115"/>
        <v>0</v>
      </c>
      <c r="P87" s="990">
        <f t="shared" si="115"/>
        <v>0</v>
      </c>
      <c r="Q87" s="990">
        <f t="shared" si="115"/>
        <v>0</v>
      </c>
      <c r="R87" s="990">
        <f t="shared" si="115"/>
        <v>0</v>
      </c>
      <c r="S87" s="990">
        <f t="shared" si="115"/>
        <v>0</v>
      </c>
      <c r="T87" s="990">
        <f t="shared" si="115"/>
        <v>0</v>
      </c>
      <c r="U87" s="990">
        <f t="shared" si="115"/>
        <v>0</v>
      </c>
      <c r="V87" s="990">
        <f t="shared" si="115"/>
        <v>0</v>
      </c>
      <c r="W87" s="990">
        <f t="shared" si="115"/>
        <v>0</v>
      </c>
      <c r="X87" s="990">
        <f t="shared" si="115"/>
        <v>0</v>
      </c>
      <c r="Y87" s="990">
        <f t="shared" si="115"/>
        <v>0</v>
      </c>
      <c r="Z87" s="990">
        <f t="shared" si="115"/>
        <v>0</v>
      </c>
      <c r="AA87" s="990">
        <f t="shared" si="115"/>
        <v>0</v>
      </c>
      <c r="AB87" s="990">
        <f t="shared" si="115"/>
        <v>0</v>
      </c>
      <c r="AC87" s="990">
        <f t="shared" si="115"/>
        <v>0</v>
      </c>
      <c r="AD87" s="990">
        <f t="shared" si="115"/>
        <v>0</v>
      </c>
      <c r="AE87" s="990">
        <f t="shared" si="115"/>
        <v>0</v>
      </c>
      <c r="AF87" s="990">
        <f t="shared" si="115"/>
        <v>0</v>
      </c>
      <c r="AG87" s="990">
        <f t="shared" si="115"/>
        <v>0</v>
      </c>
      <c r="AH87" s="990">
        <f t="shared" si="115"/>
        <v>0</v>
      </c>
      <c r="AI87" s="990">
        <f t="shared" si="115"/>
        <v>0</v>
      </c>
      <c r="AJ87" s="990">
        <f t="shared" si="115"/>
        <v>0</v>
      </c>
      <c r="AK87" s="990">
        <f t="shared" si="115"/>
        <v>0</v>
      </c>
      <c r="AL87" s="990">
        <f t="shared" si="115"/>
        <v>0</v>
      </c>
      <c r="AM87" s="985"/>
    </row>
    <row r="88" spans="1:39" s="896" customFormat="1" x14ac:dyDescent="0.25">
      <c r="A88" s="1014" t="str">
        <f t="shared" si="70"/>
        <v>hide</v>
      </c>
      <c r="B88" s="994" t="s">
        <v>29</v>
      </c>
      <c r="C88" s="993" t="s">
        <v>91</v>
      </c>
      <c r="D88" s="991" t="s">
        <v>398</v>
      </c>
      <c r="E88" s="992">
        <f>'1.BC_Ra Soat (ty) '!BR92</f>
        <v>0</v>
      </c>
      <c r="F88" s="992">
        <f>'1.BC_Ra Soat (ty) '!BX92</f>
        <v>0</v>
      </c>
      <c r="G88" s="1032">
        <f>'1.BC_Ra Soat (ty) '!CC92</f>
        <v>0</v>
      </c>
      <c r="H88" s="1032">
        <f>'1.BC_Ra Soat (ty) '!CH92</f>
        <v>0</v>
      </c>
      <c r="I88" s="1032">
        <f>'1.BC_Ra Soat (ty) '!CM92</f>
        <v>0</v>
      </c>
      <c r="J88" s="1033">
        <f t="shared" si="26"/>
        <v>0</v>
      </c>
      <c r="K88" s="1033">
        <f>'1.BC_Ra Soat (ty) '!DG92</f>
        <v>0</v>
      </c>
      <c r="L88" s="1032">
        <f>'1.BC_Ra Soat (ty) '!BT92</f>
        <v>0</v>
      </c>
      <c r="M88" s="1032">
        <f>'1.BC_Ra Soat (ty) '!BY92</f>
        <v>0</v>
      </c>
      <c r="N88" s="1032">
        <f>'1.BC_Ra Soat (ty) '!CD92</f>
        <v>0</v>
      </c>
      <c r="O88" s="1032">
        <f>'1.BC_Ra Soat (ty) '!CI92</f>
        <v>0</v>
      </c>
      <c r="P88" s="1032">
        <f>'1.BC_Ra Soat (ty) '!CN92</f>
        <v>0</v>
      </c>
      <c r="Q88" s="1033">
        <f t="shared" si="27"/>
        <v>0</v>
      </c>
      <c r="R88" s="1033">
        <f>'1.BC_Ra Soat (ty) '!DH92</f>
        <v>0</v>
      </c>
      <c r="S88" s="1032">
        <f>'1.BC_Ra Soat (ty) '!BU92</f>
        <v>0</v>
      </c>
      <c r="T88" s="1032">
        <f>'1.BC_Ra Soat (ty) '!BZ92</f>
        <v>0</v>
      </c>
      <c r="U88" s="1032">
        <f>'1.BC_Ra Soat (ty) '!CE92</f>
        <v>0</v>
      </c>
      <c r="V88" s="1032">
        <f>'1.BC_Ra Soat (ty) '!CJ92</f>
        <v>0</v>
      </c>
      <c r="W88" s="1032">
        <f>'1.BC_Ra Soat (ty) '!CO92</f>
        <v>0</v>
      </c>
      <c r="X88" s="1032">
        <f t="shared" si="28"/>
        <v>0</v>
      </c>
      <c r="Y88" s="1032">
        <f>'1.BC_Ra Soat (ty) '!DI92</f>
        <v>0</v>
      </c>
      <c r="Z88" s="1033">
        <f>SUMIFS('1.DC_Muc tieu'!$F:$F,'1.DC_Muc tieu'!$D:$D,'1.BC_Muc tieu (ty) '!$D88)-SUMIFS('1.DC_Muc tieu'!$F:$F,'1.DC_Muc tieu'!$E:$E,'1.BC_Muc tieu (ty) '!$D88)</f>
        <v>0</v>
      </c>
      <c r="AA88" s="1033">
        <f>SUMIFS('1.DC_Muc tieu'!$F:$F,'1.DC_Muc tieu'!$D:$D,'1.BC_Muc tieu (ty) '!$D88)-SUMIFS('1.DC_Muc tieu'!$F:$F,'1.DC_Muc tieu'!$E:$E,'1.BC_Muc tieu (ty) '!$D88)</f>
        <v>0</v>
      </c>
      <c r="AB88" s="1033">
        <f>SUMIFS('1.DC_Muc tieu'!$F:$F,'1.DC_Muc tieu'!$D:$D,'1.BC_Muc tieu (ty) '!$D88)-SUMIFS('1.DC_Muc tieu'!$F:$F,'1.DC_Muc tieu'!$E:$E,'1.BC_Muc tieu (ty) '!$D88)</f>
        <v>0</v>
      </c>
      <c r="AC88" s="1033">
        <f>SUMIFS('1.DC_Muc tieu'!$F:$F,'1.DC_Muc tieu'!$D:$D,'1.BC_Muc tieu (ty) '!$D88)-SUMIFS('1.DC_Muc tieu'!$F:$F,'1.DC_Muc tieu'!$E:$E,'1.BC_Muc tieu (ty) '!$D88)</f>
        <v>0</v>
      </c>
      <c r="AD88" s="1033">
        <f>SUMIFS('1.DC_Muc tieu'!$F:$F,'1.DC_Muc tieu'!$D:$D,'1.BC_Muc tieu (ty) '!$D88)-SUMIFS('1.DC_Muc tieu'!$F:$F,'1.DC_Muc tieu'!$E:$E,'1.BC_Muc tieu (ty) '!$D88)</f>
        <v>0</v>
      </c>
      <c r="AE88" s="1033">
        <f t="shared" si="29"/>
        <v>0</v>
      </c>
      <c r="AF88" s="1033">
        <f t="shared" ref="AF88:AF91" si="116">S88+Z88</f>
        <v>0</v>
      </c>
      <c r="AG88" s="1033">
        <f t="shared" ref="AG88:AG91" si="117">T88+AA88</f>
        <v>0</v>
      </c>
      <c r="AH88" s="1033">
        <f t="shared" ref="AH88:AH91" si="118">U88+AB88</f>
        <v>0</v>
      </c>
      <c r="AI88" s="1033">
        <f t="shared" ref="AI88:AI91" si="119">V88+AC88</f>
        <v>0</v>
      </c>
      <c r="AJ88" s="1033">
        <f t="shared" ref="AJ88:AJ91" si="120">W88+AD88</f>
        <v>0</v>
      </c>
      <c r="AK88" s="1033">
        <f t="shared" si="78"/>
        <v>0</v>
      </c>
      <c r="AL88" s="1033">
        <f t="shared" ref="AL88:AL91" si="121">Y88+AE88</f>
        <v>0</v>
      </c>
    </row>
    <row r="89" spans="1:39" s="896" customFormat="1" x14ac:dyDescent="0.25">
      <c r="A89" s="1014" t="str">
        <f t="shared" si="70"/>
        <v>hide</v>
      </c>
      <c r="B89" s="994" t="s">
        <v>31</v>
      </c>
      <c r="C89" s="993" t="s">
        <v>92</v>
      </c>
      <c r="D89" s="991" t="s">
        <v>400</v>
      </c>
      <c r="E89" s="992">
        <f>'1.BC_Ra Soat (ty) '!BR93</f>
        <v>0</v>
      </c>
      <c r="F89" s="992">
        <f>'1.BC_Ra Soat (ty) '!BX93</f>
        <v>0</v>
      </c>
      <c r="G89" s="1032">
        <f>'1.BC_Ra Soat (ty) '!CC93</f>
        <v>0</v>
      </c>
      <c r="H89" s="1032">
        <f>'1.BC_Ra Soat (ty) '!CH93</f>
        <v>0</v>
      </c>
      <c r="I89" s="1032">
        <f>'1.BC_Ra Soat (ty) '!CM93</f>
        <v>0</v>
      </c>
      <c r="J89" s="1033">
        <f t="shared" si="26"/>
        <v>0</v>
      </c>
      <c r="K89" s="1033">
        <f>'1.BC_Ra Soat (ty) '!DG93</f>
        <v>0</v>
      </c>
      <c r="L89" s="1032">
        <f>'1.BC_Ra Soat (ty) '!BT93</f>
        <v>0</v>
      </c>
      <c r="M89" s="1032">
        <f>'1.BC_Ra Soat (ty) '!BY93</f>
        <v>0</v>
      </c>
      <c r="N89" s="1032">
        <f>'1.BC_Ra Soat (ty) '!CD93</f>
        <v>0</v>
      </c>
      <c r="O89" s="1032">
        <f>'1.BC_Ra Soat (ty) '!CI93</f>
        <v>0</v>
      </c>
      <c r="P89" s="1032">
        <f>'1.BC_Ra Soat (ty) '!CN93</f>
        <v>0</v>
      </c>
      <c r="Q89" s="1033">
        <f t="shared" si="27"/>
        <v>0</v>
      </c>
      <c r="R89" s="1033">
        <f>'1.BC_Ra Soat (ty) '!DH93</f>
        <v>0</v>
      </c>
      <c r="S89" s="1032">
        <f>'1.BC_Ra Soat (ty) '!BU93</f>
        <v>0</v>
      </c>
      <c r="T89" s="1032">
        <f>'1.BC_Ra Soat (ty) '!BZ93</f>
        <v>0</v>
      </c>
      <c r="U89" s="1032">
        <f>'1.BC_Ra Soat (ty) '!CE93</f>
        <v>0</v>
      </c>
      <c r="V89" s="1032">
        <f>'1.BC_Ra Soat (ty) '!CJ93</f>
        <v>0</v>
      </c>
      <c r="W89" s="1032">
        <f>'1.BC_Ra Soat (ty) '!CO93</f>
        <v>0</v>
      </c>
      <c r="X89" s="1032">
        <f t="shared" si="28"/>
        <v>0</v>
      </c>
      <c r="Y89" s="1032">
        <f>'1.BC_Ra Soat (ty) '!DI93</f>
        <v>0</v>
      </c>
      <c r="Z89" s="1033">
        <f>SUMIFS('1.DC_Muc tieu'!$F:$F,'1.DC_Muc tieu'!$D:$D,'1.BC_Muc tieu (ty) '!$D89)-SUMIFS('1.DC_Muc tieu'!$F:$F,'1.DC_Muc tieu'!$E:$E,'1.BC_Muc tieu (ty) '!$D89)</f>
        <v>0</v>
      </c>
      <c r="AA89" s="1033">
        <f>SUMIFS('1.DC_Muc tieu'!$F:$F,'1.DC_Muc tieu'!$D:$D,'1.BC_Muc tieu (ty) '!$D89)-SUMIFS('1.DC_Muc tieu'!$F:$F,'1.DC_Muc tieu'!$E:$E,'1.BC_Muc tieu (ty) '!$D89)</f>
        <v>0</v>
      </c>
      <c r="AB89" s="1033">
        <f>SUMIFS('1.DC_Muc tieu'!$F:$F,'1.DC_Muc tieu'!$D:$D,'1.BC_Muc tieu (ty) '!$D89)-SUMIFS('1.DC_Muc tieu'!$F:$F,'1.DC_Muc tieu'!$E:$E,'1.BC_Muc tieu (ty) '!$D89)</f>
        <v>0</v>
      </c>
      <c r="AC89" s="1033">
        <f>SUMIFS('1.DC_Muc tieu'!$F:$F,'1.DC_Muc tieu'!$D:$D,'1.BC_Muc tieu (ty) '!$D89)-SUMIFS('1.DC_Muc tieu'!$F:$F,'1.DC_Muc tieu'!$E:$E,'1.BC_Muc tieu (ty) '!$D89)</f>
        <v>0</v>
      </c>
      <c r="AD89" s="1033">
        <f>SUMIFS('1.DC_Muc tieu'!$F:$F,'1.DC_Muc tieu'!$D:$D,'1.BC_Muc tieu (ty) '!$D89)-SUMIFS('1.DC_Muc tieu'!$F:$F,'1.DC_Muc tieu'!$E:$E,'1.BC_Muc tieu (ty) '!$D89)</f>
        <v>0</v>
      </c>
      <c r="AE89" s="1033">
        <f t="shared" si="29"/>
        <v>0</v>
      </c>
      <c r="AF89" s="1033">
        <f t="shared" si="116"/>
        <v>0</v>
      </c>
      <c r="AG89" s="1033">
        <f t="shared" si="117"/>
        <v>0</v>
      </c>
      <c r="AH89" s="1033">
        <f t="shared" si="118"/>
        <v>0</v>
      </c>
      <c r="AI89" s="1033">
        <f t="shared" si="119"/>
        <v>0</v>
      </c>
      <c r="AJ89" s="1033">
        <f t="shared" si="120"/>
        <v>0</v>
      </c>
      <c r="AK89" s="1033">
        <f t="shared" si="78"/>
        <v>0</v>
      </c>
      <c r="AL89" s="1033">
        <f t="shared" si="121"/>
        <v>0</v>
      </c>
    </row>
    <row r="90" spans="1:39" s="896" customFormat="1" x14ac:dyDescent="0.25">
      <c r="A90" s="1014" t="str">
        <f t="shared" si="70"/>
        <v>hide</v>
      </c>
      <c r="B90" s="994" t="s">
        <v>37</v>
      </c>
      <c r="C90" s="993" t="s">
        <v>93</v>
      </c>
      <c r="D90" s="991" t="s">
        <v>402</v>
      </c>
      <c r="E90" s="992">
        <f>'1.BC_Ra Soat (ty) '!BR94</f>
        <v>0</v>
      </c>
      <c r="F90" s="992">
        <f>'1.BC_Ra Soat (ty) '!BX94</f>
        <v>0</v>
      </c>
      <c r="G90" s="1032">
        <f>'1.BC_Ra Soat (ty) '!CC94</f>
        <v>0</v>
      </c>
      <c r="H90" s="1032">
        <f>'1.BC_Ra Soat (ty) '!CH94</f>
        <v>0</v>
      </c>
      <c r="I90" s="1032">
        <f>'1.BC_Ra Soat (ty) '!CM94</f>
        <v>0</v>
      </c>
      <c r="J90" s="1033">
        <f t="shared" si="26"/>
        <v>0</v>
      </c>
      <c r="K90" s="1033">
        <f>'1.BC_Ra Soat (ty) '!DG94</f>
        <v>0</v>
      </c>
      <c r="L90" s="1032">
        <f>'1.BC_Ra Soat (ty) '!BT94</f>
        <v>0</v>
      </c>
      <c r="M90" s="1032">
        <f>'1.BC_Ra Soat (ty) '!BY94</f>
        <v>0</v>
      </c>
      <c r="N90" s="1032">
        <f>'1.BC_Ra Soat (ty) '!CD94</f>
        <v>0</v>
      </c>
      <c r="O90" s="1032">
        <f>'1.BC_Ra Soat (ty) '!CI94</f>
        <v>0</v>
      </c>
      <c r="P90" s="1032">
        <f>'1.BC_Ra Soat (ty) '!CN94</f>
        <v>0</v>
      </c>
      <c r="Q90" s="1033">
        <f t="shared" si="27"/>
        <v>0</v>
      </c>
      <c r="R90" s="1033">
        <f>'1.BC_Ra Soat (ty) '!DH94</f>
        <v>0</v>
      </c>
      <c r="S90" s="1032">
        <f>'1.BC_Ra Soat (ty) '!BU94</f>
        <v>0</v>
      </c>
      <c r="T90" s="1032">
        <f>'1.BC_Ra Soat (ty) '!BZ94</f>
        <v>0</v>
      </c>
      <c r="U90" s="1032">
        <f>'1.BC_Ra Soat (ty) '!CE94</f>
        <v>0</v>
      </c>
      <c r="V90" s="1032">
        <f>'1.BC_Ra Soat (ty) '!CJ94</f>
        <v>0</v>
      </c>
      <c r="W90" s="1032">
        <f>'1.BC_Ra Soat (ty) '!CO94</f>
        <v>0</v>
      </c>
      <c r="X90" s="1032">
        <f t="shared" si="28"/>
        <v>0</v>
      </c>
      <c r="Y90" s="1032">
        <f>'1.BC_Ra Soat (ty) '!DI94</f>
        <v>0</v>
      </c>
      <c r="Z90" s="1033">
        <f>SUMIFS('1.DC_Muc tieu'!$F:$F,'1.DC_Muc tieu'!$D:$D,'1.BC_Muc tieu (ty) '!$D90)-SUMIFS('1.DC_Muc tieu'!$F:$F,'1.DC_Muc tieu'!$E:$E,'1.BC_Muc tieu (ty) '!$D90)</f>
        <v>0</v>
      </c>
      <c r="AA90" s="1033">
        <f>SUMIFS('1.DC_Muc tieu'!$F:$F,'1.DC_Muc tieu'!$D:$D,'1.BC_Muc tieu (ty) '!$D90)-SUMIFS('1.DC_Muc tieu'!$F:$F,'1.DC_Muc tieu'!$E:$E,'1.BC_Muc tieu (ty) '!$D90)</f>
        <v>0</v>
      </c>
      <c r="AB90" s="1033">
        <f>SUMIFS('1.DC_Muc tieu'!$F:$F,'1.DC_Muc tieu'!$D:$D,'1.BC_Muc tieu (ty) '!$D90)-SUMIFS('1.DC_Muc tieu'!$F:$F,'1.DC_Muc tieu'!$E:$E,'1.BC_Muc tieu (ty) '!$D90)</f>
        <v>0</v>
      </c>
      <c r="AC90" s="1033">
        <f>SUMIFS('1.DC_Muc tieu'!$F:$F,'1.DC_Muc tieu'!$D:$D,'1.BC_Muc tieu (ty) '!$D90)-SUMIFS('1.DC_Muc tieu'!$F:$F,'1.DC_Muc tieu'!$E:$E,'1.BC_Muc tieu (ty) '!$D90)</f>
        <v>0</v>
      </c>
      <c r="AD90" s="1033">
        <f>SUMIFS('1.DC_Muc tieu'!$F:$F,'1.DC_Muc tieu'!$D:$D,'1.BC_Muc tieu (ty) '!$D90)-SUMIFS('1.DC_Muc tieu'!$F:$F,'1.DC_Muc tieu'!$E:$E,'1.BC_Muc tieu (ty) '!$D90)</f>
        <v>0</v>
      </c>
      <c r="AE90" s="1033">
        <f t="shared" si="29"/>
        <v>0</v>
      </c>
      <c r="AF90" s="1033">
        <f t="shared" si="116"/>
        <v>0</v>
      </c>
      <c r="AG90" s="1033">
        <f t="shared" si="117"/>
        <v>0</v>
      </c>
      <c r="AH90" s="1033">
        <f t="shared" si="118"/>
        <v>0</v>
      </c>
      <c r="AI90" s="1033">
        <f t="shared" si="119"/>
        <v>0</v>
      </c>
      <c r="AJ90" s="1033">
        <f t="shared" si="120"/>
        <v>0</v>
      </c>
      <c r="AK90" s="1033">
        <f t="shared" si="78"/>
        <v>0</v>
      </c>
      <c r="AL90" s="1033">
        <f t="shared" si="121"/>
        <v>0</v>
      </c>
    </row>
    <row r="91" spans="1:39" s="896" customFormat="1" x14ac:dyDescent="0.25">
      <c r="A91" s="1014" t="str">
        <f t="shared" si="70"/>
        <v>hide</v>
      </c>
      <c r="B91" s="994" t="s">
        <v>44</v>
      </c>
      <c r="C91" s="993" t="s">
        <v>90</v>
      </c>
      <c r="D91" s="991" t="s">
        <v>404</v>
      </c>
      <c r="E91" s="992">
        <f>'1.BC_Ra Soat (ty) '!BR95</f>
        <v>0</v>
      </c>
      <c r="F91" s="992">
        <f>'1.BC_Ra Soat (ty) '!BX95</f>
        <v>0</v>
      </c>
      <c r="G91" s="1032">
        <f>'1.BC_Ra Soat (ty) '!CC95</f>
        <v>0</v>
      </c>
      <c r="H91" s="1032">
        <f>'1.BC_Ra Soat (ty) '!CH95</f>
        <v>0</v>
      </c>
      <c r="I91" s="1032">
        <f>'1.BC_Ra Soat (ty) '!CM95</f>
        <v>0</v>
      </c>
      <c r="J91" s="1033">
        <f t="shared" si="26"/>
        <v>0</v>
      </c>
      <c r="K91" s="1033">
        <f>'1.BC_Ra Soat (ty) '!DG95</f>
        <v>0</v>
      </c>
      <c r="L91" s="1032">
        <f>'1.BC_Ra Soat (ty) '!BT95</f>
        <v>0</v>
      </c>
      <c r="M91" s="1032">
        <f>'1.BC_Ra Soat (ty) '!BY95</f>
        <v>0</v>
      </c>
      <c r="N91" s="1032">
        <f>'1.BC_Ra Soat (ty) '!CD95</f>
        <v>0</v>
      </c>
      <c r="O91" s="1032">
        <f>'1.BC_Ra Soat (ty) '!CI95</f>
        <v>0</v>
      </c>
      <c r="P91" s="1032">
        <f>'1.BC_Ra Soat (ty) '!CN95</f>
        <v>0</v>
      </c>
      <c r="Q91" s="1033">
        <f t="shared" si="27"/>
        <v>0</v>
      </c>
      <c r="R91" s="1033">
        <f>'1.BC_Ra Soat (ty) '!DH95</f>
        <v>0</v>
      </c>
      <c r="S91" s="1032">
        <f>'1.BC_Ra Soat (ty) '!BU95</f>
        <v>0</v>
      </c>
      <c r="T91" s="1032">
        <f>'1.BC_Ra Soat (ty) '!BZ95</f>
        <v>0</v>
      </c>
      <c r="U91" s="1032">
        <f>'1.BC_Ra Soat (ty) '!CE95</f>
        <v>0</v>
      </c>
      <c r="V91" s="1032">
        <f>'1.BC_Ra Soat (ty) '!CJ95</f>
        <v>0</v>
      </c>
      <c r="W91" s="1032">
        <f>'1.BC_Ra Soat (ty) '!CO95</f>
        <v>0</v>
      </c>
      <c r="X91" s="1032">
        <f t="shared" si="28"/>
        <v>0</v>
      </c>
      <c r="Y91" s="1032">
        <f>'1.BC_Ra Soat (ty) '!DI95</f>
        <v>0</v>
      </c>
      <c r="Z91" s="1033">
        <f>SUMIFS('1.DC_Muc tieu'!$F:$F,'1.DC_Muc tieu'!$D:$D,'1.BC_Muc tieu (ty) '!$D91)-SUMIFS('1.DC_Muc tieu'!$F:$F,'1.DC_Muc tieu'!$E:$E,'1.BC_Muc tieu (ty) '!$D91)</f>
        <v>0</v>
      </c>
      <c r="AA91" s="1033">
        <f>SUMIFS('1.DC_Muc tieu'!$F:$F,'1.DC_Muc tieu'!$D:$D,'1.BC_Muc tieu (ty) '!$D91)-SUMIFS('1.DC_Muc tieu'!$F:$F,'1.DC_Muc tieu'!$E:$E,'1.BC_Muc tieu (ty) '!$D91)</f>
        <v>0</v>
      </c>
      <c r="AB91" s="1033">
        <f>SUMIFS('1.DC_Muc tieu'!$F:$F,'1.DC_Muc tieu'!$D:$D,'1.BC_Muc tieu (ty) '!$D91)-SUMIFS('1.DC_Muc tieu'!$F:$F,'1.DC_Muc tieu'!$E:$E,'1.BC_Muc tieu (ty) '!$D91)</f>
        <v>0</v>
      </c>
      <c r="AC91" s="1033">
        <f>SUMIFS('1.DC_Muc tieu'!$F:$F,'1.DC_Muc tieu'!$D:$D,'1.BC_Muc tieu (ty) '!$D91)-SUMIFS('1.DC_Muc tieu'!$F:$F,'1.DC_Muc tieu'!$E:$E,'1.BC_Muc tieu (ty) '!$D91)</f>
        <v>0</v>
      </c>
      <c r="AD91" s="1033">
        <f>SUMIFS('1.DC_Muc tieu'!$F:$F,'1.DC_Muc tieu'!$D:$D,'1.BC_Muc tieu (ty) '!$D91)-SUMIFS('1.DC_Muc tieu'!$F:$F,'1.DC_Muc tieu'!$E:$E,'1.BC_Muc tieu (ty) '!$D91)</f>
        <v>0</v>
      </c>
      <c r="AE91" s="1033">
        <f t="shared" si="29"/>
        <v>0</v>
      </c>
      <c r="AF91" s="1033">
        <f t="shared" si="116"/>
        <v>0</v>
      </c>
      <c r="AG91" s="1033">
        <f t="shared" si="117"/>
        <v>0</v>
      </c>
      <c r="AH91" s="1033">
        <f t="shared" si="118"/>
        <v>0</v>
      </c>
      <c r="AI91" s="1033">
        <f t="shared" si="119"/>
        <v>0</v>
      </c>
      <c r="AJ91" s="1033">
        <f t="shared" si="120"/>
        <v>0</v>
      </c>
      <c r="AK91" s="1033">
        <f t="shared" si="78"/>
        <v>0</v>
      </c>
      <c r="AL91" s="1033">
        <f t="shared" si="121"/>
        <v>0</v>
      </c>
    </row>
    <row r="92" spans="1:39" s="896" customFormat="1" x14ac:dyDescent="0.25">
      <c r="A92" s="1014">
        <f t="shared" si="70"/>
        <v>1</v>
      </c>
      <c r="B92" s="1001"/>
      <c r="C92" s="1002" t="s">
        <v>94</v>
      </c>
      <c r="D92" s="1003" t="s">
        <v>405</v>
      </c>
      <c r="E92" s="1004">
        <f>E56+E30</f>
        <v>207.17686413499999</v>
      </c>
      <c r="F92" s="1004">
        <f t="shared" ref="F92:AL92" si="122">F56+F30</f>
        <v>53.478751188999993</v>
      </c>
      <c r="G92" s="1004">
        <f t="shared" si="122"/>
        <v>32.961773194999999</v>
      </c>
      <c r="H92" s="1004">
        <f t="shared" si="122"/>
        <v>34.246112717000003</v>
      </c>
      <c r="I92" s="1004">
        <f t="shared" si="122"/>
        <v>0</v>
      </c>
      <c r="J92" s="1004">
        <f t="shared" si="122"/>
        <v>327.86350123599999</v>
      </c>
      <c r="K92" s="1004">
        <f t="shared" si="122"/>
        <v>327.86350123599999</v>
      </c>
      <c r="L92" s="1004">
        <f t="shared" si="122"/>
        <v>229.905885227</v>
      </c>
      <c r="M92" s="1004">
        <f t="shared" si="122"/>
        <v>86.803983160999991</v>
      </c>
      <c r="N92" s="1004">
        <f t="shared" si="122"/>
        <v>62.697647822999997</v>
      </c>
      <c r="O92" s="1004">
        <f t="shared" si="122"/>
        <v>35.192826891000003</v>
      </c>
      <c r="P92" s="1004">
        <f t="shared" si="122"/>
        <v>0</v>
      </c>
      <c r="Q92" s="1004">
        <f t="shared" si="122"/>
        <v>414.60034310199995</v>
      </c>
      <c r="R92" s="1004">
        <f t="shared" si="122"/>
        <v>414.60034310199995</v>
      </c>
      <c r="S92" s="1004">
        <f t="shared" si="122"/>
        <v>366.24293776900004</v>
      </c>
      <c r="T92" s="1004">
        <f t="shared" si="122"/>
        <v>144.20332838600001</v>
      </c>
      <c r="U92" s="1004">
        <f t="shared" si="122"/>
        <v>48.165552724000001</v>
      </c>
      <c r="V92" s="1004">
        <f t="shared" si="122"/>
        <v>64.784605470000002</v>
      </c>
      <c r="W92" s="1004">
        <f t="shared" si="122"/>
        <v>0</v>
      </c>
      <c r="X92" s="1004">
        <f t="shared" si="122"/>
        <v>623.39642434899997</v>
      </c>
      <c r="Y92" s="1004">
        <f t="shared" si="122"/>
        <v>623.39642434899997</v>
      </c>
      <c r="Z92" s="1004">
        <f t="shared" si="122"/>
        <v>0</v>
      </c>
      <c r="AA92" s="1004">
        <f t="shared" si="122"/>
        <v>0</v>
      </c>
      <c r="AB92" s="1004">
        <f t="shared" si="122"/>
        <v>0</v>
      </c>
      <c r="AC92" s="1004">
        <f t="shared" si="122"/>
        <v>0</v>
      </c>
      <c r="AD92" s="1004">
        <f t="shared" si="122"/>
        <v>0</v>
      </c>
      <c r="AE92" s="1004">
        <f t="shared" si="122"/>
        <v>0</v>
      </c>
      <c r="AF92" s="1004">
        <f t="shared" si="122"/>
        <v>366.24293776900004</v>
      </c>
      <c r="AG92" s="1004">
        <f t="shared" si="122"/>
        <v>144.20332838600001</v>
      </c>
      <c r="AH92" s="1004">
        <f t="shared" si="122"/>
        <v>48.165552724000001</v>
      </c>
      <c r="AI92" s="1004">
        <f t="shared" si="122"/>
        <v>64.784605470000002</v>
      </c>
      <c r="AJ92" s="1004">
        <f t="shared" si="122"/>
        <v>0</v>
      </c>
      <c r="AK92" s="1004">
        <f t="shared" si="122"/>
        <v>623.39642434899997</v>
      </c>
      <c r="AL92" s="1084">
        <f t="shared" si="122"/>
        <v>623.39642434899997</v>
      </c>
      <c r="AM92" s="1005"/>
    </row>
    <row r="93" spans="1:39" s="603" customFormat="1" x14ac:dyDescent="0.25">
      <c r="A93" s="1014" t="str">
        <f t="shared" si="70"/>
        <v>hide</v>
      </c>
      <c r="B93" s="905"/>
      <c r="C93" s="919"/>
      <c r="D93" s="19"/>
      <c r="E93" s="920"/>
      <c r="F93" s="920"/>
      <c r="G93" s="920"/>
      <c r="H93" s="920"/>
      <c r="I93" s="920"/>
      <c r="J93" s="920"/>
      <c r="K93" s="921"/>
      <c r="L93" s="920"/>
      <c r="M93" s="920"/>
      <c r="N93" s="920"/>
      <c r="O93" s="920"/>
      <c r="P93" s="920"/>
      <c r="Q93" s="920"/>
      <c r="R93" s="920"/>
      <c r="S93" s="920"/>
      <c r="T93" s="920"/>
      <c r="U93" s="920"/>
      <c r="V93" s="920"/>
      <c r="W93" s="920"/>
      <c r="X93" s="920"/>
      <c r="Y93" s="920"/>
      <c r="Z93" s="920"/>
      <c r="AA93" s="920"/>
      <c r="AB93" s="920"/>
      <c r="AC93" s="920"/>
      <c r="AD93" s="920"/>
      <c r="AE93" s="920"/>
      <c r="AF93" s="920"/>
      <c r="AG93" s="920"/>
      <c r="AH93" s="920"/>
      <c r="AI93" s="920"/>
      <c r="AJ93" s="920"/>
      <c r="AK93" s="920"/>
      <c r="AL93" s="922"/>
    </row>
    <row r="94" spans="1:39" s="603" customFormat="1" x14ac:dyDescent="0.25">
      <c r="A94" s="1014">
        <f t="shared" si="70"/>
        <v>1</v>
      </c>
      <c r="B94" s="905"/>
      <c r="C94" s="919"/>
      <c r="D94" s="19"/>
      <c r="E94" s="920"/>
      <c r="F94" s="920"/>
      <c r="G94" s="920"/>
      <c r="H94" s="920"/>
      <c r="I94" s="920"/>
      <c r="J94" s="920"/>
      <c r="K94" s="920"/>
      <c r="L94" s="920"/>
      <c r="M94" s="920"/>
      <c r="N94" s="920">
        <v>1</v>
      </c>
      <c r="O94" s="920"/>
      <c r="P94" s="920"/>
      <c r="Q94" s="920"/>
      <c r="R94" s="920"/>
      <c r="S94" s="920"/>
      <c r="T94" s="920"/>
      <c r="U94" s="920"/>
      <c r="V94" s="920"/>
      <c r="W94" s="920"/>
      <c r="X94" s="920"/>
      <c r="Y94" s="920"/>
      <c r="Z94" s="920"/>
      <c r="AA94" s="920"/>
      <c r="AB94" s="920"/>
      <c r="AC94" s="920"/>
      <c r="AD94" s="920"/>
      <c r="AE94" s="920"/>
      <c r="AF94" s="920"/>
      <c r="AG94" s="920"/>
      <c r="AH94" s="920"/>
      <c r="AI94" s="920"/>
      <c r="AJ94" s="920"/>
      <c r="AK94" s="920"/>
      <c r="AL94" s="920"/>
      <c r="AM94" s="920"/>
    </row>
    <row r="95" spans="1:39" x14ac:dyDescent="0.25">
      <c r="A95" s="1014">
        <f t="shared" si="70"/>
        <v>1</v>
      </c>
      <c r="B95" s="2207" t="s">
        <v>95</v>
      </c>
      <c r="C95" s="2208"/>
      <c r="D95" s="970"/>
      <c r="E95" s="970">
        <v>2021</v>
      </c>
      <c r="F95" s="970">
        <v>2021</v>
      </c>
      <c r="G95" s="970">
        <v>2021</v>
      </c>
      <c r="H95" s="970">
        <v>2021</v>
      </c>
      <c r="I95" s="970">
        <v>2021</v>
      </c>
      <c r="J95" s="970">
        <v>2021</v>
      </c>
      <c r="K95" s="970">
        <v>2021</v>
      </c>
      <c r="L95" s="976">
        <v>2022</v>
      </c>
      <c r="M95" s="970">
        <v>2022</v>
      </c>
      <c r="N95" s="970">
        <v>2022</v>
      </c>
      <c r="O95" s="970">
        <v>2022</v>
      </c>
      <c r="P95" s="970">
        <v>2022</v>
      </c>
      <c r="Q95" s="970"/>
      <c r="R95" s="970">
        <v>2022</v>
      </c>
      <c r="S95" s="970">
        <v>2023</v>
      </c>
      <c r="T95" s="970">
        <v>2023</v>
      </c>
      <c r="U95" s="970">
        <v>2023</v>
      </c>
      <c r="V95" s="976">
        <v>2023</v>
      </c>
      <c r="W95" s="970">
        <v>2023</v>
      </c>
      <c r="X95" s="970"/>
      <c r="Y95" s="970">
        <v>2023</v>
      </c>
      <c r="Z95" s="2214" t="s">
        <v>531</v>
      </c>
      <c r="AA95" s="2215"/>
      <c r="AB95" s="2215"/>
      <c r="AC95" s="2215"/>
      <c r="AD95" s="2215"/>
      <c r="AE95" s="2216"/>
      <c r="AF95" s="976" t="s">
        <v>549</v>
      </c>
      <c r="AG95" s="970" t="s">
        <v>549</v>
      </c>
      <c r="AH95" s="970" t="s">
        <v>549</v>
      </c>
      <c r="AI95" s="970" t="s">
        <v>549</v>
      </c>
      <c r="AJ95" s="970" t="s">
        <v>549</v>
      </c>
      <c r="AK95" s="970" t="s">
        <v>549</v>
      </c>
      <c r="AL95" s="970" t="s">
        <v>549</v>
      </c>
    </row>
    <row r="96" spans="1:39" ht="45" x14ac:dyDescent="0.25">
      <c r="A96" s="1014">
        <f>IF(SUM(E96:AM96)&lt;&gt;0,1,"hide")</f>
        <v>1</v>
      </c>
      <c r="B96" s="2209"/>
      <c r="C96" s="2210"/>
      <c r="D96" s="928"/>
      <c r="E96" s="928" t="str">
        <f>E6</f>
        <v>1.DV Quang Phát</v>
      </c>
      <c r="F96" s="928" t="str">
        <f t="shared" ref="F96:AL96" si="123">F6</f>
        <v>2.BT Quang Phát</v>
      </c>
      <c r="G96" s="928" t="str">
        <f t="shared" si="123"/>
        <v>3.Kim Quang Phát</v>
      </c>
      <c r="H96" s="928" t="str">
        <f t="shared" si="123"/>
        <v>4.Kim Mỹ Linh</v>
      </c>
      <c r="I96" s="928" t="str">
        <f t="shared" si="123"/>
        <v>5.Vạn Xuân</v>
      </c>
      <c r="J96" s="928" t="str">
        <f t="shared" si="123"/>
        <v>Cộng gộp</v>
      </c>
      <c r="K96" s="928" t="str">
        <f t="shared" si="123"/>
        <v>Cộng
Sau bù trừ</v>
      </c>
      <c r="L96" s="928" t="str">
        <f t="shared" si="123"/>
        <v>1.DV Quang Phát</v>
      </c>
      <c r="M96" s="928" t="str">
        <f t="shared" si="123"/>
        <v>2.BT Quang Phát</v>
      </c>
      <c r="N96" s="928" t="str">
        <f t="shared" si="123"/>
        <v>3.Kim Quang Phát</v>
      </c>
      <c r="O96" s="928" t="str">
        <f t="shared" si="123"/>
        <v>4.Kim Mỹ Linh</v>
      </c>
      <c r="P96" s="928" t="str">
        <f t="shared" si="123"/>
        <v>5.Vạn Xuân</v>
      </c>
      <c r="Q96" s="928" t="str">
        <f t="shared" si="123"/>
        <v>Cộng gộp</v>
      </c>
      <c r="R96" s="1091" t="str">
        <f t="shared" si="123"/>
        <v>Cộng
Sau bù trừ</v>
      </c>
      <c r="S96" s="928" t="str">
        <f t="shared" si="123"/>
        <v>1.DV Quang Phát</v>
      </c>
      <c r="T96" s="928" t="str">
        <f t="shared" si="123"/>
        <v>2.BT Quang Phát</v>
      </c>
      <c r="U96" s="928" t="str">
        <f t="shared" si="123"/>
        <v>3.Kim Quang Phát</v>
      </c>
      <c r="V96" s="928" t="str">
        <f t="shared" si="123"/>
        <v>4.Kim Mỹ Linh</v>
      </c>
      <c r="W96" s="928" t="str">
        <f t="shared" si="123"/>
        <v>5.Vạn Xuân</v>
      </c>
      <c r="X96" s="928" t="str">
        <f t="shared" si="123"/>
        <v>Cộng gộp</v>
      </c>
      <c r="Y96" s="1091" t="str">
        <f t="shared" si="123"/>
        <v>Cộng
Sau bù trừ</v>
      </c>
      <c r="Z96" s="928" t="str">
        <f t="shared" si="123"/>
        <v>1.DV Quang Phát</v>
      </c>
      <c r="AA96" s="928" t="str">
        <f t="shared" si="123"/>
        <v>2.BT Quang Phát</v>
      </c>
      <c r="AB96" s="928" t="str">
        <f t="shared" si="123"/>
        <v>3.Kim Quang Phát</v>
      </c>
      <c r="AC96" s="928" t="str">
        <f t="shared" si="123"/>
        <v>4.Kim Mỹ Linh</v>
      </c>
      <c r="AD96" s="928" t="str">
        <f t="shared" si="123"/>
        <v>5.Vạn Xuân</v>
      </c>
      <c r="AE96" s="928" t="str">
        <f t="shared" si="123"/>
        <v>Cộng</v>
      </c>
      <c r="AF96" s="928" t="str">
        <f t="shared" si="123"/>
        <v>1.DV Quang Phát</v>
      </c>
      <c r="AG96" s="928" t="str">
        <f t="shared" si="123"/>
        <v>2.BT Quang Phát</v>
      </c>
      <c r="AH96" s="928" t="str">
        <f t="shared" si="123"/>
        <v>3.Kim Quang Phát</v>
      </c>
      <c r="AI96" s="928" t="str">
        <f t="shared" si="123"/>
        <v>4.Kim Mỹ Linh</v>
      </c>
      <c r="AJ96" s="928" t="str">
        <f t="shared" si="123"/>
        <v>5.Vạn Xuân</v>
      </c>
      <c r="AK96" s="928" t="str">
        <f t="shared" si="123"/>
        <v>Cộng gộp</v>
      </c>
      <c r="AL96" s="1090" t="str">
        <f t="shared" si="123"/>
        <v>Cộng
Sau bù trừ</v>
      </c>
      <c r="AM96" s="546">
        <v>1</v>
      </c>
    </row>
    <row r="97" spans="1:40" s="590" customFormat="1" x14ac:dyDescent="0.25">
      <c r="A97" s="1014">
        <f t="shared" ref="A97:A128" si="124">IF(SUM(E97:AL97)&lt;&gt;0,1,"hide")</f>
        <v>1</v>
      </c>
      <c r="B97" s="929" t="s">
        <v>96</v>
      </c>
      <c r="C97" s="930" t="s">
        <v>97</v>
      </c>
      <c r="D97" s="1006" t="s">
        <v>406</v>
      </c>
      <c r="E97" s="1007">
        <f>E98+E113</f>
        <v>177.55600169899998</v>
      </c>
      <c r="F97" s="1007">
        <f t="shared" ref="F97:AL97" si="125">F98+F113</f>
        <v>39.270789405000002</v>
      </c>
      <c r="G97" s="1007">
        <f t="shared" si="125"/>
        <v>29.628812796999998</v>
      </c>
      <c r="H97" s="1007">
        <f t="shared" si="125"/>
        <v>16.531135185</v>
      </c>
      <c r="I97" s="1007">
        <f t="shared" si="125"/>
        <v>0</v>
      </c>
      <c r="J97" s="1007">
        <f t="shared" si="125"/>
        <v>262.986739086</v>
      </c>
      <c r="K97" s="1007">
        <f t="shared" si="125"/>
        <v>262.986739086</v>
      </c>
      <c r="L97" s="1007">
        <f t="shared" si="125"/>
        <v>190.84807209300001</v>
      </c>
      <c r="M97" s="1007">
        <f t="shared" si="125"/>
        <v>78.631156177999998</v>
      </c>
      <c r="N97" s="1007">
        <f t="shared" si="125"/>
        <v>49.182428264000002</v>
      </c>
      <c r="O97" s="1007">
        <f t="shared" si="125"/>
        <v>20.678767089999997</v>
      </c>
      <c r="P97" s="1007">
        <f t="shared" si="125"/>
        <v>0</v>
      </c>
      <c r="Q97" s="1007">
        <f t="shared" si="125"/>
        <v>339.34042362500003</v>
      </c>
      <c r="R97" s="1007">
        <f t="shared" si="125"/>
        <v>339.34042362500003</v>
      </c>
      <c r="S97" s="1007">
        <f t="shared" si="125"/>
        <v>313.97162259700002</v>
      </c>
      <c r="T97" s="1007">
        <f t="shared" si="125"/>
        <v>105.287991679</v>
      </c>
      <c r="U97" s="1007">
        <f t="shared" si="125"/>
        <v>43.049801707999997</v>
      </c>
      <c r="V97" s="1007">
        <f t="shared" si="125"/>
        <v>57.247692966000002</v>
      </c>
      <c r="W97" s="1007">
        <f t="shared" si="125"/>
        <v>0</v>
      </c>
      <c r="X97" s="1007">
        <f t="shared" si="125"/>
        <v>519.55710894999993</v>
      </c>
      <c r="Y97" s="1007">
        <f t="shared" si="125"/>
        <v>519.55710894999993</v>
      </c>
      <c r="Z97" s="1007">
        <f t="shared" si="125"/>
        <v>0</v>
      </c>
      <c r="AA97" s="1007">
        <f t="shared" si="125"/>
        <v>0</v>
      </c>
      <c r="AB97" s="1007">
        <f t="shared" si="125"/>
        <v>0</v>
      </c>
      <c r="AC97" s="1007">
        <f t="shared" si="125"/>
        <v>0</v>
      </c>
      <c r="AD97" s="1007">
        <f t="shared" si="125"/>
        <v>0</v>
      </c>
      <c r="AE97" s="1007">
        <f t="shared" si="125"/>
        <v>0</v>
      </c>
      <c r="AF97" s="1007">
        <f t="shared" si="125"/>
        <v>313.97162259700002</v>
      </c>
      <c r="AG97" s="1007">
        <f t="shared" si="125"/>
        <v>105.287991679</v>
      </c>
      <c r="AH97" s="1007">
        <f t="shared" si="125"/>
        <v>43.049801707999997</v>
      </c>
      <c r="AI97" s="1007">
        <f t="shared" si="125"/>
        <v>57.247692966000002</v>
      </c>
      <c r="AJ97" s="1007">
        <f t="shared" si="125"/>
        <v>0</v>
      </c>
      <c r="AK97" s="1007">
        <f t="shared" si="125"/>
        <v>519.55710894999993</v>
      </c>
      <c r="AL97" s="1085">
        <f t="shared" si="125"/>
        <v>519.55710894999993</v>
      </c>
      <c r="AM97" s="911"/>
    </row>
    <row r="98" spans="1:40" s="590" customFormat="1" x14ac:dyDescent="0.25">
      <c r="A98" s="1014">
        <f t="shared" si="124"/>
        <v>1</v>
      </c>
      <c r="B98" s="931" t="s">
        <v>27</v>
      </c>
      <c r="C98" s="932" t="s">
        <v>98</v>
      </c>
      <c r="D98" s="1008" t="s">
        <v>408</v>
      </c>
      <c r="E98" s="1009">
        <f>SUM(E99:E112)</f>
        <v>177.55600169899998</v>
      </c>
      <c r="F98" s="1009">
        <f t="shared" ref="F98:AL98" si="126">SUM(F99:F112)</f>
        <v>39.270789405000002</v>
      </c>
      <c r="G98" s="1009">
        <f t="shared" si="126"/>
        <v>29.628812796999998</v>
      </c>
      <c r="H98" s="1009">
        <f t="shared" si="126"/>
        <v>16.531135185</v>
      </c>
      <c r="I98" s="1009">
        <f t="shared" si="126"/>
        <v>0</v>
      </c>
      <c r="J98" s="1009">
        <f t="shared" si="126"/>
        <v>262.986739086</v>
      </c>
      <c r="K98" s="1009">
        <f t="shared" si="126"/>
        <v>262.986739086</v>
      </c>
      <c r="L98" s="1009">
        <f t="shared" si="126"/>
        <v>190.84807209300001</v>
      </c>
      <c r="M98" s="1009">
        <f t="shared" si="126"/>
        <v>78.631156177999998</v>
      </c>
      <c r="N98" s="1009">
        <f t="shared" si="126"/>
        <v>49.182428264000002</v>
      </c>
      <c r="O98" s="1009">
        <f t="shared" si="126"/>
        <v>20.678767089999997</v>
      </c>
      <c r="P98" s="1009">
        <f t="shared" si="126"/>
        <v>0</v>
      </c>
      <c r="Q98" s="1009">
        <f t="shared" si="126"/>
        <v>339.34042362500003</v>
      </c>
      <c r="R98" s="1009">
        <f t="shared" si="126"/>
        <v>339.34042362500003</v>
      </c>
      <c r="S98" s="1009">
        <f t="shared" si="126"/>
        <v>305.28037259500002</v>
      </c>
      <c r="T98" s="1009">
        <f t="shared" si="126"/>
        <v>84.293834982999996</v>
      </c>
      <c r="U98" s="1009">
        <f t="shared" si="126"/>
        <v>40.809801707999995</v>
      </c>
      <c r="V98" s="1009">
        <f t="shared" si="126"/>
        <v>57.247692966000002</v>
      </c>
      <c r="W98" s="1009">
        <f t="shared" si="126"/>
        <v>0</v>
      </c>
      <c r="X98" s="1009">
        <f t="shared" si="126"/>
        <v>487.63170225199997</v>
      </c>
      <c r="Y98" s="1009">
        <f t="shared" si="126"/>
        <v>487.63170225199997</v>
      </c>
      <c r="Z98" s="1009">
        <f t="shared" si="126"/>
        <v>0</v>
      </c>
      <c r="AA98" s="1009">
        <f t="shared" si="126"/>
        <v>0</v>
      </c>
      <c r="AB98" s="1009">
        <f t="shared" si="126"/>
        <v>0</v>
      </c>
      <c r="AC98" s="1009">
        <f t="shared" si="126"/>
        <v>0</v>
      </c>
      <c r="AD98" s="1009">
        <f t="shared" si="126"/>
        <v>0</v>
      </c>
      <c r="AE98" s="1009">
        <f t="shared" si="126"/>
        <v>0</v>
      </c>
      <c r="AF98" s="1009">
        <f t="shared" si="126"/>
        <v>305.28037259500002</v>
      </c>
      <c r="AG98" s="1009">
        <f t="shared" si="126"/>
        <v>84.293834982999996</v>
      </c>
      <c r="AH98" s="1009">
        <f t="shared" si="126"/>
        <v>40.809801707999995</v>
      </c>
      <c r="AI98" s="1009">
        <f t="shared" si="126"/>
        <v>57.247692966000002</v>
      </c>
      <c r="AJ98" s="1009">
        <f t="shared" si="126"/>
        <v>0</v>
      </c>
      <c r="AK98" s="1009">
        <f t="shared" si="126"/>
        <v>487.63170225199997</v>
      </c>
      <c r="AL98" s="1086">
        <f t="shared" si="126"/>
        <v>487.63170225199997</v>
      </c>
      <c r="AM98" s="911"/>
    </row>
    <row r="99" spans="1:40" x14ac:dyDescent="0.25">
      <c r="A99" s="1038">
        <f t="shared" si="124"/>
        <v>1</v>
      </c>
      <c r="B99" s="933" t="s">
        <v>29</v>
      </c>
      <c r="C99" s="934" t="s">
        <v>409</v>
      </c>
      <c r="D99" s="1010" t="s">
        <v>410</v>
      </c>
      <c r="E99" s="941">
        <f>'1.BC_Ra Soat (ty) '!BS101</f>
        <v>29.417462758999999</v>
      </c>
      <c r="F99" s="941">
        <f>'1.BC_Ra Soat (ty) '!BX101</f>
        <v>10.304978094999999</v>
      </c>
      <c r="G99" s="1035">
        <f>'1.BC_Ra Soat (ty) '!CC101</f>
        <v>4.9945369949999998</v>
      </c>
      <c r="H99" s="1035">
        <f>'1.BC_Ra Soat (ty) '!CH101</f>
        <v>0.66779047599999997</v>
      </c>
      <c r="I99" s="1035">
        <f>'1.BC_Ra Soat (ty) '!CM101</f>
        <v>0</v>
      </c>
      <c r="J99" s="1035">
        <f t="shared" ref="J99:J147" si="127">SUM(E99:I99)</f>
        <v>45.384768324999996</v>
      </c>
      <c r="K99" s="1035">
        <f>'1.BC_Ra Soat (ty) '!DG101</f>
        <v>45.384768324999996</v>
      </c>
      <c r="L99" s="1035">
        <f>'1.BC_Ra Soat (ty) '!BT101</f>
        <v>17.241856769000002</v>
      </c>
      <c r="M99" s="1035">
        <f>'1.BC_Ra Soat (ty) '!BY101</f>
        <v>44.818318388999998</v>
      </c>
      <c r="N99" s="1035">
        <f>'1.BC_Ra Soat (ty) '!CD101</f>
        <v>17.744821596000001</v>
      </c>
      <c r="O99" s="1035">
        <f>'1.BC_Ra Soat (ty) '!CI101</f>
        <v>1.4173922059999999</v>
      </c>
      <c r="P99" s="1035">
        <f>'1.BC_Ra Soat (ty) '!CN101</f>
        <v>0</v>
      </c>
      <c r="Q99" s="1035">
        <f t="shared" ref="Q99:Q147" si="128">SUM(L99:P99)</f>
        <v>81.222388960000004</v>
      </c>
      <c r="R99" s="1035">
        <f>'1.BC_Ra Soat (ty) '!DH101</f>
        <v>81.222388960000004</v>
      </c>
      <c r="S99" s="1035">
        <f>'1.BC_Ra Soat (ty) '!BU101</f>
        <v>113.03168562800001</v>
      </c>
      <c r="T99" s="1035">
        <f>'1.BC_Ra Soat (ty) '!BZ101</f>
        <v>71.687454235999994</v>
      </c>
      <c r="U99" s="1035">
        <f>'1.BC_Ra Soat (ty) '!CE101</f>
        <v>13.291862805999999</v>
      </c>
      <c r="V99" s="1035">
        <f>'1.BC_Ra Soat (ty) '!CJ101</f>
        <v>6.934955639</v>
      </c>
      <c r="W99" s="1035">
        <f>'1.BC_Ra Soat (ty) '!CO101</f>
        <v>0</v>
      </c>
      <c r="X99" s="1033">
        <f t="shared" ref="X99:X147" si="129">SUM(S99:W99)</f>
        <v>204.94595830900002</v>
      </c>
      <c r="Y99" s="1035">
        <f>'1.BC_Ra Soat (ty) '!DI101</f>
        <v>204.94595830900002</v>
      </c>
      <c r="Z99" s="1035">
        <f>-SUMIFS('1.DC_Muc tieu'!F:F,'1.DC_Muc tieu'!$D:$D,'1.BC_Muc tieu (ty) '!$D99)+SUMIFS('1.DC_Muc tieu'!F:F,'1.DC_Muc tieu'!$E:$E,'1.BC_Muc tieu (ty) '!$D99)</f>
        <v>0</v>
      </c>
      <c r="AA99" s="1035">
        <f>-SUMIFS('1.DC_Muc tieu'!G:G,'1.DC_Muc tieu'!$D:$D,'1.BC_Muc tieu (ty) '!$D99)+SUMIFS('1.DC_Muc tieu'!G:G,'1.DC_Muc tieu'!$E:$E,'1.BC_Muc tieu (ty) '!$D99)</f>
        <v>0</v>
      </c>
      <c r="AB99" s="1035">
        <f>-SUMIFS('1.DC_Muc tieu'!H:H,'1.DC_Muc tieu'!$D:$D,'1.BC_Muc tieu (ty) '!$D99)+SUMIFS('1.DC_Muc tieu'!H:H,'1.DC_Muc tieu'!$E:$E,'1.BC_Muc tieu (ty) '!$D99)</f>
        <v>0</v>
      </c>
      <c r="AC99" s="1035"/>
      <c r="AD99" s="1035">
        <f>-SUMIFS('1.DC_Muc tieu'!J:J,'1.DC_Muc tieu'!$D:$D,'1.BC_Muc tieu (ty) '!$D99)+SUMIFS('1.DC_Muc tieu'!J:J,'1.DC_Muc tieu'!$E:$E,'1.BC_Muc tieu (ty) '!$D99)</f>
        <v>0</v>
      </c>
      <c r="AE99" s="1035">
        <f t="shared" ref="AE99:AE147" si="130">SUM(Z99:AC99)</f>
        <v>0</v>
      </c>
      <c r="AF99" s="1035">
        <f t="shared" ref="AF99:AF112" si="131">S99+Z99</f>
        <v>113.03168562800001</v>
      </c>
      <c r="AG99" s="1035">
        <f t="shared" ref="AG99:AG112" si="132">T99+AA99</f>
        <v>71.687454235999994</v>
      </c>
      <c r="AH99" s="1035">
        <f t="shared" ref="AH99:AH112" si="133">U99+AB99</f>
        <v>13.291862805999999</v>
      </c>
      <c r="AI99" s="1035">
        <f t="shared" ref="AI99:AI112" si="134">V99+AC99</f>
        <v>6.934955639</v>
      </c>
      <c r="AJ99" s="1035">
        <f t="shared" ref="AJ99:AJ112" si="135">W99+AD99</f>
        <v>0</v>
      </c>
      <c r="AK99" s="1033">
        <f t="shared" ref="AK99:AK126" si="136">AE99+X99</f>
        <v>204.94595830900002</v>
      </c>
      <c r="AL99" s="1087">
        <f t="shared" ref="AL99:AL112" si="137">Y99+AE99</f>
        <v>204.94595830900002</v>
      </c>
    </row>
    <row r="100" spans="1:40" x14ac:dyDescent="0.25">
      <c r="A100" s="1038">
        <f t="shared" si="124"/>
        <v>1</v>
      </c>
      <c r="B100" s="933" t="s">
        <v>31</v>
      </c>
      <c r="C100" s="934" t="s">
        <v>411</v>
      </c>
      <c r="D100" s="1010" t="s">
        <v>412</v>
      </c>
      <c r="E100" s="941">
        <f>'1.BC_Ra Soat (ty) '!BS102</f>
        <v>0.72666275000000002</v>
      </c>
      <c r="F100" s="941">
        <f>'1.BC_Ra Soat (ty) '!BX102</f>
        <v>0.55052495000000001</v>
      </c>
      <c r="G100" s="1035">
        <f>'1.BC_Ra Soat (ty) '!CC102</f>
        <v>0</v>
      </c>
      <c r="H100" s="1035">
        <f>'1.BC_Ra Soat (ty) '!CH102</f>
        <v>0</v>
      </c>
      <c r="I100" s="1035">
        <f>'1.BC_Ra Soat (ty) '!CM102</f>
        <v>0</v>
      </c>
      <c r="J100" s="1035">
        <f t="shared" si="127"/>
        <v>1.2771877</v>
      </c>
      <c r="K100" s="1035">
        <f>'1.BC_Ra Soat (ty) '!DG102</f>
        <v>1.2771877</v>
      </c>
      <c r="L100" s="1035">
        <f>'1.BC_Ra Soat (ty) '!BT102</f>
        <v>5.7212521189999999</v>
      </c>
      <c r="M100" s="1035">
        <f>'1.BC_Ra Soat (ty) '!BY102</f>
        <v>2.6353495000000001E-2</v>
      </c>
      <c r="N100" s="1035">
        <f>'1.BC_Ra Soat (ty) '!CD102</f>
        <v>6.3753838939999996</v>
      </c>
      <c r="O100" s="1035">
        <f>'1.BC_Ra Soat (ty) '!CI102</f>
        <v>0.27458760500000001</v>
      </c>
      <c r="P100" s="1035">
        <f>'1.BC_Ra Soat (ty) '!CN102</f>
        <v>0</v>
      </c>
      <c r="Q100" s="1035">
        <f t="shared" si="128"/>
        <v>12.397577113000001</v>
      </c>
      <c r="R100" s="1035">
        <f>'1.BC_Ra Soat (ty) '!DH102</f>
        <v>12.397577113000001</v>
      </c>
      <c r="S100" s="1035">
        <f>'1.BC_Ra Soat (ty) '!BU102</f>
        <v>48.627551537999999</v>
      </c>
      <c r="T100" s="1035">
        <f>'1.BC_Ra Soat (ty) '!BZ102</f>
        <v>3.6333409680000002</v>
      </c>
      <c r="U100" s="1035">
        <f>'1.BC_Ra Soat (ty) '!CE102</f>
        <v>5.8668303249999996</v>
      </c>
      <c r="V100" s="1035">
        <f>'1.BC_Ra Soat (ty) '!CJ102</f>
        <v>6.7393584000000006E-2</v>
      </c>
      <c r="W100" s="1035">
        <f>'1.BC_Ra Soat (ty) '!CO102</f>
        <v>0</v>
      </c>
      <c r="X100" s="1033">
        <f t="shared" si="129"/>
        <v>58.195116415000001</v>
      </c>
      <c r="Y100" s="1035">
        <f>'1.BC_Ra Soat (ty) '!DI102</f>
        <v>58.195116415000001</v>
      </c>
      <c r="Z100" s="1035">
        <f>-SUMIFS('1.DC_Muc tieu'!F:F,'1.DC_Muc tieu'!$D:$D,'1.BC_Muc tieu (ty) '!$D100)+SUMIFS('1.DC_Muc tieu'!F:F,'1.DC_Muc tieu'!$E:$E,'1.BC_Muc tieu (ty) '!$D100)</f>
        <v>0</v>
      </c>
      <c r="AA100" s="1035">
        <f>-SUMIFS('1.DC_Muc tieu'!G:G,'1.DC_Muc tieu'!$D:$D,'1.BC_Muc tieu (ty) '!$D100)+SUMIFS('1.DC_Muc tieu'!G:G,'1.DC_Muc tieu'!$E:$E,'1.BC_Muc tieu (ty) '!$D100)</f>
        <v>0</v>
      </c>
      <c r="AB100" s="1035">
        <f>-SUMIFS('1.DC_Muc tieu'!H:H,'1.DC_Muc tieu'!$D:$D,'1.BC_Muc tieu (ty) '!$D100)+SUMIFS('1.DC_Muc tieu'!H:H,'1.DC_Muc tieu'!$E:$E,'1.BC_Muc tieu (ty) '!$D100)</f>
        <v>0</v>
      </c>
      <c r="AC100" s="1035"/>
      <c r="AD100" s="1035">
        <f>-SUMIFS('1.DC_Muc tieu'!J:J,'1.DC_Muc tieu'!$D:$D,'1.BC_Muc tieu (ty) '!$D100)+SUMIFS('1.DC_Muc tieu'!J:J,'1.DC_Muc tieu'!$E:$E,'1.BC_Muc tieu (ty) '!$D100)</f>
        <v>0</v>
      </c>
      <c r="AE100" s="1035">
        <f t="shared" si="130"/>
        <v>0</v>
      </c>
      <c r="AF100" s="1035">
        <f t="shared" si="131"/>
        <v>48.627551537999999</v>
      </c>
      <c r="AG100" s="1035">
        <f t="shared" si="132"/>
        <v>3.6333409680000002</v>
      </c>
      <c r="AH100" s="1035">
        <f t="shared" si="133"/>
        <v>5.8668303249999996</v>
      </c>
      <c r="AI100" s="1035">
        <f t="shared" si="134"/>
        <v>6.7393584000000006E-2</v>
      </c>
      <c r="AJ100" s="1035">
        <f t="shared" si="135"/>
        <v>0</v>
      </c>
      <c r="AK100" s="1033">
        <f t="shared" si="136"/>
        <v>58.195116415000001</v>
      </c>
      <c r="AL100" s="1087">
        <f t="shared" si="137"/>
        <v>58.195116415000001</v>
      </c>
    </row>
    <row r="101" spans="1:40" x14ac:dyDescent="0.25">
      <c r="A101" s="1038">
        <f t="shared" si="124"/>
        <v>1</v>
      </c>
      <c r="B101" s="933" t="s">
        <v>37</v>
      </c>
      <c r="C101" s="934" t="s">
        <v>413</v>
      </c>
      <c r="D101" s="1010" t="s">
        <v>414</v>
      </c>
      <c r="E101" s="941">
        <f>'1.BC_Ra Soat (ty) '!BS103</f>
        <v>7.9132332E-2</v>
      </c>
      <c r="F101" s="941">
        <f>'1.BC_Ra Soat (ty) '!BX103</f>
        <v>1.7</v>
      </c>
      <c r="G101" s="1035">
        <f>'1.BC_Ra Soat (ty) '!CC103</f>
        <v>1.0178927000000001E-2</v>
      </c>
      <c r="H101" s="1035">
        <f>'1.BC_Ra Soat (ty) '!CH103</f>
        <v>3.4122789999999998E-3</v>
      </c>
      <c r="I101" s="1035">
        <f>'1.BC_Ra Soat (ty) '!CM103</f>
        <v>0</v>
      </c>
      <c r="J101" s="1035">
        <f t="shared" si="127"/>
        <v>1.7927235379999997</v>
      </c>
      <c r="K101" s="1035">
        <f>'1.BC_Ra Soat (ty) '!DG103</f>
        <v>1.7927235379999997</v>
      </c>
      <c r="L101" s="1035">
        <f>'1.BC_Ra Soat (ty) '!BT103</f>
        <v>5.1095087999999997E-2</v>
      </c>
      <c r="M101" s="1035">
        <f>'1.BC_Ra Soat (ty) '!BY103</f>
        <v>1.7</v>
      </c>
      <c r="N101" s="1035">
        <f>'1.BC_Ra Soat (ty) '!CD103</f>
        <v>1.7465774E-2</v>
      </c>
      <c r="O101" s="1035">
        <f>'1.BC_Ra Soat (ty) '!CI103</f>
        <v>3.4122789999999998E-3</v>
      </c>
      <c r="P101" s="1035">
        <f>'1.BC_Ra Soat (ty) '!CN103</f>
        <v>0</v>
      </c>
      <c r="Q101" s="1035">
        <f t="shared" si="128"/>
        <v>1.7719731409999999</v>
      </c>
      <c r="R101" s="1035">
        <f>'1.BC_Ra Soat (ty) '!DH103</f>
        <v>1.7719731409999999</v>
      </c>
      <c r="S101" s="1035">
        <f>'1.BC_Ra Soat (ty) '!BU103</f>
        <v>0.47102691499999999</v>
      </c>
      <c r="T101" s="1035">
        <f>'1.BC_Ra Soat (ty) '!BZ103</f>
        <v>0</v>
      </c>
      <c r="U101" s="1035">
        <f>'1.BC_Ra Soat (ty) '!CE103</f>
        <v>1.0178927000000001E-2</v>
      </c>
      <c r="V101" s="1035">
        <f>'1.BC_Ra Soat (ty) '!CJ103</f>
        <v>3.4122789999999998E-3</v>
      </c>
      <c r="W101" s="1035">
        <f>'1.BC_Ra Soat (ty) '!CO103</f>
        <v>0</v>
      </c>
      <c r="X101" s="1033">
        <f t="shared" si="129"/>
        <v>0.48461812100000001</v>
      </c>
      <c r="Y101" s="1035">
        <f>'1.BC_Ra Soat (ty) '!DI103</f>
        <v>0.48461812100000001</v>
      </c>
      <c r="Z101" s="1035">
        <f>-SUMIFS('1.DC_Muc tieu'!F:F,'1.DC_Muc tieu'!$D:$D,'1.BC_Muc tieu (ty) '!$D101)+SUMIFS('1.DC_Muc tieu'!F:F,'1.DC_Muc tieu'!$E:$E,'1.BC_Muc tieu (ty) '!$D101)</f>
        <v>0</v>
      </c>
      <c r="AA101" s="1035">
        <f>-SUMIFS('1.DC_Muc tieu'!G:G,'1.DC_Muc tieu'!$D:$D,'1.BC_Muc tieu (ty) '!$D101)+SUMIFS('1.DC_Muc tieu'!G:G,'1.DC_Muc tieu'!$E:$E,'1.BC_Muc tieu (ty) '!$D101)</f>
        <v>0</v>
      </c>
      <c r="AB101" s="1035">
        <f>-SUMIFS('1.DC_Muc tieu'!H:H,'1.DC_Muc tieu'!$D:$D,'1.BC_Muc tieu (ty) '!$D101)+SUMIFS('1.DC_Muc tieu'!H:H,'1.DC_Muc tieu'!$E:$E,'1.BC_Muc tieu (ty) '!$D101)</f>
        <v>0</v>
      </c>
      <c r="AC101" s="1035"/>
      <c r="AD101" s="1035">
        <f>-SUMIFS('1.DC_Muc tieu'!J:J,'1.DC_Muc tieu'!$D:$D,'1.BC_Muc tieu (ty) '!$D101)+SUMIFS('1.DC_Muc tieu'!J:J,'1.DC_Muc tieu'!$E:$E,'1.BC_Muc tieu (ty) '!$D101)</f>
        <v>0</v>
      </c>
      <c r="AE101" s="1035">
        <f t="shared" si="130"/>
        <v>0</v>
      </c>
      <c r="AF101" s="1035">
        <f t="shared" si="131"/>
        <v>0.47102691499999999</v>
      </c>
      <c r="AG101" s="1035">
        <f t="shared" si="132"/>
        <v>0</v>
      </c>
      <c r="AH101" s="1035">
        <f t="shared" si="133"/>
        <v>1.0178927000000001E-2</v>
      </c>
      <c r="AI101" s="1035">
        <f t="shared" si="134"/>
        <v>3.4122789999999998E-3</v>
      </c>
      <c r="AJ101" s="1035">
        <f t="shared" si="135"/>
        <v>0</v>
      </c>
      <c r="AK101" s="1033">
        <f t="shared" si="136"/>
        <v>0.48461812100000001</v>
      </c>
      <c r="AL101" s="1087">
        <f t="shared" si="137"/>
        <v>0.48461812100000001</v>
      </c>
    </row>
    <row r="102" spans="1:40" x14ac:dyDescent="0.25">
      <c r="A102" s="1038">
        <f t="shared" si="124"/>
        <v>1</v>
      </c>
      <c r="B102" s="933" t="s">
        <v>44</v>
      </c>
      <c r="C102" s="934" t="s">
        <v>415</v>
      </c>
      <c r="D102" s="1010" t="s">
        <v>416</v>
      </c>
      <c r="E102" s="941">
        <f>'1.BC_Ra Soat (ty) '!BS104</f>
        <v>0</v>
      </c>
      <c r="F102" s="941">
        <f>'1.BC_Ra Soat (ty) '!BX104</f>
        <v>0</v>
      </c>
      <c r="G102" s="1035">
        <f>'1.BC_Ra Soat (ty) '!CC104</f>
        <v>0</v>
      </c>
      <c r="H102" s="1035">
        <f>'1.BC_Ra Soat (ty) '!CH104</f>
        <v>0</v>
      </c>
      <c r="I102" s="1035">
        <f>'1.BC_Ra Soat (ty) '!CM104</f>
        <v>0</v>
      </c>
      <c r="J102" s="1035">
        <f t="shared" si="127"/>
        <v>0</v>
      </c>
      <c r="K102" s="1035">
        <f>'1.BC_Ra Soat (ty) '!DG104</f>
        <v>0</v>
      </c>
      <c r="L102" s="1035">
        <f>'1.BC_Ra Soat (ty) '!BT104</f>
        <v>0</v>
      </c>
      <c r="M102" s="1035">
        <f>'1.BC_Ra Soat (ty) '!BY104</f>
        <v>0</v>
      </c>
      <c r="N102" s="1035">
        <f>'1.BC_Ra Soat (ty) '!CD104</f>
        <v>0</v>
      </c>
      <c r="O102" s="1035">
        <f>'1.BC_Ra Soat (ty) '!CI104</f>
        <v>0</v>
      </c>
      <c r="P102" s="1035">
        <f>'1.BC_Ra Soat (ty) '!CN104</f>
        <v>0</v>
      </c>
      <c r="Q102" s="1035">
        <f t="shared" si="128"/>
        <v>0</v>
      </c>
      <c r="R102" s="1035">
        <f>'1.BC_Ra Soat (ty) '!DH104</f>
        <v>0</v>
      </c>
      <c r="S102" s="1035">
        <f>'1.BC_Ra Soat (ty) '!BU104</f>
        <v>-1.265968</v>
      </c>
      <c r="T102" s="1035">
        <f>'1.BC_Ra Soat (ty) '!BZ104</f>
        <v>0</v>
      </c>
      <c r="U102" s="1035">
        <f>'1.BC_Ra Soat (ty) '!CE104</f>
        <v>0</v>
      </c>
      <c r="V102" s="1035">
        <f>'1.BC_Ra Soat (ty) '!CJ104</f>
        <v>0</v>
      </c>
      <c r="W102" s="1035">
        <f>'1.BC_Ra Soat (ty) '!CO104</f>
        <v>0</v>
      </c>
      <c r="X102" s="1033">
        <f t="shared" si="129"/>
        <v>-1.265968</v>
      </c>
      <c r="Y102" s="1035">
        <f>'1.BC_Ra Soat (ty) '!DI104</f>
        <v>-1.265968</v>
      </c>
      <c r="Z102" s="1035">
        <f>-SUMIFS('1.DC_Muc tieu'!F:F,'1.DC_Muc tieu'!$D:$D,'1.BC_Muc tieu (ty) '!$D102)+SUMIFS('1.DC_Muc tieu'!F:F,'1.DC_Muc tieu'!$E:$E,'1.BC_Muc tieu (ty) '!$D102)</f>
        <v>0</v>
      </c>
      <c r="AA102" s="1035">
        <f>-SUMIFS('1.DC_Muc tieu'!G:G,'1.DC_Muc tieu'!$D:$D,'1.BC_Muc tieu (ty) '!$D102)+SUMIFS('1.DC_Muc tieu'!G:G,'1.DC_Muc tieu'!$E:$E,'1.BC_Muc tieu (ty) '!$D102)</f>
        <v>0</v>
      </c>
      <c r="AB102" s="1035">
        <f>-SUMIFS('1.DC_Muc tieu'!H:H,'1.DC_Muc tieu'!$D:$D,'1.BC_Muc tieu (ty) '!$D102)+SUMIFS('1.DC_Muc tieu'!H:H,'1.DC_Muc tieu'!$E:$E,'1.BC_Muc tieu (ty) '!$D102)</f>
        <v>0</v>
      </c>
      <c r="AC102" s="1035"/>
      <c r="AD102" s="1035">
        <f>-SUMIFS('1.DC_Muc tieu'!J:J,'1.DC_Muc tieu'!$D:$D,'1.BC_Muc tieu (ty) '!$D102)+SUMIFS('1.DC_Muc tieu'!J:J,'1.DC_Muc tieu'!$E:$E,'1.BC_Muc tieu (ty) '!$D102)</f>
        <v>0</v>
      </c>
      <c r="AE102" s="1035">
        <f t="shared" si="130"/>
        <v>0</v>
      </c>
      <c r="AF102" s="1035">
        <f t="shared" si="131"/>
        <v>-1.265968</v>
      </c>
      <c r="AG102" s="1035">
        <f t="shared" si="132"/>
        <v>0</v>
      </c>
      <c r="AH102" s="1035">
        <f t="shared" si="133"/>
        <v>0</v>
      </c>
      <c r="AI102" s="1035">
        <f t="shared" si="134"/>
        <v>0</v>
      </c>
      <c r="AJ102" s="1035">
        <f t="shared" si="135"/>
        <v>0</v>
      </c>
      <c r="AK102" s="1033">
        <f t="shared" si="136"/>
        <v>-1.265968</v>
      </c>
      <c r="AL102" s="1087">
        <f t="shared" si="137"/>
        <v>-1.265968</v>
      </c>
    </row>
    <row r="103" spans="1:40" x14ac:dyDescent="0.25">
      <c r="A103" s="1038" t="str">
        <f t="shared" si="124"/>
        <v>hide</v>
      </c>
      <c r="B103" s="933" t="s">
        <v>46</v>
      </c>
      <c r="C103" s="934" t="s">
        <v>417</v>
      </c>
      <c r="D103" s="1010" t="s">
        <v>418</v>
      </c>
      <c r="E103" s="941">
        <f>'1.BC_Ra Soat (ty) '!BS105</f>
        <v>0</v>
      </c>
      <c r="F103" s="941">
        <f>'1.BC_Ra Soat (ty) '!BX105</f>
        <v>0</v>
      </c>
      <c r="G103" s="1035">
        <f>'1.BC_Ra Soat (ty) '!CC105</f>
        <v>0</v>
      </c>
      <c r="H103" s="1035">
        <f>'1.BC_Ra Soat (ty) '!CH105</f>
        <v>0</v>
      </c>
      <c r="I103" s="1035">
        <f>'1.BC_Ra Soat (ty) '!CM105</f>
        <v>0</v>
      </c>
      <c r="J103" s="1035">
        <f t="shared" si="127"/>
        <v>0</v>
      </c>
      <c r="K103" s="1035">
        <f>'1.BC_Ra Soat (ty) '!DG105</f>
        <v>0</v>
      </c>
      <c r="L103" s="1035">
        <f>'1.BC_Ra Soat (ty) '!BT105</f>
        <v>0</v>
      </c>
      <c r="M103" s="1035">
        <f>'1.BC_Ra Soat (ty) '!BY105</f>
        <v>0</v>
      </c>
      <c r="N103" s="1035">
        <f>'1.BC_Ra Soat (ty) '!CD105</f>
        <v>0</v>
      </c>
      <c r="O103" s="1035">
        <f>'1.BC_Ra Soat (ty) '!CI105</f>
        <v>0</v>
      </c>
      <c r="P103" s="1035">
        <f>'1.BC_Ra Soat (ty) '!CN105</f>
        <v>0</v>
      </c>
      <c r="Q103" s="1035">
        <f t="shared" si="128"/>
        <v>0</v>
      </c>
      <c r="R103" s="1035">
        <f>'1.BC_Ra Soat (ty) '!DH105</f>
        <v>0</v>
      </c>
      <c r="S103" s="1035">
        <f>'1.BC_Ra Soat (ty) '!BU105</f>
        <v>0</v>
      </c>
      <c r="T103" s="1035">
        <f>'1.BC_Ra Soat (ty) '!BZ105</f>
        <v>0</v>
      </c>
      <c r="U103" s="1035">
        <f>'1.BC_Ra Soat (ty) '!CE105</f>
        <v>0</v>
      </c>
      <c r="V103" s="1035">
        <f>'1.BC_Ra Soat (ty) '!CJ105</f>
        <v>0</v>
      </c>
      <c r="W103" s="1035">
        <f>'1.BC_Ra Soat (ty) '!CO105</f>
        <v>0</v>
      </c>
      <c r="X103" s="1033">
        <f t="shared" si="129"/>
        <v>0</v>
      </c>
      <c r="Y103" s="1035">
        <f>'1.BC_Ra Soat (ty) '!DI105</f>
        <v>0</v>
      </c>
      <c r="Z103" s="1035">
        <f>-SUMIFS('1.DC_Muc tieu'!F:F,'1.DC_Muc tieu'!$D:$D,'1.BC_Muc tieu (ty) '!$D103)+SUMIFS('1.DC_Muc tieu'!F:F,'1.DC_Muc tieu'!$E:$E,'1.BC_Muc tieu (ty) '!$D103)</f>
        <v>0</v>
      </c>
      <c r="AA103" s="1035">
        <f>-SUMIFS('1.DC_Muc tieu'!G:G,'1.DC_Muc tieu'!$D:$D,'1.BC_Muc tieu (ty) '!$D103)+SUMIFS('1.DC_Muc tieu'!G:G,'1.DC_Muc tieu'!$E:$E,'1.BC_Muc tieu (ty) '!$D103)</f>
        <v>0</v>
      </c>
      <c r="AB103" s="1035">
        <f>-SUMIFS('1.DC_Muc tieu'!H:H,'1.DC_Muc tieu'!$D:$D,'1.BC_Muc tieu (ty) '!$D103)+SUMIFS('1.DC_Muc tieu'!H:H,'1.DC_Muc tieu'!$E:$E,'1.BC_Muc tieu (ty) '!$D103)</f>
        <v>0</v>
      </c>
      <c r="AC103" s="1035"/>
      <c r="AD103" s="1035">
        <f>-SUMIFS('1.DC_Muc tieu'!J:J,'1.DC_Muc tieu'!$D:$D,'1.BC_Muc tieu (ty) '!$D103)+SUMIFS('1.DC_Muc tieu'!J:J,'1.DC_Muc tieu'!$E:$E,'1.BC_Muc tieu (ty) '!$D103)</f>
        <v>0</v>
      </c>
      <c r="AE103" s="1035">
        <f t="shared" si="130"/>
        <v>0</v>
      </c>
      <c r="AF103" s="1035">
        <f t="shared" si="131"/>
        <v>0</v>
      </c>
      <c r="AG103" s="1035">
        <f t="shared" si="132"/>
        <v>0</v>
      </c>
      <c r="AH103" s="1035">
        <f t="shared" si="133"/>
        <v>0</v>
      </c>
      <c r="AI103" s="1035">
        <f t="shared" si="134"/>
        <v>0</v>
      </c>
      <c r="AJ103" s="1035">
        <f t="shared" si="135"/>
        <v>0</v>
      </c>
      <c r="AK103" s="1033">
        <f t="shared" si="136"/>
        <v>0</v>
      </c>
      <c r="AL103" s="1035">
        <f t="shared" si="137"/>
        <v>0</v>
      </c>
    </row>
    <row r="104" spans="1:40" x14ac:dyDescent="0.25">
      <c r="A104" s="1038" t="str">
        <f t="shared" si="124"/>
        <v>hide</v>
      </c>
      <c r="B104" s="933" t="s">
        <v>48</v>
      </c>
      <c r="C104" s="934" t="s">
        <v>419</v>
      </c>
      <c r="D104" s="1010" t="s">
        <v>420</v>
      </c>
      <c r="E104" s="941">
        <f>'1.BC_Ra Soat (ty) '!BS106</f>
        <v>0</v>
      </c>
      <c r="F104" s="941">
        <f>'1.BC_Ra Soat (ty) '!BX106</f>
        <v>0</v>
      </c>
      <c r="G104" s="1035">
        <f>'1.BC_Ra Soat (ty) '!CC106</f>
        <v>0</v>
      </c>
      <c r="H104" s="1035">
        <f>'1.BC_Ra Soat (ty) '!CH106</f>
        <v>0</v>
      </c>
      <c r="I104" s="1035">
        <f>'1.BC_Ra Soat (ty) '!CM106</f>
        <v>0</v>
      </c>
      <c r="J104" s="1035">
        <f t="shared" si="127"/>
        <v>0</v>
      </c>
      <c r="K104" s="1035">
        <f>'1.BC_Ra Soat (ty) '!DG106</f>
        <v>0</v>
      </c>
      <c r="L104" s="1035">
        <f>'1.BC_Ra Soat (ty) '!BT106</f>
        <v>0</v>
      </c>
      <c r="M104" s="1035">
        <f>'1.BC_Ra Soat (ty) '!BY106</f>
        <v>0</v>
      </c>
      <c r="N104" s="1035">
        <f>'1.BC_Ra Soat (ty) '!CD106</f>
        <v>0</v>
      </c>
      <c r="O104" s="1035">
        <f>'1.BC_Ra Soat (ty) '!CI106</f>
        <v>0</v>
      </c>
      <c r="P104" s="1035">
        <f>'1.BC_Ra Soat (ty) '!CN106</f>
        <v>0</v>
      </c>
      <c r="Q104" s="1035">
        <f t="shared" si="128"/>
        <v>0</v>
      </c>
      <c r="R104" s="1035">
        <f>'1.BC_Ra Soat (ty) '!DH106</f>
        <v>0</v>
      </c>
      <c r="S104" s="1035">
        <f>'1.BC_Ra Soat (ty) '!BU106</f>
        <v>0</v>
      </c>
      <c r="T104" s="1035">
        <f>'1.BC_Ra Soat (ty) '!BZ106</f>
        <v>0</v>
      </c>
      <c r="U104" s="1035">
        <f>'1.BC_Ra Soat (ty) '!CE106</f>
        <v>0</v>
      </c>
      <c r="V104" s="1035">
        <f>'1.BC_Ra Soat (ty) '!CJ106</f>
        <v>0</v>
      </c>
      <c r="W104" s="1035">
        <f>'1.BC_Ra Soat (ty) '!CO106</f>
        <v>0</v>
      </c>
      <c r="X104" s="1033">
        <f t="shared" si="129"/>
        <v>0</v>
      </c>
      <c r="Y104" s="1035">
        <f>'1.BC_Ra Soat (ty) '!DI106</f>
        <v>0</v>
      </c>
      <c r="Z104" s="1035">
        <f>-SUMIFS('1.DC_Muc tieu'!F:F,'1.DC_Muc tieu'!$D:$D,'1.BC_Muc tieu (ty) '!$D104)+SUMIFS('1.DC_Muc tieu'!F:F,'1.DC_Muc tieu'!$E:$E,'1.BC_Muc tieu (ty) '!$D104)</f>
        <v>0</v>
      </c>
      <c r="AA104" s="1035">
        <f>-SUMIFS('1.DC_Muc tieu'!G:G,'1.DC_Muc tieu'!$D:$D,'1.BC_Muc tieu (ty) '!$D104)+SUMIFS('1.DC_Muc tieu'!G:G,'1.DC_Muc tieu'!$E:$E,'1.BC_Muc tieu (ty) '!$D104)</f>
        <v>0</v>
      </c>
      <c r="AB104" s="1035">
        <f>-SUMIFS('1.DC_Muc tieu'!H:H,'1.DC_Muc tieu'!$D:$D,'1.BC_Muc tieu (ty) '!$D104)+SUMIFS('1.DC_Muc tieu'!H:H,'1.DC_Muc tieu'!$E:$E,'1.BC_Muc tieu (ty) '!$D104)</f>
        <v>0</v>
      </c>
      <c r="AC104" s="1035"/>
      <c r="AD104" s="1035">
        <f>-SUMIFS('1.DC_Muc tieu'!J:J,'1.DC_Muc tieu'!$D:$D,'1.BC_Muc tieu (ty) '!$D104)+SUMIFS('1.DC_Muc tieu'!J:J,'1.DC_Muc tieu'!$E:$E,'1.BC_Muc tieu (ty) '!$D104)</f>
        <v>0</v>
      </c>
      <c r="AE104" s="1035">
        <f t="shared" si="130"/>
        <v>0</v>
      </c>
      <c r="AF104" s="1035">
        <f t="shared" si="131"/>
        <v>0</v>
      </c>
      <c r="AG104" s="1035">
        <f t="shared" si="132"/>
        <v>0</v>
      </c>
      <c r="AH104" s="1035">
        <f t="shared" si="133"/>
        <v>0</v>
      </c>
      <c r="AI104" s="1035">
        <f t="shared" si="134"/>
        <v>0</v>
      </c>
      <c r="AJ104" s="1035">
        <f t="shared" si="135"/>
        <v>0</v>
      </c>
      <c r="AK104" s="1033">
        <f t="shared" si="136"/>
        <v>0</v>
      </c>
      <c r="AL104" s="1035">
        <f t="shared" si="137"/>
        <v>0</v>
      </c>
    </row>
    <row r="105" spans="1:40" ht="30" x14ac:dyDescent="0.25">
      <c r="A105" s="1038" t="str">
        <f t="shared" si="124"/>
        <v>hide</v>
      </c>
      <c r="B105" s="933" t="s">
        <v>50</v>
      </c>
      <c r="C105" s="934" t="s">
        <v>421</v>
      </c>
      <c r="D105" s="1010" t="s">
        <v>422</v>
      </c>
      <c r="E105" s="941">
        <f>'1.BC_Ra Soat (ty) '!BS107</f>
        <v>0</v>
      </c>
      <c r="F105" s="941">
        <f>'1.BC_Ra Soat (ty) '!BX107</f>
        <v>0</v>
      </c>
      <c r="G105" s="1035">
        <f>'1.BC_Ra Soat (ty) '!CC107</f>
        <v>0</v>
      </c>
      <c r="H105" s="1035">
        <f>'1.BC_Ra Soat (ty) '!CH107</f>
        <v>0</v>
      </c>
      <c r="I105" s="1035">
        <f>'1.BC_Ra Soat (ty) '!CM107</f>
        <v>0</v>
      </c>
      <c r="J105" s="1035">
        <f t="shared" si="127"/>
        <v>0</v>
      </c>
      <c r="K105" s="1035">
        <f>'1.BC_Ra Soat (ty) '!DG107</f>
        <v>0</v>
      </c>
      <c r="L105" s="1035">
        <f>'1.BC_Ra Soat (ty) '!BT107</f>
        <v>0</v>
      </c>
      <c r="M105" s="1035">
        <f>'1.BC_Ra Soat (ty) '!BY107</f>
        <v>0</v>
      </c>
      <c r="N105" s="1035">
        <f>'1.BC_Ra Soat (ty) '!CD107</f>
        <v>0</v>
      </c>
      <c r="O105" s="1035">
        <f>'1.BC_Ra Soat (ty) '!CI107</f>
        <v>0</v>
      </c>
      <c r="P105" s="1035">
        <f>'1.BC_Ra Soat (ty) '!CN107</f>
        <v>0</v>
      </c>
      <c r="Q105" s="1035">
        <f t="shared" si="128"/>
        <v>0</v>
      </c>
      <c r="R105" s="1035">
        <f>'1.BC_Ra Soat (ty) '!DH107</f>
        <v>0</v>
      </c>
      <c r="S105" s="1035">
        <f>'1.BC_Ra Soat (ty) '!BU107</f>
        <v>0</v>
      </c>
      <c r="T105" s="1035">
        <f>'1.BC_Ra Soat (ty) '!BZ107</f>
        <v>0</v>
      </c>
      <c r="U105" s="1035">
        <f>'1.BC_Ra Soat (ty) '!CE107</f>
        <v>0</v>
      </c>
      <c r="V105" s="1035">
        <f>'1.BC_Ra Soat (ty) '!CJ107</f>
        <v>0</v>
      </c>
      <c r="W105" s="1035">
        <f>'1.BC_Ra Soat (ty) '!CO107</f>
        <v>0</v>
      </c>
      <c r="X105" s="1033">
        <f t="shared" si="129"/>
        <v>0</v>
      </c>
      <c r="Y105" s="1035">
        <f>'1.BC_Ra Soat (ty) '!DI107</f>
        <v>0</v>
      </c>
      <c r="Z105" s="1035">
        <f>-SUMIFS('1.DC_Muc tieu'!F:F,'1.DC_Muc tieu'!$D:$D,'1.BC_Muc tieu (ty) '!$D105)+SUMIFS('1.DC_Muc tieu'!F:F,'1.DC_Muc tieu'!$E:$E,'1.BC_Muc tieu (ty) '!$D105)</f>
        <v>0</v>
      </c>
      <c r="AA105" s="1035">
        <f>-SUMIFS('1.DC_Muc tieu'!G:G,'1.DC_Muc tieu'!$D:$D,'1.BC_Muc tieu (ty) '!$D105)+SUMIFS('1.DC_Muc tieu'!G:G,'1.DC_Muc tieu'!$E:$E,'1.BC_Muc tieu (ty) '!$D105)</f>
        <v>0</v>
      </c>
      <c r="AB105" s="1035">
        <f>-SUMIFS('1.DC_Muc tieu'!H:H,'1.DC_Muc tieu'!$D:$D,'1.BC_Muc tieu (ty) '!$D105)+SUMIFS('1.DC_Muc tieu'!H:H,'1.DC_Muc tieu'!$E:$E,'1.BC_Muc tieu (ty) '!$D105)</f>
        <v>0</v>
      </c>
      <c r="AC105" s="1035"/>
      <c r="AD105" s="1035">
        <f>-SUMIFS('1.DC_Muc tieu'!J:J,'1.DC_Muc tieu'!$D:$D,'1.BC_Muc tieu (ty) '!$D105)+SUMIFS('1.DC_Muc tieu'!J:J,'1.DC_Muc tieu'!$E:$E,'1.BC_Muc tieu (ty) '!$D105)</f>
        <v>0</v>
      </c>
      <c r="AE105" s="1035">
        <f t="shared" si="130"/>
        <v>0</v>
      </c>
      <c r="AF105" s="1035">
        <f t="shared" si="131"/>
        <v>0</v>
      </c>
      <c r="AG105" s="1035">
        <f t="shared" si="132"/>
        <v>0</v>
      </c>
      <c r="AH105" s="1035">
        <f t="shared" si="133"/>
        <v>0</v>
      </c>
      <c r="AI105" s="1035">
        <f t="shared" si="134"/>
        <v>0</v>
      </c>
      <c r="AJ105" s="1035">
        <f t="shared" si="135"/>
        <v>0</v>
      </c>
      <c r="AK105" s="1033">
        <f t="shared" si="136"/>
        <v>0</v>
      </c>
      <c r="AL105" s="1035">
        <f t="shared" si="137"/>
        <v>0</v>
      </c>
    </row>
    <row r="106" spans="1:40" x14ac:dyDescent="0.25">
      <c r="A106" s="1038" t="str">
        <f t="shared" si="124"/>
        <v>hide</v>
      </c>
      <c r="B106" s="933" t="s">
        <v>52</v>
      </c>
      <c r="C106" s="934" t="s">
        <v>423</v>
      </c>
      <c r="D106" s="1010" t="s">
        <v>424</v>
      </c>
      <c r="E106" s="941">
        <f>'1.BC_Ra Soat (ty) '!BS108</f>
        <v>0</v>
      </c>
      <c r="F106" s="941">
        <f>'1.BC_Ra Soat (ty) '!BX108</f>
        <v>0</v>
      </c>
      <c r="G106" s="1035">
        <f>'1.BC_Ra Soat (ty) '!CC108</f>
        <v>0</v>
      </c>
      <c r="H106" s="1035">
        <f>'1.BC_Ra Soat (ty) '!CH108</f>
        <v>0</v>
      </c>
      <c r="I106" s="1035">
        <f>'1.BC_Ra Soat (ty) '!CM108</f>
        <v>0</v>
      </c>
      <c r="J106" s="1035">
        <f t="shared" si="127"/>
        <v>0</v>
      </c>
      <c r="K106" s="1035">
        <f>'1.BC_Ra Soat (ty) '!DG108</f>
        <v>0</v>
      </c>
      <c r="L106" s="1035">
        <f>'1.BC_Ra Soat (ty) '!BT108</f>
        <v>0</v>
      </c>
      <c r="M106" s="1035">
        <f>'1.BC_Ra Soat (ty) '!BY108</f>
        <v>0</v>
      </c>
      <c r="N106" s="1035">
        <f>'1.BC_Ra Soat (ty) '!CD108</f>
        <v>0</v>
      </c>
      <c r="O106" s="1035">
        <f>'1.BC_Ra Soat (ty) '!CI108</f>
        <v>0</v>
      </c>
      <c r="P106" s="1035">
        <f>'1.BC_Ra Soat (ty) '!CN108</f>
        <v>0</v>
      </c>
      <c r="Q106" s="1035">
        <f t="shared" si="128"/>
        <v>0</v>
      </c>
      <c r="R106" s="1035">
        <f>'1.BC_Ra Soat (ty) '!DH108</f>
        <v>0</v>
      </c>
      <c r="S106" s="1035">
        <f>'1.BC_Ra Soat (ty) '!BU108</f>
        <v>0</v>
      </c>
      <c r="T106" s="1035">
        <f>'1.BC_Ra Soat (ty) '!BZ108</f>
        <v>0</v>
      </c>
      <c r="U106" s="1035">
        <f>'1.BC_Ra Soat (ty) '!CE108</f>
        <v>0</v>
      </c>
      <c r="V106" s="1035">
        <f>'1.BC_Ra Soat (ty) '!CJ108</f>
        <v>0</v>
      </c>
      <c r="W106" s="1035">
        <f>'1.BC_Ra Soat (ty) '!CO108</f>
        <v>0</v>
      </c>
      <c r="X106" s="1033">
        <f t="shared" si="129"/>
        <v>0</v>
      </c>
      <c r="Y106" s="1035">
        <f>'1.BC_Ra Soat (ty) '!DI108</f>
        <v>0</v>
      </c>
      <c r="Z106" s="1035">
        <f>-SUMIFS('1.DC_Muc tieu'!F:F,'1.DC_Muc tieu'!$D:$D,'1.BC_Muc tieu (ty) '!$D106)+SUMIFS('1.DC_Muc tieu'!F:F,'1.DC_Muc tieu'!$E:$E,'1.BC_Muc tieu (ty) '!$D106)</f>
        <v>0</v>
      </c>
      <c r="AA106" s="1035">
        <f>-SUMIFS('1.DC_Muc tieu'!G:G,'1.DC_Muc tieu'!$D:$D,'1.BC_Muc tieu (ty) '!$D106)+SUMIFS('1.DC_Muc tieu'!G:G,'1.DC_Muc tieu'!$E:$E,'1.BC_Muc tieu (ty) '!$D106)</f>
        <v>0</v>
      </c>
      <c r="AB106" s="1035">
        <f>-SUMIFS('1.DC_Muc tieu'!H:H,'1.DC_Muc tieu'!$D:$D,'1.BC_Muc tieu (ty) '!$D106)+SUMIFS('1.DC_Muc tieu'!H:H,'1.DC_Muc tieu'!$E:$E,'1.BC_Muc tieu (ty) '!$D106)</f>
        <v>0</v>
      </c>
      <c r="AC106" s="1035"/>
      <c r="AD106" s="1035">
        <f>-SUMIFS('1.DC_Muc tieu'!J:J,'1.DC_Muc tieu'!$D:$D,'1.BC_Muc tieu (ty) '!$D106)+SUMIFS('1.DC_Muc tieu'!J:J,'1.DC_Muc tieu'!$E:$E,'1.BC_Muc tieu (ty) '!$D106)</f>
        <v>0</v>
      </c>
      <c r="AE106" s="1035">
        <f t="shared" si="130"/>
        <v>0</v>
      </c>
      <c r="AF106" s="1035">
        <f t="shared" si="131"/>
        <v>0</v>
      </c>
      <c r="AG106" s="1035">
        <f t="shared" si="132"/>
        <v>0</v>
      </c>
      <c r="AH106" s="1035">
        <f t="shared" si="133"/>
        <v>0</v>
      </c>
      <c r="AI106" s="1035">
        <f t="shared" si="134"/>
        <v>0</v>
      </c>
      <c r="AJ106" s="1035">
        <f t="shared" si="135"/>
        <v>0</v>
      </c>
      <c r="AK106" s="1033">
        <f t="shared" si="136"/>
        <v>0</v>
      </c>
      <c r="AL106" s="1035">
        <f t="shared" si="137"/>
        <v>0</v>
      </c>
    </row>
    <row r="107" spans="1:40" x14ac:dyDescent="0.25">
      <c r="A107" s="1038">
        <f t="shared" si="124"/>
        <v>1</v>
      </c>
      <c r="B107" s="933" t="s">
        <v>99</v>
      </c>
      <c r="C107" s="934" t="s">
        <v>425</v>
      </c>
      <c r="D107" s="1010" t="s">
        <v>426</v>
      </c>
      <c r="E107" s="941">
        <f>'1.BC_Ra Soat (ty) '!BS109</f>
        <v>0</v>
      </c>
      <c r="F107" s="941">
        <f>'1.BC_Ra Soat (ty) '!BX109</f>
        <v>0</v>
      </c>
      <c r="G107" s="1035">
        <f>'1.BC_Ra Soat (ty) '!CC109</f>
        <v>0</v>
      </c>
      <c r="H107" s="1035">
        <f>'1.BC_Ra Soat (ty) '!CH109</f>
        <v>0</v>
      </c>
      <c r="I107" s="1035">
        <f>'1.BC_Ra Soat (ty) '!CM109</f>
        <v>0</v>
      </c>
      <c r="J107" s="1035">
        <f t="shared" si="127"/>
        <v>0</v>
      </c>
      <c r="K107" s="1035">
        <f>'1.BC_Ra Soat (ty) '!DG109</f>
        <v>0</v>
      </c>
      <c r="L107" s="1035">
        <f>'1.BC_Ra Soat (ty) '!BT109</f>
        <v>0</v>
      </c>
      <c r="M107" s="1035">
        <f>'1.BC_Ra Soat (ty) '!BY109</f>
        <v>0</v>
      </c>
      <c r="N107" s="1035">
        <f>'1.BC_Ra Soat (ty) '!CD109</f>
        <v>0</v>
      </c>
      <c r="O107" s="1035">
        <f>'1.BC_Ra Soat (ty) '!CI109</f>
        <v>1</v>
      </c>
      <c r="P107" s="1035">
        <f>'1.BC_Ra Soat (ty) '!CN109</f>
        <v>0</v>
      </c>
      <c r="Q107" s="1035">
        <f t="shared" si="128"/>
        <v>1</v>
      </c>
      <c r="R107" s="1035">
        <f>'1.BC_Ra Soat (ty) '!DH109</f>
        <v>1</v>
      </c>
      <c r="S107" s="1035">
        <f>'1.BC_Ra Soat (ty) '!BU109</f>
        <v>0</v>
      </c>
      <c r="T107" s="1035">
        <f>'1.BC_Ra Soat (ty) '!BZ109</f>
        <v>2.3614052999999999E-2</v>
      </c>
      <c r="U107" s="1035">
        <f>'1.BC_Ra Soat (ty) '!CE109</f>
        <v>0</v>
      </c>
      <c r="V107" s="1035">
        <f>'1.BC_Ra Soat (ty) '!CJ109</f>
        <v>33.1</v>
      </c>
      <c r="W107" s="1035">
        <f>'1.BC_Ra Soat (ty) '!CO109</f>
        <v>0</v>
      </c>
      <c r="X107" s="1033">
        <f t="shared" si="129"/>
        <v>33.123614053000004</v>
      </c>
      <c r="Y107" s="1035">
        <f>'1.BC_Ra Soat (ty) '!DI109</f>
        <v>33.123614053000004</v>
      </c>
      <c r="Z107" s="1035">
        <f>-SUMIFS('1.DC_Muc tieu'!F:F,'1.DC_Muc tieu'!$D:$D,D107)+SUMIFS('1.DC_Muc tieu'!F:F,'1.DC_Muc tieu'!$E:$E,'1.BC_Muc tieu (ty) '!$D107)</f>
        <v>0</v>
      </c>
      <c r="AA107" s="1035">
        <f>-SUMIFS('1.DC_Muc tieu'!G:G,'1.DC_Muc tieu'!$D:$D,'1.BC_Muc tieu (ty) '!$D107)+SUMIFS('1.DC_Muc tieu'!G:G,'1.DC_Muc tieu'!$E:$E,'1.BC_Muc tieu (ty) '!$D107)</f>
        <v>0</v>
      </c>
      <c r="AB107" s="1035">
        <f>-SUMIFS('1.DC_Muc tieu'!H:H,'1.DC_Muc tieu'!$D:$D,'1.BC_Muc tieu (ty) '!$D107)+SUMIFS('1.DC_Muc tieu'!H:H,'1.DC_Muc tieu'!$E:$E,'1.BC_Muc tieu (ty) '!$D107)</f>
        <v>0</v>
      </c>
      <c r="AC107" s="1035"/>
      <c r="AD107" s="1035">
        <f>-SUMIFS('1.DC_Muc tieu'!J:J,'1.DC_Muc tieu'!$D:$D,'1.BC_Muc tieu (ty) '!$D107)+SUMIFS('1.DC_Muc tieu'!J:J,'1.DC_Muc tieu'!$E:$E,'1.BC_Muc tieu (ty) '!$D107)</f>
        <v>0</v>
      </c>
      <c r="AE107" s="1035">
        <f t="shared" si="130"/>
        <v>0</v>
      </c>
      <c r="AF107" s="1035">
        <f t="shared" si="131"/>
        <v>0</v>
      </c>
      <c r="AG107" s="1035">
        <f t="shared" si="132"/>
        <v>2.3614052999999999E-2</v>
      </c>
      <c r="AH107" s="1035">
        <f t="shared" si="133"/>
        <v>0</v>
      </c>
      <c r="AI107" s="1035">
        <f t="shared" si="134"/>
        <v>33.1</v>
      </c>
      <c r="AJ107" s="1035">
        <f t="shared" si="135"/>
        <v>0</v>
      </c>
      <c r="AK107" s="1033">
        <f t="shared" si="136"/>
        <v>33.123614053000004</v>
      </c>
      <c r="AL107" s="1087">
        <f t="shared" si="137"/>
        <v>33.123614053000004</v>
      </c>
    </row>
    <row r="108" spans="1:40" x14ac:dyDescent="0.25">
      <c r="A108" s="1038">
        <f t="shared" si="124"/>
        <v>1</v>
      </c>
      <c r="B108" s="935" t="s">
        <v>100</v>
      </c>
      <c r="C108" s="934" t="s">
        <v>427</v>
      </c>
      <c r="D108" s="1010" t="s">
        <v>428</v>
      </c>
      <c r="E108" s="941">
        <f>'1.BC_Ra Soat (ty) '!BS110</f>
        <v>147.33274385799999</v>
      </c>
      <c r="F108" s="941">
        <f>'1.BC_Ra Soat (ty) '!BX110</f>
        <v>26.71528636</v>
      </c>
      <c r="G108" s="1035">
        <f>'1.BC_Ra Soat (ty) '!CC110</f>
        <v>24.624096874999999</v>
      </c>
      <c r="H108" s="1035">
        <f>'1.BC_Ra Soat (ty) '!CH110</f>
        <v>15.859932430000001</v>
      </c>
      <c r="I108" s="1035">
        <f>'1.BC_Ra Soat (ty) '!CM110</f>
        <v>0</v>
      </c>
      <c r="J108" s="1035">
        <f t="shared" si="127"/>
        <v>214.53205952299999</v>
      </c>
      <c r="K108" s="1035">
        <f>'1.BC_Ra Soat (ty) '!DG110</f>
        <v>214.53205952299999</v>
      </c>
      <c r="L108" s="1035">
        <f>'1.BC_Ra Soat (ty) '!BT110</f>
        <v>167.83386811700001</v>
      </c>
      <c r="M108" s="1035">
        <f>'1.BC_Ra Soat (ty) '!BY110</f>
        <v>32.086484294000002</v>
      </c>
      <c r="N108" s="1035">
        <f>'1.BC_Ra Soat (ty) '!CD110</f>
        <v>25.044757000000001</v>
      </c>
      <c r="O108" s="1035">
        <f>'1.BC_Ra Soat (ty) '!CI110</f>
        <v>17.983374999999999</v>
      </c>
      <c r="P108" s="1035">
        <f>'1.BC_Ra Soat (ty) '!CN110</f>
        <v>0</v>
      </c>
      <c r="Q108" s="1035">
        <f t="shared" si="128"/>
        <v>242.94848441100001</v>
      </c>
      <c r="R108" s="1035">
        <f>'1.BC_Ra Soat (ty) '!DH110</f>
        <v>242.94848441100001</v>
      </c>
      <c r="S108" s="1035">
        <f>'1.BC_Ra Soat (ty) '!BU110</f>
        <v>144.416076514</v>
      </c>
      <c r="T108" s="1035">
        <f>'1.BC_Ra Soat (ty) '!BZ110</f>
        <v>8.9494257259999994</v>
      </c>
      <c r="U108" s="1035">
        <f>'1.BC_Ra Soat (ty) '!CE110</f>
        <v>21.64092965</v>
      </c>
      <c r="V108" s="1035">
        <f>'1.BC_Ra Soat (ty) '!CJ110</f>
        <v>17.141931463999999</v>
      </c>
      <c r="W108" s="1035">
        <f>'1.BC_Ra Soat (ty) '!CO110</f>
        <v>0</v>
      </c>
      <c r="X108" s="1033">
        <f t="shared" si="129"/>
        <v>192.148363354</v>
      </c>
      <c r="Y108" s="1035">
        <f>'1.BC_Ra Soat (ty) '!DI110</f>
        <v>192.148363354</v>
      </c>
      <c r="Z108" s="1035">
        <f>-SUMIFS('1.DC_Muc tieu'!F:F,'1.DC_Muc tieu'!$D:$D,'1.BC_Muc tieu (ty) '!$D108)+SUMIFS('1.DC_Muc tieu'!F:F,'1.DC_Muc tieu'!$E:$E,'1.BC_Muc tieu (ty) '!$D108)</f>
        <v>0</v>
      </c>
      <c r="AA108" s="1035">
        <f>-SUMIFS('1.DC_Muc tieu'!G:G,'1.DC_Muc tieu'!$D:$D,'1.BC_Muc tieu (ty) '!$D108)+SUMIFS('1.DC_Muc tieu'!G:G,'1.DC_Muc tieu'!$E:$E,'1.BC_Muc tieu (ty) '!$D108)</f>
        <v>0</v>
      </c>
      <c r="AB108" s="1035">
        <f>-SUMIFS('1.DC_Muc tieu'!H:H,'1.DC_Muc tieu'!$D:$D,'1.BC_Muc tieu (ty) '!$D108)+SUMIFS('1.DC_Muc tieu'!H:H,'1.DC_Muc tieu'!$E:$E,'1.BC_Muc tieu (ty) '!$D108)</f>
        <v>0</v>
      </c>
      <c r="AC108" s="1035"/>
      <c r="AD108" s="1035">
        <f>SUMIFS('1.DC_Muc tieu'!$J:$J,'1.DC_Muc tieu'!$E:$E,'1.BC_Muc tieu (ty) '!$D108)-SUMIFS('1.DC_Muc tieu'!$J:$J,'1.DC_Muc tieu'!$D:$D,'1.BC_Muc tieu (ty) '!$D108)</f>
        <v>0</v>
      </c>
      <c r="AE108" s="1035">
        <f t="shared" si="130"/>
        <v>0</v>
      </c>
      <c r="AF108" s="1035">
        <f t="shared" si="131"/>
        <v>144.416076514</v>
      </c>
      <c r="AG108" s="1035">
        <f t="shared" si="132"/>
        <v>8.9494257259999994</v>
      </c>
      <c r="AH108" s="1035">
        <f t="shared" si="133"/>
        <v>21.64092965</v>
      </c>
      <c r="AI108" s="1035">
        <f t="shared" si="134"/>
        <v>17.141931463999999</v>
      </c>
      <c r="AJ108" s="1035">
        <f t="shared" si="135"/>
        <v>0</v>
      </c>
      <c r="AK108" s="1033">
        <f t="shared" si="136"/>
        <v>192.148363354</v>
      </c>
      <c r="AL108" s="1087">
        <f t="shared" si="137"/>
        <v>192.148363354</v>
      </c>
      <c r="AN108" s="601"/>
    </row>
    <row r="109" spans="1:40" s="887" customFormat="1" x14ac:dyDescent="0.25">
      <c r="A109" s="1014" t="str">
        <f t="shared" si="124"/>
        <v>hide</v>
      </c>
      <c r="B109" s="936" t="s">
        <v>101</v>
      </c>
      <c r="C109" s="934" t="s">
        <v>429</v>
      </c>
      <c r="D109" s="1010" t="s">
        <v>430</v>
      </c>
      <c r="E109" s="941">
        <f>'1.BC_Ra Soat (ty) '!BS111</f>
        <v>0</v>
      </c>
      <c r="F109" s="941">
        <f>'1.BC_Ra Soat (ty) '!BX111</f>
        <v>0</v>
      </c>
      <c r="G109" s="1036">
        <f>'1.BC_Ra Soat (ty) '!CC111</f>
        <v>0</v>
      </c>
      <c r="H109" s="1036">
        <f>'1.BC_Ra Soat (ty) '!CH111</f>
        <v>0</v>
      </c>
      <c r="I109" s="1036">
        <f>'1.BC_Ra Soat (ty) '!CM111</f>
        <v>0</v>
      </c>
      <c r="J109" s="1036">
        <f t="shared" si="127"/>
        <v>0</v>
      </c>
      <c r="K109" s="1035">
        <f>'1.BC_Ra Soat (ty) '!DG111</f>
        <v>0</v>
      </c>
      <c r="L109" s="1036">
        <f>'1.BC_Ra Soat (ty) '!BT111</f>
        <v>0</v>
      </c>
      <c r="M109" s="1036">
        <f>'1.BC_Ra Soat (ty) '!BY111</f>
        <v>0</v>
      </c>
      <c r="N109" s="1036">
        <f>'1.BC_Ra Soat (ty) '!CD111</f>
        <v>0</v>
      </c>
      <c r="O109" s="1036">
        <f>'1.BC_Ra Soat (ty) '!CI111</f>
        <v>0</v>
      </c>
      <c r="P109" s="1036">
        <f>'1.BC_Ra Soat (ty) '!CN111</f>
        <v>0</v>
      </c>
      <c r="Q109" s="1035">
        <f t="shared" si="128"/>
        <v>0</v>
      </c>
      <c r="R109" s="1035">
        <f>'1.BC_Ra Soat (ty) '!DH111</f>
        <v>0</v>
      </c>
      <c r="S109" s="1036">
        <f>'1.BC_Ra Soat (ty) '!BU111</f>
        <v>0</v>
      </c>
      <c r="T109" s="1036">
        <f>'1.BC_Ra Soat (ty) '!BZ111</f>
        <v>0</v>
      </c>
      <c r="U109" s="1036">
        <f>'1.BC_Ra Soat (ty) '!CE111</f>
        <v>0</v>
      </c>
      <c r="V109" s="1036">
        <f>'1.BC_Ra Soat (ty) '!CJ111</f>
        <v>0</v>
      </c>
      <c r="W109" s="1036">
        <f>'1.BC_Ra Soat (ty) '!CO111</f>
        <v>0</v>
      </c>
      <c r="X109" s="1032">
        <f t="shared" si="129"/>
        <v>0</v>
      </c>
      <c r="Y109" s="1036">
        <f>'1.BC_Ra Soat (ty) '!DI111</f>
        <v>0</v>
      </c>
      <c r="Z109" s="1035">
        <f>-SUMIFS('1.DC_Muc tieu'!F:F,'1.DC_Muc tieu'!$D:$D,'1.BC_Muc tieu (ty) '!$D109)+SUMIFS('1.DC_Muc tieu'!F:F,'1.DC_Muc tieu'!$E:$E,'1.BC_Muc tieu (ty) '!$D109)</f>
        <v>0</v>
      </c>
      <c r="AA109" s="1035">
        <f>-SUMIFS('1.DC_Muc tieu'!G:G,'1.DC_Muc tieu'!$D:$D,'1.BC_Muc tieu (ty) '!$D109)+SUMIFS('1.DC_Muc tieu'!G:G,'1.DC_Muc tieu'!$E:$E,'1.BC_Muc tieu (ty) '!$D109)</f>
        <v>0</v>
      </c>
      <c r="AB109" s="1035">
        <f>-SUMIFS('1.DC_Muc tieu'!H:H,'1.DC_Muc tieu'!$D:$D,'1.BC_Muc tieu (ty) '!$D109)+SUMIFS('1.DC_Muc tieu'!H:H,'1.DC_Muc tieu'!$E:$E,'1.BC_Muc tieu (ty) '!$D109)</f>
        <v>0</v>
      </c>
      <c r="AC109" s="1035"/>
      <c r="AD109" s="1035">
        <f>-SUMIFS('1.DC_Muc tieu'!J:J,'1.DC_Muc tieu'!$D:$D,'1.BC_Muc tieu (ty) '!$D109)+SUMIFS('1.DC_Muc tieu'!J:J,'1.DC_Muc tieu'!$E:$E,'1.BC_Muc tieu (ty) '!$D109)</f>
        <v>0</v>
      </c>
      <c r="AE109" s="1035">
        <f t="shared" si="130"/>
        <v>0</v>
      </c>
      <c r="AF109" s="1035">
        <f t="shared" si="131"/>
        <v>0</v>
      </c>
      <c r="AG109" s="1035">
        <f t="shared" si="132"/>
        <v>0</v>
      </c>
      <c r="AH109" s="1035">
        <f t="shared" si="133"/>
        <v>0</v>
      </c>
      <c r="AI109" s="1035">
        <f t="shared" si="134"/>
        <v>0</v>
      </c>
      <c r="AJ109" s="1035">
        <f t="shared" si="135"/>
        <v>0</v>
      </c>
      <c r="AK109" s="1033">
        <f t="shared" si="136"/>
        <v>0</v>
      </c>
      <c r="AL109" s="1035">
        <f t="shared" si="137"/>
        <v>0</v>
      </c>
    </row>
    <row r="110" spans="1:40" x14ac:dyDescent="0.25">
      <c r="A110" s="1014" t="str">
        <f t="shared" si="124"/>
        <v>hide</v>
      </c>
      <c r="B110" s="933" t="s">
        <v>102</v>
      </c>
      <c r="C110" s="934" t="s">
        <v>431</v>
      </c>
      <c r="D110" s="1010" t="s">
        <v>432</v>
      </c>
      <c r="E110" s="941">
        <f>'1.BC_Ra Soat (ty) '!BS112</f>
        <v>0</v>
      </c>
      <c r="F110" s="941">
        <f>'1.BC_Ra Soat (ty) '!BX112</f>
        <v>0</v>
      </c>
      <c r="G110" s="1036">
        <f>'1.BC_Ra Soat (ty) '!CC112</f>
        <v>0</v>
      </c>
      <c r="H110" s="1036">
        <f>'1.BC_Ra Soat (ty) '!CH112</f>
        <v>0</v>
      </c>
      <c r="I110" s="1036">
        <f>'1.BC_Ra Soat (ty) '!CM112</f>
        <v>0</v>
      </c>
      <c r="J110" s="1036">
        <f t="shared" si="127"/>
        <v>0</v>
      </c>
      <c r="K110" s="1035">
        <f>'1.BC_Ra Soat (ty) '!DG112</f>
        <v>0</v>
      </c>
      <c r="L110" s="1036">
        <f>'1.BC_Ra Soat (ty) '!BT112</f>
        <v>0</v>
      </c>
      <c r="M110" s="1036">
        <f>'1.BC_Ra Soat (ty) '!BY112</f>
        <v>0</v>
      </c>
      <c r="N110" s="1036">
        <f>'1.BC_Ra Soat (ty) '!CD112</f>
        <v>0</v>
      </c>
      <c r="O110" s="1036">
        <f>'1.BC_Ra Soat (ty) '!CI112</f>
        <v>0</v>
      </c>
      <c r="P110" s="1036">
        <f>'1.BC_Ra Soat (ty) '!CN112</f>
        <v>0</v>
      </c>
      <c r="Q110" s="1035">
        <f t="shared" si="128"/>
        <v>0</v>
      </c>
      <c r="R110" s="1035">
        <f>'1.BC_Ra Soat (ty) '!DH112</f>
        <v>0</v>
      </c>
      <c r="S110" s="1036">
        <f>'1.BC_Ra Soat (ty) '!BU112</f>
        <v>0</v>
      </c>
      <c r="T110" s="1036">
        <f>'1.BC_Ra Soat (ty) '!BZ112</f>
        <v>0</v>
      </c>
      <c r="U110" s="1036">
        <f>'1.BC_Ra Soat (ty) '!CE112</f>
        <v>0</v>
      </c>
      <c r="V110" s="1036">
        <f>'1.BC_Ra Soat (ty) '!CJ112</f>
        <v>0</v>
      </c>
      <c r="W110" s="1036">
        <f>'1.BC_Ra Soat (ty) '!CO112</f>
        <v>0</v>
      </c>
      <c r="X110" s="1032">
        <f t="shared" si="129"/>
        <v>0</v>
      </c>
      <c r="Y110" s="1036">
        <f>'1.BC_Ra Soat (ty) '!DI112</f>
        <v>0</v>
      </c>
      <c r="Z110" s="1035">
        <f>-SUMIFS('1.DC_Muc tieu'!F:F,'1.DC_Muc tieu'!$D:$D,'1.BC_Muc tieu (ty) '!$D110)+SUMIFS('1.DC_Muc tieu'!F:F,'1.DC_Muc tieu'!$E:$E,'1.BC_Muc tieu (ty) '!$D110)</f>
        <v>0</v>
      </c>
      <c r="AA110" s="1035">
        <f>-SUMIFS('1.DC_Muc tieu'!G:G,'1.DC_Muc tieu'!$D:$D,'1.BC_Muc tieu (ty) '!$D110)+SUMIFS('1.DC_Muc tieu'!G:G,'1.DC_Muc tieu'!$E:$E,'1.BC_Muc tieu (ty) '!$D110)</f>
        <v>0</v>
      </c>
      <c r="AB110" s="1035">
        <f>-SUMIFS('1.DC_Muc tieu'!H:H,'1.DC_Muc tieu'!$D:$D,'1.BC_Muc tieu (ty) '!$D110)+SUMIFS('1.DC_Muc tieu'!H:H,'1.DC_Muc tieu'!$E:$E,'1.BC_Muc tieu (ty) '!$D110)</f>
        <v>0</v>
      </c>
      <c r="AC110" s="1035"/>
      <c r="AD110" s="1035">
        <f>-SUMIFS('1.DC_Muc tieu'!J:J,'1.DC_Muc tieu'!$D:$D,'1.BC_Muc tieu (ty) '!$D110)+SUMIFS('1.DC_Muc tieu'!J:J,'1.DC_Muc tieu'!$E:$E,'1.BC_Muc tieu (ty) '!$D110)</f>
        <v>0</v>
      </c>
      <c r="AE110" s="1035">
        <f t="shared" si="130"/>
        <v>0</v>
      </c>
      <c r="AF110" s="1035">
        <f t="shared" si="131"/>
        <v>0</v>
      </c>
      <c r="AG110" s="1035">
        <f t="shared" si="132"/>
        <v>0</v>
      </c>
      <c r="AH110" s="1035">
        <f t="shared" si="133"/>
        <v>0</v>
      </c>
      <c r="AI110" s="1035">
        <f t="shared" si="134"/>
        <v>0</v>
      </c>
      <c r="AJ110" s="1035">
        <f t="shared" si="135"/>
        <v>0</v>
      </c>
      <c r="AK110" s="1033">
        <f t="shared" si="136"/>
        <v>0</v>
      </c>
      <c r="AL110" s="1035">
        <f t="shared" si="137"/>
        <v>0</v>
      </c>
    </row>
    <row r="111" spans="1:40" x14ac:dyDescent="0.25">
      <c r="A111" s="1014" t="str">
        <f t="shared" si="124"/>
        <v>hide</v>
      </c>
      <c r="B111" s="933" t="s">
        <v>103</v>
      </c>
      <c r="C111" s="934" t="s">
        <v>433</v>
      </c>
      <c r="D111" s="1010" t="s">
        <v>434</v>
      </c>
      <c r="E111" s="941">
        <f>'1.BC_Ra Soat (ty) '!BS113</f>
        <v>0</v>
      </c>
      <c r="F111" s="941">
        <f>'1.BC_Ra Soat (ty) '!BX113</f>
        <v>0</v>
      </c>
      <c r="G111" s="1036">
        <f>'1.BC_Ra Soat (ty) '!CC113</f>
        <v>0</v>
      </c>
      <c r="H111" s="1036">
        <f>'1.BC_Ra Soat (ty) '!CH113</f>
        <v>0</v>
      </c>
      <c r="I111" s="1036">
        <f>'1.BC_Ra Soat (ty) '!CM113</f>
        <v>0</v>
      </c>
      <c r="J111" s="1036">
        <f t="shared" si="127"/>
        <v>0</v>
      </c>
      <c r="K111" s="1035">
        <f>'1.BC_Ra Soat (ty) '!DG113</f>
        <v>0</v>
      </c>
      <c r="L111" s="1036">
        <f>'1.BC_Ra Soat (ty) '!BT113</f>
        <v>0</v>
      </c>
      <c r="M111" s="1036">
        <f>'1.BC_Ra Soat (ty) '!BY113</f>
        <v>0</v>
      </c>
      <c r="N111" s="1036">
        <f>'1.BC_Ra Soat (ty) '!CD113</f>
        <v>0</v>
      </c>
      <c r="O111" s="1036">
        <f>'1.BC_Ra Soat (ty) '!CI113</f>
        <v>0</v>
      </c>
      <c r="P111" s="1036">
        <f>'1.BC_Ra Soat (ty) '!CN113</f>
        <v>0</v>
      </c>
      <c r="Q111" s="1035">
        <f t="shared" si="128"/>
        <v>0</v>
      </c>
      <c r="R111" s="1035">
        <f>'1.BC_Ra Soat (ty) '!DH113</f>
        <v>0</v>
      </c>
      <c r="S111" s="1036">
        <f>'1.BC_Ra Soat (ty) '!BU113</f>
        <v>0</v>
      </c>
      <c r="T111" s="1036">
        <f>'1.BC_Ra Soat (ty) '!BZ113</f>
        <v>0</v>
      </c>
      <c r="U111" s="1036">
        <f>'1.BC_Ra Soat (ty) '!CE113</f>
        <v>0</v>
      </c>
      <c r="V111" s="1036">
        <f>'1.BC_Ra Soat (ty) '!CJ113</f>
        <v>0</v>
      </c>
      <c r="W111" s="1036">
        <f>'1.BC_Ra Soat (ty) '!CO113</f>
        <v>0</v>
      </c>
      <c r="X111" s="1032">
        <f t="shared" si="129"/>
        <v>0</v>
      </c>
      <c r="Y111" s="1036">
        <f>'1.BC_Ra Soat (ty) '!DI113</f>
        <v>0</v>
      </c>
      <c r="Z111" s="1035">
        <f>-SUMIFS('1.DC_Muc tieu'!F:F,'1.DC_Muc tieu'!$D:$D,'1.BC_Muc tieu (ty) '!$D111)+SUMIFS('1.DC_Muc tieu'!F:F,'1.DC_Muc tieu'!$E:$E,'1.BC_Muc tieu (ty) '!$D111)</f>
        <v>0</v>
      </c>
      <c r="AA111" s="1035">
        <f>-SUMIFS('1.DC_Muc tieu'!G:G,'1.DC_Muc tieu'!$D:$D,'1.BC_Muc tieu (ty) '!$D111)+SUMIFS('1.DC_Muc tieu'!G:G,'1.DC_Muc tieu'!$E:$E,'1.BC_Muc tieu (ty) '!$D111)</f>
        <v>0</v>
      </c>
      <c r="AB111" s="1035">
        <f>-SUMIFS('1.DC_Muc tieu'!H:H,'1.DC_Muc tieu'!$D:$D,'1.BC_Muc tieu (ty) '!$D111)+SUMIFS('1.DC_Muc tieu'!H:H,'1.DC_Muc tieu'!$E:$E,'1.BC_Muc tieu (ty) '!$D111)</f>
        <v>0</v>
      </c>
      <c r="AC111" s="1035"/>
      <c r="AD111" s="1035">
        <f>-SUMIFS('1.DC_Muc tieu'!J:J,'1.DC_Muc tieu'!$D:$D,'1.BC_Muc tieu (ty) '!$D111)+SUMIFS('1.DC_Muc tieu'!J:J,'1.DC_Muc tieu'!$E:$E,'1.BC_Muc tieu (ty) '!$D111)</f>
        <v>0</v>
      </c>
      <c r="AE111" s="1035">
        <f t="shared" si="130"/>
        <v>0</v>
      </c>
      <c r="AF111" s="1035">
        <f t="shared" si="131"/>
        <v>0</v>
      </c>
      <c r="AG111" s="1035">
        <f t="shared" si="132"/>
        <v>0</v>
      </c>
      <c r="AH111" s="1035">
        <f t="shared" si="133"/>
        <v>0</v>
      </c>
      <c r="AI111" s="1035">
        <f t="shared" si="134"/>
        <v>0</v>
      </c>
      <c r="AJ111" s="1035">
        <f t="shared" si="135"/>
        <v>0</v>
      </c>
      <c r="AK111" s="1033">
        <f t="shared" si="136"/>
        <v>0</v>
      </c>
      <c r="AL111" s="1035">
        <f t="shared" si="137"/>
        <v>0</v>
      </c>
    </row>
    <row r="112" spans="1:40" ht="30" x14ac:dyDescent="0.25">
      <c r="A112" s="1014" t="str">
        <f t="shared" si="124"/>
        <v>hide</v>
      </c>
      <c r="B112" s="935" t="s">
        <v>104</v>
      </c>
      <c r="C112" s="934" t="s">
        <v>435</v>
      </c>
      <c r="D112" s="1010" t="s">
        <v>436</v>
      </c>
      <c r="E112" s="941">
        <f>'1.BC_Ra Soat (ty) '!BS114</f>
        <v>0</v>
      </c>
      <c r="F112" s="941">
        <f>'1.BC_Ra Soat (ty) '!BX114</f>
        <v>0</v>
      </c>
      <c r="G112" s="1036">
        <f>'1.BC_Ra Soat (ty) '!CC114</f>
        <v>0</v>
      </c>
      <c r="H112" s="1036">
        <f>'1.BC_Ra Soat (ty) '!CH114</f>
        <v>0</v>
      </c>
      <c r="I112" s="1036">
        <f>'1.BC_Ra Soat (ty) '!CM114</f>
        <v>0</v>
      </c>
      <c r="J112" s="1036">
        <f t="shared" si="127"/>
        <v>0</v>
      </c>
      <c r="K112" s="1035">
        <f>'1.BC_Ra Soat (ty) '!DG114</f>
        <v>0</v>
      </c>
      <c r="L112" s="1036">
        <f>'1.BC_Ra Soat (ty) '!BT114</f>
        <v>0</v>
      </c>
      <c r="M112" s="1036">
        <f>'1.BC_Ra Soat (ty) '!BY114</f>
        <v>0</v>
      </c>
      <c r="N112" s="1036">
        <f>'1.BC_Ra Soat (ty) '!CD114</f>
        <v>0</v>
      </c>
      <c r="O112" s="1036">
        <f>'1.BC_Ra Soat (ty) '!CI114</f>
        <v>0</v>
      </c>
      <c r="P112" s="1036">
        <f>'1.BC_Ra Soat (ty) '!CN114</f>
        <v>0</v>
      </c>
      <c r="Q112" s="1035">
        <f t="shared" si="128"/>
        <v>0</v>
      </c>
      <c r="R112" s="1035">
        <f>'1.BC_Ra Soat (ty) '!DH114</f>
        <v>0</v>
      </c>
      <c r="S112" s="1036">
        <f>'1.BC_Ra Soat (ty) '!BU114</f>
        <v>0</v>
      </c>
      <c r="T112" s="1036">
        <f>'1.BC_Ra Soat (ty) '!BZ114</f>
        <v>0</v>
      </c>
      <c r="U112" s="1036">
        <f>'1.BC_Ra Soat (ty) '!CE114</f>
        <v>0</v>
      </c>
      <c r="V112" s="1036">
        <f>'1.BC_Ra Soat (ty) '!CJ114</f>
        <v>0</v>
      </c>
      <c r="W112" s="1036">
        <f>'1.BC_Ra Soat (ty) '!CO114</f>
        <v>0</v>
      </c>
      <c r="X112" s="1032">
        <f t="shared" si="129"/>
        <v>0</v>
      </c>
      <c r="Y112" s="1036">
        <f>'1.BC_Ra Soat (ty) '!DI114</f>
        <v>0</v>
      </c>
      <c r="Z112" s="1035">
        <f>-SUMIFS('1.DC_Muc tieu'!F:F,'1.DC_Muc tieu'!$D:$D,'1.BC_Muc tieu (ty) '!$D112)+SUMIFS('1.DC_Muc tieu'!F:F,'1.DC_Muc tieu'!$E:$E,'1.BC_Muc tieu (ty) '!$D112)</f>
        <v>0</v>
      </c>
      <c r="AA112" s="1035">
        <f>-SUMIFS('1.DC_Muc tieu'!G:G,'1.DC_Muc tieu'!$D:$D,'1.BC_Muc tieu (ty) '!$D112)+SUMIFS('1.DC_Muc tieu'!G:G,'1.DC_Muc tieu'!$E:$E,'1.BC_Muc tieu (ty) '!$D112)</f>
        <v>0</v>
      </c>
      <c r="AB112" s="1035">
        <f>-SUMIFS('1.DC_Muc tieu'!H:H,'1.DC_Muc tieu'!$D:$D,'1.BC_Muc tieu (ty) '!$D112)+SUMIFS('1.DC_Muc tieu'!H:H,'1.DC_Muc tieu'!$E:$E,'1.BC_Muc tieu (ty) '!$D112)</f>
        <v>0</v>
      </c>
      <c r="AC112" s="1035"/>
      <c r="AD112" s="1035">
        <f>-SUMIFS('1.DC_Muc tieu'!J:J,'1.DC_Muc tieu'!$D:$D,'1.BC_Muc tieu (ty) '!$D112)+SUMIFS('1.DC_Muc tieu'!J:J,'1.DC_Muc tieu'!$E:$E,'1.BC_Muc tieu (ty) '!$D112)</f>
        <v>0</v>
      </c>
      <c r="AE112" s="1035">
        <f t="shared" si="130"/>
        <v>0</v>
      </c>
      <c r="AF112" s="1035">
        <f t="shared" si="131"/>
        <v>0</v>
      </c>
      <c r="AG112" s="1035">
        <f t="shared" si="132"/>
        <v>0</v>
      </c>
      <c r="AH112" s="1035">
        <f t="shared" si="133"/>
        <v>0</v>
      </c>
      <c r="AI112" s="1035">
        <f t="shared" si="134"/>
        <v>0</v>
      </c>
      <c r="AJ112" s="1035">
        <f t="shared" si="135"/>
        <v>0</v>
      </c>
      <c r="AK112" s="1033">
        <f t="shared" si="136"/>
        <v>0</v>
      </c>
      <c r="AL112" s="1035">
        <f t="shared" si="137"/>
        <v>0</v>
      </c>
    </row>
    <row r="113" spans="1:39" s="590" customFormat="1" x14ac:dyDescent="0.25">
      <c r="A113" s="1014">
        <f t="shared" si="124"/>
        <v>1</v>
      </c>
      <c r="B113" s="931" t="s">
        <v>33</v>
      </c>
      <c r="C113" s="932" t="s">
        <v>105</v>
      </c>
      <c r="D113" s="1008" t="s">
        <v>438</v>
      </c>
      <c r="E113" s="1009">
        <f>SUM(E114:E126)</f>
        <v>0</v>
      </c>
      <c r="F113" s="1009">
        <f t="shared" ref="F113:AL113" si="138">SUM(F114:F126)</f>
        <v>0</v>
      </c>
      <c r="G113" s="1009">
        <f t="shared" si="138"/>
        <v>0</v>
      </c>
      <c r="H113" s="1009">
        <f t="shared" si="138"/>
        <v>0</v>
      </c>
      <c r="I113" s="1009">
        <f t="shared" si="138"/>
        <v>0</v>
      </c>
      <c r="J113" s="1009">
        <f t="shared" si="138"/>
        <v>0</v>
      </c>
      <c r="K113" s="1009">
        <f t="shared" si="138"/>
        <v>0</v>
      </c>
      <c r="L113" s="1009">
        <f t="shared" si="138"/>
        <v>0</v>
      </c>
      <c r="M113" s="1009">
        <f t="shared" si="138"/>
        <v>0</v>
      </c>
      <c r="N113" s="1009">
        <f t="shared" si="138"/>
        <v>0</v>
      </c>
      <c r="O113" s="1009">
        <f t="shared" si="138"/>
        <v>0</v>
      </c>
      <c r="P113" s="1009">
        <f t="shared" si="138"/>
        <v>0</v>
      </c>
      <c r="Q113" s="1009">
        <f t="shared" si="138"/>
        <v>0</v>
      </c>
      <c r="R113" s="1009">
        <f t="shared" si="138"/>
        <v>0</v>
      </c>
      <c r="S113" s="1009">
        <f t="shared" si="138"/>
        <v>8.6912500020000003</v>
      </c>
      <c r="T113" s="1009">
        <f t="shared" si="138"/>
        <v>20.994156696000001</v>
      </c>
      <c r="U113" s="1009">
        <f t="shared" si="138"/>
        <v>2.2400000000000002</v>
      </c>
      <c r="V113" s="1009">
        <f t="shared" si="138"/>
        <v>0</v>
      </c>
      <c r="W113" s="1009">
        <f t="shared" si="138"/>
        <v>0</v>
      </c>
      <c r="X113" s="1009">
        <f t="shared" si="138"/>
        <v>31.925406698000003</v>
      </c>
      <c r="Y113" s="1009">
        <f t="shared" si="138"/>
        <v>31.925406698000003</v>
      </c>
      <c r="Z113" s="1009">
        <f t="shared" si="138"/>
        <v>0</v>
      </c>
      <c r="AA113" s="1009">
        <f t="shared" si="138"/>
        <v>0</v>
      </c>
      <c r="AB113" s="1009">
        <f t="shared" si="138"/>
        <v>0</v>
      </c>
      <c r="AC113" s="1009">
        <f t="shared" si="138"/>
        <v>0</v>
      </c>
      <c r="AD113" s="1009">
        <f t="shared" si="138"/>
        <v>0</v>
      </c>
      <c r="AE113" s="1009">
        <f t="shared" si="138"/>
        <v>0</v>
      </c>
      <c r="AF113" s="1009">
        <f t="shared" si="138"/>
        <v>8.6912500020000003</v>
      </c>
      <c r="AG113" s="1009">
        <f t="shared" si="138"/>
        <v>20.994156696000001</v>
      </c>
      <c r="AH113" s="1009">
        <f t="shared" si="138"/>
        <v>2.2400000000000002</v>
      </c>
      <c r="AI113" s="1009">
        <f t="shared" si="138"/>
        <v>0</v>
      </c>
      <c r="AJ113" s="1009">
        <f t="shared" si="138"/>
        <v>0</v>
      </c>
      <c r="AK113" s="1009">
        <f t="shared" si="138"/>
        <v>31.925406698000003</v>
      </c>
      <c r="AL113" s="1009">
        <f t="shared" si="138"/>
        <v>31.925406698000003</v>
      </c>
      <c r="AM113" s="911"/>
    </row>
    <row r="114" spans="1:39" x14ac:dyDescent="0.25">
      <c r="A114" s="1014" t="str">
        <f t="shared" si="124"/>
        <v>hide</v>
      </c>
      <c r="B114" s="933" t="s">
        <v>29</v>
      </c>
      <c r="C114" s="937" t="s">
        <v>106</v>
      </c>
      <c r="D114" s="1010" t="s">
        <v>440</v>
      </c>
      <c r="E114" s="941">
        <f>'1.BC_Ra Soat (ty) '!BS116</f>
        <v>0</v>
      </c>
      <c r="F114" s="941">
        <f>'1.BC_Ra Soat (ty) '!BX116</f>
        <v>0</v>
      </c>
      <c r="G114" s="1036">
        <f>'1.BC_Ra Soat (ty) '!CC116</f>
        <v>0</v>
      </c>
      <c r="H114" s="1036">
        <f>'1.BC_Ra Soat (ty) '!CH116</f>
        <v>0</v>
      </c>
      <c r="I114" s="1036">
        <f>'1.BC_Ra Soat (ty) '!CM116</f>
        <v>0</v>
      </c>
      <c r="J114" s="1036">
        <f t="shared" si="127"/>
        <v>0</v>
      </c>
      <c r="K114" s="1035">
        <f>'1.BC_Ra Soat (ty) '!DG116</f>
        <v>0</v>
      </c>
      <c r="L114" s="1036">
        <f>'1.BC_Ra Soat (ty) '!BT116</f>
        <v>0</v>
      </c>
      <c r="M114" s="1036">
        <f>'1.BC_Ra Soat (ty) '!BY116</f>
        <v>0</v>
      </c>
      <c r="N114" s="1036">
        <f>'1.BC_Ra Soat (ty) '!CD116</f>
        <v>0</v>
      </c>
      <c r="O114" s="1036">
        <f>'1.BC_Ra Soat (ty) '!CI116</f>
        <v>0</v>
      </c>
      <c r="P114" s="1036">
        <f>'1.BC_Ra Soat (ty) '!CN116</f>
        <v>0</v>
      </c>
      <c r="Q114" s="1035">
        <f t="shared" si="128"/>
        <v>0</v>
      </c>
      <c r="R114" s="1035">
        <f>'1.BC_Ra Soat (ty) '!DH116</f>
        <v>0</v>
      </c>
      <c r="S114" s="1036">
        <f>'1.BC_Ra Soat (ty) '!BU116</f>
        <v>0</v>
      </c>
      <c r="T114" s="1036">
        <f>'1.BC_Ra Soat (ty) '!BZ116</f>
        <v>0</v>
      </c>
      <c r="U114" s="1036">
        <f>'1.BC_Ra Soat (ty) '!CE116</f>
        <v>0</v>
      </c>
      <c r="V114" s="1036">
        <f>'1.BC_Ra Soat (ty) '!CJ116</f>
        <v>0</v>
      </c>
      <c r="W114" s="1036">
        <f>'1.BC_Ra Soat (ty) '!CO116</f>
        <v>0</v>
      </c>
      <c r="X114" s="1032">
        <f t="shared" si="129"/>
        <v>0</v>
      </c>
      <c r="Y114" s="1036">
        <f>'1.BC_Ra Soat (ty) '!DI116</f>
        <v>0</v>
      </c>
      <c r="Z114" s="1035">
        <f>-SUMIFS('1.DC_Muc tieu'!F:F,'1.DC_Muc tieu'!$D:$D,'1.BC_Muc tieu (ty) '!$D114)+SUMIFS('1.DC_Muc tieu'!F:F,'1.DC_Muc tieu'!$E:$E,'1.BC_Muc tieu (ty) '!$D114)</f>
        <v>0</v>
      </c>
      <c r="AA114" s="1035">
        <f>-SUMIFS('1.DC_Muc tieu'!G:G,'1.DC_Muc tieu'!$D:$D,'1.BC_Muc tieu (ty) '!$D114)+SUMIFS('1.DC_Muc tieu'!G:G,'1.DC_Muc tieu'!$E:$E,'1.BC_Muc tieu (ty) '!$D114)</f>
        <v>0</v>
      </c>
      <c r="AB114" s="1035">
        <f>-SUMIFS('1.DC_Muc tieu'!H:H,'1.DC_Muc tieu'!$D:$D,'1.BC_Muc tieu (ty) '!$D114)+SUMIFS('1.DC_Muc tieu'!H:H,'1.DC_Muc tieu'!$E:$E,'1.BC_Muc tieu (ty) '!$D114)</f>
        <v>0</v>
      </c>
      <c r="AC114" s="1035"/>
      <c r="AD114" s="1035">
        <f>-SUMIFS('1.DC_Muc tieu'!J:J,'1.DC_Muc tieu'!$D:$D,'1.BC_Muc tieu (ty) '!$D114)+SUMIFS('1.DC_Muc tieu'!J:J,'1.DC_Muc tieu'!$E:$E,'1.BC_Muc tieu (ty) '!$D114)</f>
        <v>0</v>
      </c>
      <c r="AE114" s="1035">
        <f t="shared" si="130"/>
        <v>0</v>
      </c>
      <c r="AF114" s="1035">
        <f t="shared" ref="AF114:AF126" si="139">S114+Z114</f>
        <v>0</v>
      </c>
      <c r="AG114" s="1035">
        <f t="shared" ref="AG114:AG126" si="140">T114+AA114</f>
        <v>0</v>
      </c>
      <c r="AH114" s="1035">
        <f t="shared" ref="AH114:AH126" si="141">U114+AB114</f>
        <v>0</v>
      </c>
      <c r="AI114" s="1035">
        <f t="shared" ref="AI114:AI126" si="142">V114+AC114</f>
        <v>0</v>
      </c>
      <c r="AJ114" s="1035">
        <f t="shared" ref="AJ114:AJ126" si="143">W114+AD114</f>
        <v>0</v>
      </c>
      <c r="AK114" s="1033">
        <f t="shared" si="136"/>
        <v>0</v>
      </c>
      <c r="AL114" s="1035">
        <f t="shared" ref="AL114:AL126" si="144">Y114+AE114</f>
        <v>0</v>
      </c>
    </row>
    <row r="115" spans="1:39" x14ac:dyDescent="0.25">
      <c r="A115" s="1014" t="str">
        <f t="shared" si="124"/>
        <v>hide</v>
      </c>
      <c r="B115" s="933" t="s">
        <v>31</v>
      </c>
      <c r="C115" s="937" t="s">
        <v>107</v>
      </c>
      <c r="D115" s="1010" t="s">
        <v>442</v>
      </c>
      <c r="E115" s="941">
        <f>'1.BC_Ra Soat (ty) '!BS117</f>
        <v>0</v>
      </c>
      <c r="F115" s="941">
        <f>'1.BC_Ra Soat (ty) '!BX117</f>
        <v>0</v>
      </c>
      <c r="G115" s="1036">
        <f>'1.BC_Ra Soat (ty) '!CC117</f>
        <v>0</v>
      </c>
      <c r="H115" s="1036">
        <f>'1.BC_Ra Soat (ty) '!CH117</f>
        <v>0</v>
      </c>
      <c r="I115" s="1036">
        <f>'1.BC_Ra Soat (ty) '!CM117</f>
        <v>0</v>
      </c>
      <c r="J115" s="1036">
        <f t="shared" si="127"/>
        <v>0</v>
      </c>
      <c r="K115" s="1035">
        <f>'1.BC_Ra Soat (ty) '!DG117</f>
        <v>0</v>
      </c>
      <c r="L115" s="1036">
        <f>'1.BC_Ra Soat (ty) '!BT117</f>
        <v>0</v>
      </c>
      <c r="M115" s="1036">
        <f>'1.BC_Ra Soat (ty) '!BY117</f>
        <v>0</v>
      </c>
      <c r="N115" s="1036">
        <f>'1.BC_Ra Soat (ty) '!CD117</f>
        <v>0</v>
      </c>
      <c r="O115" s="1036">
        <f>'1.BC_Ra Soat (ty) '!CI117</f>
        <v>0</v>
      </c>
      <c r="P115" s="1036">
        <f>'1.BC_Ra Soat (ty) '!CN117</f>
        <v>0</v>
      </c>
      <c r="Q115" s="1035">
        <f t="shared" si="128"/>
        <v>0</v>
      </c>
      <c r="R115" s="1035">
        <f>'1.BC_Ra Soat (ty) '!DH117</f>
        <v>0</v>
      </c>
      <c r="S115" s="1036">
        <f>'1.BC_Ra Soat (ty) '!BU117</f>
        <v>0</v>
      </c>
      <c r="T115" s="1036">
        <f>'1.BC_Ra Soat (ty) '!BZ117</f>
        <v>0</v>
      </c>
      <c r="U115" s="1036">
        <f>'1.BC_Ra Soat (ty) '!CE117</f>
        <v>0</v>
      </c>
      <c r="V115" s="1036">
        <f>'1.BC_Ra Soat (ty) '!CJ117</f>
        <v>0</v>
      </c>
      <c r="W115" s="1036">
        <f>'1.BC_Ra Soat (ty) '!CO117</f>
        <v>0</v>
      </c>
      <c r="X115" s="1032">
        <f t="shared" si="129"/>
        <v>0</v>
      </c>
      <c r="Y115" s="1036">
        <f>'1.BC_Ra Soat (ty) '!DI117</f>
        <v>0</v>
      </c>
      <c r="Z115" s="1035">
        <f>-SUMIFS('1.DC_Muc tieu'!F:F,'1.DC_Muc tieu'!$D:$D,'1.BC_Muc tieu (ty) '!$D115)+SUMIFS('1.DC_Muc tieu'!F:F,'1.DC_Muc tieu'!$E:$E,'1.BC_Muc tieu (ty) '!$D115)</f>
        <v>0</v>
      </c>
      <c r="AA115" s="1035">
        <f>-SUMIFS('1.DC_Muc tieu'!G:G,'1.DC_Muc tieu'!$D:$D,'1.BC_Muc tieu (ty) '!$D115)+SUMIFS('1.DC_Muc tieu'!G:G,'1.DC_Muc tieu'!$E:$E,'1.BC_Muc tieu (ty) '!$D115)</f>
        <v>0</v>
      </c>
      <c r="AB115" s="1035">
        <f>-SUMIFS('1.DC_Muc tieu'!H:H,'1.DC_Muc tieu'!$D:$D,'1.BC_Muc tieu (ty) '!$D115)+SUMIFS('1.DC_Muc tieu'!H:H,'1.DC_Muc tieu'!$E:$E,'1.BC_Muc tieu (ty) '!$D115)</f>
        <v>0</v>
      </c>
      <c r="AC115" s="1035"/>
      <c r="AD115" s="1035">
        <f>-SUMIFS('1.DC_Muc tieu'!J:J,'1.DC_Muc tieu'!$D:$D,'1.BC_Muc tieu (ty) '!$D115)+SUMIFS('1.DC_Muc tieu'!J:J,'1.DC_Muc tieu'!$E:$E,'1.BC_Muc tieu (ty) '!$D115)</f>
        <v>0</v>
      </c>
      <c r="AE115" s="1035">
        <f t="shared" si="130"/>
        <v>0</v>
      </c>
      <c r="AF115" s="1035">
        <f t="shared" si="139"/>
        <v>0</v>
      </c>
      <c r="AG115" s="1035">
        <f t="shared" si="140"/>
        <v>0</v>
      </c>
      <c r="AH115" s="1035">
        <f t="shared" si="141"/>
        <v>0</v>
      </c>
      <c r="AI115" s="1035">
        <f t="shared" si="142"/>
        <v>0</v>
      </c>
      <c r="AJ115" s="1035">
        <f t="shared" si="143"/>
        <v>0</v>
      </c>
      <c r="AK115" s="1033">
        <f t="shared" si="136"/>
        <v>0</v>
      </c>
      <c r="AL115" s="1035">
        <f t="shared" si="144"/>
        <v>0</v>
      </c>
    </row>
    <row r="116" spans="1:39" x14ac:dyDescent="0.25">
      <c r="A116" s="1014" t="str">
        <f t="shared" si="124"/>
        <v>hide</v>
      </c>
      <c r="B116" s="933" t="s">
        <v>37</v>
      </c>
      <c r="C116" s="937" t="s">
        <v>108</v>
      </c>
      <c r="D116" s="1010" t="s">
        <v>444</v>
      </c>
      <c r="E116" s="941">
        <f>'1.BC_Ra Soat (ty) '!BS118</f>
        <v>0</v>
      </c>
      <c r="F116" s="941">
        <f>'1.BC_Ra Soat (ty) '!BX118</f>
        <v>0</v>
      </c>
      <c r="G116" s="1036">
        <f>'1.BC_Ra Soat (ty) '!CC118</f>
        <v>0</v>
      </c>
      <c r="H116" s="1036">
        <f>'1.BC_Ra Soat (ty) '!CH118</f>
        <v>0</v>
      </c>
      <c r="I116" s="1036">
        <f>'1.BC_Ra Soat (ty) '!CM118</f>
        <v>0</v>
      </c>
      <c r="J116" s="1036">
        <f t="shared" si="127"/>
        <v>0</v>
      </c>
      <c r="K116" s="1035">
        <f>'1.BC_Ra Soat (ty) '!DG118</f>
        <v>0</v>
      </c>
      <c r="L116" s="1036">
        <f>'1.BC_Ra Soat (ty) '!BT118</f>
        <v>0</v>
      </c>
      <c r="M116" s="1036">
        <f>'1.BC_Ra Soat (ty) '!BY118</f>
        <v>0</v>
      </c>
      <c r="N116" s="1036">
        <f>'1.BC_Ra Soat (ty) '!CD118</f>
        <v>0</v>
      </c>
      <c r="O116" s="1036">
        <f>'1.BC_Ra Soat (ty) '!CI118</f>
        <v>0</v>
      </c>
      <c r="P116" s="1036">
        <f>'1.BC_Ra Soat (ty) '!CN118</f>
        <v>0</v>
      </c>
      <c r="Q116" s="1035">
        <f t="shared" si="128"/>
        <v>0</v>
      </c>
      <c r="R116" s="1035">
        <f>'1.BC_Ra Soat (ty) '!DH118</f>
        <v>0</v>
      </c>
      <c r="S116" s="1036">
        <f>'1.BC_Ra Soat (ty) '!BU118</f>
        <v>0</v>
      </c>
      <c r="T116" s="1036">
        <f>'1.BC_Ra Soat (ty) '!BZ118</f>
        <v>0</v>
      </c>
      <c r="U116" s="1036">
        <f>'1.BC_Ra Soat (ty) '!CE118</f>
        <v>0</v>
      </c>
      <c r="V116" s="1036">
        <f>'1.BC_Ra Soat (ty) '!CJ118</f>
        <v>0</v>
      </c>
      <c r="W116" s="1036">
        <f>'1.BC_Ra Soat (ty) '!CO118</f>
        <v>0</v>
      </c>
      <c r="X116" s="1032">
        <f t="shared" si="129"/>
        <v>0</v>
      </c>
      <c r="Y116" s="1036">
        <f>'1.BC_Ra Soat (ty) '!DI118</f>
        <v>0</v>
      </c>
      <c r="Z116" s="1035">
        <f>-SUMIFS('1.DC_Muc tieu'!F:F,'1.DC_Muc tieu'!$D:$D,'1.BC_Muc tieu (ty) '!$D116)+SUMIFS('1.DC_Muc tieu'!F:F,'1.DC_Muc tieu'!$E:$E,'1.BC_Muc tieu (ty) '!$D116)</f>
        <v>0</v>
      </c>
      <c r="AA116" s="1035">
        <f>-SUMIFS('1.DC_Muc tieu'!G:G,'1.DC_Muc tieu'!$D:$D,'1.BC_Muc tieu (ty) '!$D116)+SUMIFS('1.DC_Muc tieu'!G:G,'1.DC_Muc tieu'!$E:$E,'1.BC_Muc tieu (ty) '!$D116)</f>
        <v>0</v>
      </c>
      <c r="AB116" s="1035">
        <f>-SUMIFS('1.DC_Muc tieu'!H:H,'1.DC_Muc tieu'!$D:$D,'1.BC_Muc tieu (ty) '!$D116)+SUMIFS('1.DC_Muc tieu'!H:H,'1.DC_Muc tieu'!$E:$E,'1.BC_Muc tieu (ty) '!$D116)</f>
        <v>0</v>
      </c>
      <c r="AC116" s="1035"/>
      <c r="AD116" s="1035">
        <f>-SUMIFS('1.DC_Muc tieu'!J:J,'1.DC_Muc tieu'!$D:$D,'1.BC_Muc tieu (ty) '!$D116)+SUMIFS('1.DC_Muc tieu'!J:J,'1.DC_Muc tieu'!$E:$E,'1.BC_Muc tieu (ty) '!$D116)</f>
        <v>0</v>
      </c>
      <c r="AE116" s="1035">
        <f t="shared" si="130"/>
        <v>0</v>
      </c>
      <c r="AF116" s="1035">
        <f t="shared" si="139"/>
        <v>0</v>
      </c>
      <c r="AG116" s="1035">
        <f t="shared" si="140"/>
        <v>0</v>
      </c>
      <c r="AH116" s="1035">
        <f t="shared" si="141"/>
        <v>0</v>
      </c>
      <c r="AI116" s="1035">
        <f t="shared" si="142"/>
        <v>0</v>
      </c>
      <c r="AJ116" s="1035">
        <f t="shared" si="143"/>
        <v>0</v>
      </c>
      <c r="AK116" s="1033">
        <f t="shared" si="136"/>
        <v>0</v>
      </c>
      <c r="AL116" s="1035">
        <f t="shared" si="144"/>
        <v>0</v>
      </c>
    </row>
    <row r="117" spans="1:39" x14ac:dyDescent="0.25">
      <c r="A117" s="1014" t="str">
        <f t="shared" si="124"/>
        <v>hide</v>
      </c>
      <c r="B117" s="933" t="s">
        <v>44</v>
      </c>
      <c r="C117" s="937" t="s">
        <v>109</v>
      </c>
      <c r="D117" s="1010" t="s">
        <v>446</v>
      </c>
      <c r="E117" s="941">
        <f>'1.BC_Ra Soat (ty) '!BS119</f>
        <v>0</v>
      </c>
      <c r="F117" s="941">
        <f>'1.BC_Ra Soat (ty) '!BX119</f>
        <v>0</v>
      </c>
      <c r="G117" s="1036">
        <f>'1.BC_Ra Soat (ty) '!CC119</f>
        <v>0</v>
      </c>
      <c r="H117" s="1036">
        <f>'1.BC_Ra Soat (ty) '!CH119</f>
        <v>0</v>
      </c>
      <c r="I117" s="1036">
        <f>'1.BC_Ra Soat (ty) '!CM119</f>
        <v>0</v>
      </c>
      <c r="J117" s="1036">
        <f t="shared" si="127"/>
        <v>0</v>
      </c>
      <c r="K117" s="1035">
        <f>'1.BC_Ra Soat (ty) '!DG119</f>
        <v>0</v>
      </c>
      <c r="L117" s="1036">
        <f>'1.BC_Ra Soat (ty) '!BT119</f>
        <v>0</v>
      </c>
      <c r="M117" s="1036">
        <f>'1.BC_Ra Soat (ty) '!BY119</f>
        <v>0</v>
      </c>
      <c r="N117" s="1036">
        <f>'1.BC_Ra Soat (ty) '!CD119</f>
        <v>0</v>
      </c>
      <c r="O117" s="1036">
        <f>'1.BC_Ra Soat (ty) '!CI119</f>
        <v>0</v>
      </c>
      <c r="P117" s="1036">
        <f>'1.BC_Ra Soat (ty) '!CN119</f>
        <v>0</v>
      </c>
      <c r="Q117" s="1035">
        <f t="shared" si="128"/>
        <v>0</v>
      </c>
      <c r="R117" s="1035">
        <f>'1.BC_Ra Soat (ty) '!DH119</f>
        <v>0</v>
      </c>
      <c r="S117" s="1036">
        <f>'1.BC_Ra Soat (ty) '!BU119</f>
        <v>0</v>
      </c>
      <c r="T117" s="1036">
        <f>'1.BC_Ra Soat (ty) '!BZ119</f>
        <v>0</v>
      </c>
      <c r="U117" s="1036">
        <f>'1.BC_Ra Soat (ty) '!CE119</f>
        <v>0</v>
      </c>
      <c r="V117" s="1036">
        <f>'1.BC_Ra Soat (ty) '!CJ119</f>
        <v>0</v>
      </c>
      <c r="W117" s="1036">
        <f>'1.BC_Ra Soat (ty) '!CO119</f>
        <v>0</v>
      </c>
      <c r="X117" s="1032">
        <f t="shared" si="129"/>
        <v>0</v>
      </c>
      <c r="Y117" s="1036">
        <f>'1.BC_Ra Soat (ty) '!DI119</f>
        <v>0</v>
      </c>
      <c r="Z117" s="1035">
        <f>-SUMIFS('1.DC_Muc tieu'!F:F,'1.DC_Muc tieu'!$D:$D,'1.BC_Muc tieu (ty) '!$D117)+SUMIFS('1.DC_Muc tieu'!F:F,'1.DC_Muc tieu'!$E:$E,'1.BC_Muc tieu (ty) '!$D117)</f>
        <v>0</v>
      </c>
      <c r="AA117" s="1035">
        <f>-SUMIFS('1.DC_Muc tieu'!G:G,'1.DC_Muc tieu'!$D:$D,'1.BC_Muc tieu (ty) '!$D117)+SUMIFS('1.DC_Muc tieu'!G:G,'1.DC_Muc tieu'!$E:$E,'1.BC_Muc tieu (ty) '!$D117)</f>
        <v>0</v>
      </c>
      <c r="AB117" s="1035">
        <f>-SUMIFS('1.DC_Muc tieu'!H:H,'1.DC_Muc tieu'!$D:$D,'1.BC_Muc tieu (ty) '!$D117)+SUMIFS('1.DC_Muc tieu'!H:H,'1.DC_Muc tieu'!$E:$E,'1.BC_Muc tieu (ty) '!$D117)</f>
        <v>0</v>
      </c>
      <c r="AC117" s="1035"/>
      <c r="AD117" s="1035">
        <f>-SUMIFS('1.DC_Muc tieu'!J:J,'1.DC_Muc tieu'!$D:$D,'1.BC_Muc tieu (ty) '!$D117)+SUMIFS('1.DC_Muc tieu'!J:J,'1.DC_Muc tieu'!$E:$E,'1.BC_Muc tieu (ty) '!$D117)</f>
        <v>0</v>
      </c>
      <c r="AE117" s="1035">
        <f t="shared" si="130"/>
        <v>0</v>
      </c>
      <c r="AF117" s="1035">
        <f t="shared" si="139"/>
        <v>0</v>
      </c>
      <c r="AG117" s="1035">
        <f t="shared" si="140"/>
        <v>0</v>
      </c>
      <c r="AH117" s="1035">
        <f t="shared" si="141"/>
        <v>0</v>
      </c>
      <c r="AI117" s="1035">
        <f t="shared" si="142"/>
        <v>0</v>
      </c>
      <c r="AJ117" s="1035">
        <f t="shared" si="143"/>
        <v>0</v>
      </c>
      <c r="AK117" s="1033">
        <f t="shared" si="136"/>
        <v>0</v>
      </c>
      <c r="AL117" s="1035">
        <f t="shared" si="144"/>
        <v>0</v>
      </c>
    </row>
    <row r="118" spans="1:39" x14ac:dyDescent="0.25">
      <c r="A118" s="1014" t="str">
        <f t="shared" si="124"/>
        <v>hide</v>
      </c>
      <c r="B118" s="933" t="s">
        <v>46</v>
      </c>
      <c r="C118" s="937" t="s">
        <v>110</v>
      </c>
      <c r="D118" s="1010" t="s">
        <v>448</v>
      </c>
      <c r="E118" s="941">
        <f>'1.BC_Ra Soat (ty) '!BS120</f>
        <v>0</v>
      </c>
      <c r="F118" s="941">
        <f>'1.BC_Ra Soat (ty) '!BX120</f>
        <v>0</v>
      </c>
      <c r="G118" s="1036">
        <f>'1.BC_Ra Soat (ty) '!CC120</f>
        <v>0</v>
      </c>
      <c r="H118" s="1036">
        <f>'1.BC_Ra Soat (ty) '!CH120</f>
        <v>0</v>
      </c>
      <c r="I118" s="1036">
        <f>'1.BC_Ra Soat (ty) '!CM120</f>
        <v>0</v>
      </c>
      <c r="J118" s="1036">
        <f t="shared" si="127"/>
        <v>0</v>
      </c>
      <c r="K118" s="1035">
        <f>'1.BC_Ra Soat (ty) '!DG120</f>
        <v>0</v>
      </c>
      <c r="L118" s="1036">
        <f>'1.BC_Ra Soat (ty) '!BT120</f>
        <v>0</v>
      </c>
      <c r="M118" s="1036">
        <f>'1.BC_Ra Soat (ty) '!BY120</f>
        <v>0</v>
      </c>
      <c r="N118" s="1036">
        <f>'1.BC_Ra Soat (ty) '!CD120</f>
        <v>0</v>
      </c>
      <c r="O118" s="1036">
        <f>'1.BC_Ra Soat (ty) '!CI120</f>
        <v>0</v>
      </c>
      <c r="P118" s="1036">
        <f>'1.BC_Ra Soat (ty) '!CN120</f>
        <v>0</v>
      </c>
      <c r="Q118" s="1035">
        <f t="shared" si="128"/>
        <v>0</v>
      </c>
      <c r="R118" s="1035">
        <f>'1.BC_Ra Soat (ty) '!DH120</f>
        <v>0</v>
      </c>
      <c r="S118" s="1036">
        <f>'1.BC_Ra Soat (ty) '!BU120</f>
        <v>0</v>
      </c>
      <c r="T118" s="1036">
        <f>'1.BC_Ra Soat (ty) '!BZ120</f>
        <v>0</v>
      </c>
      <c r="U118" s="1036">
        <f>'1.BC_Ra Soat (ty) '!CE120</f>
        <v>0</v>
      </c>
      <c r="V118" s="1036">
        <f>'1.BC_Ra Soat (ty) '!CJ120</f>
        <v>0</v>
      </c>
      <c r="W118" s="1036">
        <f>'1.BC_Ra Soat (ty) '!CO120</f>
        <v>0</v>
      </c>
      <c r="X118" s="1032">
        <f t="shared" si="129"/>
        <v>0</v>
      </c>
      <c r="Y118" s="1036">
        <f>'1.BC_Ra Soat (ty) '!DI120</f>
        <v>0</v>
      </c>
      <c r="Z118" s="1035">
        <f>-SUMIFS('1.DC_Muc tieu'!F:F,'1.DC_Muc tieu'!$D:$D,'1.BC_Muc tieu (ty) '!$D118)+SUMIFS('1.DC_Muc tieu'!F:F,'1.DC_Muc tieu'!$E:$E,'1.BC_Muc tieu (ty) '!$D118)</f>
        <v>0</v>
      </c>
      <c r="AA118" s="1035">
        <f>-SUMIFS('1.DC_Muc tieu'!G:G,'1.DC_Muc tieu'!$D:$D,'1.BC_Muc tieu (ty) '!$D118)+SUMIFS('1.DC_Muc tieu'!G:G,'1.DC_Muc tieu'!$E:$E,'1.BC_Muc tieu (ty) '!$D118)</f>
        <v>0</v>
      </c>
      <c r="AB118" s="1035">
        <f>-SUMIFS('1.DC_Muc tieu'!H:H,'1.DC_Muc tieu'!$D:$D,'1.BC_Muc tieu (ty) '!$D118)+SUMIFS('1.DC_Muc tieu'!H:H,'1.DC_Muc tieu'!$E:$E,'1.BC_Muc tieu (ty) '!$D118)</f>
        <v>0</v>
      </c>
      <c r="AC118" s="1035"/>
      <c r="AD118" s="1035">
        <f>-SUMIFS('1.DC_Muc tieu'!J:J,'1.DC_Muc tieu'!$D:$D,'1.BC_Muc tieu (ty) '!$D118)+SUMIFS('1.DC_Muc tieu'!J:J,'1.DC_Muc tieu'!$E:$E,'1.BC_Muc tieu (ty) '!$D118)</f>
        <v>0</v>
      </c>
      <c r="AE118" s="1035">
        <f t="shared" si="130"/>
        <v>0</v>
      </c>
      <c r="AF118" s="1035">
        <f t="shared" si="139"/>
        <v>0</v>
      </c>
      <c r="AG118" s="1035">
        <f t="shared" si="140"/>
        <v>0</v>
      </c>
      <c r="AH118" s="1035">
        <f t="shared" si="141"/>
        <v>0</v>
      </c>
      <c r="AI118" s="1035">
        <f t="shared" si="142"/>
        <v>0</v>
      </c>
      <c r="AJ118" s="1035">
        <f t="shared" si="143"/>
        <v>0</v>
      </c>
      <c r="AK118" s="1033">
        <f t="shared" si="136"/>
        <v>0</v>
      </c>
      <c r="AL118" s="1035">
        <f t="shared" si="144"/>
        <v>0</v>
      </c>
    </row>
    <row r="119" spans="1:39" x14ac:dyDescent="0.25">
      <c r="A119" s="1014" t="str">
        <f t="shared" si="124"/>
        <v>hide</v>
      </c>
      <c r="B119" s="933" t="s">
        <v>48</v>
      </c>
      <c r="C119" s="937" t="s">
        <v>111</v>
      </c>
      <c r="D119" s="1010" t="s">
        <v>450</v>
      </c>
      <c r="E119" s="941">
        <f>'1.BC_Ra Soat (ty) '!BS121</f>
        <v>0</v>
      </c>
      <c r="F119" s="941">
        <f>'1.BC_Ra Soat (ty) '!BX121</f>
        <v>0</v>
      </c>
      <c r="G119" s="1036">
        <f>'1.BC_Ra Soat (ty) '!CC121</f>
        <v>0</v>
      </c>
      <c r="H119" s="1036">
        <f>'1.BC_Ra Soat (ty) '!CH121</f>
        <v>0</v>
      </c>
      <c r="I119" s="1036">
        <f>'1.BC_Ra Soat (ty) '!CM121</f>
        <v>0</v>
      </c>
      <c r="J119" s="1036">
        <f t="shared" si="127"/>
        <v>0</v>
      </c>
      <c r="K119" s="1035">
        <f>'1.BC_Ra Soat (ty) '!DG121</f>
        <v>0</v>
      </c>
      <c r="L119" s="1036">
        <f>'1.BC_Ra Soat (ty) '!BT121</f>
        <v>0</v>
      </c>
      <c r="M119" s="1036">
        <f>'1.BC_Ra Soat (ty) '!BY121</f>
        <v>0</v>
      </c>
      <c r="N119" s="1036">
        <f>'1.BC_Ra Soat (ty) '!CD121</f>
        <v>0</v>
      </c>
      <c r="O119" s="1036">
        <f>'1.BC_Ra Soat (ty) '!CI121</f>
        <v>0</v>
      </c>
      <c r="P119" s="1036">
        <f>'1.BC_Ra Soat (ty) '!CN121</f>
        <v>0</v>
      </c>
      <c r="Q119" s="1035">
        <f t="shared" si="128"/>
        <v>0</v>
      </c>
      <c r="R119" s="1035">
        <f>'1.BC_Ra Soat (ty) '!DH121</f>
        <v>0</v>
      </c>
      <c r="S119" s="1036">
        <f>'1.BC_Ra Soat (ty) '!BU121</f>
        <v>0</v>
      </c>
      <c r="T119" s="1036">
        <f>'1.BC_Ra Soat (ty) '!BZ121</f>
        <v>0</v>
      </c>
      <c r="U119" s="1036">
        <f>'1.BC_Ra Soat (ty) '!CE121</f>
        <v>0</v>
      </c>
      <c r="V119" s="1036">
        <f>'1.BC_Ra Soat (ty) '!CJ121</f>
        <v>0</v>
      </c>
      <c r="W119" s="1036">
        <f>'1.BC_Ra Soat (ty) '!CO121</f>
        <v>0</v>
      </c>
      <c r="X119" s="1032">
        <f t="shared" si="129"/>
        <v>0</v>
      </c>
      <c r="Y119" s="1036">
        <f>'1.BC_Ra Soat (ty) '!DI121</f>
        <v>0</v>
      </c>
      <c r="Z119" s="1035">
        <f>-SUMIFS('1.DC_Muc tieu'!F:F,'1.DC_Muc tieu'!$D:$D,'1.BC_Muc tieu (ty) '!$D119)+SUMIFS('1.DC_Muc tieu'!F:F,'1.DC_Muc tieu'!$E:$E,'1.BC_Muc tieu (ty) '!$D119)</f>
        <v>0</v>
      </c>
      <c r="AA119" s="1035">
        <f>-SUMIFS('1.DC_Muc tieu'!G:G,'1.DC_Muc tieu'!$D:$D,'1.BC_Muc tieu (ty) '!$D119)+SUMIFS('1.DC_Muc tieu'!G:G,'1.DC_Muc tieu'!$E:$E,'1.BC_Muc tieu (ty) '!$D119)</f>
        <v>0</v>
      </c>
      <c r="AB119" s="1035">
        <f>-SUMIFS('1.DC_Muc tieu'!H:H,'1.DC_Muc tieu'!$D:$D,'1.BC_Muc tieu (ty) '!$D119)+SUMIFS('1.DC_Muc tieu'!H:H,'1.DC_Muc tieu'!$E:$E,'1.BC_Muc tieu (ty) '!$D119)</f>
        <v>0</v>
      </c>
      <c r="AC119" s="1035"/>
      <c r="AD119" s="1035">
        <f>-SUMIFS('1.DC_Muc tieu'!J:J,'1.DC_Muc tieu'!$D:$D,'1.BC_Muc tieu (ty) '!$D119)+SUMIFS('1.DC_Muc tieu'!J:J,'1.DC_Muc tieu'!$E:$E,'1.BC_Muc tieu (ty) '!$D119)</f>
        <v>0</v>
      </c>
      <c r="AE119" s="1035">
        <f t="shared" si="130"/>
        <v>0</v>
      </c>
      <c r="AF119" s="1035">
        <f t="shared" si="139"/>
        <v>0</v>
      </c>
      <c r="AG119" s="1035">
        <f t="shared" si="140"/>
        <v>0</v>
      </c>
      <c r="AH119" s="1035">
        <f t="shared" si="141"/>
        <v>0</v>
      </c>
      <c r="AI119" s="1035">
        <f t="shared" si="142"/>
        <v>0</v>
      </c>
      <c r="AJ119" s="1035">
        <f t="shared" si="143"/>
        <v>0</v>
      </c>
      <c r="AK119" s="1033">
        <f t="shared" si="136"/>
        <v>0</v>
      </c>
      <c r="AL119" s="1035">
        <f t="shared" si="144"/>
        <v>0</v>
      </c>
    </row>
    <row r="120" spans="1:39" x14ac:dyDescent="0.25">
      <c r="A120" s="1014" t="str">
        <f t="shared" si="124"/>
        <v>hide</v>
      </c>
      <c r="B120" s="933" t="s">
        <v>50</v>
      </c>
      <c r="C120" s="937" t="s">
        <v>112</v>
      </c>
      <c r="D120" s="1010" t="s">
        <v>452</v>
      </c>
      <c r="E120" s="941">
        <f>'1.BC_Ra Soat (ty) '!BS122</f>
        <v>0</v>
      </c>
      <c r="F120" s="941">
        <f>'1.BC_Ra Soat (ty) '!BX122</f>
        <v>0</v>
      </c>
      <c r="G120" s="1036">
        <f>'1.BC_Ra Soat (ty) '!CC122</f>
        <v>0</v>
      </c>
      <c r="H120" s="1036">
        <f>'1.BC_Ra Soat (ty) '!CH122</f>
        <v>0</v>
      </c>
      <c r="I120" s="1036">
        <f>'1.BC_Ra Soat (ty) '!CM122</f>
        <v>0</v>
      </c>
      <c r="J120" s="1036">
        <f t="shared" si="127"/>
        <v>0</v>
      </c>
      <c r="K120" s="1035">
        <f>'1.BC_Ra Soat (ty) '!DG122</f>
        <v>0</v>
      </c>
      <c r="L120" s="1036">
        <f>'1.BC_Ra Soat (ty) '!BT122</f>
        <v>0</v>
      </c>
      <c r="M120" s="1036">
        <f>'1.BC_Ra Soat (ty) '!BY122</f>
        <v>0</v>
      </c>
      <c r="N120" s="1036">
        <f>'1.BC_Ra Soat (ty) '!CD122</f>
        <v>0</v>
      </c>
      <c r="O120" s="1036">
        <f>'1.BC_Ra Soat (ty) '!CI122</f>
        <v>0</v>
      </c>
      <c r="P120" s="1036">
        <f>'1.BC_Ra Soat (ty) '!CN122</f>
        <v>0</v>
      </c>
      <c r="Q120" s="1035">
        <f t="shared" si="128"/>
        <v>0</v>
      </c>
      <c r="R120" s="1035">
        <f>'1.BC_Ra Soat (ty) '!DH122</f>
        <v>0</v>
      </c>
      <c r="S120" s="1036">
        <f>'1.BC_Ra Soat (ty) '!BU122</f>
        <v>0</v>
      </c>
      <c r="T120" s="1036">
        <f>'1.BC_Ra Soat (ty) '!BZ122</f>
        <v>0</v>
      </c>
      <c r="U120" s="1036">
        <f>'1.BC_Ra Soat (ty) '!CE122</f>
        <v>0</v>
      </c>
      <c r="V120" s="1036">
        <f>'1.BC_Ra Soat (ty) '!CJ122</f>
        <v>0</v>
      </c>
      <c r="W120" s="1036">
        <f>'1.BC_Ra Soat (ty) '!CO122</f>
        <v>0</v>
      </c>
      <c r="X120" s="1032">
        <f t="shared" si="129"/>
        <v>0</v>
      </c>
      <c r="Y120" s="1036">
        <f>'1.BC_Ra Soat (ty) '!DI122</f>
        <v>0</v>
      </c>
      <c r="Z120" s="1035">
        <f>-SUMIFS('1.DC_Muc tieu'!F:F,'1.DC_Muc tieu'!$D:$D,'1.BC_Muc tieu (ty) '!$D120)+SUMIFS('1.DC_Muc tieu'!F:F,'1.DC_Muc tieu'!$E:$E,'1.BC_Muc tieu (ty) '!$D120)</f>
        <v>0</v>
      </c>
      <c r="AA120" s="1035">
        <f>-SUMIFS('1.DC_Muc tieu'!G:G,'1.DC_Muc tieu'!$D:$D,'1.BC_Muc tieu (ty) '!$D120)+SUMIFS('1.DC_Muc tieu'!G:G,'1.DC_Muc tieu'!$E:$E,'1.BC_Muc tieu (ty) '!$D120)</f>
        <v>0</v>
      </c>
      <c r="AB120" s="1035">
        <f>-SUMIFS('1.DC_Muc tieu'!H:H,'1.DC_Muc tieu'!$D:$D,'1.BC_Muc tieu (ty) '!$D120)+SUMIFS('1.DC_Muc tieu'!H:H,'1.DC_Muc tieu'!$E:$E,'1.BC_Muc tieu (ty) '!$D120)</f>
        <v>0</v>
      </c>
      <c r="AC120" s="1035"/>
      <c r="AD120" s="1035">
        <f>-SUMIFS('1.DC_Muc tieu'!J:J,'1.DC_Muc tieu'!$D:$D,'1.BC_Muc tieu (ty) '!$D120)+SUMIFS('1.DC_Muc tieu'!J:J,'1.DC_Muc tieu'!$E:$E,'1.BC_Muc tieu (ty) '!$D120)</f>
        <v>0</v>
      </c>
      <c r="AE120" s="1035">
        <f t="shared" si="130"/>
        <v>0</v>
      </c>
      <c r="AF120" s="1035">
        <f t="shared" si="139"/>
        <v>0</v>
      </c>
      <c r="AG120" s="1035">
        <f t="shared" si="140"/>
        <v>0</v>
      </c>
      <c r="AH120" s="1035">
        <f t="shared" si="141"/>
        <v>0</v>
      </c>
      <c r="AI120" s="1035">
        <f t="shared" si="142"/>
        <v>0</v>
      </c>
      <c r="AJ120" s="1035">
        <f t="shared" si="143"/>
        <v>0</v>
      </c>
      <c r="AK120" s="1033">
        <f t="shared" si="136"/>
        <v>0</v>
      </c>
      <c r="AL120" s="1035">
        <f t="shared" si="144"/>
        <v>0</v>
      </c>
    </row>
    <row r="121" spans="1:39" s="887" customFormat="1" x14ac:dyDescent="0.25">
      <c r="A121" s="1014">
        <f t="shared" si="124"/>
        <v>1</v>
      </c>
      <c r="B121" s="936" t="s">
        <v>52</v>
      </c>
      <c r="C121" s="938" t="s">
        <v>113</v>
      </c>
      <c r="D121" s="1010" t="s">
        <v>454</v>
      </c>
      <c r="E121" s="941">
        <f>'1.BC_Ra Soat (ty) '!BS123</f>
        <v>0</v>
      </c>
      <c r="F121" s="941">
        <f>'1.BC_Ra Soat (ty) '!BX123</f>
        <v>0</v>
      </c>
      <c r="G121" s="1036">
        <f>'1.BC_Ra Soat (ty) '!CC123</f>
        <v>0</v>
      </c>
      <c r="H121" s="1036">
        <f>'1.BC_Ra Soat (ty) '!CH123</f>
        <v>0</v>
      </c>
      <c r="I121" s="1036">
        <f>'1.BC_Ra Soat (ty) '!CM123</f>
        <v>0</v>
      </c>
      <c r="J121" s="1036">
        <f t="shared" si="127"/>
        <v>0</v>
      </c>
      <c r="K121" s="1035">
        <f>'1.BC_Ra Soat (ty) '!DG123</f>
        <v>0</v>
      </c>
      <c r="L121" s="1036">
        <f>'1.BC_Ra Soat (ty) '!BT123</f>
        <v>0</v>
      </c>
      <c r="M121" s="1036">
        <f>'1.BC_Ra Soat (ty) '!BY123</f>
        <v>0</v>
      </c>
      <c r="N121" s="1036">
        <f>'1.BC_Ra Soat (ty) '!CD123</f>
        <v>0</v>
      </c>
      <c r="O121" s="1036">
        <f>'1.BC_Ra Soat (ty) '!CI123</f>
        <v>0</v>
      </c>
      <c r="P121" s="1036">
        <f>'1.BC_Ra Soat (ty) '!CN123</f>
        <v>0</v>
      </c>
      <c r="Q121" s="1035">
        <f t="shared" si="128"/>
        <v>0</v>
      </c>
      <c r="R121" s="1035">
        <f>'1.BC_Ra Soat (ty) '!DH123</f>
        <v>0</v>
      </c>
      <c r="S121" s="1036">
        <f>'1.BC_Ra Soat (ty) '!BU123</f>
        <v>8.6912500020000003</v>
      </c>
      <c r="T121" s="1036">
        <f>'1.BC_Ra Soat (ty) '!BZ123</f>
        <v>20.994156696000001</v>
      </c>
      <c r="U121" s="1036">
        <f>'1.BC_Ra Soat (ty) '!CE123</f>
        <v>2.2400000000000002</v>
      </c>
      <c r="V121" s="1036">
        <f>'1.BC_Ra Soat (ty) '!CJ123</f>
        <v>0</v>
      </c>
      <c r="W121" s="1036">
        <f>'1.BC_Ra Soat (ty) '!CO123</f>
        <v>0</v>
      </c>
      <c r="X121" s="1032">
        <f t="shared" si="129"/>
        <v>31.925406698000003</v>
      </c>
      <c r="Y121" s="1036">
        <f>'1.BC_Ra Soat (ty) '!DI123</f>
        <v>31.925406698000003</v>
      </c>
      <c r="Z121" s="1035">
        <f>-SUMIFS('1.DC_Muc tieu'!F:F,'1.DC_Muc tieu'!$D:$D,'1.BC_Muc tieu (ty) '!$D121)+SUMIFS('1.DC_Muc tieu'!F:F,'1.DC_Muc tieu'!$E:$E,'1.BC_Muc tieu (ty) '!$D121)</f>
        <v>0</v>
      </c>
      <c r="AA121" s="1035">
        <f>-SUMIFS('1.DC_Muc tieu'!G:G,'1.DC_Muc tieu'!$D:$D,'1.BC_Muc tieu (ty) '!$D121)+SUMIFS('1.DC_Muc tieu'!G:G,'1.DC_Muc tieu'!$E:$E,'1.BC_Muc tieu (ty) '!$D121)</f>
        <v>0</v>
      </c>
      <c r="AB121" s="1035">
        <f>-SUMIFS('1.DC_Muc tieu'!H:H,'1.DC_Muc tieu'!$D:$D,'1.BC_Muc tieu (ty) '!$D121)+SUMIFS('1.DC_Muc tieu'!H:H,'1.DC_Muc tieu'!$E:$E,'1.BC_Muc tieu (ty) '!$D121)</f>
        <v>0</v>
      </c>
      <c r="AC121" s="1035"/>
      <c r="AD121" s="1035">
        <f>SUMIFS('1.DC_Muc tieu'!$J:$J,'1.DC_Muc tieu'!$E:$E,'1.BC_Muc tieu (ty) '!$D121)-SUMIFS('1.DC_Muc tieu'!$J:$J,'1.DC_Muc tieu'!$D:$D,'1.BC_Muc tieu (ty) '!$D121)</f>
        <v>0</v>
      </c>
      <c r="AE121" s="1035">
        <f t="shared" si="130"/>
        <v>0</v>
      </c>
      <c r="AF121" s="1035">
        <f t="shared" si="139"/>
        <v>8.6912500020000003</v>
      </c>
      <c r="AG121" s="1035">
        <f t="shared" si="140"/>
        <v>20.994156696000001</v>
      </c>
      <c r="AH121" s="1035">
        <f t="shared" si="141"/>
        <v>2.2400000000000002</v>
      </c>
      <c r="AI121" s="1035">
        <f t="shared" si="142"/>
        <v>0</v>
      </c>
      <c r="AJ121" s="1035">
        <f t="shared" si="143"/>
        <v>0</v>
      </c>
      <c r="AK121" s="1033">
        <f t="shared" si="136"/>
        <v>31.925406698000003</v>
      </c>
      <c r="AL121" s="1035">
        <f t="shared" si="144"/>
        <v>31.925406698000003</v>
      </c>
    </row>
    <row r="122" spans="1:39" x14ac:dyDescent="0.25">
      <c r="A122" s="1014" t="str">
        <f t="shared" si="124"/>
        <v>hide</v>
      </c>
      <c r="B122" s="933" t="s">
        <v>99</v>
      </c>
      <c r="C122" s="937" t="s">
        <v>114</v>
      </c>
      <c r="D122" s="1010" t="s">
        <v>456</v>
      </c>
      <c r="E122" s="941">
        <f>'1.BC_Ra Soat (ty) '!BS124</f>
        <v>0</v>
      </c>
      <c r="F122" s="941">
        <f>'1.BC_Ra Soat (ty) '!BX124</f>
        <v>0</v>
      </c>
      <c r="G122" s="1036">
        <f>'1.BC_Ra Soat (ty) '!CC124</f>
        <v>0</v>
      </c>
      <c r="H122" s="1036">
        <f>'1.BC_Ra Soat (ty) '!CH124</f>
        <v>0</v>
      </c>
      <c r="I122" s="1036">
        <f>'1.BC_Ra Soat (ty) '!CM124</f>
        <v>0</v>
      </c>
      <c r="J122" s="1036">
        <f t="shared" si="127"/>
        <v>0</v>
      </c>
      <c r="K122" s="1035">
        <f>'1.BC_Ra Soat (ty) '!DG124</f>
        <v>0</v>
      </c>
      <c r="L122" s="1036">
        <f>'1.BC_Ra Soat (ty) '!BT124</f>
        <v>0</v>
      </c>
      <c r="M122" s="1036">
        <f>'1.BC_Ra Soat (ty) '!BY124</f>
        <v>0</v>
      </c>
      <c r="N122" s="1036">
        <f>'1.BC_Ra Soat (ty) '!CD124</f>
        <v>0</v>
      </c>
      <c r="O122" s="1036">
        <f>'1.BC_Ra Soat (ty) '!CI124</f>
        <v>0</v>
      </c>
      <c r="P122" s="1036">
        <f>'1.BC_Ra Soat (ty) '!CN124</f>
        <v>0</v>
      </c>
      <c r="Q122" s="1035">
        <f t="shared" si="128"/>
        <v>0</v>
      </c>
      <c r="R122" s="1035">
        <f>'1.BC_Ra Soat (ty) '!DH124</f>
        <v>0</v>
      </c>
      <c r="S122" s="1036">
        <f>'1.BC_Ra Soat (ty) '!BU124</f>
        <v>0</v>
      </c>
      <c r="T122" s="1036">
        <f>'1.BC_Ra Soat (ty) '!BZ124</f>
        <v>0</v>
      </c>
      <c r="U122" s="1036">
        <f>'1.BC_Ra Soat (ty) '!CE124</f>
        <v>0</v>
      </c>
      <c r="V122" s="1036">
        <f>'1.BC_Ra Soat (ty) '!CJ124</f>
        <v>0</v>
      </c>
      <c r="W122" s="1036">
        <f>'1.BC_Ra Soat (ty) '!CO124</f>
        <v>0</v>
      </c>
      <c r="X122" s="1032">
        <f t="shared" si="129"/>
        <v>0</v>
      </c>
      <c r="Y122" s="1036">
        <f>'1.BC_Ra Soat (ty) '!DI124</f>
        <v>0</v>
      </c>
      <c r="Z122" s="1035">
        <f>-SUMIFS('1.DC_Muc tieu'!F:F,'1.DC_Muc tieu'!$D:$D,'1.BC_Muc tieu (ty) '!$D122)+SUMIFS('1.DC_Muc tieu'!F:F,'1.DC_Muc tieu'!$E:$E,'1.BC_Muc tieu (ty) '!$D122)</f>
        <v>0</v>
      </c>
      <c r="AA122" s="1035">
        <f>-SUMIFS('1.DC_Muc tieu'!G:G,'1.DC_Muc tieu'!$D:$D,'1.BC_Muc tieu (ty) '!$D122)+SUMIFS('1.DC_Muc tieu'!G:G,'1.DC_Muc tieu'!$E:$E,'1.BC_Muc tieu (ty) '!$D122)</f>
        <v>0</v>
      </c>
      <c r="AB122" s="1035">
        <f>-SUMIFS('1.DC_Muc tieu'!H:H,'1.DC_Muc tieu'!$D:$D,'1.BC_Muc tieu (ty) '!$D122)+SUMIFS('1.DC_Muc tieu'!H:H,'1.DC_Muc tieu'!$E:$E,'1.BC_Muc tieu (ty) '!$D122)</f>
        <v>0</v>
      </c>
      <c r="AC122" s="1035"/>
      <c r="AD122" s="1035">
        <f>-SUMIFS('1.DC_Muc tieu'!J:J,'1.DC_Muc tieu'!$D:$D,'1.BC_Muc tieu (ty) '!$D122)+SUMIFS('1.DC_Muc tieu'!J:J,'1.DC_Muc tieu'!$E:$E,'1.BC_Muc tieu (ty) '!$D122)</f>
        <v>0</v>
      </c>
      <c r="AE122" s="1035">
        <f t="shared" si="130"/>
        <v>0</v>
      </c>
      <c r="AF122" s="1035">
        <f t="shared" si="139"/>
        <v>0</v>
      </c>
      <c r="AG122" s="1035">
        <f t="shared" si="140"/>
        <v>0</v>
      </c>
      <c r="AH122" s="1035">
        <f t="shared" si="141"/>
        <v>0</v>
      </c>
      <c r="AI122" s="1035">
        <f t="shared" si="142"/>
        <v>0</v>
      </c>
      <c r="AJ122" s="1035">
        <f t="shared" si="143"/>
        <v>0</v>
      </c>
      <c r="AK122" s="1033">
        <f t="shared" si="136"/>
        <v>0</v>
      </c>
      <c r="AL122" s="1035">
        <f t="shared" si="144"/>
        <v>0</v>
      </c>
    </row>
    <row r="123" spans="1:39" x14ac:dyDescent="0.25">
      <c r="A123" s="1014" t="str">
        <f t="shared" si="124"/>
        <v>hide</v>
      </c>
      <c r="B123" s="933" t="s">
        <v>100</v>
      </c>
      <c r="C123" s="937" t="s">
        <v>115</v>
      </c>
      <c r="D123" s="1010" t="s">
        <v>458</v>
      </c>
      <c r="E123" s="941">
        <f>'1.BC_Ra Soat (ty) '!BS125</f>
        <v>0</v>
      </c>
      <c r="F123" s="941">
        <f>'1.BC_Ra Soat (ty) '!BX125</f>
        <v>0</v>
      </c>
      <c r="G123" s="1036">
        <f>'1.BC_Ra Soat (ty) '!CC125</f>
        <v>0</v>
      </c>
      <c r="H123" s="1036">
        <f>'1.BC_Ra Soat (ty) '!CH125</f>
        <v>0</v>
      </c>
      <c r="I123" s="1036">
        <f>'1.BC_Ra Soat (ty) '!CM125</f>
        <v>0</v>
      </c>
      <c r="J123" s="1036">
        <f t="shared" si="127"/>
        <v>0</v>
      </c>
      <c r="K123" s="1035">
        <f>'1.BC_Ra Soat (ty) '!DG125</f>
        <v>0</v>
      </c>
      <c r="L123" s="1036">
        <f>'1.BC_Ra Soat (ty) '!BT125</f>
        <v>0</v>
      </c>
      <c r="M123" s="1036">
        <f>'1.BC_Ra Soat (ty) '!BY125</f>
        <v>0</v>
      </c>
      <c r="N123" s="1036">
        <f>'1.BC_Ra Soat (ty) '!CD125</f>
        <v>0</v>
      </c>
      <c r="O123" s="1036">
        <f>'1.BC_Ra Soat (ty) '!CI125</f>
        <v>0</v>
      </c>
      <c r="P123" s="1036">
        <f>'1.BC_Ra Soat (ty) '!CN125</f>
        <v>0</v>
      </c>
      <c r="Q123" s="1035">
        <f t="shared" si="128"/>
        <v>0</v>
      </c>
      <c r="R123" s="1035">
        <f>'1.BC_Ra Soat (ty) '!DH125</f>
        <v>0</v>
      </c>
      <c r="S123" s="1036">
        <f>'1.BC_Ra Soat (ty) '!BU125</f>
        <v>0</v>
      </c>
      <c r="T123" s="1036">
        <f>'1.BC_Ra Soat (ty) '!BZ125</f>
        <v>0</v>
      </c>
      <c r="U123" s="1036">
        <f>'1.BC_Ra Soat (ty) '!CE125</f>
        <v>0</v>
      </c>
      <c r="V123" s="1036">
        <f>'1.BC_Ra Soat (ty) '!CJ125</f>
        <v>0</v>
      </c>
      <c r="W123" s="1036">
        <f>'1.BC_Ra Soat (ty) '!CO125</f>
        <v>0</v>
      </c>
      <c r="X123" s="1032">
        <f t="shared" si="129"/>
        <v>0</v>
      </c>
      <c r="Y123" s="1036">
        <f>'1.BC_Ra Soat (ty) '!DI125</f>
        <v>0</v>
      </c>
      <c r="Z123" s="1035">
        <f>-SUMIFS('1.DC_Muc tieu'!F:F,'1.DC_Muc tieu'!$D:$D,'1.BC_Muc tieu (ty) '!$D123)+SUMIFS('1.DC_Muc tieu'!F:F,'1.DC_Muc tieu'!$E:$E,'1.BC_Muc tieu (ty) '!$D123)</f>
        <v>0</v>
      </c>
      <c r="AA123" s="1035">
        <f>-SUMIFS('1.DC_Muc tieu'!G:G,'1.DC_Muc tieu'!$D:$D,'1.BC_Muc tieu (ty) '!$D123)+SUMIFS('1.DC_Muc tieu'!G:G,'1.DC_Muc tieu'!$E:$E,'1.BC_Muc tieu (ty) '!$D123)</f>
        <v>0</v>
      </c>
      <c r="AB123" s="1035">
        <f>-SUMIFS('1.DC_Muc tieu'!H:H,'1.DC_Muc tieu'!$D:$D,'1.BC_Muc tieu (ty) '!$D123)+SUMIFS('1.DC_Muc tieu'!H:H,'1.DC_Muc tieu'!$E:$E,'1.BC_Muc tieu (ty) '!$D123)</f>
        <v>0</v>
      </c>
      <c r="AC123" s="1035"/>
      <c r="AD123" s="1035">
        <f>-SUMIFS('1.DC_Muc tieu'!J:J,'1.DC_Muc tieu'!$D:$D,'1.BC_Muc tieu (ty) '!$D123)+SUMIFS('1.DC_Muc tieu'!J:J,'1.DC_Muc tieu'!$E:$E,'1.BC_Muc tieu (ty) '!$D123)</f>
        <v>0</v>
      </c>
      <c r="AE123" s="1035">
        <f t="shared" si="130"/>
        <v>0</v>
      </c>
      <c r="AF123" s="1035">
        <f t="shared" si="139"/>
        <v>0</v>
      </c>
      <c r="AG123" s="1035">
        <f t="shared" si="140"/>
        <v>0</v>
      </c>
      <c r="AH123" s="1035">
        <f t="shared" si="141"/>
        <v>0</v>
      </c>
      <c r="AI123" s="1035">
        <f t="shared" si="142"/>
        <v>0</v>
      </c>
      <c r="AJ123" s="1035">
        <f t="shared" si="143"/>
        <v>0</v>
      </c>
      <c r="AK123" s="1033">
        <f t="shared" si="136"/>
        <v>0</v>
      </c>
      <c r="AL123" s="1035">
        <f t="shared" si="144"/>
        <v>0</v>
      </c>
    </row>
    <row r="124" spans="1:39" x14ac:dyDescent="0.25">
      <c r="A124" s="1014" t="str">
        <f t="shared" si="124"/>
        <v>hide</v>
      </c>
      <c r="B124" s="933" t="s">
        <v>101</v>
      </c>
      <c r="C124" s="937" t="s">
        <v>116</v>
      </c>
      <c r="D124" s="1010" t="s">
        <v>459</v>
      </c>
      <c r="E124" s="941">
        <f>'1.BC_Ra Soat (ty) '!BS126</f>
        <v>0</v>
      </c>
      <c r="F124" s="941">
        <f>'1.BC_Ra Soat (ty) '!BX126</f>
        <v>0</v>
      </c>
      <c r="G124" s="1036">
        <f>'1.BC_Ra Soat (ty) '!CC126</f>
        <v>0</v>
      </c>
      <c r="H124" s="1036">
        <f>'1.BC_Ra Soat (ty) '!CH126</f>
        <v>0</v>
      </c>
      <c r="I124" s="1036">
        <f>'1.BC_Ra Soat (ty) '!CM126</f>
        <v>0</v>
      </c>
      <c r="J124" s="1036">
        <f t="shared" si="127"/>
        <v>0</v>
      </c>
      <c r="K124" s="1035">
        <f>'1.BC_Ra Soat (ty) '!DG126</f>
        <v>0</v>
      </c>
      <c r="L124" s="1036">
        <f>'1.BC_Ra Soat (ty) '!BT126</f>
        <v>0</v>
      </c>
      <c r="M124" s="1036">
        <f>'1.BC_Ra Soat (ty) '!BY126</f>
        <v>0</v>
      </c>
      <c r="N124" s="1036">
        <f>'1.BC_Ra Soat (ty) '!CD126</f>
        <v>0</v>
      </c>
      <c r="O124" s="1036">
        <f>'1.BC_Ra Soat (ty) '!CI126</f>
        <v>0</v>
      </c>
      <c r="P124" s="1036">
        <f>'1.BC_Ra Soat (ty) '!CN126</f>
        <v>0</v>
      </c>
      <c r="Q124" s="1035">
        <f t="shared" si="128"/>
        <v>0</v>
      </c>
      <c r="R124" s="1035">
        <f>'1.BC_Ra Soat (ty) '!DH126</f>
        <v>0</v>
      </c>
      <c r="S124" s="1036">
        <f>'1.BC_Ra Soat (ty) '!BU126</f>
        <v>0</v>
      </c>
      <c r="T124" s="1036">
        <f>'1.BC_Ra Soat (ty) '!BZ126</f>
        <v>0</v>
      </c>
      <c r="U124" s="1036">
        <f>'1.BC_Ra Soat (ty) '!CE126</f>
        <v>0</v>
      </c>
      <c r="V124" s="1036">
        <f>'1.BC_Ra Soat (ty) '!CJ126</f>
        <v>0</v>
      </c>
      <c r="W124" s="1036">
        <f>'1.BC_Ra Soat (ty) '!CO126</f>
        <v>0</v>
      </c>
      <c r="X124" s="1032">
        <f t="shared" si="129"/>
        <v>0</v>
      </c>
      <c r="Y124" s="1036">
        <f>'1.BC_Ra Soat (ty) '!DI126</f>
        <v>0</v>
      </c>
      <c r="Z124" s="1035">
        <f>-SUMIFS('1.DC_Muc tieu'!F:F,'1.DC_Muc tieu'!$D:$D,'1.BC_Muc tieu (ty) '!$D124)+SUMIFS('1.DC_Muc tieu'!F:F,'1.DC_Muc tieu'!$E:$E,'1.BC_Muc tieu (ty) '!$D124)</f>
        <v>0</v>
      </c>
      <c r="AA124" s="1035">
        <f>-SUMIFS('1.DC_Muc tieu'!G:G,'1.DC_Muc tieu'!$D:$D,'1.BC_Muc tieu (ty) '!$D124)+SUMIFS('1.DC_Muc tieu'!G:G,'1.DC_Muc tieu'!$E:$E,'1.BC_Muc tieu (ty) '!$D124)</f>
        <v>0</v>
      </c>
      <c r="AB124" s="1035">
        <f>-SUMIFS('1.DC_Muc tieu'!H:H,'1.DC_Muc tieu'!$D:$D,'1.BC_Muc tieu (ty) '!$D124)+SUMIFS('1.DC_Muc tieu'!H:H,'1.DC_Muc tieu'!$E:$E,'1.BC_Muc tieu (ty) '!$D124)</f>
        <v>0</v>
      </c>
      <c r="AC124" s="1035"/>
      <c r="AD124" s="1035">
        <f>-SUMIFS('1.DC_Muc tieu'!J:J,'1.DC_Muc tieu'!$D:$D,'1.BC_Muc tieu (ty) '!$D124)+SUMIFS('1.DC_Muc tieu'!J:J,'1.DC_Muc tieu'!$E:$E,'1.BC_Muc tieu (ty) '!$D124)</f>
        <v>0</v>
      </c>
      <c r="AE124" s="1035">
        <f t="shared" si="130"/>
        <v>0</v>
      </c>
      <c r="AF124" s="1035">
        <f t="shared" si="139"/>
        <v>0</v>
      </c>
      <c r="AG124" s="1035">
        <f t="shared" si="140"/>
        <v>0</v>
      </c>
      <c r="AH124" s="1035">
        <f t="shared" si="141"/>
        <v>0</v>
      </c>
      <c r="AI124" s="1035">
        <f t="shared" si="142"/>
        <v>0</v>
      </c>
      <c r="AJ124" s="1035">
        <f t="shared" si="143"/>
        <v>0</v>
      </c>
      <c r="AK124" s="1033">
        <f t="shared" si="136"/>
        <v>0</v>
      </c>
      <c r="AL124" s="1035">
        <f t="shared" si="144"/>
        <v>0</v>
      </c>
    </row>
    <row r="125" spans="1:39" x14ac:dyDescent="0.25">
      <c r="A125" s="1014" t="str">
        <f t="shared" si="124"/>
        <v>hide</v>
      </c>
      <c r="B125" s="933" t="s">
        <v>102</v>
      </c>
      <c r="C125" s="937" t="s">
        <v>117</v>
      </c>
      <c r="D125" s="1010" t="s">
        <v>461</v>
      </c>
      <c r="E125" s="941">
        <f>'1.BC_Ra Soat (ty) '!BS127</f>
        <v>0</v>
      </c>
      <c r="F125" s="941">
        <f>'1.BC_Ra Soat (ty) '!BX127</f>
        <v>0</v>
      </c>
      <c r="G125" s="1036">
        <f>'1.BC_Ra Soat (ty) '!CC127</f>
        <v>0</v>
      </c>
      <c r="H125" s="1036">
        <f>'1.BC_Ra Soat (ty) '!CH127</f>
        <v>0</v>
      </c>
      <c r="I125" s="1036">
        <f>'1.BC_Ra Soat (ty) '!CM127</f>
        <v>0</v>
      </c>
      <c r="J125" s="1036">
        <f t="shared" si="127"/>
        <v>0</v>
      </c>
      <c r="K125" s="1035">
        <f>'1.BC_Ra Soat (ty) '!DG127</f>
        <v>0</v>
      </c>
      <c r="L125" s="1036">
        <f>'1.BC_Ra Soat (ty) '!BT127</f>
        <v>0</v>
      </c>
      <c r="M125" s="1036">
        <f>'1.BC_Ra Soat (ty) '!BY127</f>
        <v>0</v>
      </c>
      <c r="N125" s="1036">
        <f>'1.BC_Ra Soat (ty) '!CD127</f>
        <v>0</v>
      </c>
      <c r="O125" s="1036">
        <f>'1.BC_Ra Soat (ty) '!CI127</f>
        <v>0</v>
      </c>
      <c r="P125" s="1036">
        <f>'1.BC_Ra Soat (ty) '!CN127</f>
        <v>0</v>
      </c>
      <c r="Q125" s="1035">
        <f t="shared" si="128"/>
        <v>0</v>
      </c>
      <c r="R125" s="1035">
        <f>'1.BC_Ra Soat (ty) '!DH127</f>
        <v>0</v>
      </c>
      <c r="S125" s="1036">
        <f>'1.BC_Ra Soat (ty) '!BU127</f>
        <v>0</v>
      </c>
      <c r="T125" s="1036">
        <f>'1.BC_Ra Soat (ty) '!BZ127</f>
        <v>0</v>
      </c>
      <c r="U125" s="1036">
        <f>'1.BC_Ra Soat (ty) '!CE127</f>
        <v>0</v>
      </c>
      <c r="V125" s="1036">
        <f>'1.BC_Ra Soat (ty) '!CJ127</f>
        <v>0</v>
      </c>
      <c r="W125" s="1036">
        <f>'1.BC_Ra Soat (ty) '!CO127</f>
        <v>0</v>
      </c>
      <c r="X125" s="1032">
        <f t="shared" si="129"/>
        <v>0</v>
      </c>
      <c r="Y125" s="1036">
        <f>'1.BC_Ra Soat (ty) '!DI127</f>
        <v>0</v>
      </c>
      <c r="Z125" s="1035">
        <f>-SUMIFS('1.DC_Muc tieu'!F:F,'1.DC_Muc tieu'!$D:$D,'1.BC_Muc tieu (ty) '!$D125)+SUMIFS('1.DC_Muc tieu'!F:F,'1.DC_Muc tieu'!$E:$E,'1.BC_Muc tieu (ty) '!$D125)</f>
        <v>0</v>
      </c>
      <c r="AA125" s="1035">
        <f>-SUMIFS('1.DC_Muc tieu'!G:G,'1.DC_Muc tieu'!$D:$D,'1.BC_Muc tieu (ty) '!$D125)+SUMIFS('1.DC_Muc tieu'!G:G,'1.DC_Muc tieu'!$E:$E,'1.BC_Muc tieu (ty) '!$D125)</f>
        <v>0</v>
      </c>
      <c r="AB125" s="1035">
        <f>-SUMIFS('1.DC_Muc tieu'!H:H,'1.DC_Muc tieu'!$D:$D,'1.BC_Muc tieu (ty) '!$D125)+SUMIFS('1.DC_Muc tieu'!H:H,'1.DC_Muc tieu'!$E:$E,'1.BC_Muc tieu (ty) '!$D125)</f>
        <v>0</v>
      </c>
      <c r="AC125" s="1035"/>
      <c r="AD125" s="1035">
        <f>-SUMIFS('1.DC_Muc tieu'!J:J,'1.DC_Muc tieu'!$D:$D,'1.BC_Muc tieu (ty) '!$D125)+SUMIFS('1.DC_Muc tieu'!J:J,'1.DC_Muc tieu'!$E:$E,'1.BC_Muc tieu (ty) '!$D125)</f>
        <v>0</v>
      </c>
      <c r="AE125" s="1035">
        <f t="shared" si="130"/>
        <v>0</v>
      </c>
      <c r="AF125" s="1035">
        <f t="shared" si="139"/>
        <v>0</v>
      </c>
      <c r="AG125" s="1035">
        <f t="shared" si="140"/>
        <v>0</v>
      </c>
      <c r="AH125" s="1035">
        <f t="shared" si="141"/>
        <v>0</v>
      </c>
      <c r="AI125" s="1035">
        <f t="shared" si="142"/>
        <v>0</v>
      </c>
      <c r="AJ125" s="1035">
        <f t="shared" si="143"/>
        <v>0</v>
      </c>
      <c r="AK125" s="1033">
        <f t="shared" si="136"/>
        <v>0</v>
      </c>
      <c r="AL125" s="1035">
        <f t="shared" si="144"/>
        <v>0</v>
      </c>
    </row>
    <row r="126" spans="1:39" x14ac:dyDescent="0.25">
      <c r="A126" s="1014" t="str">
        <f t="shared" si="124"/>
        <v>hide</v>
      </c>
      <c r="B126" s="933" t="s">
        <v>103</v>
      </c>
      <c r="C126" s="937" t="s">
        <v>118</v>
      </c>
      <c r="D126" s="1010" t="s">
        <v>463</v>
      </c>
      <c r="E126" s="941">
        <f>'1.BC_Ra Soat (ty) '!BS128</f>
        <v>0</v>
      </c>
      <c r="F126" s="941">
        <f>'1.BC_Ra Soat (ty) '!BX128</f>
        <v>0</v>
      </c>
      <c r="G126" s="1036">
        <f>'1.BC_Ra Soat (ty) '!CC128</f>
        <v>0</v>
      </c>
      <c r="H126" s="1036">
        <f>'1.BC_Ra Soat (ty) '!CH128</f>
        <v>0</v>
      </c>
      <c r="I126" s="1036">
        <f>'1.BC_Ra Soat (ty) '!CM128</f>
        <v>0</v>
      </c>
      <c r="J126" s="1036">
        <f t="shared" si="127"/>
        <v>0</v>
      </c>
      <c r="K126" s="1035">
        <f>'1.BC_Ra Soat (ty) '!DG128</f>
        <v>0</v>
      </c>
      <c r="L126" s="1036">
        <f>'1.BC_Ra Soat (ty) '!BT128</f>
        <v>0</v>
      </c>
      <c r="M126" s="1036">
        <f>'1.BC_Ra Soat (ty) '!BY128</f>
        <v>0</v>
      </c>
      <c r="N126" s="1036">
        <f>'1.BC_Ra Soat (ty) '!CD128</f>
        <v>0</v>
      </c>
      <c r="O126" s="1036">
        <f>'1.BC_Ra Soat (ty) '!CI128</f>
        <v>0</v>
      </c>
      <c r="P126" s="1036">
        <f>'1.BC_Ra Soat (ty) '!CN128</f>
        <v>0</v>
      </c>
      <c r="Q126" s="1035">
        <f t="shared" si="128"/>
        <v>0</v>
      </c>
      <c r="R126" s="1035">
        <f>'1.BC_Ra Soat (ty) '!DH128</f>
        <v>0</v>
      </c>
      <c r="S126" s="1036">
        <f>'1.BC_Ra Soat (ty) '!BU128</f>
        <v>0</v>
      </c>
      <c r="T126" s="1036">
        <f>'1.BC_Ra Soat (ty) '!BZ128</f>
        <v>0</v>
      </c>
      <c r="U126" s="1036">
        <f>'1.BC_Ra Soat (ty) '!CE128</f>
        <v>0</v>
      </c>
      <c r="V126" s="1036">
        <f>'1.BC_Ra Soat (ty) '!CJ128</f>
        <v>0</v>
      </c>
      <c r="W126" s="1036">
        <f>'1.BC_Ra Soat (ty) '!CO128</f>
        <v>0</v>
      </c>
      <c r="X126" s="1032">
        <f t="shared" si="129"/>
        <v>0</v>
      </c>
      <c r="Y126" s="1036">
        <f>'1.BC_Ra Soat (ty) '!DI128</f>
        <v>0</v>
      </c>
      <c r="Z126" s="1035">
        <f>-SUMIFS('1.DC_Muc tieu'!F:F,'1.DC_Muc tieu'!$D:$D,'1.BC_Muc tieu (ty) '!$D126)+SUMIFS('1.DC_Muc tieu'!F:F,'1.DC_Muc tieu'!$E:$E,'1.BC_Muc tieu (ty) '!$D126)</f>
        <v>0</v>
      </c>
      <c r="AA126" s="1035">
        <f>-SUMIFS('1.DC_Muc tieu'!G:G,'1.DC_Muc tieu'!$D:$D,'1.BC_Muc tieu (ty) '!$D126)+SUMIFS('1.DC_Muc tieu'!G:G,'1.DC_Muc tieu'!$E:$E,'1.BC_Muc tieu (ty) '!$D126)</f>
        <v>0</v>
      </c>
      <c r="AB126" s="1035">
        <f>-SUMIFS('1.DC_Muc tieu'!H:H,'1.DC_Muc tieu'!$D:$D,'1.BC_Muc tieu (ty) '!$D126)+SUMIFS('1.DC_Muc tieu'!H:H,'1.DC_Muc tieu'!$E:$E,'1.BC_Muc tieu (ty) '!$D126)</f>
        <v>0</v>
      </c>
      <c r="AC126" s="1035"/>
      <c r="AD126" s="1035">
        <f>-SUMIFS('1.DC_Muc tieu'!J:J,'1.DC_Muc tieu'!$D:$D,'1.BC_Muc tieu (ty) '!$D126)+SUMIFS('1.DC_Muc tieu'!J:J,'1.DC_Muc tieu'!$E:$E,'1.BC_Muc tieu (ty) '!$D126)</f>
        <v>0</v>
      </c>
      <c r="AE126" s="1035">
        <f t="shared" si="130"/>
        <v>0</v>
      </c>
      <c r="AF126" s="1035">
        <f t="shared" si="139"/>
        <v>0</v>
      </c>
      <c r="AG126" s="1035">
        <f t="shared" si="140"/>
        <v>0</v>
      </c>
      <c r="AH126" s="1035">
        <f t="shared" si="141"/>
        <v>0</v>
      </c>
      <c r="AI126" s="1035">
        <f t="shared" si="142"/>
        <v>0</v>
      </c>
      <c r="AJ126" s="1035">
        <f t="shared" si="143"/>
        <v>0</v>
      </c>
      <c r="AK126" s="1033">
        <f t="shared" si="136"/>
        <v>0</v>
      </c>
      <c r="AL126" s="1035">
        <f t="shared" si="144"/>
        <v>0</v>
      </c>
    </row>
    <row r="127" spans="1:39" s="590" customFormat="1" x14ac:dyDescent="0.25">
      <c r="A127" s="1014">
        <f t="shared" si="124"/>
        <v>1</v>
      </c>
      <c r="B127" s="929" t="s">
        <v>119</v>
      </c>
      <c r="C127" s="930" t="s">
        <v>120</v>
      </c>
      <c r="D127" s="1006" t="s">
        <v>464</v>
      </c>
      <c r="E127" s="1007">
        <f>E128+E145</f>
        <v>29.620862435999999</v>
      </c>
      <c r="F127" s="1007">
        <f t="shared" ref="F127:AL127" si="145">F128+F145</f>
        <v>14.207961784</v>
      </c>
      <c r="G127" s="1007">
        <f t="shared" si="145"/>
        <v>3.332960398</v>
      </c>
      <c r="H127" s="1007">
        <f t="shared" si="145"/>
        <v>17.714977531999999</v>
      </c>
      <c r="I127" s="1007">
        <f t="shared" si="145"/>
        <v>0</v>
      </c>
      <c r="J127" s="1007">
        <f t="shared" si="145"/>
        <v>64.876762150000005</v>
      </c>
      <c r="K127" s="1007">
        <f t="shared" si="145"/>
        <v>64.876762150000005</v>
      </c>
      <c r="L127" s="1007">
        <f t="shared" si="145"/>
        <v>39.057813134</v>
      </c>
      <c r="M127" s="1007">
        <f t="shared" si="145"/>
        <v>8.1725437030000005</v>
      </c>
      <c r="N127" s="1007">
        <f t="shared" si="145"/>
        <v>13.515219559</v>
      </c>
      <c r="O127" s="1007">
        <f t="shared" si="145"/>
        <v>14.514059801</v>
      </c>
      <c r="P127" s="1007">
        <f t="shared" si="145"/>
        <v>0</v>
      </c>
      <c r="Q127" s="1007">
        <f t="shared" si="145"/>
        <v>75.259636196999992</v>
      </c>
      <c r="R127" s="1007">
        <f t="shared" si="145"/>
        <v>75.259636196999992</v>
      </c>
      <c r="S127" s="1007">
        <f t="shared" si="145"/>
        <v>34.434209246000002</v>
      </c>
      <c r="T127" s="1007">
        <f t="shared" si="145"/>
        <v>8.1725437030000005</v>
      </c>
      <c r="U127" s="1007">
        <f t="shared" si="145"/>
        <v>5.1157510160000008</v>
      </c>
      <c r="V127" s="1007">
        <f t="shared" si="145"/>
        <v>7.536912504</v>
      </c>
      <c r="W127" s="1007">
        <f t="shared" si="145"/>
        <v>0</v>
      </c>
      <c r="X127" s="1007">
        <f t="shared" si="145"/>
        <v>55.259416469000001</v>
      </c>
      <c r="Y127" s="1007">
        <f t="shared" si="145"/>
        <v>55.259416469000001</v>
      </c>
      <c r="Z127" s="1007">
        <f t="shared" si="145"/>
        <v>0</v>
      </c>
      <c r="AA127" s="1007">
        <f t="shared" si="145"/>
        <v>0</v>
      </c>
      <c r="AB127" s="1007">
        <f t="shared" si="145"/>
        <v>0</v>
      </c>
      <c r="AC127" s="1007">
        <f t="shared" si="145"/>
        <v>0</v>
      </c>
      <c r="AD127" s="1007">
        <f t="shared" si="145"/>
        <v>0</v>
      </c>
      <c r="AE127" s="1007">
        <f t="shared" si="145"/>
        <v>0</v>
      </c>
      <c r="AF127" s="1007">
        <f t="shared" si="145"/>
        <v>34.434209246000002</v>
      </c>
      <c r="AG127" s="1007">
        <f t="shared" si="145"/>
        <v>8.1725437030000005</v>
      </c>
      <c r="AH127" s="1007">
        <f t="shared" si="145"/>
        <v>5.1157510160000008</v>
      </c>
      <c r="AI127" s="1007">
        <f t="shared" si="145"/>
        <v>7.536912504</v>
      </c>
      <c r="AJ127" s="1007">
        <f t="shared" si="145"/>
        <v>0</v>
      </c>
      <c r="AK127" s="1007">
        <f t="shared" si="145"/>
        <v>55.259416469000001</v>
      </c>
      <c r="AL127" s="1085">
        <f t="shared" si="145"/>
        <v>55.259416469000001</v>
      </c>
      <c r="AM127" s="911"/>
    </row>
    <row r="128" spans="1:39" s="590" customFormat="1" x14ac:dyDescent="0.25">
      <c r="A128" s="1014">
        <f t="shared" si="124"/>
        <v>1</v>
      </c>
      <c r="B128" s="931" t="s">
        <v>27</v>
      </c>
      <c r="C128" s="932" t="s">
        <v>121</v>
      </c>
      <c r="D128" s="1008" t="s">
        <v>466</v>
      </c>
      <c r="E128" s="1009">
        <f>E129+E132+E133+E134+E135+E136+E137+E138+E139+E140+E141+E144</f>
        <v>29.620862435999999</v>
      </c>
      <c r="F128" s="1009">
        <f t="shared" ref="F128:AL128" si="146">F129+F132+F133+F134+F135+F136+F137+F138+F139+F140+F141+F144</f>
        <v>14.207961784</v>
      </c>
      <c r="G128" s="1009">
        <f t="shared" si="146"/>
        <v>3.332960398</v>
      </c>
      <c r="H128" s="1009">
        <f t="shared" si="146"/>
        <v>17.714977531999999</v>
      </c>
      <c r="I128" s="1009">
        <f t="shared" si="146"/>
        <v>0</v>
      </c>
      <c r="J128" s="1009">
        <f t="shared" si="146"/>
        <v>64.876762150000005</v>
      </c>
      <c r="K128" s="1009">
        <f t="shared" si="146"/>
        <v>64.876762150000005</v>
      </c>
      <c r="L128" s="1009">
        <f t="shared" si="146"/>
        <v>39.057813134</v>
      </c>
      <c r="M128" s="1009">
        <f t="shared" si="146"/>
        <v>8.1725437030000005</v>
      </c>
      <c r="N128" s="1009">
        <f t="shared" si="146"/>
        <v>13.515219559</v>
      </c>
      <c r="O128" s="1009">
        <f t="shared" si="146"/>
        <v>14.514059801</v>
      </c>
      <c r="P128" s="1009">
        <f t="shared" si="146"/>
        <v>0</v>
      </c>
      <c r="Q128" s="1009">
        <f t="shared" si="146"/>
        <v>75.259636196999992</v>
      </c>
      <c r="R128" s="1009">
        <f t="shared" si="146"/>
        <v>75.259636196999992</v>
      </c>
      <c r="S128" s="1009">
        <f t="shared" si="146"/>
        <v>34.434209246000002</v>
      </c>
      <c r="T128" s="1009">
        <f t="shared" si="146"/>
        <v>8.1725437030000005</v>
      </c>
      <c r="U128" s="1009">
        <f t="shared" si="146"/>
        <v>5.1157510160000008</v>
      </c>
      <c r="V128" s="1009">
        <f t="shared" si="146"/>
        <v>7.536912504</v>
      </c>
      <c r="W128" s="1009">
        <f t="shared" si="146"/>
        <v>0</v>
      </c>
      <c r="X128" s="1009">
        <f t="shared" si="146"/>
        <v>55.259416469000001</v>
      </c>
      <c r="Y128" s="1009">
        <f t="shared" si="146"/>
        <v>55.259416469000001</v>
      </c>
      <c r="Z128" s="1009">
        <f t="shared" si="146"/>
        <v>0</v>
      </c>
      <c r="AA128" s="1009">
        <f t="shared" si="146"/>
        <v>0</v>
      </c>
      <c r="AB128" s="1009">
        <f t="shared" si="146"/>
        <v>0</v>
      </c>
      <c r="AC128" s="1009">
        <f t="shared" si="146"/>
        <v>0</v>
      </c>
      <c r="AD128" s="1009">
        <f t="shared" si="146"/>
        <v>0</v>
      </c>
      <c r="AE128" s="1009">
        <f t="shared" si="146"/>
        <v>0</v>
      </c>
      <c r="AF128" s="1009">
        <f t="shared" si="146"/>
        <v>34.434209246000002</v>
      </c>
      <c r="AG128" s="1009">
        <f t="shared" si="146"/>
        <v>8.1725437030000005</v>
      </c>
      <c r="AH128" s="1009">
        <f t="shared" si="146"/>
        <v>5.1157510160000008</v>
      </c>
      <c r="AI128" s="1009">
        <f t="shared" si="146"/>
        <v>7.536912504</v>
      </c>
      <c r="AJ128" s="1009">
        <f t="shared" si="146"/>
        <v>0</v>
      </c>
      <c r="AK128" s="1009">
        <f t="shared" si="146"/>
        <v>55.259416469000001</v>
      </c>
      <c r="AL128" s="1086">
        <f t="shared" si="146"/>
        <v>55.259416469000001</v>
      </c>
      <c r="AM128" s="911"/>
    </row>
    <row r="129" spans="1:39" x14ac:dyDescent="0.25">
      <c r="A129" s="1014">
        <f t="shared" ref="A129:A148" si="147">IF(SUM(E129:AL129)&lt;&gt;0,1,"hide")</f>
        <v>1</v>
      </c>
      <c r="B129" s="933" t="s">
        <v>29</v>
      </c>
      <c r="C129" s="937" t="s">
        <v>122</v>
      </c>
      <c r="D129" s="1010" t="s">
        <v>468</v>
      </c>
      <c r="E129" s="941">
        <f>E130+E131</f>
        <v>30</v>
      </c>
      <c r="F129" s="941">
        <f t="shared" ref="F129:AL129" si="148">F130+F131</f>
        <v>14</v>
      </c>
      <c r="G129" s="941">
        <f t="shared" si="148"/>
        <v>4</v>
      </c>
      <c r="H129" s="941">
        <f t="shared" si="148"/>
        <v>18</v>
      </c>
      <c r="I129" s="941">
        <f t="shared" si="148"/>
        <v>0</v>
      </c>
      <c r="J129" s="941">
        <f t="shared" si="148"/>
        <v>66</v>
      </c>
      <c r="K129" s="941">
        <f t="shared" si="148"/>
        <v>66</v>
      </c>
      <c r="L129" s="941">
        <f t="shared" si="148"/>
        <v>50</v>
      </c>
      <c r="M129" s="941">
        <f t="shared" si="148"/>
        <v>14</v>
      </c>
      <c r="N129" s="941">
        <f t="shared" si="148"/>
        <v>15</v>
      </c>
      <c r="O129" s="941">
        <f t="shared" si="148"/>
        <v>18</v>
      </c>
      <c r="P129" s="941">
        <f t="shared" si="148"/>
        <v>0</v>
      </c>
      <c r="Q129" s="941">
        <f t="shared" si="148"/>
        <v>97</v>
      </c>
      <c r="R129" s="941">
        <f t="shared" si="148"/>
        <v>97</v>
      </c>
      <c r="S129" s="941">
        <f t="shared" si="148"/>
        <v>50</v>
      </c>
      <c r="T129" s="941">
        <f t="shared" si="148"/>
        <v>14</v>
      </c>
      <c r="U129" s="941">
        <f t="shared" si="148"/>
        <v>15</v>
      </c>
      <c r="V129" s="941">
        <f t="shared" si="148"/>
        <v>18</v>
      </c>
      <c r="W129" s="941">
        <f t="shared" si="148"/>
        <v>0</v>
      </c>
      <c r="X129" s="941">
        <f t="shared" si="148"/>
        <v>97</v>
      </c>
      <c r="Y129" s="941">
        <f t="shared" si="148"/>
        <v>97</v>
      </c>
      <c r="Z129" s="941">
        <f t="shared" si="148"/>
        <v>0</v>
      </c>
      <c r="AA129" s="941">
        <f t="shared" si="148"/>
        <v>0</v>
      </c>
      <c r="AB129" s="941">
        <f t="shared" si="148"/>
        <v>0</v>
      </c>
      <c r="AC129" s="941">
        <f t="shared" si="148"/>
        <v>0</v>
      </c>
      <c r="AD129" s="941">
        <f t="shared" si="148"/>
        <v>0</v>
      </c>
      <c r="AE129" s="941">
        <f t="shared" si="148"/>
        <v>0</v>
      </c>
      <c r="AF129" s="941">
        <f t="shared" si="148"/>
        <v>50</v>
      </c>
      <c r="AG129" s="941">
        <f t="shared" si="148"/>
        <v>14</v>
      </c>
      <c r="AH129" s="941">
        <f t="shared" si="148"/>
        <v>15</v>
      </c>
      <c r="AI129" s="941">
        <f t="shared" si="148"/>
        <v>18</v>
      </c>
      <c r="AJ129" s="941">
        <f t="shared" si="148"/>
        <v>0</v>
      </c>
      <c r="AK129" s="941">
        <f t="shared" si="148"/>
        <v>97</v>
      </c>
      <c r="AL129" s="1087">
        <f t="shared" si="148"/>
        <v>97</v>
      </c>
      <c r="AM129" s="912"/>
    </row>
    <row r="130" spans="1:39" s="888" customFormat="1" x14ac:dyDescent="0.25">
      <c r="A130" s="1039">
        <f t="shared" si="147"/>
        <v>1</v>
      </c>
      <c r="B130" s="939" t="s">
        <v>75</v>
      </c>
      <c r="C130" s="940" t="s">
        <v>123</v>
      </c>
      <c r="D130" s="1040" t="s">
        <v>535</v>
      </c>
      <c r="E130" s="1011">
        <f>'1.BC_Ra Soat (ty) '!BR132</f>
        <v>30</v>
      </c>
      <c r="F130" s="1011">
        <f>'1.BC_Ra Soat (ty) '!BX132</f>
        <v>14</v>
      </c>
      <c r="G130" s="1037">
        <f>'1.BC_Ra Soat (ty) '!CC132</f>
        <v>4</v>
      </c>
      <c r="H130" s="1037">
        <f>'1.BC_Ra Soat (ty) '!CH132</f>
        <v>18</v>
      </c>
      <c r="I130" s="1037">
        <f>'1.BC_Ra Soat (ty) '!CM132</f>
        <v>0</v>
      </c>
      <c r="J130" s="1037">
        <f t="shared" si="127"/>
        <v>66</v>
      </c>
      <c r="K130" s="1037">
        <f>'1.BC_Ra Soat (ty) '!DG132</f>
        <v>66</v>
      </c>
      <c r="L130" s="1037">
        <f>'1.BC_Ra Soat (ty) '!BT132</f>
        <v>50</v>
      </c>
      <c r="M130" s="1037">
        <f>'1.BC_Ra Soat (ty) '!BY132</f>
        <v>14</v>
      </c>
      <c r="N130" s="1037">
        <f>'1.BC_Ra Soat (ty) '!CD132</f>
        <v>15</v>
      </c>
      <c r="O130" s="1037">
        <f>'1.BC_Ra Soat (ty) '!CI132</f>
        <v>18</v>
      </c>
      <c r="P130" s="1037">
        <f>'1.BC_Ra Soat (ty) '!CN132</f>
        <v>0</v>
      </c>
      <c r="Q130" s="1037">
        <f t="shared" si="128"/>
        <v>97</v>
      </c>
      <c r="R130" s="1037">
        <f>'1.BC_Ra Soat (ty) '!DH132</f>
        <v>97</v>
      </c>
      <c r="S130" s="1037">
        <f>'1.BC_Ra Soat (ty) '!BU132</f>
        <v>50</v>
      </c>
      <c r="T130" s="1037">
        <f>'1.BC_Ra Soat (ty) '!BZ132</f>
        <v>14</v>
      </c>
      <c r="U130" s="1037">
        <f>'1.BC_Ra Soat (ty) '!CE132</f>
        <v>15</v>
      </c>
      <c r="V130" s="1037">
        <f>'1.BC_Ra Soat (ty) '!CJ132</f>
        <v>18</v>
      </c>
      <c r="W130" s="1037">
        <f>'1.BC_Ra Soat (ty) '!CO132</f>
        <v>0</v>
      </c>
      <c r="X130" s="1034">
        <f t="shared" si="129"/>
        <v>97</v>
      </c>
      <c r="Y130" s="1037">
        <f>'1.BC_Ra Soat (ty) '!DI132</f>
        <v>97</v>
      </c>
      <c r="Z130" s="1037">
        <f>-SUMIFS('1.DC_Muc tieu'!F:F,'1.DC_Muc tieu'!$D:$D,'1.BC_Muc tieu (ty) '!$D130)+SUMIFS('1.DC_Muc tieu'!F:F,'1.DC_Muc tieu'!$E:$E,'1.BC_Muc tieu (ty) '!$D130)</f>
        <v>0</v>
      </c>
      <c r="AA130" s="1037">
        <f>-SUMIFS('1.DC_Muc tieu'!G:G,'1.DC_Muc tieu'!$D:$D,'1.BC_Muc tieu (ty) '!$D130)+SUMIFS('1.DC_Muc tieu'!G:G,'1.DC_Muc tieu'!$E:$E,'1.BC_Muc tieu (ty) '!$D130)</f>
        <v>0</v>
      </c>
      <c r="AB130" s="1037">
        <f>-SUMIFS('1.DC_Muc tieu'!H:H,'1.DC_Muc tieu'!$D:$D,'1.BC_Muc tieu (ty) '!$D130)+SUMIFS('1.DC_Muc tieu'!H:H,'1.DC_Muc tieu'!$E:$E,'1.BC_Muc tieu (ty) '!$D130)</f>
        <v>0</v>
      </c>
      <c r="AC130" s="1037"/>
      <c r="AD130" s="1037">
        <f>-SUMIFS('1.DC_Muc tieu'!J:J,'1.DC_Muc tieu'!$D:$D,'1.BC_Muc tieu (ty) '!$D130)+SUMIFS('1.DC_Muc tieu'!J:J,'1.DC_Muc tieu'!$E:$E,'1.BC_Muc tieu (ty) '!$D130)</f>
        <v>0</v>
      </c>
      <c r="AE130" s="1037">
        <f t="shared" si="130"/>
        <v>0</v>
      </c>
      <c r="AF130" s="1037">
        <f t="shared" ref="AF130:AF144" si="149">S130+Z130</f>
        <v>50</v>
      </c>
      <c r="AG130" s="1037">
        <f t="shared" ref="AG130:AG144" si="150">T130+AA130</f>
        <v>14</v>
      </c>
      <c r="AH130" s="1037">
        <f t="shared" ref="AH130:AH144" si="151">U130+AB130</f>
        <v>15</v>
      </c>
      <c r="AI130" s="1037">
        <f t="shared" ref="AI130:AI144" si="152">V130+AC130</f>
        <v>18</v>
      </c>
      <c r="AJ130" s="1037">
        <f t="shared" ref="AJ130:AJ144" si="153">W130+AD130</f>
        <v>0</v>
      </c>
      <c r="AK130" s="1033">
        <f t="shared" ref="AK130:AK147" si="154">AE130+X130</f>
        <v>97</v>
      </c>
      <c r="AL130" s="1088">
        <f t="shared" ref="AL130:AL144" si="155">Y130+AE130</f>
        <v>97</v>
      </c>
    </row>
    <row r="131" spans="1:39" x14ac:dyDescent="0.25">
      <c r="A131" s="1014" t="str">
        <f t="shared" si="147"/>
        <v>hide</v>
      </c>
      <c r="B131" s="939" t="s">
        <v>75</v>
      </c>
      <c r="C131" s="940" t="s">
        <v>115</v>
      </c>
      <c r="D131" s="1010" t="s">
        <v>536</v>
      </c>
      <c r="E131" s="1011">
        <f>'1.BC_Ra Soat (ty) '!BS133</f>
        <v>0</v>
      </c>
      <c r="F131" s="941">
        <f>'1.BC_Ra Soat (ty) '!BX133</f>
        <v>0</v>
      </c>
      <c r="G131" s="1036">
        <f>'1.BC_Ra Soat (ty) '!CC133</f>
        <v>0</v>
      </c>
      <c r="H131" s="1036">
        <f>'1.BC_Ra Soat (ty) '!CH133</f>
        <v>0</v>
      </c>
      <c r="I131" s="1036">
        <f>'1.BC_Ra Soat (ty) '!CM133</f>
        <v>0</v>
      </c>
      <c r="J131" s="1036">
        <f t="shared" si="127"/>
        <v>0</v>
      </c>
      <c r="K131" s="1035">
        <f>'1.BC_Ra Soat (ty) '!DG133</f>
        <v>0</v>
      </c>
      <c r="L131" s="1036">
        <f>'1.BC_Ra Soat (ty) '!BT133</f>
        <v>0</v>
      </c>
      <c r="M131" s="1036">
        <f>'1.BC_Ra Soat (ty) '!BY133</f>
        <v>0</v>
      </c>
      <c r="N131" s="1036">
        <f>'1.BC_Ra Soat (ty) '!CD133</f>
        <v>0</v>
      </c>
      <c r="O131" s="1036">
        <f>'1.BC_Ra Soat (ty) '!CI133</f>
        <v>0</v>
      </c>
      <c r="P131" s="1036">
        <f>'1.BC_Ra Soat (ty) '!CN133</f>
        <v>0</v>
      </c>
      <c r="Q131" s="1035">
        <f t="shared" si="128"/>
        <v>0</v>
      </c>
      <c r="R131" s="1035">
        <f>'1.BC_Ra Soat (ty) '!DH133</f>
        <v>0</v>
      </c>
      <c r="S131" s="1036">
        <f>'1.BC_Ra Soat (ty) '!BU133</f>
        <v>0</v>
      </c>
      <c r="T131" s="1036">
        <f>'1.BC_Ra Soat (ty) '!BZ133</f>
        <v>0</v>
      </c>
      <c r="U131" s="1036">
        <f>'1.BC_Ra Soat (ty) '!CE133</f>
        <v>0</v>
      </c>
      <c r="V131" s="1036">
        <f>'1.BC_Ra Soat (ty) '!CJ133</f>
        <v>0</v>
      </c>
      <c r="W131" s="1036">
        <f>'1.BC_Ra Soat (ty) '!CO133</f>
        <v>0</v>
      </c>
      <c r="X131" s="1032">
        <f t="shared" si="129"/>
        <v>0</v>
      </c>
      <c r="Y131" s="1036">
        <f>'1.BC_Ra Soat (ty) '!DI133</f>
        <v>0</v>
      </c>
      <c r="Z131" s="1035">
        <f>-SUMIFS('1.DC_Muc tieu'!F:F,'1.DC_Muc tieu'!$D:$D,'1.BC_Muc tieu (ty) '!$D131)+SUMIFS('1.DC_Muc tieu'!F:F,'1.DC_Muc tieu'!$E:$E,'1.BC_Muc tieu (ty) '!$D131)</f>
        <v>0</v>
      </c>
      <c r="AA131" s="1035">
        <f>-SUMIFS('1.DC_Muc tieu'!G:G,'1.DC_Muc tieu'!$D:$D,'1.BC_Muc tieu (ty) '!$D131)+SUMIFS('1.DC_Muc tieu'!G:G,'1.DC_Muc tieu'!$E:$E,'1.BC_Muc tieu (ty) '!$D131)</f>
        <v>0</v>
      </c>
      <c r="AB131" s="1035">
        <f>-SUMIFS('1.DC_Muc tieu'!H:H,'1.DC_Muc tieu'!$D:$D,'1.BC_Muc tieu (ty) '!$D131)+SUMIFS('1.DC_Muc tieu'!H:H,'1.DC_Muc tieu'!$E:$E,'1.BC_Muc tieu (ty) '!$D131)</f>
        <v>0</v>
      </c>
      <c r="AC131" s="1035"/>
      <c r="AD131" s="1035">
        <f>-SUMIFS('1.DC_Muc tieu'!J:J,'1.DC_Muc tieu'!$D:$D,'1.BC_Muc tieu (ty) '!$D131)+SUMIFS('1.DC_Muc tieu'!J:J,'1.DC_Muc tieu'!$E:$E,'1.BC_Muc tieu (ty) '!$D131)</f>
        <v>0</v>
      </c>
      <c r="AE131" s="1035">
        <f t="shared" si="130"/>
        <v>0</v>
      </c>
      <c r="AF131" s="1035">
        <f t="shared" si="149"/>
        <v>0</v>
      </c>
      <c r="AG131" s="1035">
        <f t="shared" si="150"/>
        <v>0</v>
      </c>
      <c r="AH131" s="1035">
        <f t="shared" si="151"/>
        <v>0</v>
      </c>
      <c r="AI131" s="1035">
        <f t="shared" si="152"/>
        <v>0</v>
      </c>
      <c r="AJ131" s="1035">
        <f t="shared" si="153"/>
        <v>0</v>
      </c>
      <c r="AK131" s="1033">
        <f t="shared" si="154"/>
        <v>0</v>
      </c>
      <c r="AL131" s="1035">
        <f t="shared" si="155"/>
        <v>0</v>
      </c>
    </row>
    <row r="132" spans="1:39" x14ac:dyDescent="0.25">
      <c r="A132" s="1014" t="str">
        <f t="shared" si="147"/>
        <v>hide</v>
      </c>
      <c r="B132" s="933" t="s">
        <v>31</v>
      </c>
      <c r="C132" s="937" t="s">
        <v>124</v>
      </c>
      <c r="D132" s="1010" t="s">
        <v>470</v>
      </c>
      <c r="E132" s="1011">
        <f>'1.BC_Ra Soat (ty) '!BS134</f>
        <v>0</v>
      </c>
      <c r="F132" s="941">
        <f>'1.BC_Ra Soat (ty) '!BX134</f>
        <v>0</v>
      </c>
      <c r="G132" s="1036">
        <f>'1.BC_Ra Soat (ty) '!CC134</f>
        <v>0</v>
      </c>
      <c r="H132" s="1036">
        <f>'1.BC_Ra Soat (ty) '!CH134</f>
        <v>0</v>
      </c>
      <c r="I132" s="1036">
        <f>'1.BC_Ra Soat (ty) '!CM134</f>
        <v>0</v>
      </c>
      <c r="J132" s="1036">
        <f t="shared" si="127"/>
        <v>0</v>
      </c>
      <c r="K132" s="1035">
        <f>'1.BC_Ra Soat (ty) '!DG134</f>
        <v>0</v>
      </c>
      <c r="L132" s="1036">
        <f>'1.BC_Ra Soat (ty) '!BT134</f>
        <v>0</v>
      </c>
      <c r="M132" s="1036">
        <f>'1.BC_Ra Soat (ty) '!BY134</f>
        <v>0</v>
      </c>
      <c r="N132" s="1036">
        <f>'1.BC_Ra Soat (ty) '!CD134</f>
        <v>0</v>
      </c>
      <c r="O132" s="1036">
        <f>'1.BC_Ra Soat (ty) '!CI134</f>
        <v>0</v>
      </c>
      <c r="P132" s="1036">
        <f>'1.BC_Ra Soat (ty) '!CN134</f>
        <v>0</v>
      </c>
      <c r="Q132" s="1035">
        <f t="shared" si="128"/>
        <v>0</v>
      </c>
      <c r="R132" s="1035">
        <f>'1.BC_Ra Soat (ty) '!DH134</f>
        <v>0</v>
      </c>
      <c r="S132" s="1036">
        <f>'1.BC_Ra Soat (ty) '!BU134</f>
        <v>0</v>
      </c>
      <c r="T132" s="1036">
        <f>'1.BC_Ra Soat (ty) '!BZ134</f>
        <v>0</v>
      </c>
      <c r="U132" s="1036">
        <f>'1.BC_Ra Soat (ty) '!CE134</f>
        <v>0</v>
      </c>
      <c r="V132" s="1036">
        <f>'1.BC_Ra Soat (ty) '!CJ134</f>
        <v>0</v>
      </c>
      <c r="W132" s="1036">
        <f>'1.BC_Ra Soat (ty) '!CO134</f>
        <v>0</v>
      </c>
      <c r="X132" s="1032">
        <f t="shared" si="129"/>
        <v>0</v>
      </c>
      <c r="Y132" s="1036">
        <f>'1.BC_Ra Soat (ty) '!DI134</f>
        <v>0</v>
      </c>
      <c r="Z132" s="1035">
        <f>-SUMIFS('1.DC_Muc tieu'!F:F,'1.DC_Muc tieu'!$D:$D,'1.BC_Muc tieu (ty) '!$D132)+SUMIFS('1.DC_Muc tieu'!F:F,'1.DC_Muc tieu'!$E:$E,'1.BC_Muc tieu (ty) '!$D132)</f>
        <v>0</v>
      </c>
      <c r="AA132" s="1035">
        <f>-SUMIFS('1.DC_Muc tieu'!G:G,'1.DC_Muc tieu'!$D:$D,'1.BC_Muc tieu (ty) '!$D132)+SUMIFS('1.DC_Muc tieu'!G:G,'1.DC_Muc tieu'!$E:$E,'1.BC_Muc tieu (ty) '!$D132)</f>
        <v>0</v>
      </c>
      <c r="AB132" s="1035">
        <f>-SUMIFS('1.DC_Muc tieu'!H:H,'1.DC_Muc tieu'!$D:$D,'1.BC_Muc tieu (ty) '!$D132)+SUMIFS('1.DC_Muc tieu'!H:H,'1.DC_Muc tieu'!$E:$E,'1.BC_Muc tieu (ty) '!$D132)</f>
        <v>0</v>
      </c>
      <c r="AC132" s="1035"/>
      <c r="AD132" s="1035">
        <f>-SUMIFS('1.DC_Muc tieu'!J:J,'1.DC_Muc tieu'!$D:$D,'1.BC_Muc tieu (ty) '!$D132)+SUMIFS('1.DC_Muc tieu'!J:J,'1.DC_Muc tieu'!$E:$E,'1.BC_Muc tieu (ty) '!$D132)</f>
        <v>0</v>
      </c>
      <c r="AE132" s="1035">
        <f t="shared" si="130"/>
        <v>0</v>
      </c>
      <c r="AF132" s="1035">
        <f t="shared" si="149"/>
        <v>0</v>
      </c>
      <c r="AG132" s="1035">
        <f t="shared" si="150"/>
        <v>0</v>
      </c>
      <c r="AH132" s="1035">
        <f t="shared" si="151"/>
        <v>0</v>
      </c>
      <c r="AI132" s="1035">
        <f t="shared" si="152"/>
        <v>0</v>
      </c>
      <c r="AJ132" s="1035">
        <f t="shared" si="153"/>
        <v>0</v>
      </c>
      <c r="AK132" s="1033">
        <f t="shared" si="154"/>
        <v>0</v>
      </c>
      <c r="AL132" s="1035">
        <f t="shared" si="155"/>
        <v>0</v>
      </c>
    </row>
    <row r="133" spans="1:39" x14ac:dyDescent="0.25">
      <c r="A133" s="1014" t="str">
        <f t="shared" si="147"/>
        <v>hide</v>
      </c>
      <c r="B133" s="933" t="s">
        <v>37</v>
      </c>
      <c r="C133" s="937" t="s">
        <v>125</v>
      </c>
      <c r="D133" s="1010" t="s">
        <v>472</v>
      </c>
      <c r="E133" s="1011">
        <f>'1.BC_Ra Soat (ty) '!BS135</f>
        <v>0</v>
      </c>
      <c r="F133" s="941">
        <f>'1.BC_Ra Soat (ty) '!BX135</f>
        <v>0</v>
      </c>
      <c r="G133" s="1036">
        <f>'1.BC_Ra Soat (ty) '!CC135</f>
        <v>0</v>
      </c>
      <c r="H133" s="1036">
        <f>'1.BC_Ra Soat (ty) '!CH135</f>
        <v>0</v>
      </c>
      <c r="I133" s="1036">
        <f>'1.BC_Ra Soat (ty) '!CM135</f>
        <v>0</v>
      </c>
      <c r="J133" s="1036">
        <f t="shared" si="127"/>
        <v>0</v>
      </c>
      <c r="K133" s="1035">
        <f>'1.BC_Ra Soat (ty) '!DG135</f>
        <v>0</v>
      </c>
      <c r="L133" s="1036">
        <f>'1.BC_Ra Soat (ty) '!BT135</f>
        <v>0</v>
      </c>
      <c r="M133" s="1036">
        <f>'1.BC_Ra Soat (ty) '!BY135</f>
        <v>0</v>
      </c>
      <c r="N133" s="1036">
        <f>'1.BC_Ra Soat (ty) '!CD135</f>
        <v>0</v>
      </c>
      <c r="O133" s="1036">
        <f>'1.BC_Ra Soat (ty) '!CI135</f>
        <v>0</v>
      </c>
      <c r="P133" s="1036">
        <f>'1.BC_Ra Soat (ty) '!CN135</f>
        <v>0</v>
      </c>
      <c r="Q133" s="1035">
        <f t="shared" si="128"/>
        <v>0</v>
      </c>
      <c r="R133" s="1035">
        <f>'1.BC_Ra Soat (ty) '!DH135</f>
        <v>0</v>
      </c>
      <c r="S133" s="1036">
        <f>'1.BC_Ra Soat (ty) '!BU135</f>
        <v>0</v>
      </c>
      <c r="T133" s="1036">
        <f>'1.BC_Ra Soat (ty) '!BZ135</f>
        <v>0</v>
      </c>
      <c r="U133" s="1036">
        <f>'1.BC_Ra Soat (ty) '!CE135</f>
        <v>0</v>
      </c>
      <c r="V133" s="1036">
        <f>'1.BC_Ra Soat (ty) '!CJ135</f>
        <v>0</v>
      </c>
      <c r="W133" s="1036">
        <f>'1.BC_Ra Soat (ty) '!CO135</f>
        <v>0</v>
      </c>
      <c r="X133" s="1032">
        <f t="shared" si="129"/>
        <v>0</v>
      </c>
      <c r="Y133" s="1036">
        <f>'1.BC_Ra Soat (ty) '!DI135</f>
        <v>0</v>
      </c>
      <c r="Z133" s="1035">
        <f>-SUMIFS('1.DC_Muc tieu'!F:F,'1.DC_Muc tieu'!$D:$D,'1.BC_Muc tieu (ty) '!$D133)+SUMIFS('1.DC_Muc tieu'!F:F,'1.DC_Muc tieu'!$E:$E,'1.BC_Muc tieu (ty) '!$D133)</f>
        <v>0</v>
      </c>
      <c r="AA133" s="1035">
        <f>-SUMIFS('1.DC_Muc tieu'!G:G,'1.DC_Muc tieu'!$D:$D,'1.BC_Muc tieu (ty) '!$D133)+SUMIFS('1.DC_Muc tieu'!G:G,'1.DC_Muc tieu'!$E:$E,'1.BC_Muc tieu (ty) '!$D133)</f>
        <v>0</v>
      </c>
      <c r="AB133" s="1035">
        <f>-SUMIFS('1.DC_Muc tieu'!H:H,'1.DC_Muc tieu'!$D:$D,'1.BC_Muc tieu (ty) '!$D133)+SUMIFS('1.DC_Muc tieu'!H:H,'1.DC_Muc tieu'!$E:$E,'1.BC_Muc tieu (ty) '!$D133)</f>
        <v>0</v>
      </c>
      <c r="AC133" s="1035"/>
      <c r="AD133" s="1035">
        <f>-SUMIFS('1.DC_Muc tieu'!J:J,'1.DC_Muc tieu'!$D:$D,'1.BC_Muc tieu (ty) '!$D133)+SUMIFS('1.DC_Muc tieu'!J:J,'1.DC_Muc tieu'!$E:$E,'1.BC_Muc tieu (ty) '!$D133)</f>
        <v>0</v>
      </c>
      <c r="AE133" s="1035">
        <f t="shared" si="130"/>
        <v>0</v>
      </c>
      <c r="AF133" s="1035">
        <f t="shared" si="149"/>
        <v>0</v>
      </c>
      <c r="AG133" s="1035">
        <f t="shared" si="150"/>
        <v>0</v>
      </c>
      <c r="AH133" s="1035">
        <f t="shared" si="151"/>
        <v>0</v>
      </c>
      <c r="AI133" s="1035">
        <f t="shared" si="152"/>
        <v>0</v>
      </c>
      <c r="AJ133" s="1035">
        <f t="shared" si="153"/>
        <v>0</v>
      </c>
      <c r="AK133" s="1033">
        <f t="shared" si="154"/>
        <v>0</v>
      </c>
      <c r="AL133" s="1035">
        <f t="shared" si="155"/>
        <v>0</v>
      </c>
    </row>
    <row r="134" spans="1:39" x14ac:dyDescent="0.25">
      <c r="A134" s="1014" t="str">
        <f t="shared" si="147"/>
        <v>hide</v>
      </c>
      <c r="B134" s="933" t="s">
        <v>44</v>
      </c>
      <c r="C134" s="937" t="s">
        <v>126</v>
      </c>
      <c r="D134" s="1010" t="s">
        <v>474</v>
      </c>
      <c r="E134" s="1011">
        <f>'1.BC_Ra Soat (ty) '!BS136</f>
        <v>0</v>
      </c>
      <c r="F134" s="941">
        <f>'1.BC_Ra Soat (ty) '!BX136</f>
        <v>0</v>
      </c>
      <c r="G134" s="1036">
        <f>'1.BC_Ra Soat (ty) '!CC136</f>
        <v>0</v>
      </c>
      <c r="H134" s="1036">
        <f>'1.BC_Ra Soat (ty) '!CH136</f>
        <v>0</v>
      </c>
      <c r="I134" s="1036">
        <f>'1.BC_Ra Soat (ty) '!CM136</f>
        <v>0</v>
      </c>
      <c r="J134" s="1036">
        <f t="shared" si="127"/>
        <v>0</v>
      </c>
      <c r="K134" s="1035">
        <f>'1.BC_Ra Soat (ty) '!DG136</f>
        <v>0</v>
      </c>
      <c r="L134" s="1036">
        <f>'1.BC_Ra Soat (ty) '!BT136</f>
        <v>0</v>
      </c>
      <c r="M134" s="1036">
        <f>'1.BC_Ra Soat (ty) '!BY136</f>
        <v>0</v>
      </c>
      <c r="N134" s="1036">
        <f>'1.BC_Ra Soat (ty) '!CD136</f>
        <v>0</v>
      </c>
      <c r="O134" s="1036">
        <f>'1.BC_Ra Soat (ty) '!CI136</f>
        <v>0</v>
      </c>
      <c r="P134" s="1036">
        <f>'1.BC_Ra Soat (ty) '!CN136</f>
        <v>0</v>
      </c>
      <c r="Q134" s="1035">
        <f t="shared" si="128"/>
        <v>0</v>
      </c>
      <c r="R134" s="1035">
        <f>'1.BC_Ra Soat (ty) '!DH136</f>
        <v>0</v>
      </c>
      <c r="S134" s="1036">
        <f>'1.BC_Ra Soat (ty) '!BU136</f>
        <v>0</v>
      </c>
      <c r="T134" s="1036">
        <f>'1.BC_Ra Soat (ty) '!BZ136</f>
        <v>0</v>
      </c>
      <c r="U134" s="1036">
        <f>'1.BC_Ra Soat (ty) '!CE136</f>
        <v>0</v>
      </c>
      <c r="V134" s="1036">
        <f>'1.BC_Ra Soat (ty) '!CJ136</f>
        <v>0</v>
      </c>
      <c r="W134" s="1036">
        <f>'1.BC_Ra Soat (ty) '!CO136</f>
        <v>0</v>
      </c>
      <c r="X134" s="1032">
        <f t="shared" si="129"/>
        <v>0</v>
      </c>
      <c r="Y134" s="1036">
        <f>'1.BC_Ra Soat (ty) '!DI136</f>
        <v>0</v>
      </c>
      <c r="Z134" s="1035">
        <f>-SUMIFS('1.DC_Muc tieu'!F:F,'1.DC_Muc tieu'!$D:$D,'1.BC_Muc tieu (ty) '!$D134)+SUMIFS('1.DC_Muc tieu'!F:F,'1.DC_Muc tieu'!$E:$E,'1.BC_Muc tieu (ty) '!$D134)</f>
        <v>0</v>
      </c>
      <c r="AA134" s="1035">
        <f>-SUMIFS('1.DC_Muc tieu'!G:G,'1.DC_Muc tieu'!$D:$D,'1.BC_Muc tieu (ty) '!$D134)+SUMIFS('1.DC_Muc tieu'!G:G,'1.DC_Muc tieu'!$E:$E,'1.BC_Muc tieu (ty) '!$D134)</f>
        <v>0</v>
      </c>
      <c r="AB134" s="1035">
        <f>-SUMIFS('1.DC_Muc tieu'!H:H,'1.DC_Muc tieu'!$D:$D,'1.BC_Muc tieu (ty) '!$D134)+SUMIFS('1.DC_Muc tieu'!H:H,'1.DC_Muc tieu'!$E:$E,'1.BC_Muc tieu (ty) '!$D134)</f>
        <v>0</v>
      </c>
      <c r="AC134" s="1035"/>
      <c r="AD134" s="1035">
        <f>-SUMIFS('1.DC_Muc tieu'!J:J,'1.DC_Muc tieu'!$D:$D,'1.BC_Muc tieu (ty) '!$D134)+SUMIFS('1.DC_Muc tieu'!J:J,'1.DC_Muc tieu'!$E:$E,'1.BC_Muc tieu (ty) '!$D134)</f>
        <v>0</v>
      </c>
      <c r="AE134" s="1035">
        <f t="shared" si="130"/>
        <v>0</v>
      </c>
      <c r="AF134" s="1035">
        <f t="shared" si="149"/>
        <v>0</v>
      </c>
      <c r="AG134" s="1035">
        <f t="shared" si="150"/>
        <v>0</v>
      </c>
      <c r="AH134" s="1035">
        <f t="shared" si="151"/>
        <v>0</v>
      </c>
      <c r="AI134" s="1035">
        <f t="shared" si="152"/>
        <v>0</v>
      </c>
      <c r="AJ134" s="1035">
        <f t="shared" si="153"/>
        <v>0</v>
      </c>
      <c r="AK134" s="1033">
        <f t="shared" si="154"/>
        <v>0</v>
      </c>
      <c r="AL134" s="1035">
        <f t="shared" si="155"/>
        <v>0</v>
      </c>
    </row>
    <row r="135" spans="1:39" x14ac:dyDescent="0.25">
      <c r="A135" s="1014" t="str">
        <f t="shared" si="147"/>
        <v>hide</v>
      </c>
      <c r="B135" s="933" t="s">
        <v>46</v>
      </c>
      <c r="C135" s="937" t="s">
        <v>127</v>
      </c>
      <c r="D135" s="1010" t="s">
        <v>476</v>
      </c>
      <c r="E135" s="1011">
        <f>'1.BC_Ra Soat (ty) '!BS137</f>
        <v>0</v>
      </c>
      <c r="F135" s="941">
        <f>'1.BC_Ra Soat (ty) '!BX137</f>
        <v>0</v>
      </c>
      <c r="G135" s="1036">
        <f>'1.BC_Ra Soat (ty) '!CC137</f>
        <v>0</v>
      </c>
      <c r="H135" s="1036">
        <f>'1.BC_Ra Soat (ty) '!CH137</f>
        <v>0</v>
      </c>
      <c r="I135" s="1036">
        <f>'1.BC_Ra Soat (ty) '!CM137</f>
        <v>0</v>
      </c>
      <c r="J135" s="1036">
        <f t="shared" si="127"/>
        <v>0</v>
      </c>
      <c r="K135" s="1035">
        <f>'1.BC_Ra Soat (ty) '!DG137</f>
        <v>0</v>
      </c>
      <c r="L135" s="1036">
        <f>'1.BC_Ra Soat (ty) '!BT137</f>
        <v>0</v>
      </c>
      <c r="M135" s="1036">
        <f>'1.BC_Ra Soat (ty) '!BY137</f>
        <v>0</v>
      </c>
      <c r="N135" s="1036">
        <f>'1.BC_Ra Soat (ty) '!CD137</f>
        <v>0</v>
      </c>
      <c r="O135" s="1036">
        <f>'1.BC_Ra Soat (ty) '!CI137</f>
        <v>0</v>
      </c>
      <c r="P135" s="1036">
        <f>'1.BC_Ra Soat (ty) '!CN137</f>
        <v>0</v>
      </c>
      <c r="Q135" s="1035">
        <f t="shared" si="128"/>
        <v>0</v>
      </c>
      <c r="R135" s="1035">
        <f>'1.BC_Ra Soat (ty) '!DH137</f>
        <v>0</v>
      </c>
      <c r="S135" s="1036">
        <f>'1.BC_Ra Soat (ty) '!BU137</f>
        <v>0</v>
      </c>
      <c r="T135" s="1036">
        <f>'1.BC_Ra Soat (ty) '!BZ137</f>
        <v>0</v>
      </c>
      <c r="U135" s="1036">
        <f>'1.BC_Ra Soat (ty) '!CE137</f>
        <v>0</v>
      </c>
      <c r="V135" s="1036">
        <f>'1.BC_Ra Soat (ty) '!CJ137</f>
        <v>0</v>
      </c>
      <c r="W135" s="1036">
        <f>'1.BC_Ra Soat (ty) '!CO137</f>
        <v>0</v>
      </c>
      <c r="X135" s="1032">
        <f t="shared" si="129"/>
        <v>0</v>
      </c>
      <c r="Y135" s="1036">
        <f>'1.BC_Ra Soat (ty) '!DI137</f>
        <v>0</v>
      </c>
      <c r="Z135" s="1035">
        <f>-SUMIFS('1.DC_Muc tieu'!F:F,'1.DC_Muc tieu'!$D:$D,'1.BC_Muc tieu (ty) '!$D135)+SUMIFS('1.DC_Muc tieu'!F:F,'1.DC_Muc tieu'!$E:$E,'1.BC_Muc tieu (ty) '!$D135)</f>
        <v>0</v>
      </c>
      <c r="AA135" s="1035">
        <f>-SUMIFS('1.DC_Muc tieu'!G:G,'1.DC_Muc tieu'!$D:$D,'1.BC_Muc tieu (ty) '!$D135)+SUMIFS('1.DC_Muc tieu'!G:G,'1.DC_Muc tieu'!$E:$E,'1.BC_Muc tieu (ty) '!$D135)</f>
        <v>0</v>
      </c>
      <c r="AB135" s="1035">
        <f>-SUMIFS('1.DC_Muc tieu'!H:H,'1.DC_Muc tieu'!$D:$D,'1.BC_Muc tieu (ty) '!$D135)+SUMIFS('1.DC_Muc tieu'!H:H,'1.DC_Muc tieu'!$E:$E,'1.BC_Muc tieu (ty) '!$D135)</f>
        <v>0</v>
      </c>
      <c r="AC135" s="1035"/>
      <c r="AD135" s="1035">
        <f>-SUMIFS('1.DC_Muc tieu'!J:J,'1.DC_Muc tieu'!$D:$D,'1.BC_Muc tieu (ty) '!$D135)+SUMIFS('1.DC_Muc tieu'!J:J,'1.DC_Muc tieu'!$E:$E,'1.BC_Muc tieu (ty) '!$D135)</f>
        <v>0</v>
      </c>
      <c r="AE135" s="1035">
        <f t="shared" si="130"/>
        <v>0</v>
      </c>
      <c r="AF135" s="1035">
        <f t="shared" si="149"/>
        <v>0</v>
      </c>
      <c r="AG135" s="1035">
        <f t="shared" si="150"/>
        <v>0</v>
      </c>
      <c r="AH135" s="1035">
        <f t="shared" si="151"/>
        <v>0</v>
      </c>
      <c r="AI135" s="1035">
        <f t="shared" si="152"/>
        <v>0</v>
      </c>
      <c r="AJ135" s="1035">
        <f t="shared" si="153"/>
        <v>0</v>
      </c>
      <c r="AK135" s="1033">
        <f t="shared" si="154"/>
        <v>0</v>
      </c>
      <c r="AL135" s="1035">
        <f t="shared" si="155"/>
        <v>0</v>
      </c>
    </row>
    <row r="136" spans="1:39" x14ac:dyDescent="0.25">
      <c r="A136" s="1014" t="str">
        <f t="shared" si="147"/>
        <v>hide</v>
      </c>
      <c r="B136" s="933" t="s">
        <v>48</v>
      </c>
      <c r="C136" s="937" t="s">
        <v>128</v>
      </c>
      <c r="D136" s="1010" t="s">
        <v>478</v>
      </c>
      <c r="E136" s="1011">
        <f>'1.BC_Ra Soat (ty) '!BS138</f>
        <v>0</v>
      </c>
      <c r="F136" s="941">
        <f>'1.BC_Ra Soat (ty) '!BX138</f>
        <v>0</v>
      </c>
      <c r="G136" s="1036">
        <f>'1.BC_Ra Soat (ty) '!CC138</f>
        <v>0</v>
      </c>
      <c r="H136" s="1036">
        <f>'1.BC_Ra Soat (ty) '!CH138</f>
        <v>0</v>
      </c>
      <c r="I136" s="1036">
        <f>'1.BC_Ra Soat (ty) '!CM138</f>
        <v>0</v>
      </c>
      <c r="J136" s="1036">
        <f t="shared" si="127"/>
        <v>0</v>
      </c>
      <c r="K136" s="1035">
        <f>'1.BC_Ra Soat (ty) '!DG138</f>
        <v>0</v>
      </c>
      <c r="L136" s="1036">
        <f>'1.BC_Ra Soat (ty) '!BT138</f>
        <v>0</v>
      </c>
      <c r="M136" s="1036">
        <f>'1.BC_Ra Soat (ty) '!BY138</f>
        <v>0</v>
      </c>
      <c r="N136" s="1036">
        <f>'1.BC_Ra Soat (ty) '!CD138</f>
        <v>0</v>
      </c>
      <c r="O136" s="1036">
        <f>'1.BC_Ra Soat (ty) '!CI138</f>
        <v>0</v>
      </c>
      <c r="P136" s="1036">
        <f>'1.BC_Ra Soat (ty) '!CN138</f>
        <v>0</v>
      </c>
      <c r="Q136" s="1035">
        <f t="shared" si="128"/>
        <v>0</v>
      </c>
      <c r="R136" s="1035">
        <f>'1.BC_Ra Soat (ty) '!DH138</f>
        <v>0</v>
      </c>
      <c r="S136" s="1036">
        <f>'1.BC_Ra Soat (ty) '!BU138</f>
        <v>0</v>
      </c>
      <c r="T136" s="1036">
        <f>'1.BC_Ra Soat (ty) '!BZ138</f>
        <v>0</v>
      </c>
      <c r="U136" s="1036">
        <f>'1.BC_Ra Soat (ty) '!CE138</f>
        <v>0</v>
      </c>
      <c r="V136" s="1036">
        <f>'1.BC_Ra Soat (ty) '!CJ138</f>
        <v>0</v>
      </c>
      <c r="W136" s="1036">
        <f>'1.BC_Ra Soat (ty) '!CO138</f>
        <v>0</v>
      </c>
      <c r="X136" s="1032">
        <f t="shared" si="129"/>
        <v>0</v>
      </c>
      <c r="Y136" s="1036">
        <f>'1.BC_Ra Soat (ty) '!DI138</f>
        <v>0</v>
      </c>
      <c r="Z136" s="1035">
        <f>-SUMIFS('1.DC_Muc tieu'!F:F,'1.DC_Muc tieu'!$D:$D,'1.BC_Muc tieu (ty) '!$D136)+SUMIFS('1.DC_Muc tieu'!F:F,'1.DC_Muc tieu'!$E:$E,'1.BC_Muc tieu (ty) '!$D136)</f>
        <v>0</v>
      </c>
      <c r="AA136" s="1035">
        <f>-SUMIFS('1.DC_Muc tieu'!G:G,'1.DC_Muc tieu'!$D:$D,'1.BC_Muc tieu (ty) '!$D136)+SUMIFS('1.DC_Muc tieu'!G:G,'1.DC_Muc tieu'!$E:$E,'1.BC_Muc tieu (ty) '!$D136)</f>
        <v>0</v>
      </c>
      <c r="AB136" s="1035">
        <f>-SUMIFS('1.DC_Muc tieu'!H:H,'1.DC_Muc tieu'!$D:$D,'1.BC_Muc tieu (ty) '!$D136)+SUMIFS('1.DC_Muc tieu'!H:H,'1.DC_Muc tieu'!$E:$E,'1.BC_Muc tieu (ty) '!$D136)</f>
        <v>0</v>
      </c>
      <c r="AC136" s="1035"/>
      <c r="AD136" s="1035">
        <f>-SUMIFS('1.DC_Muc tieu'!J:J,'1.DC_Muc tieu'!$D:$D,'1.BC_Muc tieu (ty) '!$D136)+SUMIFS('1.DC_Muc tieu'!J:J,'1.DC_Muc tieu'!$E:$E,'1.BC_Muc tieu (ty) '!$D136)</f>
        <v>0</v>
      </c>
      <c r="AE136" s="1035">
        <f t="shared" si="130"/>
        <v>0</v>
      </c>
      <c r="AF136" s="1035">
        <f t="shared" si="149"/>
        <v>0</v>
      </c>
      <c r="AG136" s="1035">
        <f t="shared" si="150"/>
        <v>0</v>
      </c>
      <c r="AH136" s="1035">
        <f t="shared" si="151"/>
        <v>0</v>
      </c>
      <c r="AI136" s="1035">
        <f t="shared" si="152"/>
        <v>0</v>
      </c>
      <c r="AJ136" s="1035">
        <f t="shared" si="153"/>
        <v>0</v>
      </c>
      <c r="AK136" s="1033">
        <f t="shared" si="154"/>
        <v>0</v>
      </c>
      <c r="AL136" s="1035">
        <f t="shared" si="155"/>
        <v>0</v>
      </c>
    </row>
    <row r="137" spans="1:39" x14ac:dyDescent="0.25">
      <c r="A137" s="1014" t="str">
        <f t="shared" si="147"/>
        <v>hide</v>
      </c>
      <c r="B137" s="933" t="s">
        <v>50</v>
      </c>
      <c r="C137" s="937" t="s">
        <v>129</v>
      </c>
      <c r="D137" s="1010" t="s">
        <v>480</v>
      </c>
      <c r="E137" s="1011">
        <f>'1.BC_Ra Soat (ty) '!BS139</f>
        <v>0</v>
      </c>
      <c r="F137" s="941">
        <f>'1.BC_Ra Soat (ty) '!BX139</f>
        <v>0</v>
      </c>
      <c r="G137" s="1036">
        <f>'1.BC_Ra Soat (ty) '!CC139</f>
        <v>0</v>
      </c>
      <c r="H137" s="1036">
        <f>'1.BC_Ra Soat (ty) '!CH139</f>
        <v>0</v>
      </c>
      <c r="I137" s="1036">
        <f>'1.BC_Ra Soat (ty) '!CM139</f>
        <v>0</v>
      </c>
      <c r="J137" s="1036">
        <f t="shared" si="127"/>
        <v>0</v>
      </c>
      <c r="K137" s="1035">
        <f>'1.BC_Ra Soat (ty) '!DG139</f>
        <v>0</v>
      </c>
      <c r="L137" s="1036">
        <f>'1.BC_Ra Soat (ty) '!BT139</f>
        <v>0</v>
      </c>
      <c r="M137" s="1036">
        <f>'1.BC_Ra Soat (ty) '!BY139</f>
        <v>0</v>
      </c>
      <c r="N137" s="1036">
        <f>'1.BC_Ra Soat (ty) '!CD139</f>
        <v>0</v>
      </c>
      <c r="O137" s="1036">
        <f>'1.BC_Ra Soat (ty) '!CI139</f>
        <v>0</v>
      </c>
      <c r="P137" s="1036">
        <f>'1.BC_Ra Soat (ty) '!CN139</f>
        <v>0</v>
      </c>
      <c r="Q137" s="1035">
        <f t="shared" si="128"/>
        <v>0</v>
      </c>
      <c r="R137" s="1035">
        <f>'1.BC_Ra Soat (ty) '!DH139</f>
        <v>0</v>
      </c>
      <c r="S137" s="1036">
        <f>'1.BC_Ra Soat (ty) '!BU139</f>
        <v>0</v>
      </c>
      <c r="T137" s="1036">
        <f>'1.BC_Ra Soat (ty) '!BZ139</f>
        <v>0</v>
      </c>
      <c r="U137" s="1036">
        <f>'1.BC_Ra Soat (ty) '!CE139</f>
        <v>0</v>
      </c>
      <c r="V137" s="1036">
        <f>'1.BC_Ra Soat (ty) '!CJ139</f>
        <v>0</v>
      </c>
      <c r="W137" s="1036">
        <f>'1.BC_Ra Soat (ty) '!CO139</f>
        <v>0</v>
      </c>
      <c r="X137" s="1032">
        <f t="shared" si="129"/>
        <v>0</v>
      </c>
      <c r="Y137" s="1036">
        <f>'1.BC_Ra Soat (ty) '!DI139</f>
        <v>0</v>
      </c>
      <c r="Z137" s="1035">
        <f>-SUMIFS('1.DC_Muc tieu'!F:F,'1.DC_Muc tieu'!$D:$D,'1.BC_Muc tieu (ty) '!$D137)+SUMIFS('1.DC_Muc tieu'!F:F,'1.DC_Muc tieu'!$E:$E,'1.BC_Muc tieu (ty) '!$D137)</f>
        <v>0</v>
      </c>
      <c r="AA137" s="1035">
        <f>-SUMIFS('1.DC_Muc tieu'!G:G,'1.DC_Muc tieu'!$D:$D,'1.BC_Muc tieu (ty) '!$D137)+SUMIFS('1.DC_Muc tieu'!G:G,'1.DC_Muc tieu'!$E:$E,'1.BC_Muc tieu (ty) '!$D137)</f>
        <v>0</v>
      </c>
      <c r="AB137" s="1035">
        <f>-SUMIFS('1.DC_Muc tieu'!H:H,'1.DC_Muc tieu'!$D:$D,'1.BC_Muc tieu (ty) '!$D137)+SUMIFS('1.DC_Muc tieu'!H:H,'1.DC_Muc tieu'!$E:$E,'1.BC_Muc tieu (ty) '!$D137)</f>
        <v>0</v>
      </c>
      <c r="AC137" s="1035"/>
      <c r="AD137" s="1035">
        <f>-SUMIFS('1.DC_Muc tieu'!J:J,'1.DC_Muc tieu'!$D:$D,'1.BC_Muc tieu (ty) '!$D137)+SUMIFS('1.DC_Muc tieu'!J:J,'1.DC_Muc tieu'!$E:$E,'1.BC_Muc tieu (ty) '!$D137)</f>
        <v>0</v>
      </c>
      <c r="AE137" s="1035">
        <f t="shared" si="130"/>
        <v>0</v>
      </c>
      <c r="AF137" s="1035">
        <f t="shared" si="149"/>
        <v>0</v>
      </c>
      <c r="AG137" s="1035">
        <f t="shared" si="150"/>
        <v>0</v>
      </c>
      <c r="AH137" s="1035">
        <f t="shared" si="151"/>
        <v>0</v>
      </c>
      <c r="AI137" s="1035">
        <f t="shared" si="152"/>
        <v>0</v>
      </c>
      <c r="AJ137" s="1035">
        <f t="shared" si="153"/>
        <v>0</v>
      </c>
      <c r="AK137" s="1033">
        <f t="shared" si="154"/>
        <v>0</v>
      </c>
      <c r="AL137" s="1035">
        <f t="shared" si="155"/>
        <v>0</v>
      </c>
    </row>
    <row r="138" spans="1:39" x14ac:dyDescent="0.25">
      <c r="A138" s="1014" t="str">
        <f t="shared" si="147"/>
        <v>hide</v>
      </c>
      <c r="B138" s="933" t="s">
        <v>52</v>
      </c>
      <c r="C138" s="937" t="s">
        <v>130</v>
      </c>
      <c r="D138" s="1010" t="s">
        <v>482</v>
      </c>
      <c r="E138" s="1011">
        <f>'1.BC_Ra Soat (ty) '!BS140</f>
        <v>0</v>
      </c>
      <c r="F138" s="941">
        <f>'1.BC_Ra Soat (ty) '!BX140</f>
        <v>0</v>
      </c>
      <c r="G138" s="1036">
        <f>'1.BC_Ra Soat (ty) '!CC140</f>
        <v>0</v>
      </c>
      <c r="H138" s="1036">
        <f>'1.BC_Ra Soat (ty) '!CH140</f>
        <v>0</v>
      </c>
      <c r="I138" s="1036">
        <f>'1.BC_Ra Soat (ty) '!CM140</f>
        <v>0</v>
      </c>
      <c r="J138" s="1036">
        <f t="shared" si="127"/>
        <v>0</v>
      </c>
      <c r="K138" s="1035">
        <f>'1.BC_Ra Soat (ty) '!DG140</f>
        <v>0</v>
      </c>
      <c r="L138" s="1036">
        <f>'1.BC_Ra Soat (ty) '!BT140</f>
        <v>0</v>
      </c>
      <c r="M138" s="1036">
        <f>'1.BC_Ra Soat (ty) '!BY140</f>
        <v>0</v>
      </c>
      <c r="N138" s="1036">
        <f>'1.BC_Ra Soat (ty) '!CD140</f>
        <v>0</v>
      </c>
      <c r="O138" s="1036">
        <f>'1.BC_Ra Soat (ty) '!CI140</f>
        <v>0</v>
      </c>
      <c r="P138" s="1036">
        <f>'1.BC_Ra Soat (ty) '!CN140</f>
        <v>0</v>
      </c>
      <c r="Q138" s="1035">
        <f t="shared" si="128"/>
        <v>0</v>
      </c>
      <c r="R138" s="1035">
        <f>'1.BC_Ra Soat (ty) '!DH140</f>
        <v>0</v>
      </c>
      <c r="S138" s="1036">
        <f>'1.BC_Ra Soat (ty) '!BU140</f>
        <v>0</v>
      </c>
      <c r="T138" s="1036">
        <f>'1.BC_Ra Soat (ty) '!BZ140</f>
        <v>0</v>
      </c>
      <c r="U138" s="1036">
        <f>'1.BC_Ra Soat (ty) '!CE140</f>
        <v>0</v>
      </c>
      <c r="V138" s="1036">
        <f>'1.BC_Ra Soat (ty) '!CJ140</f>
        <v>0</v>
      </c>
      <c r="W138" s="1036">
        <f>'1.BC_Ra Soat (ty) '!CO140</f>
        <v>0</v>
      </c>
      <c r="X138" s="1032">
        <f t="shared" si="129"/>
        <v>0</v>
      </c>
      <c r="Y138" s="1036">
        <f>'1.BC_Ra Soat (ty) '!DI140</f>
        <v>0</v>
      </c>
      <c r="Z138" s="1035">
        <f>-SUMIFS('1.DC_Muc tieu'!F:F,'1.DC_Muc tieu'!$D:$D,'1.BC_Muc tieu (ty) '!$D138)+SUMIFS('1.DC_Muc tieu'!F:F,'1.DC_Muc tieu'!$E:$E,'1.BC_Muc tieu (ty) '!$D138)</f>
        <v>0</v>
      </c>
      <c r="AA138" s="1035">
        <f>-SUMIFS('1.DC_Muc tieu'!G:G,'1.DC_Muc tieu'!$D:$D,'1.BC_Muc tieu (ty) '!$D138)+SUMIFS('1.DC_Muc tieu'!G:G,'1.DC_Muc tieu'!$E:$E,'1.BC_Muc tieu (ty) '!$D138)</f>
        <v>0</v>
      </c>
      <c r="AB138" s="1035">
        <f>-SUMIFS('1.DC_Muc tieu'!H:H,'1.DC_Muc tieu'!$D:$D,'1.BC_Muc tieu (ty) '!$D138)+SUMIFS('1.DC_Muc tieu'!H:H,'1.DC_Muc tieu'!$E:$E,'1.BC_Muc tieu (ty) '!$D138)</f>
        <v>0</v>
      </c>
      <c r="AC138" s="1035"/>
      <c r="AD138" s="1035">
        <f>-SUMIFS('1.DC_Muc tieu'!J:J,'1.DC_Muc tieu'!$D:$D,'1.BC_Muc tieu (ty) '!$D138)+SUMIFS('1.DC_Muc tieu'!J:J,'1.DC_Muc tieu'!$E:$E,'1.BC_Muc tieu (ty) '!$D138)</f>
        <v>0</v>
      </c>
      <c r="AE138" s="1035">
        <f t="shared" si="130"/>
        <v>0</v>
      </c>
      <c r="AF138" s="1035">
        <f t="shared" si="149"/>
        <v>0</v>
      </c>
      <c r="AG138" s="1035">
        <f t="shared" si="150"/>
        <v>0</v>
      </c>
      <c r="AH138" s="1035">
        <f t="shared" si="151"/>
        <v>0</v>
      </c>
      <c r="AI138" s="1035">
        <f t="shared" si="152"/>
        <v>0</v>
      </c>
      <c r="AJ138" s="1035">
        <f t="shared" si="153"/>
        <v>0</v>
      </c>
      <c r="AK138" s="1033">
        <f t="shared" si="154"/>
        <v>0</v>
      </c>
      <c r="AL138" s="1035">
        <f t="shared" si="155"/>
        <v>0</v>
      </c>
    </row>
    <row r="139" spans="1:39" x14ac:dyDescent="0.25">
      <c r="A139" s="1014" t="str">
        <f t="shared" si="147"/>
        <v>hide</v>
      </c>
      <c r="B139" s="933" t="s">
        <v>99</v>
      </c>
      <c r="C139" s="937" t="s">
        <v>131</v>
      </c>
      <c r="D139" s="1010" t="s">
        <v>484</v>
      </c>
      <c r="E139" s="1011">
        <f>'1.BC_Ra Soat (ty) '!BS141</f>
        <v>0</v>
      </c>
      <c r="F139" s="941">
        <f>'1.BC_Ra Soat (ty) '!BX141</f>
        <v>0</v>
      </c>
      <c r="G139" s="1036">
        <f>'1.BC_Ra Soat (ty) '!CC141</f>
        <v>0</v>
      </c>
      <c r="H139" s="1036">
        <f>'1.BC_Ra Soat (ty) '!CH141</f>
        <v>0</v>
      </c>
      <c r="I139" s="1036">
        <f>'1.BC_Ra Soat (ty) '!CM141</f>
        <v>0</v>
      </c>
      <c r="J139" s="1036">
        <f t="shared" si="127"/>
        <v>0</v>
      </c>
      <c r="K139" s="1035">
        <f>'1.BC_Ra Soat (ty) '!DG141</f>
        <v>0</v>
      </c>
      <c r="L139" s="1036">
        <f>'1.BC_Ra Soat (ty) '!BT141</f>
        <v>0</v>
      </c>
      <c r="M139" s="1036">
        <f>'1.BC_Ra Soat (ty) '!BY141</f>
        <v>0</v>
      </c>
      <c r="N139" s="1036">
        <f>'1.BC_Ra Soat (ty) '!CD141</f>
        <v>0</v>
      </c>
      <c r="O139" s="1036">
        <f>'1.BC_Ra Soat (ty) '!CI141</f>
        <v>0</v>
      </c>
      <c r="P139" s="1036">
        <f>'1.BC_Ra Soat (ty) '!CN141</f>
        <v>0</v>
      </c>
      <c r="Q139" s="1035">
        <f t="shared" si="128"/>
        <v>0</v>
      </c>
      <c r="R139" s="1035">
        <f>'1.BC_Ra Soat (ty) '!DH141</f>
        <v>0</v>
      </c>
      <c r="S139" s="1036">
        <f>'1.BC_Ra Soat (ty) '!BU141</f>
        <v>0</v>
      </c>
      <c r="T139" s="1036">
        <f>'1.BC_Ra Soat (ty) '!BZ141</f>
        <v>0</v>
      </c>
      <c r="U139" s="1036">
        <f>'1.BC_Ra Soat (ty) '!CE141</f>
        <v>0</v>
      </c>
      <c r="V139" s="1036">
        <f>'1.BC_Ra Soat (ty) '!CJ141</f>
        <v>0</v>
      </c>
      <c r="W139" s="1036">
        <f>'1.BC_Ra Soat (ty) '!CO141</f>
        <v>0</v>
      </c>
      <c r="X139" s="1032">
        <f t="shared" si="129"/>
        <v>0</v>
      </c>
      <c r="Y139" s="1036">
        <f>'1.BC_Ra Soat (ty) '!DI141</f>
        <v>0</v>
      </c>
      <c r="Z139" s="1035">
        <f>-SUMIFS('1.DC_Muc tieu'!F:F,'1.DC_Muc tieu'!$D:$D,'1.BC_Muc tieu (ty) '!$D139)+SUMIFS('1.DC_Muc tieu'!F:F,'1.DC_Muc tieu'!$E:$E,'1.BC_Muc tieu (ty) '!$D139)</f>
        <v>0</v>
      </c>
      <c r="AA139" s="1035">
        <f>-SUMIFS('1.DC_Muc tieu'!G:G,'1.DC_Muc tieu'!$D:$D,'1.BC_Muc tieu (ty) '!$D139)+SUMIFS('1.DC_Muc tieu'!G:G,'1.DC_Muc tieu'!$E:$E,'1.BC_Muc tieu (ty) '!$D139)</f>
        <v>0</v>
      </c>
      <c r="AB139" s="1035">
        <f>-SUMIFS('1.DC_Muc tieu'!H:H,'1.DC_Muc tieu'!$D:$D,'1.BC_Muc tieu (ty) '!$D139)+SUMIFS('1.DC_Muc tieu'!H:H,'1.DC_Muc tieu'!$E:$E,'1.BC_Muc tieu (ty) '!$D139)</f>
        <v>0</v>
      </c>
      <c r="AC139" s="1035"/>
      <c r="AD139" s="1035">
        <f>-SUMIFS('1.DC_Muc tieu'!J:J,'1.DC_Muc tieu'!$D:$D,'1.BC_Muc tieu (ty) '!$D139)+SUMIFS('1.DC_Muc tieu'!J:J,'1.DC_Muc tieu'!$E:$E,'1.BC_Muc tieu (ty) '!$D139)</f>
        <v>0</v>
      </c>
      <c r="AE139" s="1035">
        <f t="shared" si="130"/>
        <v>0</v>
      </c>
      <c r="AF139" s="1035">
        <f t="shared" si="149"/>
        <v>0</v>
      </c>
      <c r="AG139" s="1035">
        <f t="shared" si="150"/>
        <v>0</v>
      </c>
      <c r="AH139" s="1035">
        <f t="shared" si="151"/>
        <v>0</v>
      </c>
      <c r="AI139" s="1035">
        <f t="shared" si="152"/>
        <v>0</v>
      </c>
      <c r="AJ139" s="1035">
        <f t="shared" si="153"/>
        <v>0</v>
      </c>
      <c r="AK139" s="1033">
        <f t="shared" si="154"/>
        <v>0</v>
      </c>
      <c r="AL139" s="1035">
        <f t="shared" si="155"/>
        <v>0</v>
      </c>
    </row>
    <row r="140" spans="1:39" x14ac:dyDescent="0.25">
      <c r="A140" s="1014" t="str">
        <f t="shared" si="147"/>
        <v>hide</v>
      </c>
      <c r="B140" s="933" t="s">
        <v>100</v>
      </c>
      <c r="C140" s="937" t="s">
        <v>132</v>
      </c>
      <c r="D140" s="1010" t="s">
        <v>486</v>
      </c>
      <c r="E140" s="1011">
        <f>'1.BC_Ra Soat (ty) '!BS142</f>
        <v>0</v>
      </c>
      <c r="F140" s="941">
        <f>'1.BC_Ra Soat (ty) '!BX142</f>
        <v>0</v>
      </c>
      <c r="G140" s="1036">
        <f>'1.BC_Ra Soat (ty) '!CC142</f>
        <v>0</v>
      </c>
      <c r="H140" s="1036">
        <f>'1.BC_Ra Soat (ty) '!CH142</f>
        <v>0</v>
      </c>
      <c r="I140" s="1036">
        <f>'1.BC_Ra Soat (ty) '!CM142</f>
        <v>0</v>
      </c>
      <c r="J140" s="1036">
        <f t="shared" si="127"/>
        <v>0</v>
      </c>
      <c r="K140" s="1035">
        <f>'1.BC_Ra Soat (ty) '!DG142</f>
        <v>0</v>
      </c>
      <c r="L140" s="1036">
        <f>'1.BC_Ra Soat (ty) '!BT142</f>
        <v>0</v>
      </c>
      <c r="M140" s="1036">
        <f>'1.BC_Ra Soat (ty) '!BY142</f>
        <v>0</v>
      </c>
      <c r="N140" s="1036">
        <f>'1.BC_Ra Soat (ty) '!CD142</f>
        <v>0</v>
      </c>
      <c r="O140" s="1036">
        <f>'1.BC_Ra Soat (ty) '!CI142</f>
        <v>0</v>
      </c>
      <c r="P140" s="1036">
        <f>'1.BC_Ra Soat (ty) '!CN142</f>
        <v>0</v>
      </c>
      <c r="Q140" s="1035">
        <f t="shared" si="128"/>
        <v>0</v>
      </c>
      <c r="R140" s="1035">
        <f>'1.BC_Ra Soat (ty) '!DH142</f>
        <v>0</v>
      </c>
      <c r="S140" s="1036">
        <f>'1.BC_Ra Soat (ty) '!BU142</f>
        <v>0</v>
      </c>
      <c r="T140" s="1036">
        <f>'1.BC_Ra Soat (ty) '!BZ142</f>
        <v>0</v>
      </c>
      <c r="U140" s="1036">
        <f>'1.BC_Ra Soat (ty) '!CE142</f>
        <v>0</v>
      </c>
      <c r="V140" s="1036">
        <f>'1.BC_Ra Soat (ty) '!CJ142</f>
        <v>0</v>
      </c>
      <c r="W140" s="1036">
        <f>'1.BC_Ra Soat (ty) '!CO142</f>
        <v>0</v>
      </c>
      <c r="X140" s="1032">
        <f t="shared" si="129"/>
        <v>0</v>
      </c>
      <c r="Y140" s="1036">
        <f>'1.BC_Ra Soat (ty) '!DI142</f>
        <v>0</v>
      </c>
      <c r="Z140" s="1035">
        <f>-SUMIFS('1.DC_Muc tieu'!F:F,'1.DC_Muc tieu'!$D:$D,'1.BC_Muc tieu (ty) '!$D140)+SUMIFS('1.DC_Muc tieu'!F:F,'1.DC_Muc tieu'!$E:$E,'1.BC_Muc tieu (ty) '!$D140)</f>
        <v>0</v>
      </c>
      <c r="AA140" s="1035">
        <f>-SUMIFS('1.DC_Muc tieu'!G:G,'1.DC_Muc tieu'!$D:$D,'1.BC_Muc tieu (ty) '!$D140)+SUMIFS('1.DC_Muc tieu'!G:G,'1.DC_Muc tieu'!$E:$E,'1.BC_Muc tieu (ty) '!$D140)</f>
        <v>0</v>
      </c>
      <c r="AB140" s="1035">
        <f>-SUMIFS('1.DC_Muc tieu'!H:H,'1.DC_Muc tieu'!$D:$D,'1.BC_Muc tieu (ty) '!$D140)+SUMIFS('1.DC_Muc tieu'!H:H,'1.DC_Muc tieu'!$E:$E,'1.BC_Muc tieu (ty) '!$D140)</f>
        <v>0</v>
      </c>
      <c r="AC140" s="1035"/>
      <c r="AD140" s="1035">
        <f>-SUMIFS('1.DC_Muc tieu'!J:J,'1.DC_Muc tieu'!$D:$D,'1.BC_Muc tieu (ty) '!$D140)+SUMIFS('1.DC_Muc tieu'!J:J,'1.DC_Muc tieu'!$E:$E,'1.BC_Muc tieu (ty) '!$D140)</f>
        <v>0</v>
      </c>
      <c r="AE140" s="1035">
        <f t="shared" si="130"/>
        <v>0</v>
      </c>
      <c r="AF140" s="1035">
        <f t="shared" si="149"/>
        <v>0</v>
      </c>
      <c r="AG140" s="1035">
        <f t="shared" si="150"/>
        <v>0</v>
      </c>
      <c r="AH140" s="1035">
        <f t="shared" si="151"/>
        <v>0</v>
      </c>
      <c r="AI140" s="1035">
        <f t="shared" si="152"/>
        <v>0</v>
      </c>
      <c r="AJ140" s="1035">
        <f t="shared" si="153"/>
        <v>0</v>
      </c>
      <c r="AK140" s="1033">
        <f t="shared" si="154"/>
        <v>0</v>
      </c>
      <c r="AL140" s="1035">
        <f t="shared" si="155"/>
        <v>0</v>
      </c>
    </row>
    <row r="141" spans="1:39" x14ac:dyDescent="0.25">
      <c r="A141" s="1038">
        <f t="shared" si="147"/>
        <v>1</v>
      </c>
      <c r="B141" s="935" t="s">
        <v>101</v>
      </c>
      <c r="C141" s="937" t="s">
        <v>133</v>
      </c>
      <c r="D141" s="1010" t="s">
        <v>488</v>
      </c>
      <c r="E141" s="1011">
        <f>'1.BC_Ra Soat (ty) '!BS143</f>
        <v>-0.37913756399999998</v>
      </c>
      <c r="F141" s="941">
        <f>'1.BC_Ra Soat (ty) '!BX143</f>
        <v>0.20796178400000001</v>
      </c>
      <c r="G141" s="1035">
        <f>'1.BC_Ra Soat (ty) '!CC143</f>
        <v>-0.66703960200000001</v>
      </c>
      <c r="H141" s="1035">
        <f>'1.BC_Ra Soat (ty) '!CH143</f>
        <v>-0.28502246799999997</v>
      </c>
      <c r="I141" s="1035">
        <f>'1.BC_Ra Soat (ty) '!CM143</f>
        <v>0</v>
      </c>
      <c r="J141" s="1035">
        <f t="shared" si="127"/>
        <v>-1.12323785</v>
      </c>
      <c r="K141" s="1035">
        <f>'1.BC_Ra Soat (ty) '!DG143</f>
        <v>-1.12323785</v>
      </c>
      <c r="L141" s="1035">
        <f>'1.BC_Ra Soat (ty) '!BT143</f>
        <v>-10.942186866</v>
      </c>
      <c r="M141" s="1035">
        <f>'1.BC_Ra Soat (ty) '!BY143</f>
        <v>-5.8274562969999995</v>
      </c>
      <c r="N141" s="1035">
        <f>'1.BC_Ra Soat (ty) '!CD143</f>
        <v>-1.4847804410000001</v>
      </c>
      <c r="O141" s="1035">
        <f>'1.BC_Ra Soat (ty) '!CI143</f>
        <v>-3.4859401989999999</v>
      </c>
      <c r="P141" s="1035">
        <f>'1.BC_Ra Soat (ty) '!CN143</f>
        <v>0</v>
      </c>
      <c r="Q141" s="1035">
        <f t="shared" si="128"/>
        <v>-21.740363803000001</v>
      </c>
      <c r="R141" s="1035">
        <f>'1.BC_Ra Soat (ty) '!DH143</f>
        <v>-21.740363803000001</v>
      </c>
      <c r="S141" s="1035">
        <f>'1.BC_Ra Soat (ty) '!BU143</f>
        <v>-15.565790754</v>
      </c>
      <c r="T141" s="1035">
        <f>'1.BC_Ra Soat (ty) '!BZ143</f>
        <v>-5.8274562969999995</v>
      </c>
      <c r="U141" s="1035">
        <f>'1.BC_Ra Soat (ty) '!CE143</f>
        <v>-9.8842489839999992</v>
      </c>
      <c r="V141" s="1035">
        <f>'1.BC_Ra Soat (ty) '!CJ143</f>
        <v>-10.463087496</v>
      </c>
      <c r="W141" s="1035">
        <f>'1.BC_Ra Soat (ty) '!CO143</f>
        <v>0</v>
      </c>
      <c r="X141" s="1033">
        <f t="shared" si="129"/>
        <v>-41.740583530999999</v>
      </c>
      <c r="Y141" s="1035">
        <f>'1.BC_Ra Soat (ty) '!DI143</f>
        <v>-41.740583530999999</v>
      </c>
      <c r="Z141" s="1035">
        <f t="shared" ref="Z141:AA141" si="156">SUM(Z142:Z143)</f>
        <v>0</v>
      </c>
      <c r="AA141" s="1035">
        <f t="shared" si="156"/>
        <v>0</v>
      </c>
      <c r="AB141" s="1035">
        <f t="shared" ref="AB141" si="157">SUM(AB142:AB143)</f>
        <v>0</v>
      </c>
      <c r="AC141" s="1035"/>
      <c r="AD141" s="1035">
        <f>-SUMIFS('1.DC_Muc tieu'!$J:$J,'1.DC_Muc tieu'!$E:$E,'1.BC_Muc tieu (ty) '!$D141)+SUMIFS('1.DC_Muc tieu'!$J:$J,'1.DC_Muc tieu'!$D:$D,'1.BC_Muc tieu (ty) '!$D141)</f>
        <v>0</v>
      </c>
      <c r="AE141" s="1035">
        <f t="shared" si="130"/>
        <v>0</v>
      </c>
      <c r="AF141" s="1035">
        <f t="shared" si="149"/>
        <v>-15.565790754</v>
      </c>
      <c r="AG141" s="1035">
        <f t="shared" si="150"/>
        <v>-5.8274562969999995</v>
      </c>
      <c r="AH141" s="1035">
        <f t="shared" si="151"/>
        <v>-9.8842489839999992</v>
      </c>
      <c r="AI141" s="1035">
        <f t="shared" si="152"/>
        <v>-10.463087496</v>
      </c>
      <c r="AJ141" s="1035">
        <f t="shared" si="153"/>
        <v>0</v>
      </c>
      <c r="AK141" s="1033">
        <f t="shared" si="154"/>
        <v>-41.740583530999999</v>
      </c>
      <c r="AL141" s="1087">
        <f t="shared" si="155"/>
        <v>-41.740583530999999</v>
      </c>
      <c r="AM141" s="918"/>
    </row>
    <row r="142" spans="1:39" ht="30" x14ac:dyDescent="0.25">
      <c r="A142" s="1014" t="str">
        <f t="shared" si="147"/>
        <v>hide</v>
      </c>
      <c r="B142" s="942" t="s">
        <v>75</v>
      </c>
      <c r="C142" s="940" t="s">
        <v>134</v>
      </c>
      <c r="D142" s="1010" t="s">
        <v>537</v>
      </c>
      <c r="E142" s="1011">
        <f>'1.BC_Ra Soat (ty) '!BS144</f>
        <v>0</v>
      </c>
      <c r="F142" s="941">
        <f>'1.BC_Ra Soat (ty) '!BX144</f>
        <v>0</v>
      </c>
      <c r="G142" s="1036">
        <f>'1.BC_Ra Soat (ty) '!CC144</f>
        <v>0</v>
      </c>
      <c r="H142" s="1036">
        <f>'1.BC_Ra Soat (ty) '!CH144</f>
        <v>0</v>
      </c>
      <c r="I142" s="1036">
        <f>'1.BC_Ra Soat (ty) '!CM144</f>
        <v>0</v>
      </c>
      <c r="J142" s="1036">
        <f t="shared" si="127"/>
        <v>0</v>
      </c>
      <c r="K142" s="1035">
        <f>'1.BC_Ra Soat (ty) '!DG144</f>
        <v>0</v>
      </c>
      <c r="L142" s="1036">
        <f>'1.BC_Ra Soat (ty) '!BT144</f>
        <v>0</v>
      </c>
      <c r="M142" s="1036">
        <f>'1.BC_Ra Soat (ty) '!BY144</f>
        <v>0</v>
      </c>
      <c r="N142" s="1036">
        <f>'1.BC_Ra Soat (ty) '!CD144</f>
        <v>0</v>
      </c>
      <c r="O142" s="1036">
        <f>'1.BC_Ra Soat (ty) '!CI144</f>
        <v>0</v>
      </c>
      <c r="P142" s="1036">
        <f>'1.BC_Ra Soat (ty) '!CN144</f>
        <v>0</v>
      </c>
      <c r="Q142" s="1035">
        <f t="shared" si="128"/>
        <v>0</v>
      </c>
      <c r="R142" s="1035">
        <f>'1.BC_Ra Soat (ty) '!DH144</f>
        <v>0</v>
      </c>
      <c r="S142" s="1036">
        <f>'1.BC_Ra Soat (ty) '!BU144</f>
        <v>0</v>
      </c>
      <c r="T142" s="1036">
        <f>'1.BC_Ra Soat (ty) '!BZ144</f>
        <v>0</v>
      </c>
      <c r="U142" s="1036">
        <f>'1.BC_Ra Soat (ty) '!CE144</f>
        <v>0</v>
      </c>
      <c r="V142" s="1036">
        <f>'1.BC_Ra Soat (ty) '!CJ144</f>
        <v>0</v>
      </c>
      <c r="W142" s="1036">
        <f>'1.BC_Ra Soat (ty) '!CO144</f>
        <v>0</v>
      </c>
      <c r="X142" s="1032">
        <f t="shared" si="129"/>
        <v>0</v>
      </c>
      <c r="Y142" s="1036">
        <f>'1.BC_Ra Soat (ty) '!DI144</f>
        <v>0</v>
      </c>
      <c r="Z142" s="1035">
        <f>-SUMIFS('1.DC_Muc tieu'!F:F,'1.DC_Muc tieu'!$D:$D,'1.BC_Muc tieu (ty) '!$D142)+SUMIFS('1.DC_Muc tieu'!F:F,'1.DC_Muc tieu'!$E:$E,'1.BC_Muc tieu (ty) '!$D142)</f>
        <v>0</v>
      </c>
      <c r="AA142" s="1035">
        <f>-SUMIFS('1.DC_Muc tieu'!G:G,'1.DC_Muc tieu'!$D:$D,'1.BC_Muc tieu (ty) '!$D142)+SUMIFS('1.DC_Muc tieu'!G:G,'1.DC_Muc tieu'!$E:$E,'1.BC_Muc tieu (ty) '!$D142)</f>
        <v>0</v>
      </c>
      <c r="AB142" s="1035">
        <f>-SUMIFS('1.DC_Muc tieu'!H:H,'1.DC_Muc tieu'!$D:$D,'1.BC_Muc tieu (ty) '!$D142)+SUMIFS('1.DC_Muc tieu'!H:H,'1.DC_Muc tieu'!$E:$E,'1.BC_Muc tieu (ty) '!$D142)</f>
        <v>0</v>
      </c>
      <c r="AC142" s="1035"/>
      <c r="AD142" s="1035">
        <f>-SUMIFS('1.DC_Muc tieu'!J:J,'1.DC_Muc tieu'!$D:$D,'1.BC_Muc tieu (ty) '!$D142)+SUMIFS('1.DC_Muc tieu'!J:J,'1.DC_Muc tieu'!$E:$E,'1.BC_Muc tieu (ty) '!$D142)</f>
        <v>0</v>
      </c>
      <c r="AE142" s="1035">
        <f t="shared" si="130"/>
        <v>0</v>
      </c>
      <c r="AF142" s="1035">
        <f t="shared" si="149"/>
        <v>0</v>
      </c>
      <c r="AG142" s="1035">
        <f t="shared" si="150"/>
        <v>0</v>
      </c>
      <c r="AH142" s="1035">
        <f t="shared" si="151"/>
        <v>0</v>
      </c>
      <c r="AI142" s="1035">
        <f t="shared" si="152"/>
        <v>0</v>
      </c>
      <c r="AJ142" s="1035">
        <f t="shared" si="153"/>
        <v>0</v>
      </c>
      <c r="AK142" s="1033">
        <f t="shared" si="154"/>
        <v>0</v>
      </c>
      <c r="AL142" s="1035">
        <f t="shared" si="155"/>
        <v>0</v>
      </c>
    </row>
    <row r="143" spans="1:39" x14ac:dyDescent="0.25">
      <c r="A143" s="1014" t="str">
        <f t="shared" si="147"/>
        <v>hide</v>
      </c>
      <c r="B143" s="942" t="s">
        <v>75</v>
      </c>
      <c r="C143" s="940" t="s">
        <v>135</v>
      </c>
      <c r="D143" s="1010" t="s">
        <v>538</v>
      </c>
      <c r="E143" s="1011">
        <f>'1.BC_Ra Soat (ty) '!BS145</f>
        <v>0</v>
      </c>
      <c r="F143" s="941">
        <f>'1.BC_Ra Soat (ty) '!BX145</f>
        <v>0</v>
      </c>
      <c r="G143" s="1036">
        <f>'1.BC_Ra Soat (ty) '!CC145</f>
        <v>0</v>
      </c>
      <c r="H143" s="1036">
        <f>'1.BC_Ra Soat (ty) '!CH145</f>
        <v>0</v>
      </c>
      <c r="I143" s="1036">
        <f>'1.BC_Ra Soat (ty) '!CM145</f>
        <v>0</v>
      </c>
      <c r="J143" s="1036">
        <f t="shared" si="127"/>
        <v>0</v>
      </c>
      <c r="K143" s="1035">
        <f>'1.BC_Ra Soat (ty) '!DG145</f>
        <v>0</v>
      </c>
      <c r="L143" s="1036">
        <f>'1.BC_Ra Soat (ty) '!BT145</f>
        <v>0</v>
      </c>
      <c r="M143" s="1036">
        <f>'1.BC_Ra Soat (ty) '!BY145</f>
        <v>0</v>
      </c>
      <c r="N143" s="1036">
        <f>'1.BC_Ra Soat (ty) '!CD145</f>
        <v>0</v>
      </c>
      <c r="O143" s="1036">
        <f>'1.BC_Ra Soat (ty) '!CI145</f>
        <v>0</v>
      </c>
      <c r="P143" s="1036">
        <f>'1.BC_Ra Soat (ty) '!CN145</f>
        <v>0</v>
      </c>
      <c r="Q143" s="1035">
        <f t="shared" si="128"/>
        <v>0</v>
      </c>
      <c r="R143" s="1035">
        <f>'1.BC_Ra Soat (ty) '!DH145</f>
        <v>0</v>
      </c>
      <c r="S143" s="1036">
        <f>'1.BC_Ra Soat (ty) '!BU145</f>
        <v>0</v>
      </c>
      <c r="T143" s="1036">
        <f>'1.BC_Ra Soat (ty) '!BZ145</f>
        <v>0</v>
      </c>
      <c r="U143" s="1036">
        <f>'1.BC_Ra Soat (ty) '!CE145</f>
        <v>0</v>
      </c>
      <c r="V143" s="1036">
        <f>'1.BC_Ra Soat (ty) '!CJ145</f>
        <v>0</v>
      </c>
      <c r="W143" s="1036">
        <f>'1.BC_Ra Soat (ty) '!CO145</f>
        <v>0</v>
      </c>
      <c r="X143" s="1032">
        <f t="shared" si="129"/>
        <v>0</v>
      </c>
      <c r="Y143" s="1036">
        <f>'1.BC_Ra Soat (ty) '!DI145</f>
        <v>0</v>
      </c>
      <c r="Z143" s="1035">
        <f>-SUMIFS('1.DC_Muc tieu'!F:F,'1.DC_Muc tieu'!$D:$D,'1.BC_Muc tieu (ty) '!$D143)+SUMIFS('1.DC_Muc tieu'!F:F,'1.DC_Muc tieu'!$E:$E,'1.BC_Muc tieu (ty) '!$D143)</f>
        <v>0</v>
      </c>
      <c r="AA143" s="1035">
        <f>-SUMIFS('1.DC_Muc tieu'!G:G,'1.DC_Muc tieu'!$D:$D,'1.BC_Muc tieu (ty) '!$D143)+SUMIFS('1.DC_Muc tieu'!G:G,'1.DC_Muc tieu'!$E:$E,'1.BC_Muc tieu (ty) '!$D143)</f>
        <v>0</v>
      </c>
      <c r="AB143" s="1035">
        <f>-SUMIFS('1.DC_Muc tieu'!H:H,'1.DC_Muc tieu'!$D:$D,'1.BC_Muc tieu (ty) '!$D143)+SUMIFS('1.DC_Muc tieu'!H:H,'1.DC_Muc tieu'!$E:$E,'1.BC_Muc tieu (ty) '!$D143)</f>
        <v>0</v>
      </c>
      <c r="AC143" s="1035"/>
      <c r="AD143" s="1035">
        <f>-SUMIFS('1.DC_Muc tieu'!J:J,'1.DC_Muc tieu'!$D:$D,'1.BC_Muc tieu (ty) '!$D143)+SUMIFS('1.DC_Muc tieu'!J:J,'1.DC_Muc tieu'!$E:$E,'1.BC_Muc tieu (ty) '!$D143)</f>
        <v>0</v>
      </c>
      <c r="AE143" s="1035">
        <f t="shared" si="130"/>
        <v>0</v>
      </c>
      <c r="AF143" s="1035">
        <f t="shared" si="149"/>
        <v>0</v>
      </c>
      <c r="AG143" s="1035">
        <f t="shared" si="150"/>
        <v>0</v>
      </c>
      <c r="AH143" s="1035">
        <f t="shared" si="151"/>
        <v>0</v>
      </c>
      <c r="AI143" s="1035">
        <f t="shared" si="152"/>
        <v>0</v>
      </c>
      <c r="AJ143" s="1035">
        <f t="shared" si="153"/>
        <v>0</v>
      </c>
      <c r="AK143" s="1033">
        <f t="shared" si="154"/>
        <v>0</v>
      </c>
      <c r="AL143" s="1035">
        <f t="shared" si="155"/>
        <v>0</v>
      </c>
    </row>
    <row r="144" spans="1:39" x14ac:dyDescent="0.25">
      <c r="A144" s="1014" t="str">
        <f t="shared" si="147"/>
        <v>hide</v>
      </c>
      <c r="B144" s="935" t="s">
        <v>102</v>
      </c>
      <c r="C144" s="937" t="s">
        <v>136</v>
      </c>
      <c r="D144" s="1010" t="s">
        <v>491</v>
      </c>
      <c r="E144" s="1011">
        <f>'1.BC_Ra Soat (ty) '!BS146</f>
        <v>0</v>
      </c>
      <c r="F144" s="941">
        <f>'1.BC_Ra Soat (ty) '!BX146</f>
        <v>0</v>
      </c>
      <c r="G144" s="1036">
        <f>'1.BC_Ra Soat (ty) '!CC146</f>
        <v>0</v>
      </c>
      <c r="H144" s="1036">
        <f>'1.BC_Ra Soat (ty) '!CH146</f>
        <v>0</v>
      </c>
      <c r="I144" s="1036">
        <f>'1.BC_Ra Soat (ty) '!CM146</f>
        <v>0</v>
      </c>
      <c r="J144" s="1036">
        <f t="shared" si="127"/>
        <v>0</v>
      </c>
      <c r="K144" s="1035">
        <f>'1.BC_Ra Soat (ty) '!DG146</f>
        <v>0</v>
      </c>
      <c r="L144" s="1036">
        <f>'1.BC_Ra Soat (ty) '!BT146</f>
        <v>0</v>
      </c>
      <c r="M144" s="1036">
        <f>'1.BC_Ra Soat (ty) '!BY146</f>
        <v>0</v>
      </c>
      <c r="N144" s="1036">
        <f>'1.BC_Ra Soat (ty) '!CD146</f>
        <v>0</v>
      </c>
      <c r="O144" s="1036">
        <f>'1.BC_Ra Soat (ty) '!CI146</f>
        <v>0</v>
      </c>
      <c r="P144" s="1036">
        <f>'1.BC_Ra Soat (ty) '!CN146</f>
        <v>0</v>
      </c>
      <c r="Q144" s="1035">
        <f t="shared" si="128"/>
        <v>0</v>
      </c>
      <c r="R144" s="1035">
        <f>'1.BC_Ra Soat (ty) '!DH146</f>
        <v>0</v>
      </c>
      <c r="S144" s="1036">
        <f>'1.BC_Ra Soat (ty) '!BU146</f>
        <v>0</v>
      </c>
      <c r="T144" s="1036">
        <f>'1.BC_Ra Soat (ty) '!BZ146</f>
        <v>0</v>
      </c>
      <c r="U144" s="1036">
        <f>'1.BC_Ra Soat (ty) '!CE146</f>
        <v>0</v>
      </c>
      <c r="V144" s="1036">
        <f>'1.BC_Ra Soat (ty) '!CJ146</f>
        <v>0</v>
      </c>
      <c r="W144" s="1036">
        <f>'1.BC_Ra Soat (ty) '!CO146</f>
        <v>0</v>
      </c>
      <c r="X144" s="1032">
        <f t="shared" si="129"/>
        <v>0</v>
      </c>
      <c r="Y144" s="1036">
        <f>'1.BC_Ra Soat (ty) '!DI146</f>
        <v>0</v>
      </c>
      <c r="Z144" s="1035">
        <f>-SUMIFS('1.DC_Muc tieu'!F:F,'1.DC_Muc tieu'!$D:$D,'1.BC_Muc tieu (ty) '!$D144)+SUMIFS('1.DC_Muc tieu'!F:F,'1.DC_Muc tieu'!$E:$E,'1.BC_Muc tieu (ty) '!$D144)</f>
        <v>0</v>
      </c>
      <c r="AA144" s="1035">
        <f>-SUMIFS('1.DC_Muc tieu'!G:G,'1.DC_Muc tieu'!$D:$D,'1.BC_Muc tieu (ty) '!$D144)+SUMIFS('1.DC_Muc tieu'!G:G,'1.DC_Muc tieu'!$E:$E,'1.BC_Muc tieu (ty) '!$D144)</f>
        <v>0</v>
      </c>
      <c r="AB144" s="1035">
        <f>-SUMIFS('1.DC_Muc tieu'!H:H,'1.DC_Muc tieu'!$D:$D,'1.BC_Muc tieu (ty) '!$D144)+SUMIFS('1.DC_Muc tieu'!H:H,'1.DC_Muc tieu'!$E:$E,'1.BC_Muc tieu (ty) '!$D144)</f>
        <v>0</v>
      </c>
      <c r="AC144" s="1035"/>
      <c r="AD144" s="1035">
        <f>-SUMIFS('1.DC_Muc tieu'!J:J,'1.DC_Muc tieu'!$D:$D,'1.BC_Muc tieu (ty) '!$D144)+SUMIFS('1.DC_Muc tieu'!J:J,'1.DC_Muc tieu'!$E:$E,'1.BC_Muc tieu (ty) '!$D144)</f>
        <v>0</v>
      </c>
      <c r="AE144" s="1035">
        <f t="shared" si="130"/>
        <v>0</v>
      </c>
      <c r="AF144" s="1035">
        <f t="shared" si="149"/>
        <v>0</v>
      </c>
      <c r="AG144" s="1035">
        <f t="shared" si="150"/>
        <v>0</v>
      </c>
      <c r="AH144" s="1035">
        <f t="shared" si="151"/>
        <v>0</v>
      </c>
      <c r="AI144" s="1035">
        <f t="shared" si="152"/>
        <v>0</v>
      </c>
      <c r="AJ144" s="1035">
        <f t="shared" si="153"/>
        <v>0</v>
      </c>
      <c r="AK144" s="1033">
        <f t="shared" si="154"/>
        <v>0</v>
      </c>
      <c r="AL144" s="1035">
        <f t="shared" si="155"/>
        <v>0</v>
      </c>
    </row>
    <row r="145" spans="1:39" s="590" customFormat="1" x14ac:dyDescent="0.25">
      <c r="A145" s="1014" t="str">
        <f t="shared" si="147"/>
        <v>hide</v>
      </c>
      <c r="B145" s="931" t="s">
        <v>33</v>
      </c>
      <c r="C145" s="932" t="s">
        <v>137</v>
      </c>
      <c r="D145" s="1008" t="s">
        <v>493</v>
      </c>
      <c r="E145" s="1009">
        <f>E146+E147</f>
        <v>0</v>
      </c>
      <c r="F145" s="1009">
        <f t="shared" ref="F145:AL145" si="158">F146+F147</f>
        <v>0</v>
      </c>
      <c r="G145" s="1009">
        <f t="shared" si="158"/>
        <v>0</v>
      </c>
      <c r="H145" s="1009">
        <f t="shared" si="158"/>
        <v>0</v>
      </c>
      <c r="I145" s="1009">
        <f t="shared" si="158"/>
        <v>0</v>
      </c>
      <c r="J145" s="1009">
        <f t="shared" si="158"/>
        <v>0</v>
      </c>
      <c r="K145" s="1009">
        <f t="shared" si="158"/>
        <v>0</v>
      </c>
      <c r="L145" s="1009">
        <f t="shared" si="158"/>
        <v>0</v>
      </c>
      <c r="M145" s="1009">
        <f t="shared" si="158"/>
        <v>0</v>
      </c>
      <c r="N145" s="1009">
        <f t="shared" si="158"/>
        <v>0</v>
      </c>
      <c r="O145" s="1009">
        <f t="shared" si="158"/>
        <v>0</v>
      </c>
      <c r="P145" s="1009">
        <f t="shared" si="158"/>
        <v>0</v>
      </c>
      <c r="Q145" s="1009">
        <f t="shared" si="158"/>
        <v>0</v>
      </c>
      <c r="R145" s="1009">
        <f t="shared" si="158"/>
        <v>0</v>
      </c>
      <c r="S145" s="1009">
        <f t="shared" si="158"/>
        <v>0</v>
      </c>
      <c r="T145" s="1009">
        <f t="shared" si="158"/>
        <v>0</v>
      </c>
      <c r="U145" s="1009">
        <f t="shared" si="158"/>
        <v>0</v>
      </c>
      <c r="V145" s="1009">
        <f t="shared" si="158"/>
        <v>0</v>
      </c>
      <c r="W145" s="1009">
        <f t="shared" si="158"/>
        <v>0</v>
      </c>
      <c r="X145" s="1009">
        <f t="shared" si="158"/>
        <v>0</v>
      </c>
      <c r="Y145" s="1009">
        <f t="shared" si="158"/>
        <v>0</v>
      </c>
      <c r="Z145" s="1009">
        <f t="shared" si="158"/>
        <v>0</v>
      </c>
      <c r="AA145" s="1009">
        <f t="shared" si="158"/>
        <v>0</v>
      </c>
      <c r="AB145" s="1009">
        <f t="shared" si="158"/>
        <v>0</v>
      </c>
      <c r="AC145" s="1009">
        <f t="shared" si="158"/>
        <v>0</v>
      </c>
      <c r="AD145" s="1009">
        <f t="shared" si="158"/>
        <v>0</v>
      </c>
      <c r="AE145" s="1009">
        <f t="shared" si="158"/>
        <v>0</v>
      </c>
      <c r="AF145" s="1009">
        <f t="shared" si="158"/>
        <v>0</v>
      </c>
      <c r="AG145" s="1009">
        <f t="shared" si="158"/>
        <v>0</v>
      </c>
      <c r="AH145" s="1009">
        <f t="shared" si="158"/>
        <v>0</v>
      </c>
      <c r="AI145" s="1009">
        <f t="shared" si="158"/>
        <v>0</v>
      </c>
      <c r="AJ145" s="1009">
        <f t="shared" si="158"/>
        <v>0</v>
      </c>
      <c r="AK145" s="1009">
        <f t="shared" si="158"/>
        <v>0</v>
      </c>
      <c r="AL145" s="1009">
        <f t="shared" si="158"/>
        <v>0</v>
      </c>
    </row>
    <row r="146" spans="1:39" x14ac:dyDescent="0.25">
      <c r="A146" s="1014" t="str">
        <f t="shared" si="147"/>
        <v>hide</v>
      </c>
      <c r="B146" s="933" t="s">
        <v>29</v>
      </c>
      <c r="C146" s="937" t="s">
        <v>138</v>
      </c>
      <c r="D146" s="1010" t="s">
        <v>495</v>
      </c>
      <c r="E146" s="1011">
        <f>'1.BC_Ra Soat (ty) '!BS148</f>
        <v>0</v>
      </c>
      <c r="F146" s="941">
        <f>'1.BC_Ra Soat (ty) '!BX148</f>
        <v>0</v>
      </c>
      <c r="G146" s="1036">
        <f>'1.BC_Ra Soat (ty) '!CC148</f>
        <v>0</v>
      </c>
      <c r="H146" s="1036">
        <f>'1.BC_Ra Soat (ty) '!CH148</f>
        <v>0</v>
      </c>
      <c r="I146" s="1036">
        <f>'1.BC_Ra Soat (ty) '!CM148</f>
        <v>0</v>
      </c>
      <c r="J146" s="1036">
        <f t="shared" si="127"/>
        <v>0</v>
      </c>
      <c r="K146" s="1035">
        <f>'1.BC_Ra Soat (ty) '!DG148</f>
        <v>0</v>
      </c>
      <c r="L146" s="1036">
        <f>'1.BC_Ra Soat (ty) '!BT148</f>
        <v>0</v>
      </c>
      <c r="M146" s="1036">
        <f>'1.BC_Ra Soat (ty) '!BY148</f>
        <v>0</v>
      </c>
      <c r="N146" s="1036">
        <f>'1.BC_Ra Soat (ty) '!CD148</f>
        <v>0</v>
      </c>
      <c r="O146" s="1036">
        <f>'1.BC_Ra Soat (ty) '!CI148</f>
        <v>0</v>
      </c>
      <c r="P146" s="1036">
        <f>'1.BC_Ra Soat (ty) '!CN148</f>
        <v>0</v>
      </c>
      <c r="Q146" s="1035">
        <f t="shared" si="128"/>
        <v>0</v>
      </c>
      <c r="R146" s="1035">
        <f>'1.BC_Ra Soat (ty) '!DH148</f>
        <v>0</v>
      </c>
      <c r="S146" s="1036">
        <f>'1.BC_Ra Soat (ty) '!BU148</f>
        <v>0</v>
      </c>
      <c r="T146" s="1036">
        <f>'1.BC_Ra Soat (ty) '!BZ148</f>
        <v>0</v>
      </c>
      <c r="U146" s="1036">
        <f>'1.BC_Ra Soat (ty) '!CE148</f>
        <v>0</v>
      </c>
      <c r="V146" s="1036">
        <f>'1.BC_Ra Soat (ty) '!CJ148</f>
        <v>0</v>
      </c>
      <c r="W146" s="1036">
        <f>'1.BC_Ra Soat (ty) '!CO148</f>
        <v>0</v>
      </c>
      <c r="X146" s="1032">
        <f t="shared" si="129"/>
        <v>0</v>
      </c>
      <c r="Y146" s="1036">
        <f>'1.BC_Ra Soat (ty) '!DI148</f>
        <v>0</v>
      </c>
      <c r="Z146" s="1035">
        <f>-SUMIFS('1.DC_Muc tieu'!F:F,'1.DC_Muc tieu'!$D:$D,'1.BC_Muc tieu (ty) '!$D146)+SUMIFS('1.DC_Muc tieu'!F:F,'1.DC_Muc tieu'!$E:$E,'1.BC_Muc tieu (ty) '!$D146)</f>
        <v>0</v>
      </c>
      <c r="AA146" s="1035">
        <f>-SUMIFS('1.DC_Muc tieu'!G:G,'1.DC_Muc tieu'!$D:$D,'1.BC_Muc tieu (ty) '!$D146)+SUMIFS('1.DC_Muc tieu'!G:G,'1.DC_Muc tieu'!$E:$E,'1.BC_Muc tieu (ty) '!$D146)</f>
        <v>0</v>
      </c>
      <c r="AB146" s="1035">
        <f>-SUMIFS('1.DC_Muc tieu'!H:H,'1.DC_Muc tieu'!$D:$D,'1.BC_Muc tieu (ty) '!$D146)+SUMIFS('1.DC_Muc tieu'!H:H,'1.DC_Muc tieu'!$E:$E,'1.BC_Muc tieu (ty) '!$D146)</f>
        <v>0</v>
      </c>
      <c r="AC146" s="1035"/>
      <c r="AD146" s="1035">
        <f>-SUMIFS('1.DC_Muc tieu'!J:J,'1.DC_Muc tieu'!$D:$D,'1.BC_Muc tieu (ty) '!$D146)+SUMIFS('1.DC_Muc tieu'!J:J,'1.DC_Muc tieu'!$E:$E,'1.BC_Muc tieu (ty) '!$D146)</f>
        <v>0</v>
      </c>
      <c r="AE146" s="1035">
        <f t="shared" si="130"/>
        <v>0</v>
      </c>
      <c r="AF146" s="1035">
        <f t="shared" ref="AF146:AF147" si="159">S146+Z146</f>
        <v>0</v>
      </c>
      <c r="AG146" s="1035">
        <f t="shared" ref="AG146:AG147" si="160">T146+AA146</f>
        <v>0</v>
      </c>
      <c r="AH146" s="1035">
        <f t="shared" ref="AH146:AH147" si="161">U146+AB146</f>
        <v>0</v>
      </c>
      <c r="AI146" s="1035">
        <f t="shared" ref="AI146:AI147" si="162">V146+AC146</f>
        <v>0</v>
      </c>
      <c r="AJ146" s="1035">
        <f t="shared" ref="AJ146:AJ147" si="163">W146+AD146</f>
        <v>0</v>
      </c>
      <c r="AK146" s="1033">
        <f t="shared" si="154"/>
        <v>0</v>
      </c>
      <c r="AL146" s="1035">
        <f t="shared" ref="AL146:AL147" si="164">Y146+AE146</f>
        <v>0</v>
      </c>
    </row>
    <row r="147" spans="1:39" ht="30" x14ac:dyDescent="0.25">
      <c r="A147" s="1014" t="str">
        <f t="shared" si="147"/>
        <v>hide</v>
      </c>
      <c r="B147" s="933" t="s">
        <v>31</v>
      </c>
      <c r="C147" s="937" t="s">
        <v>139</v>
      </c>
      <c r="D147" s="1010" t="s">
        <v>497</v>
      </c>
      <c r="E147" s="1011">
        <f>'1.BC_Ra Soat (ty) '!BS149</f>
        <v>0</v>
      </c>
      <c r="F147" s="941">
        <f>'1.BC_Ra Soat (ty) '!BX149</f>
        <v>0</v>
      </c>
      <c r="G147" s="1036">
        <f>'1.BC_Ra Soat (ty) '!CC149</f>
        <v>0</v>
      </c>
      <c r="H147" s="1036">
        <f>'1.BC_Ra Soat (ty) '!CH149</f>
        <v>0</v>
      </c>
      <c r="I147" s="1036">
        <f>'1.BC_Ra Soat (ty) '!CM149</f>
        <v>0</v>
      </c>
      <c r="J147" s="1036">
        <f t="shared" si="127"/>
        <v>0</v>
      </c>
      <c r="K147" s="1035">
        <f>'1.BC_Ra Soat (ty) '!DG149</f>
        <v>0</v>
      </c>
      <c r="L147" s="1036">
        <f>'1.BC_Ra Soat (ty) '!BT149</f>
        <v>0</v>
      </c>
      <c r="M147" s="1036">
        <f>'1.BC_Ra Soat (ty) '!BY149</f>
        <v>0</v>
      </c>
      <c r="N147" s="1036">
        <f>'1.BC_Ra Soat (ty) '!CD149</f>
        <v>0</v>
      </c>
      <c r="O147" s="1036">
        <f>'1.BC_Ra Soat (ty) '!CI149</f>
        <v>0</v>
      </c>
      <c r="P147" s="1036">
        <f>'1.BC_Ra Soat (ty) '!CN149</f>
        <v>0</v>
      </c>
      <c r="Q147" s="1035">
        <f t="shared" si="128"/>
        <v>0</v>
      </c>
      <c r="R147" s="1035">
        <f>'1.BC_Ra Soat (ty) '!DH149</f>
        <v>0</v>
      </c>
      <c r="S147" s="1036">
        <f>'1.BC_Ra Soat (ty) '!BU149</f>
        <v>0</v>
      </c>
      <c r="T147" s="1036">
        <f>'1.BC_Ra Soat (ty) '!BZ149</f>
        <v>0</v>
      </c>
      <c r="U147" s="1036">
        <f>'1.BC_Ra Soat (ty) '!CE149</f>
        <v>0</v>
      </c>
      <c r="V147" s="1036">
        <f>'1.BC_Ra Soat (ty) '!CJ149</f>
        <v>0</v>
      </c>
      <c r="W147" s="1036">
        <f>'1.BC_Ra Soat (ty) '!CO149</f>
        <v>0</v>
      </c>
      <c r="X147" s="1032">
        <f t="shared" si="129"/>
        <v>0</v>
      </c>
      <c r="Y147" s="1036">
        <f>'1.BC_Ra Soat (ty) '!DI149</f>
        <v>0</v>
      </c>
      <c r="Z147" s="1035">
        <f>-SUMIFS('1.DC_Muc tieu'!F:F,'1.DC_Muc tieu'!$D:$D,'1.BC_Muc tieu (ty) '!$D147)+SUMIFS('1.DC_Muc tieu'!F:F,'1.DC_Muc tieu'!$E:$E,'1.BC_Muc tieu (ty) '!$D147)</f>
        <v>0</v>
      </c>
      <c r="AA147" s="1035">
        <f>-SUMIFS('1.DC_Muc tieu'!G:G,'1.DC_Muc tieu'!$D:$D,'1.BC_Muc tieu (ty) '!$D147)+SUMIFS('1.DC_Muc tieu'!G:G,'1.DC_Muc tieu'!$E:$E,'1.BC_Muc tieu (ty) '!$D147)</f>
        <v>0</v>
      </c>
      <c r="AB147" s="1035">
        <f>-SUMIFS('1.DC_Muc tieu'!H:H,'1.DC_Muc tieu'!$D:$D,'1.BC_Muc tieu (ty) '!$D147)+SUMIFS('1.DC_Muc tieu'!H:H,'1.DC_Muc tieu'!$E:$E,'1.BC_Muc tieu (ty) '!$D147)</f>
        <v>0</v>
      </c>
      <c r="AC147" s="1035"/>
      <c r="AD147" s="1035">
        <f>-SUMIFS('1.DC_Muc tieu'!J:J,'1.DC_Muc tieu'!$D:$D,'1.BC_Muc tieu (ty) '!$D147)+SUMIFS('1.DC_Muc tieu'!J:J,'1.DC_Muc tieu'!$E:$E,'1.BC_Muc tieu (ty) '!$D147)</f>
        <v>0</v>
      </c>
      <c r="AE147" s="1035">
        <f t="shared" si="130"/>
        <v>0</v>
      </c>
      <c r="AF147" s="1035">
        <f t="shared" si="159"/>
        <v>0</v>
      </c>
      <c r="AG147" s="1035">
        <f t="shared" si="160"/>
        <v>0</v>
      </c>
      <c r="AH147" s="1035">
        <f t="shared" si="161"/>
        <v>0</v>
      </c>
      <c r="AI147" s="1035">
        <f t="shared" si="162"/>
        <v>0</v>
      </c>
      <c r="AJ147" s="1035">
        <f t="shared" si="163"/>
        <v>0</v>
      </c>
      <c r="AK147" s="1033">
        <f t="shared" si="154"/>
        <v>0</v>
      </c>
      <c r="AL147" s="1035">
        <f t="shared" si="164"/>
        <v>0</v>
      </c>
    </row>
    <row r="148" spans="1:39" x14ac:dyDescent="0.25">
      <c r="A148" s="1014">
        <f t="shared" si="147"/>
        <v>1</v>
      </c>
      <c r="B148" s="961"/>
      <c r="C148" s="962" t="s">
        <v>140</v>
      </c>
      <c r="D148" s="1012" t="s">
        <v>498</v>
      </c>
      <c r="E148" s="1013">
        <f>E127+E97</f>
        <v>207.17686413499999</v>
      </c>
      <c r="F148" s="1013">
        <f t="shared" ref="F148:AL148" si="165">F127+F97</f>
        <v>53.478751189</v>
      </c>
      <c r="G148" s="1013">
        <f t="shared" si="165"/>
        <v>32.961773194999999</v>
      </c>
      <c r="H148" s="1013">
        <f t="shared" si="165"/>
        <v>34.246112717000003</v>
      </c>
      <c r="I148" s="1013">
        <f t="shared" si="165"/>
        <v>0</v>
      </c>
      <c r="J148" s="1013">
        <f t="shared" si="165"/>
        <v>327.86350123599999</v>
      </c>
      <c r="K148" s="1013">
        <f t="shared" si="165"/>
        <v>327.86350123599999</v>
      </c>
      <c r="L148" s="1013">
        <f t="shared" si="165"/>
        <v>229.905885227</v>
      </c>
      <c r="M148" s="1013">
        <f t="shared" si="165"/>
        <v>86.803699881</v>
      </c>
      <c r="N148" s="1013">
        <f t="shared" si="165"/>
        <v>62.697647823000004</v>
      </c>
      <c r="O148" s="1013">
        <f t="shared" si="165"/>
        <v>35.192826890999996</v>
      </c>
      <c r="P148" s="1013">
        <f t="shared" si="165"/>
        <v>0</v>
      </c>
      <c r="Q148" s="1013">
        <f t="shared" si="165"/>
        <v>414.60005982200005</v>
      </c>
      <c r="R148" s="1013">
        <f t="shared" si="165"/>
        <v>414.60005982200005</v>
      </c>
      <c r="S148" s="1013">
        <f t="shared" si="165"/>
        <v>348.40583184300004</v>
      </c>
      <c r="T148" s="1013">
        <f t="shared" si="165"/>
        <v>113.460535382</v>
      </c>
      <c r="U148" s="1013">
        <f t="shared" si="165"/>
        <v>48.165552723999994</v>
      </c>
      <c r="V148" s="1013">
        <f t="shared" si="165"/>
        <v>64.784605470000002</v>
      </c>
      <c r="W148" s="1013">
        <f t="shared" si="165"/>
        <v>0</v>
      </c>
      <c r="X148" s="1013">
        <f t="shared" si="165"/>
        <v>574.81652541899996</v>
      </c>
      <c r="Y148" s="1013">
        <f t="shared" si="165"/>
        <v>574.81652541899996</v>
      </c>
      <c r="Z148" s="1013">
        <f t="shared" si="165"/>
        <v>0</v>
      </c>
      <c r="AA148" s="1013">
        <f t="shared" si="165"/>
        <v>0</v>
      </c>
      <c r="AB148" s="1013">
        <f t="shared" si="165"/>
        <v>0</v>
      </c>
      <c r="AC148" s="1013">
        <f t="shared" si="165"/>
        <v>0</v>
      </c>
      <c r="AD148" s="1013">
        <f t="shared" si="165"/>
        <v>0</v>
      </c>
      <c r="AE148" s="1013">
        <f t="shared" si="165"/>
        <v>0</v>
      </c>
      <c r="AF148" s="1013">
        <f t="shared" si="165"/>
        <v>348.40583184300004</v>
      </c>
      <c r="AG148" s="1013">
        <f t="shared" si="165"/>
        <v>113.460535382</v>
      </c>
      <c r="AH148" s="1013">
        <f t="shared" si="165"/>
        <v>48.165552723999994</v>
      </c>
      <c r="AI148" s="1013">
        <f t="shared" si="165"/>
        <v>64.784605470000002</v>
      </c>
      <c r="AJ148" s="1013">
        <f t="shared" si="165"/>
        <v>0</v>
      </c>
      <c r="AK148" s="1013">
        <f t="shared" si="165"/>
        <v>574.81652541899996</v>
      </c>
      <c r="AL148" s="1089">
        <f t="shared" si="165"/>
        <v>574.81652541899996</v>
      </c>
      <c r="AM148" s="927"/>
    </row>
    <row r="149" spans="1:39" s="1098" customFormat="1" x14ac:dyDescent="0.25">
      <c r="A149" s="1097"/>
      <c r="C149" s="1099"/>
      <c r="D149" s="1100"/>
      <c r="E149" s="1101">
        <f t="shared" ref="E149:Y149" si="166">E148-E92</f>
        <v>0</v>
      </c>
      <c r="F149" s="1101">
        <f t="shared" si="166"/>
        <v>0</v>
      </c>
      <c r="G149" s="1101">
        <f t="shared" si="166"/>
        <v>0</v>
      </c>
      <c r="H149" s="1101"/>
      <c r="I149" s="1101">
        <f t="shared" si="166"/>
        <v>0</v>
      </c>
      <c r="J149" s="1101"/>
      <c r="K149" s="1102">
        <f t="shared" si="166"/>
        <v>0</v>
      </c>
      <c r="L149" s="1101">
        <f t="shared" si="166"/>
        <v>0</v>
      </c>
      <c r="M149" s="1101">
        <f t="shared" si="166"/>
        <v>-2.8327999999078202E-4</v>
      </c>
      <c r="N149" s="1101">
        <f t="shared" si="166"/>
        <v>0</v>
      </c>
      <c r="O149" s="1101"/>
      <c r="P149" s="1101">
        <f t="shared" si="166"/>
        <v>0</v>
      </c>
      <c r="Q149" s="1101"/>
      <c r="R149" s="1102">
        <f t="shared" ref="R149" si="167">R148-R92</f>
        <v>-2.8327999990551689E-4</v>
      </c>
      <c r="S149" s="1101">
        <f t="shared" si="166"/>
        <v>-17.837105925999992</v>
      </c>
      <c r="T149" s="1101">
        <f t="shared" si="166"/>
        <v>-30.742793004000006</v>
      </c>
      <c r="U149" s="1101">
        <f t="shared" si="166"/>
        <v>0</v>
      </c>
      <c r="V149" s="1101"/>
      <c r="W149" s="1101">
        <f t="shared" si="166"/>
        <v>0</v>
      </c>
      <c r="X149" s="1101"/>
      <c r="Y149" s="1101">
        <f t="shared" si="166"/>
        <v>-48.579898930000013</v>
      </c>
      <c r="Z149" s="1101">
        <f t="shared" ref="Z149:AG149" si="168">Z148-Z92</f>
        <v>0</v>
      </c>
      <c r="AA149" s="1101">
        <f t="shared" si="168"/>
        <v>0</v>
      </c>
      <c r="AB149" s="1101">
        <f>AB148-AB92</f>
        <v>0</v>
      </c>
      <c r="AC149" s="1101"/>
      <c r="AD149" s="1101">
        <f t="shared" ref="AD149" si="169">AD148-AD92</f>
        <v>0</v>
      </c>
      <c r="AE149" s="1101">
        <f>AE148-AE92</f>
        <v>0</v>
      </c>
      <c r="AF149" s="1101">
        <f t="shared" si="168"/>
        <v>-17.837105925999992</v>
      </c>
      <c r="AG149" s="1101">
        <f t="shared" si="168"/>
        <v>-30.742793004000006</v>
      </c>
      <c r="AH149" s="1101">
        <f t="shared" ref="AH149:AJ149" si="170">AH148-AH92</f>
        <v>0</v>
      </c>
      <c r="AI149" s="1101">
        <f>AI148-AI92</f>
        <v>0</v>
      </c>
      <c r="AJ149" s="1101">
        <f t="shared" si="170"/>
        <v>0</v>
      </c>
      <c r="AK149" s="1101">
        <f>AK148-AK92</f>
        <v>-48.579898930000013</v>
      </c>
      <c r="AL149" s="1101">
        <f>AL148-AL92</f>
        <v>-48.579898930000013</v>
      </c>
    </row>
    <row r="150" spans="1:39" x14ac:dyDescent="0.25">
      <c r="E150" s="896"/>
      <c r="F150" s="896"/>
      <c r="G150" s="896"/>
      <c r="H150" s="896"/>
      <c r="I150" s="896"/>
      <c r="J150" s="896"/>
      <c r="K150" s="901"/>
      <c r="L150" s="896"/>
      <c r="M150" s="896"/>
      <c r="N150" s="896"/>
      <c r="O150" s="896"/>
      <c r="P150" s="896"/>
      <c r="Q150" s="896"/>
      <c r="R150" s="896"/>
      <c r="S150" s="897"/>
      <c r="T150" s="896"/>
      <c r="U150" s="896"/>
      <c r="V150" s="896"/>
      <c r="W150" s="896"/>
      <c r="X150" s="896"/>
      <c r="Y150" s="896"/>
      <c r="AK150" s="896"/>
    </row>
    <row r="151" spans="1:39" x14ac:dyDescent="0.25">
      <c r="R151" s="902"/>
      <c r="Y151" s="903"/>
      <c r="AJ151" s="910"/>
      <c r="AK151" s="905"/>
      <c r="AL151" s="977"/>
    </row>
    <row r="152" spans="1:39" x14ac:dyDescent="0.25">
      <c r="AJ152" s="910"/>
      <c r="AK152" s="905"/>
      <c r="AL152" s="603"/>
    </row>
    <row r="153" spans="1:39" x14ac:dyDescent="0.25">
      <c r="AJ153" s="910"/>
      <c r="AK153" s="905"/>
      <c r="AL153" s="603"/>
    </row>
    <row r="154" spans="1:39" x14ac:dyDescent="0.25">
      <c r="AJ154" s="910"/>
      <c r="AK154" s="905"/>
      <c r="AL154" s="977"/>
    </row>
    <row r="155" spans="1:39" x14ac:dyDescent="0.25">
      <c r="AJ155" s="910"/>
      <c r="AK155" s="905"/>
      <c r="AL155" s="603"/>
    </row>
  </sheetData>
  <autoFilter ref="A2:A151" xr:uid="{00000000-0009-0000-0000-00000D000000}">
    <filterColumn colId="0">
      <customFilters>
        <customFilter operator="notEqual" val=" "/>
      </customFilters>
    </filterColumn>
  </autoFilter>
  <mergeCells count="9">
    <mergeCell ref="AF2:AL2"/>
    <mergeCell ref="B95:C96"/>
    <mergeCell ref="Z28:AE28"/>
    <mergeCell ref="Z95:AE95"/>
    <mergeCell ref="C5:C6"/>
    <mergeCell ref="C28:C29"/>
    <mergeCell ref="Z2:AE2"/>
    <mergeCell ref="E2:Y2"/>
    <mergeCell ref="Z5:AE5"/>
  </mergeCells>
  <pageMargins left="0.7" right="0.7" top="0.75" bottom="0.75" header="0.3" footer="0.3"/>
  <pageSetup paperSize="9" orientation="portrait" r:id="rId1"/>
  <ignoredErrors>
    <ignoredError sqref="A2:AL6 A97:AL106 B96:AL96 A9:AL12 A7:Z7 AB7:AL7 A8:Z8 AB8:AL8 A14:AL17 A13:J13 AB13:AL13 A108:AL149 A107:Y107 AA107:AL107 A95:Y95 AF95:AL95 A94:M94 O94:AL94 AM2:AM6 AM97:AM106 AM9:AM12 AM7 AM8 AM14:AM93 AM13 AM108:AM149 AM107 AM95 AM94 L13:Z13 A19:AL25 A18:B18 D18:Q18 S18:AL18 A27:AL93 A26:X26 Z26:AL26"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8833C-23B8-468C-B358-349B08576A33}">
  <sheetPr>
    <tabColor rgb="FF0070C0"/>
  </sheetPr>
  <dimension ref="A1:M216"/>
  <sheetViews>
    <sheetView showGridLines="0" view="pageBreakPreview" zoomScale="55" zoomScaleNormal="100" zoomScaleSheetLayoutView="55" workbookViewId="0">
      <selection activeCell="A46" sqref="A46"/>
    </sheetView>
  </sheetViews>
  <sheetFormatPr defaultColWidth="9.140625" defaultRowHeight="15.75" x14ac:dyDescent="0.25"/>
  <cols>
    <col min="1" max="1" width="8.42578125" style="1816" customWidth="1"/>
    <col min="2" max="2" width="43.28515625" style="1816" customWidth="1"/>
    <col min="3" max="3" width="25.28515625" style="1816" customWidth="1"/>
    <col min="4" max="4" width="24.140625" style="1816" bestFit="1" customWidth="1"/>
    <col min="5" max="5" width="26" style="1816" bestFit="1" customWidth="1"/>
    <col min="6" max="6" width="24.140625" style="1816" bestFit="1" customWidth="1"/>
    <col min="7" max="7" width="15.5703125" style="1816" customWidth="1"/>
    <col min="8" max="9" width="13.85546875" style="1816" bestFit="1" customWidth="1"/>
    <col min="10" max="10" width="15.28515625" style="1816" bestFit="1" customWidth="1"/>
    <col min="11" max="12" width="20.5703125" style="1816" bestFit="1" customWidth="1"/>
    <col min="13" max="15" width="20.7109375" style="1816" bestFit="1" customWidth="1"/>
    <col min="16" max="16" width="17" style="1816" customWidth="1"/>
    <col min="17" max="16384" width="9.140625" style="1816"/>
  </cols>
  <sheetData>
    <row r="1" spans="1:7" x14ac:dyDescent="0.25">
      <c r="A1" s="2246" t="s">
        <v>2001</v>
      </c>
      <c r="B1" s="2246"/>
      <c r="C1" s="2246"/>
      <c r="D1" s="2246"/>
      <c r="E1" s="2246"/>
      <c r="F1" s="2246"/>
      <c r="G1" s="2246"/>
    </row>
    <row r="2" spans="1:7" x14ac:dyDescent="0.25">
      <c r="A2" s="1817"/>
      <c r="B2" s="1817"/>
      <c r="C2" s="1817"/>
      <c r="D2" s="1817"/>
      <c r="E2" s="1817"/>
      <c r="F2" s="1817"/>
      <c r="G2" s="1817"/>
    </row>
    <row r="3" spans="1:7" ht="18.75" x14ac:dyDescent="0.25">
      <c r="A3" s="2247" t="s">
        <v>2002</v>
      </c>
      <c r="B3" s="2247"/>
      <c r="C3" s="2247"/>
      <c r="D3" s="2247"/>
      <c r="E3" s="2247"/>
      <c r="F3" s="2247"/>
      <c r="G3" s="2247"/>
    </row>
    <row r="4" spans="1:7" x14ac:dyDescent="0.25">
      <c r="A4" s="1818" t="s">
        <v>2003</v>
      </c>
      <c r="B4" s="1819"/>
      <c r="C4" s="1819"/>
      <c r="D4" s="1819"/>
      <c r="E4" s="1817"/>
      <c r="F4" s="1817"/>
      <c r="G4" s="1817"/>
    </row>
    <row r="5" spans="1:7" x14ac:dyDescent="0.25">
      <c r="A5" s="1820" t="s">
        <v>2004</v>
      </c>
      <c r="B5" s="2243" t="s">
        <v>2005</v>
      </c>
      <c r="C5" s="2243"/>
      <c r="D5" s="2243"/>
      <c r="E5" s="2243"/>
      <c r="F5" s="2243"/>
      <c r="G5" s="2243"/>
    </row>
    <row r="6" spans="1:7" ht="18.75" x14ac:dyDescent="0.25">
      <c r="A6" s="1820" t="s">
        <v>2006</v>
      </c>
      <c r="B6" s="2243" t="s">
        <v>2007</v>
      </c>
      <c r="C6" s="2243"/>
      <c r="D6" s="2243"/>
      <c r="E6" s="2243"/>
      <c r="F6" s="2243"/>
      <c r="G6" s="2243"/>
    </row>
    <row r="7" spans="1:7" ht="18.75" x14ac:dyDescent="0.25">
      <c r="A7" s="1820" t="s">
        <v>2008</v>
      </c>
      <c r="B7" s="2243" t="s">
        <v>2009</v>
      </c>
      <c r="C7" s="2243"/>
      <c r="D7" s="2243"/>
      <c r="E7" s="2243"/>
      <c r="F7" s="2243"/>
      <c r="G7" s="2243"/>
    </row>
    <row r="8" spans="1:7" x14ac:dyDescent="0.25">
      <c r="A8" s="1820" t="s">
        <v>2010</v>
      </c>
      <c r="B8" s="2243" t="s">
        <v>2011</v>
      </c>
      <c r="C8" s="2243"/>
      <c r="D8" s="2243"/>
      <c r="E8" s="2243"/>
      <c r="F8" s="2243"/>
      <c r="G8" s="2243"/>
    </row>
    <row r="9" spans="1:7" ht="18.75" x14ac:dyDescent="0.25">
      <c r="A9" s="1820" t="s">
        <v>2012</v>
      </c>
      <c r="B9" s="2243" t="s">
        <v>2013</v>
      </c>
      <c r="C9" s="2243"/>
      <c r="D9" s="2243"/>
      <c r="E9" s="2243"/>
      <c r="F9" s="2243"/>
      <c r="G9" s="2243"/>
    </row>
    <row r="10" spans="1:7" ht="18.75" x14ac:dyDescent="0.25">
      <c r="A10" s="1820" t="s">
        <v>2014</v>
      </c>
      <c r="B10" s="2243" t="s">
        <v>2015</v>
      </c>
      <c r="C10" s="2243"/>
      <c r="D10" s="2243"/>
      <c r="E10" s="2243"/>
      <c r="F10" s="2243"/>
      <c r="G10" s="2243"/>
    </row>
    <row r="11" spans="1:7" x14ac:dyDescent="0.25">
      <c r="A11" s="1817"/>
      <c r="B11" s="1817"/>
      <c r="C11" s="1817"/>
      <c r="D11" s="1817"/>
      <c r="E11" s="1817"/>
      <c r="F11" s="1817"/>
      <c r="G11" s="1817"/>
    </row>
    <row r="12" spans="1:7" x14ac:dyDescent="0.25">
      <c r="A12" s="1821">
        <v>1</v>
      </c>
      <c r="B12" s="2244" t="s">
        <v>19</v>
      </c>
      <c r="C12" s="2244"/>
      <c r="D12" s="1822">
        <f>D15*D16+D13*D14*(1-D17)</f>
        <v>0.10958774286994491</v>
      </c>
      <c r="E12" s="2244" t="s">
        <v>568</v>
      </c>
      <c r="F12" s="2244"/>
      <c r="G12" s="1817"/>
    </row>
    <row r="13" spans="1:7" ht="96" customHeight="1" x14ac:dyDescent="0.25">
      <c r="A13" s="1823">
        <v>2</v>
      </c>
      <c r="B13" s="2239" t="s">
        <v>2016</v>
      </c>
      <c r="C13" s="2239"/>
      <c r="D13" s="1824">
        <v>0.11</v>
      </c>
      <c r="E13" s="2245" t="s">
        <v>2017</v>
      </c>
      <c r="F13" s="2231"/>
      <c r="G13" s="1817"/>
    </row>
    <row r="14" spans="1:7" x14ac:dyDescent="0.25">
      <c r="A14" s="1823">
        <v>3</v>
      </c>
      <c r="B14" s="2239" t="s">
        <v>2018</v>
      </c>
      <c r="C14" s="2239"/>
      <c r="D14" s="1825">
        <f>+C49</f>
        <v>0.28517407715414178</v>
      </c>
      <c r="E14" s="2240"/>
      <c r="F14" s="2240"/>
      <c r="G14" s="1817"/>
    </row>
    <row r="15" spans="1:7" x14ac:dyDescent="0.25">
      <c r="A15" s="1823">
        <v>4</v>
      </c>
      <c r="B15" s="2239" t="s">
        <v>160</v>
      </c>
      <c r="C15" s="2239"/>
      <c r="D15" s="1825">
        <f>+D20</f>
        <v>0.1182</v>
      </c>
      <c r="E15" s="2240"/>
      <c r="F15" s="2240"/>
      <c r="G15" s="1817"/>
    </row>
    <row r="16" spans="1:7" x14ac:dyDescent="0.25">
      <c r="A16" s="1823">
        <v>5</v>
      </c>
      <c r="B16" s="2239" t="s">
        <v>2019</v>
      </c>
      <c r="C16" s="2239"/>
      <c r="D16" s="1825">
        <f>1-D14</f>
        <v>0.71482592284585822</v>
      </c>
      <c r="E16" s="2240"/>
      <c r="F16" s="2240"/>
      <c r="G16" s="1817"/>
    </row>
    <row r="17" spans="1:10" x14ac:dyDescent="0.25">
      <c r="A17" s="1823">
        <v>6</v>
      </c>
      <c r="B17" s="2239" t="s">
        <v>614</v>
      </c>
      <c r="C17" s="2239"/>
      <c r="D17" s="1827">
        <v>0.2</v>
      </c>
      <c r="E17" s="2240"/>
      <c r="F17" s="2240"/>
      <c r="G17" s="1817"/>
    </row>
    <row r="18" spans="1:10" x14ac:dyDescent="0.25">
      <c r="D18" s="1817"/>
      <c r="E18" s="1817"/>
      <c r="F18" s="1817"/>
      <c r="G18" s="1817"/>
    </row>
    <row r="19" spans="1:10" x14ac:dyDescent="0.25">
      <c r="A19" s="2241" t="s">
        <v>2020</v>
      </c>
      <c r="B19" s="2241"/>
      <c r="C19" s="2241"/>
      <c r="D19" s="2241"/>
      <c r="E19" s="2241"/>
      <c r="F19" s="2241"/>
      <c r="G19" s="1817"/>
    </row>
    <row r="20" spans="1:10" x14ac:dyDescent="0.25">
      <c r="A20" s="1821">
        <v>1</v>
      </c>
      <c r="B20" s="2242" t="s">
        <v>2021</v>
      </c>
      <c r="C20" s="2242"/>
      <c r="D20" s="1828">
        <f>D21+D22</f>
        <v>0.1182</v>
      </c>
      <c r="E20" s="2242" t="s">
        <v>568</v>
      </c>
      <c r="F20" s="2242"/>
      <c r="G20" s="1817"/>
    </row>
    <row r="21" spans="1:10" ht="44.45" customHeight="1" x14ac:dyDescent="0.25">
      <c r="A21" s="1823">
        <v>2</v>
      </c>
      <c r="B21" s="2230" t="s">
        <v>2022</v>
      </c>
      <c r="C21" s="2230"/>
      <c r="D21" s="1829">
        <v>2.2499999999999999E-2</v>
      </c>
      <c r="E21" s="2231" t="s">
        <v>2023</v>
      </c>
      <c r="F21" s="2231"/>
      <c r="G21" s="1817"/>
    </row>
    <row r="22" spans="1:10" ht="66" customHeight="1" x14ac:dyDescent="0.25">
      <c r="A22" s="1823">
        <v>3</v>
      </c>
      <c r="B22" s="2230" t="s">
        <v>2024</v>
      </c>
      <c r="C22" s="2230"/>
      <c r="D22" s="1829">
        <v>9.5699999999999993E-2</v>
      </c>
      <c r="E22" s="2231" t="s">
        <v>2025</v>
      </c>
      <c r="F22" s="2231"/>
      <c r="G22" s="1817"/>
    </row>
    <row r="23" spans="1:10" x14ac:dyDescent="0.25">
      <c r="A23" s="1830"/>
      <c r="B23" s="1830"/>
      <c r="C23" s="1830"/>
      <c r="D23" s="1831"/>
      <c r="E23" s="1830"/>
      <c r="F23" s="1830"/>
      <c r="G23" s="1817"/>
    </row>
    <row r="24" spans="1:10" x14ac:dyDescent="0.25">
      <c r="A24" s="1817"/>
      <c r="B24" s="1817"/>
      <c r="C24" s="1817"/>
      <c r="D24" s="1832"/>
      <c r="E24" s="1817"/>
      <c r="F24" s="1817"/>
      <c r="G24" s="1817"/>
    </row>
    <row r="25" spans="1:10" x14ac:dyDescent="0.25">
      <c r="A25" s="2232" t="s">
        <v>2026</v>
      </c>
      <c r="B25" s="2232"/>
      <c r="C25" s="2232"/>
      <c r="D25" s="2232"/>
      <c r="E25" s="2232"/>
      <c r="F25" s="2232"/>
      <c r="G25" s="1817"/>
    </row>
    <row r="26" spans="1:10" x14ac:dyDescent="0.25">
      <c r="A26" s="2233" t="s">
        <v>156</v>
      </c>
      <c r="B26" s="2233" t="s">
        <v>640</v>
      </c>
      <c r="C26" s="2234" t="s">
        <v>2027</v>
      </c>
      <c r="D26" s="2234"/>
      <c r="E26" s="2234"/>
      <c r="F26" s="2234"/>
      <c r="G26" s="2234"/>
    </row>
    <row r="27" spans="1:10" x14ac:dyDescent="0.25">
      <c r="A27" s="2233"/>
      <c r="B27" s="2233"/>
      <c r="C27" s="1833">
        <v>2020</v>
      </c>
      <c r="D27" s="1833">
        <v>2021</v>
      </c>
      <c r="E27" s="1833">
        <v>2022</v>
      </c>
      <c r="F27" s="1833">
        <v>2023</v>
      </c>
      <c r="G27" s="1834" t="s">
        <v>2028</v>
      </c>
    </row>
    <row r="28" spans="1:10" x14ac:dyDescent="0.25">
      <c r="A28" s="1835" t="s">
        <v>596</v>
      </c>
      <c r="B28" s="1836" t="s">
        <v>2042</v>
      </c>
      <c r="C28" s="1836"/>
      <c r="D28" s="1836"/>
      <c r="E28" s="1837"/>
      <c r="F28" s="1826"/>
      <c r="G28" s="1826"/>
    </row>
    <row r="29" spans="1:10" x14ac:dyDescent="0.25">
      <c r="A29" s="1838"/>
      <c r="B29" s="1837" t="s">
        <v>2029</v>
      </c>
      <c r="C29" s="1839">
        <f>+C30+C31</f>
        <v>370792323817</v>
      </c>
      <c r="D29" s="1839">
        <f>+D30+D31</f>
        <v>442990518864</v>
      </c>
      <c r="E29" s="1839">
        <f>+E30+E31</f>
        <v>491932477012</v>
      </c>
      <c r="F29" s="1839">
        <f>+F30+F31</f>
        <v>485639548471</v>
      </c>
      <c r="G29" s="1826"/>
    </row>
    <row r="30" spans="1:10" x14ac:dyDescent="0.25">
      <c r="A30" s="1838"/>
      <c r="B30" s="1840" t="s">
        <v>2030</v>
      </c>
      <c r="C30" s="1841">
        <v>145034905889</v>
      </c>
      <c r="D30" s="1841">
        <v>199223327202</v>
      </c>
      <c r="E30" s="1841">
        <v>188764972868</v>
      </c>
      <c r="F30" s="1841">
        <v>316577994929</v>
      </c>
      <c r="G30" s="1842"/>
      <c r="J30" s="1843"/>
    </row>
    <row r="31" spans="1:10" x14ac:dyDescent="0.25">
      <c r="A31" s="1838"/>
      <c r="B31" s="1840" t="s">
        <v>113</v>
      </c>
      <c r="C31" s="1841">
        <v>225757417928</v>
      </c>
      <c r="D31" s="1841">
        <v>243767191662</v>
      </c>
      <c r="E31" s="1841">
        <v>303167504144</v>
      </c>
      <c r="F31" s="1841">
        <v>169061553542</v>
      </c>
      <c r="G31" s="1842"/>
    </row>
    <row r="32" spans="1:10" x14ac:dyDescent="0.25">
      <c r="A32" s="1838"/>
      <c r="B32" s="1840" t="s">
        <v>121</v>
      </c>
      <c r="C32" s="1841">
        <v>493161459452</v>
      </c>
      <c r="D32" s="1841">
        <v>530576950239</v>
      </c>
      <c r="E32" s="1841">
        <v>641737093664</v>
      </c>
      <c r="F32" s="1841">
        <v>688474019464</v>
      </c>
      <c r="G32" s="1842"/>
    </row>
    <row r="33" spans="1:7" x14ac:dyDescent="0.25">
      <c r="A33" s="1838"/>
      <c r="B33" s="1837" t="s">
        <v>2031</v>
      </c>
      <c r="C33" s="1844">
        <f>C29/C32</f>
        <v>0.75186800734393089</v>
      </c>
      <c r="D33" s="1845">
        <f>D29/D32</f>
        <v>0.83492228349620834</v>
      </c>
      <c r="E33" s="1844">
        <f>E29/E32</f>
        <v>0.76656388086172478</v>
      </c>
      <c r="F33" s="1844">
        <f>F29/F32</f>
        <v>0.70538543901640127</v>
      </c>
      <c r="G33" s="1846">
        <f>+AVERAGE(C33:F33)</f>
        <v>0.76468490267956624</v>
      </c>
    </row>
    <row r="34" spans="1:7" x14ac:dyDescent="0.25">
      <c r="A34" s="1838"/>
      <c r="B34" s="1837" t="s">
        <v>2018</v>
      </c>
      <c r="C34" s="1844">
        <f>+C29/(C29+C32)</f>
        <v>0.42918073975439769</v>
      </c>
      <c r="D34" s="1844">
        <f>+D29/(D29+D32)</f>
        <v>0.4550177906746935</v>
      </c>
      <c r="E34" s="1844">
        <f>+E29/(E29+E32)</f>
        <v>0.43392932979462773</v>
      </c>
      <c r="F34" s="1844">
        <f>+F29/(F29+F32)</f>
        <v>0.41362229492427216</v>
      </c>
      <c r="G34" s="1846">
        <f>+AVERAGE(C34:F34)</f>
        <v>0.43293753878699781</v>
      </c>
    </row>
    <row r="35" spans="1:7" x14ac:dyDescent="0.25">
      <c r="A35" s="1835" t="s">
        <v>598</v>
      </c>
      <c r="B35" s="1836" t="s">
        <v>2043</v>
      </c>
      <c r="C35" s="1835"/>
      <c r="D35" s="1835"/>
      <c r="E35" s="1838"/>
      <c r="F35" s="1826"/>
      <c r="G35" s="1847"/>
    </row>
    <row r="36" spans="1:7" x14ac:dyDescent="0.25">
      <c r="A36" s="1835"/>
      <c r="B36" s="1837" t="s">
        <v>2032</v>
      </c>
      <c r="C36" s="1839">
        <f>+C37+C38</f>
        <v>23203369354</v>
      </c>
      <c r="D36" s="1839">
        <f>+D37+D38</f>
        <v>33495312589</v>
      </c>
      <c r="E36" s="1839">
        <f>+E37+E38</f>
        <v>19200254296</v>
      </c>
      <c r="F36" s="1839">
        <f>+F37+F38</f>
        <v>5180171810</v>
      </c>
      <c r="G36" s="1826"/>
    </row>
    <row r="37" spans="1:7" x14ac:dyDescent="0.25">
      <c r="A37" s="1835"/>
      <c r="B37" s="1840" t="s">
        <v>2030</v>
      </c>
      <c r="C37" s="1841">
        <v>20280619354</v>
      </c>
      <c r="D37" s="1841">
        <v>32495312589</v>
      </c>
      <c r="E37" s="1841">
        <v>19200254296</v>
      </c>
      <c r="F37" s="1848">
        <v>5180171810</v>
      </c>
      <c r="G37" s="1826"/>
    </row>
    <row r="38" spans="1:7" x14ac:dyDescent="0.25">
      <c r="A38" s="1835"/>
      <c r="B38" s="1840" t="s">
        <v>113</v>
      </c>
      <c r="C38" s="1841">
        <v>2922750000</v>
      </c>
      <c r="D38" s="1841">
        <v>1000000000</v>
      </c>
      <c r="E38" s="1841">
        <v>0</v>
      </c>
      <c r="F38" s="1848">
        <v>0</v>
      </c>
      <c r="G38" s="1826"/>
    </row>
    <row r="39" spans="1:7" x14ac:dyDescent="0.25">
      <c r="A39" s="1838"/>
      <c r="B39" s="1840" t="s">
        <v>121</v>
      </c>
      <c r="C39" s="1841">
        <v>71890889113</v>
      </c>
      <c r="D39" s="1841">
        <v>74184862842</v>
      </c>
      <c r="E39" s="1849">
        <v>82087629354</v>
      </c>
      <c r="F39" s="1848">
        <v>80790891014</v>
      </c>
      <c r="G39" s="1850"/>
    </row>
    <row r="40" spans="1:7" x14ac:dyDescent="0.25">
      <c r="A40" s="1838"/>
      <c r="B40" s="1837" t="s">
        <v>2031</v>
      </c>
      <c r="C40" s="1844">
        <f>C36/C39</f>
        <v>0.32275813584011087</v>
      </c>
      <c r="D40" s="1844">
        <f>D36/D39</f>
        <v>0.45151141763702934</v>
      </c>
      <c r="E40" s="1844">
        <f>E36/E39</f>
        <v>0.23389948579462055</v>
      </c>
      <c r="F40" s="1844">
        <f>F36/F39</f>
        <v>6.4118265623563236E-2</v>
      </c>
      <c r="G40" s="1846">
        <f>+AVERAGE(C40:F40)</f>
        <v>0.26807182622383102</v>
      </c>
    </row>
    <row r="41" spans="1:7" x14ac:dyDescent="0.25">
      <c r="A41" s="1838"/>
      <c r="B41" s="1837" t="s">
        <v>2018</v>
      </c>
      <c r="C41" s="1844">
        <f>+C36/(C36+C39)</f>
        <v>0.24400389390545726</v>
      </c>
      <c r="D41" s="1844">
        <f>+D36/(D36+D39)</f>
        <v>0.31106294594090206</v>
      </c>
      <c r="E41" s="1844">
        <f>+E36/(E36+E39)</f>
        <v>0.18956121506444371</v>
      </c>
      <c r="F41" s="1844">
        <f>+F36/(F36+F39)</f>
        <v>6.0254830402700153E-2</v>
      </c>
      <c r="G41" s="1846">
        <f>+AVERAGE(C41:F41)</f>
        <v>0.20122072132837579</v>
      </c>
    </row>
    <row r="42" spans="1:7" x14ac:dyDescent="0.25">
      <c r="A42" s="1835" t="s">
        <v>601</v>
      </c>
      <c r="B42" s="1836" t="s">
        <v>2044</v>
      </c>
      <c r="C42" s="1836"/>
      <c r="D42" s="1836"/>
      <c r="E42" s="1835"/>
      <c r="F42" s="1826"/>
      <c r="G42" s="1835"/>
    </row>
    <row r="43" spans="1:7" x14ac:dyDescent="0.25">
      <c r="A43" s="1835"/>
      <c r="B43" s="1837" t="s">
        <v>2032</v>
      </c>
      <c r="C43" s="1839">
        <f>+C44+C45</f>
        <v>53873042350</v>
      </c>
      <c r="D43" s="1839">
        <f>+D44+D45</f>
        <v>40170178600</v>
      </c>
      <c r="E43" s="1839">
        <f>+E44+E45</f>
        <v>36058812559</v>
      </c>
      <c r="F43" s="1839">
        <f>+F44+F45</f>
        <v>24163403117</v>
      </c>
      <c r="G43" s="1826"/>
    </row>
    <row r="44" spans="1:7" x14ac:dyDescent="0.25">
      <c r="A44" s="1835"/>
      <c r="B44" s="1840" t="s">
        <v>2030</v>
      </c>
      <c r="C44" s="1841">
        <v>43373601250</v>
      </c>
      <c r="D44" s="1841">
        <v>35202126000</v>
      </c>
      <c r="E44" s="1841">
        <v>32775879959</v>
      </c>
      <c r="F44" s="1848">
        <v>23373403117</v>
      </c>
      <c r="G44" s="1842"/>
    </row>
    <row r="45" spans="1:7" x14ac:dyDescent="0.25">
      <c r="A45" s="1835"/>
      <c r="B45" s="1840" t="s">
        <v>113</v>
      </c>
      <c r="C45" s="1841">
        <v>10499441100</v>
      </c>
      <c r="D45" s="1841">
        <v>4968052600</v>
      </c>
      <c r="E45" s="1841">
        <v>3282932600</v>
      </c>
      <c r="F45" s="1848">
        <v>790000000</v>
      </c>
      <c r="G45" s="1842"/>
    </row>
    <row r="46" spans="1:7" x14ac:dyDescent="0.25">
      <c r="A46" s="1835"/>
      <c r="B46" s="1840" t="s">
        <v>121</v>
      </c>
      <c r="C46" s="1841">
        <v>137965682610</v>
      </c>
      <c r="D46" s="1849">
        <v>136529798754</v>
      </c>
      <c r="E46" s="1841">
        <v>127758671738</v>
      </c>
      <c r="F46" s="1848">
        <v>129567412982</v>
      </c>
      <c r="G46" s="1842"/>
    </row>
    <row r="47" spans="1:7" x14ac:dyDescent="0.25">
      <c r="A47" s="1835"/>
      <c r="B47" s="1837" t="s">
        <v>2031</v>
      </c>
      <c r="C47" s="1844">
        <f>C43/C46</f>
        <v>0.39048146851335325</v>
      </c>
      <c r="D47" s="1844">
        <f>D43/D46</f>
        <v>0.29422279214209351</v>
      </c>
      <c r="E47" s="1844">
        <f>E43/E46</f>
        <v>0.28224160496085388</v>
      </c>
      <c r="F47" s="1844">
        <f>F43/F46</f>
        <v>0.1864929040480022</v>
      </c>
      <c r="G47" s="1846">
        <f>+AVERAGE(C47:F47)</f>
        <v>0.28835969241607567</v>
      </c>
    </row>
    <row r="48" spans="1:7" x14ac:dyDescent="0.25">
      <c r="A48" s="1838"/>
      <c r="B48" s="1837" t="s">
        <v>2018</v>
      </c>
      <c r="C48" s="1844">
        <f>+C43/(C43+C46)</f>
        <v>0.28082464768900539</v>
      </c>
      <c r="D48" s="1844">
        <f>+D43/(D43+D46)</f>
        <v>0.22733550508341735</v>
      </c>
      <c r="E48" s="1844">
        <f>+E43/(E43+E46)</f>
        <v>0.22011577527112805</v>
      </c>
      <c r="F48" s="1844">
        <f>+F43/(F43+F46)</f>
        <v>0.15717995734465615</v>
      </c>
      <c r="G48" s="1846">
        <f>+AVERAGE(C48:F48)</f>
        <v>0.22136397134705174</v>
      </c>
    </row>
    <row r="49" spans="1:7" s="1853" customFormat="1" x14ac:dyDescent="0.25">
      <c r="A49" s="1833" t="s">
        <v>613</v>
      </c>
      <c r="B49" s="1851" t="s">
        <v>2033</v>
      </c>
      <c r="C49" s="2235">
        <f>+AVERAGE(G34,G41,G48)</f>
        <v>0.28517407715414178</v>
      </c>
      <c r="D49" s="2236"/>
      <c r="E49" s="2236"/>
      <c r="F49" s="2237"/>
      <c r="G49" s="1852"/>
    </row>
    <row r="50" spans="1:7" x14ac:dyDescent="0.25">
      <c r="A50" s="1854"/>
      <c r="B50" s="1855"/>
      <c r="C50" s="1856"/>
      <c r="D50" s="1856"/>
      <c r="E50" s="1857"/>
      <c r="F50" s="1857"/>
      <c r="G50" s="1857"/>
    </row>
    <row r="51" spans="1:7" x14ac:dyDescent="0.25">
      <c r="A51" s="1854"/>
      <c r="B51" s="1855"/>
      <c r="C51" s="1856"/>
      <c r="D51" s="1856"/>
      <c r="E51" s="1857"/>
      <c r="F51" s="1857"/>
      <c r="G51" s="1857"/>
    </row>
    <row r="52" spans="1:7" x14ac:dyDescent="0.25">
      <c r="D52" s="1856"/>
      <c r="E52" s="1857"/>
      <c r="F52" s="1857"/>
      <c r="G52" s="1857"/>
    </row>
    <row r="53" spans="1:7" x14ac:dyDescent="0.25">
      <c r="D53" s="1856"/>
      <c r="E53" s="1857"/>
      <c r="F53" s="1857"/>
      <c r="G53" s="1857"/>
    </row>
    <row r="54" spans="1:7" x14ac:dyDescent="0.25">
      <c r="D54" s="1856"/>
      <c r="E54" s="1857"/>
      <c r="F54" s="1857"/>
      <c r="G54" s="1857"/>
    </row>
    <row r="55" spans="1:7" x14ac:dyDescent="0.25">
      <c r="D55" s="1858"/>
    </row>
    <row r="58" spans="1:7" x14ac:dyDescent="0.25">
      <c r="D58" s="2238"/>
      <c r="E58" s="2238"/>
      <c r="F58" s="1859"/>
      <c r="G58" s="1860"/>
    </row>
    <row r="59" spans="1:7" x14ac:dyDescent="0.25">
      <c r="D59" s="2238"/>
      <c r="E59" s="2238"/>
      <c r="F59" s="1859"/>
      <c r="G59" s="1860"/>
    </row>
    <row r="63" spans="1:7" x14ac:dyDescent="0.25">
      <c r="C63" s="1861"/>
      <c r="D63" s="1861"/>
    </row>
    <row r="72" spans="9:13" x14ac:dyDescent="0.25">
      <c r="I72" s="2226" t="s">
        <v>2034</v>
      </c>
      <c r="J72" s="2227"/>
      <c r="K72" s="2227"/>
      <c r="L72" s="2227"/>
      <c r="M72" s="2227"/>
    </row>
    <row r="94" spans="1:3" ht="31.5" x14ac:dyDescent="0.25">
      <c r="A94" s="1862" t="s">
        <v>2035</v>
      </c>
      <c r="B94" s="1862" t="s">
        <v>2036</v>
      </c>
      <c r="C94" s="1862" t="s">
        <v>2037</v>
      </c>
    </row>
    <row r="95" spans="1:3" x14ac:dyDescent="0.25">
      <c r="A95" s="1863">
        <v>41456</v>
      </c>
      <c r="B95" s="1864">
        <v>480.04</v>
      </c>
      <c r="C95" s="1864"/>
    </row>
    <row r="96" spans="1:3" x14ac:dyDescent="0.25">
      <c r="A96" s="1863">
        <v>41487</v>
      </c>
      <c r="B96" s="1864">
        <v>492.43</v>
      </c>
      <c r="C96" s="1865">
        <f>B96/B95-1</f>
        <v>2.5810349137571853E-2</v>
      </c>
    </row>
    <row r="97" spans="1:3" x14ac:dyDescent="0.25">
      <c r="A97" s="1863">
        <v>41520</v>
      </c>
      <c r="B97" s="1864">
        <v>472.17</v>
      </c>
      <c r="C97" s="1865">
        <f t="shared" ref="C97:C160" si="0">B97/B96-1</f>
        <v>-4.1142903559896804E-2</v>
      </c>
    </row>
    <row r="98" spans="1:3" x14ac:dyDescent="0.25">
      <c r="A98" s="1863">
        <v>41548</v>
      </c>
      <c r="B98" s="1864">
        <v>492.24</v>
      </c>
      <c r="C98" s="1865">
        <f t="shared" si="0"/>
        <v>4.2505877120528668E-2</v>
      </c>
    </row>
    <row r="99" spans="1:3" x14ac:dyDescent="0.25">
      <c r="A99" s="1863">
        <v>41579</v>
      </c>
      <c r="B99" s="1864">
        <v>497.08</v>
      </c>
      <c r="C99" s="1865">
        <f t="shared" si="0"/>
        <v>9.8326019827725819E-3</v>
      </c>
    </row>
    <row r="100" spans="1:3" x14ac:dyDescent="0.25">
      <c r="A100" s="1863">
        <v>41610</v>
      </c>
      <c r="B100" s="1864">
        <v>508.53</v>
      </c>
      <c r="C100" s="1865">
        <f t="shared" si="0"/>
        <v>2.3034521606180025E-2</v>
      </c>
    </row>
    <row r="101" spans="1:3" x14ac:dyDescent="0.25">
      <c r="A101" s="1863">
        <v>41641</v>
      </c>
      <c r="B101" s="1864">
        <v>504.51</v>
      </c>
      <c r="C101" s="1865">
        <f t="shared" si="0"/>
        <v>-7.905138339920903E-3</v>
      </c>
    </row>
    <row r="102" spans="1:3" x14ac:dyDescent="0.25">
      <c r="A102" s="1863">
        <v>41676</v>
      </c>
      <c r="B102" s="1864">
        <v>554.67999999999995</v>
      </c>
      <c r="C102" s="1865">
        <f t="shared" si="0"/>
        <v>9.9443023924203677E-2</v>
      </c>
    </row>
    <row r="103" spans="1:3" x14ac:dyDescent="0.25">
      <c r="A103" s="1863">
        <v>41701</v>
      </c>
      <c r="B103" s="1864">
        <v>573.38</v>
      </c>
      <c r="C103" s="1865">
        <f t="shared" si="0"/>
        <v>3.3713131895867887E-2</v>
      </c>
    </row>
    <row r="104" spans="1:3" x14ac:dyDescent="0.25">
      <c r="A104" s="1863">
        <v>41730</v>
      </c>
      <c r="B104" s="1864">
        <v>583.85</v>
      </c>
      <c r="C104" s="1865">
        <f t="shared" si="0"/>
        <v>1.8260141616380121E-2</v>
      </c>
    </row>
    <row r="105" spans="1:3" x14ac:dyDescent="0.25">
      <c r="A105" s="1863">
        <v>41764</v>
      </c>
      <c r="B105" s="1864">
        <v>564.85</v>
      </c>
      <c r="C105" s="1865">
        <f t="shared" si="0"/>
        <v>-3.2542605121178347E-2</v>
      </c>
    </row>
    <row r="106" spans="1:3" x14ac:dyDescent="0.25">
      <c r="A106" s="1863">
        <v>41792</v>
      </c>
      <c r="B106" s="1864">
        <v>556.79999999999995</v>
      </c>
      <c r="C106" s="1865">
        <f t="shared" si="0"/>
        <v>-1.4251571213596659E-2</v>
      </c>
    </row>
    <row r="107" spans="1:3" x14ac:dyDescent="0.25">
      <c r="A107" s="1863">
        <v>41821</v>
      </c>
      <c r="B107" s="1864">
        <v>578.07000000000005</v>
      </c>
      <c r="C107" s="1865">
        <f t="shared" si="0"/>
        <v>3.8200431034483007E-2</v>
      </c>
    </row>
    <row r="108" spans="1:3" x14ac:dyDescent="0.25">
      <c r="A108" s="1863">
        <v>41852</v>
      </c>
      <c r="B108" s="1864">
        <v>593.9</v>
      </c>
      <c r="C108" s="1865">
        <f t="shared" si="0"/>
        <v>2.7384226823740976E-2</v>
      </c>
    </row>
    <row r="109" spans="1:3" x14ac:dyDescent="0.25">
      <c r="A109" s="1863">
        <v>41885</v>
      </c>
      <c r="B109" s="1864">
        <v>640.75</v>
      </c>
      <c r="C109" s="1865">
        <f t="shared" si="0"/>
        <v>7.8885334231352022E-2</v>
      </c>
    </row>
    <row r="110" spans="1:3" x14ac:dyDescent="0.25">
      <c r="A110" s="1863">
        <v>41913</v>
      </c>
      <c r="B110" s="1864">
        <v>609.27</v>
      </c>
      <c r="C110" s="1865">
        <f t="shared" si="0"/>
        <v>-4.912992586812337E-2</v>
      </c>
    </row>
    <row r="111" spans="1:3" x14ac:dyDescent="0.25">
      <c r="A111" s="1863">
        <v>41946</v>
      </c>
      <c r="B111" s="1864">
        <v>603.15</v>
      </c>
      <c r="C111" s="1865">
        <f t="shared" si="0"/>
        <v>-1.0044807720714921E-2</v>
      </c>
    </row>
    <row r="112" spans="1:3" x14ac:dyDescent="0.25">
      <c r="A112" s="1863">
        <v>41974</v>
      </c>
      <c r="B112" s="1864">
        <v>568.01</v>
      </c>
      <c r="C112" s="1865">
        <f t="shared" si="0"/>
        <v>-5.8260797479897208E-2</v>
      </c>
    </row>
    <row r="113" spans="1:3" x14ac:dyDescent="0.25">
      <c r="A113" s="1863">
        <v>42009</v>
      </c>
      <c r="B113" s="1864">
        <v>544.45000000000005</v>
      </c>
      <c r="C113" s="1865">
        <f t="shared" si="0"/>
        <v>-4.147814299044017E-2</v>
      </c>
    </row>
    <row r="114" spans="1:3" x14ac:dyDescent="0.25">
      <c r="A114" s="1863">
        <v>42037</v>
      </c>
      <c r="B114" s="1864">
        <v>570.37</v>
      </c>
      <c r="C114" s="1865">
        <f t="shared" si="0"/>
        <v>4.76076774726788E-2</v>
      </c>
    </row>
    <row r="115" spans="1:3" x14ac:dyDescent="0.25">
      <c r="A115" s="1863">
        <v>42065</v>
      </c>
      <c r="B115" s="1864">
        <v>590.73</v>
      </c>
      <c r="C115" s="1865">
        <f t="shared" si="0"/>
        <v>3.5696127075407258E-2</v>
      </c>
    </row>
    <row r="116" spans="1:3" x14ac:dyDescent="0.25">
      <c r="A116" s="1863">
        <v>42095</v>
      </c>
      <c r="B116" s="1864">
        <v>538.91</v>
      </c>
      <c r="C116" s="1865">
        <f t="shared" si="0"/>
        <v>-8.7721971120478082E-2</v>
      </c>
    </row>
    <row r="117" spans="1:3" x14ac:dyDescent="0.25">
      <c r="A117" s="1863">
        <v>42128</v>
      </c>
      <c r="B117" s="1864">
        <v>545.08000000000004</v>
      </c>
      <c r="C117" s="1865">
        <f t="shared" si="0"/>
        <v>1.1449036017145753E-2</v>
      </c>
    </row>
    <row r="118" spans="1:3" x14ac:dyDescent="0.25">
      <c r="A118" s="1863">
        <v>42156</v>
      </c>
      <c r="B118" s="1864">
        <v>574.98</v>
      </c>
      <c r="C118" s="1865">
        <f t="shared" si="0"/>
        <v>5.4854333308872016E-2</v>
      </c>
    </row>
    <row r="119" spans="1:3" x14ac:dyDescent="0.25">
      <c r="A119" s="1863">
        <v>42186</v>
      </c>
      <c r="B119" s="1864">
        <v>591.5</v>
      </c>
      <c r="C119" s="1865">
        <f t="shared" si="0"/>
        <v>2.8731434136839429E-2</v>
      </c>
    </row>
    <row r="120" spans="1:3" x14ac:dyDescent="0.25">
      <c r="A120" s="1863">
        <v>42219</v>
      </c>
      <c r="B120" s="1864">
        <v>609.47</v>
      </c>
      <c r="C120" s="1865">
        <f t="shared" si="0"/>
        <v>3.0380388841927397E-2</v>
      </c>
    </row>
    <row r="121" spans="1:3" x14ac:dyDescent="0.25">
      <c r="A121" s="1863">
        <v>42248</v>
      </c>
      <c r="B121" s="1864">
        <v>562.30999999999995</v>
      </c>
      <c r="C121" s="1865">
        <f t="shared" si="0"/>
        <v>-7.7378706088897076E-2</v>
      </c>
    </row>
    <row r="122" spans="1:3" x14ac:dyDescent="0.25">
      <c r="A122" s="1863">
        <v>42278</v>
      </c>
      <c r="B122" s="1864">
        <v>563.54</v>
      </c>
      <c r="C122" s="1865">
        <f t="shared" si="0"/>
        <v>2.1874055236434931E-3</v>
      </c>
    </row>
    <row r="123" spans="1:3" x14ac:dyDescent="0.25">
      <c r="A123" s="1863">
        <v>42310</v>
      </c>
      <c r="B123" s="1864">
        <v>602.76</v>
      </c>
      <c r="C123" s="1865">
        <f t="shared" si="0"/>
        <v>6.9595769599318569E-2</v>
      </c>
    </row>
    <row r="124" spans="1:3" x14ac:dyDescent="0.25">
      <c r="A124" s="1863">
        <v>42339</v>
      </c>
      <c r="B124" s="1864">
        <v>570.41</v>
      </c>
      <c r="C124" s="1865">
        <f t="shared" si="0"/>
        <v>-5.3669785652664448E-2</v>
      </c>
    </row>
    <row r="125" spans="1:3" x14ac:dyDescent="0.25">
      <c r="A125" s="1863">
        <v>42373</v>
      </c>
      <c r="B125" s="1864">
        <v>574.41</v>
      </c>
      <c r="C125" s="1865">
        <f t="shared" si="0"/>
        <v>7.0124997808593825E-3</v>
      </c>
    </row>
    <row r="126" spans="1:3" x14ac:dyDescent="0.25">
      <c r="A126" s="1863">
        <v>42401</v>
      </c>
      <c r="B126" s="1864">
        <v>540.55999999999995</v>
      </c>
      <c r="C126" s="1865">
        <f t="shared" si="0"/>
        <v>-5.8930032555143619E-2</v>
      </c>
    </row>
    <row r="127" spans="1:3" x14ac:dyDescent="0.25">
      <c r="A127" s="1863">
        <v>42430</v>
      </c>
      <c r="B127" s="1864">
        <v>561.55999999999995</v>
      </c>
      <c r="C127" s="1865">
        <f t="shared" si="0"/>
        <v>3.8848601450347742E-2</v>
      </c>
    </row>
    <row r="128" spans="1:3" x14ac:dyDescent="0.25">
      <c r="A128" s="1863">
        <v>42461</v>
      </c>
      <c r="B128" s="1864">
        <v>558.42999999999995</v>
      </c>
      <c r="C128" s="1865">
        <f t="shared" si="0"/>
        <v>-5.573758814730434E-3</v>
      </c>
    </row>
    <row r="129" spans="1:3" x14ac:dyDescent="0.25">
      <c r="A129" s="1863">
        <v>42494</v>
      </c>
      <c r="B129" s="1864">
        <v>599.07000000000005</v>
      </c>
      <c r="C129" s="1865">
        <f t="shared" si="0"/>
        <v>7.2775459771144302E-2</v>
      </c>
    </row>
    <row r="130" spans="1:3" x14ac:dyDescent="0.25">
      <c r="A130" s="1863">
        <v>42522</v>
      </c>
      <c r="B130" s="1864">
        <v>619.86</v>
      </c>
      <c r="C130" s="1865">
        <f t="shared" si="0"/>
        <v>3.4703790875857621E-2</v>
      </c>
    </row>
    <row r="131" spans="1:3" x14ac:dyDescent="0.25">
      <c r="A131" s="1863">
        <v>42552</v>
      </c>
      <c r="B131" s="1864">
        <v>640.29999999999995</v>
      </c>
      <c r="C131" s="1865">
        <f t="shared" si="0"/>
        <v>3.2975187945665008E-2</v>
      </c>
    </row>
    <row r="132" spans="1:3" x14ac:dyDescent="0.25">
      <c r="A132" s="1863">
        <v>42583</v>
      </c>
      <c r="B132" s="1864">
        <v>648.38</v>
      </c>
      <c r="C132" s="1865">
        <f t="shared" si="0"/>
        <v>1.2619084803998204E-2</v>
      </c>
    </row>
    <row r="133" spans="1:3" x14ac:dyDescent="0.25">
      <c r="A133" s="1863">
        <v>42614</v>
      </c>
      <c r="B133" s="1864">
        <v>669.19</v>
      </c>
      <c r="C133" s="1865">
        <f t="shared" si="0"/>
        <v>3.2095376168296497E-2</v>
      </c>
    </row>
    <row r="134" spans="1:3" x14ac:dyDescent="0.25">
      <c r="A134" s="1863">
        <v>42646</v>
      </c>
      <c r="B134" s="1864">
        <v>683.05</v>
      </c>
      <c r="C134" s="1865">
        <f t="shared" si="0"/>
        <v>2.0711606569135732E-2</v>
      </c>
    </row>
    <row r="135" spans="1:3" x14ac:dyDescent="0.25">
      <c r="A135" s="1863">
        <v>42675</v>
      </c>
      <c r="B135" s="1864">
        <v>676.6</v>
      </c>
      <c r="C135" s="1865">
        <f t="shared" si="0"/>
        <v>-9.4429397555082506E-3</v>
      </c>
    </row>
    <row r="136" spans="1:3" x14ac:dyDescent="0.25">
      <c r="A136" s="1863">
        <v>42705</v>
      </c>
      <c r="B136" s="1864">
        <v>666.54</v>
      </c>
      <c r="C136" s="1865">
        <f t="shared" si="0"/>
        <v>-1.4868459946792867E-2</v>
      </c>
    </row>
    <row r="137" spans="1:3" x14ac:dyDescent="0.25">
      <c r="A137" s="1863">
        <v>42738</v>
      </c>
      <c r="B137" s="1864">
        <v>672.01</v>
      </c>
      <c r="C137" s="1865">
        <f t="shared" si="0"/>
        <v>8.2065592462567949E-3</v>
      </c>
    </row>
    <row r="138" spans="1:3" x14ac:dyDescent="0.25">
      <c r="A138" s="1863">
        <v>42768</v>
      </c>
      <c r="B138" s="1864">
        <v>703.18</v>
      </c>
      <c r="C138" s="1865">
        <f t="shared" si="0"/>
        <v>4.6383238344667399E-2</v>
      </c>
    </row>
    <row r="139" spans="1:3" x14ac:dyDescent="0.25">
      <c r="A139" s="1863">
        <v>42795</v>
      </c>
      <c r="B139" s="1864">
        <v>709.52</v>
      </c>
      <c r="C139" s="1865">
        <f t="shared" si="0"/>
        <v>9.0161836229700754E-3</v>
      </c>
    </row>
    <row r="140" spans="1:3" x14ac:dyDescent="0.25">
      <c r="A140" s="1863">
        <v>42828</v>
      </c>
      <c r="B140" s="1864">
        <v>722.38</v>
      </c>
      <c r="C140" s="1865">
        <f t="shared" si="0"/>
        <v>1.812492952982292E-2</v>
      </c>
    </row>
    <row r="141" spans="1:3" x14ac:dyDescent="0.25">
      <c r="A141" s="1863">
        <v>42858</v>
      </c>
      <c r="B141" s="1864">
        <v>719.54</v>
      </c>
      <c r="C141" s="1865">
        <f t="shared" si="0"/>
        <v>-3.9314488219497346E-3</v>
      </c>
    </row>
    <row r="142" spans="1:3" x14ac:dyDescent="0.25">
      <c r="A142" s="1863">
        <v>42887</v>
      </c>
      <c r="B142" s="1864">
        <v>741.8</v>
      </c>
      <c r="C142" s="1865">
        <f t="shared" si="0"/>
        <v>3.0936431609083659E-2</v>
      </c>
    </row>
    <row r="143" spans="1:3" x14ac:dyDescent="0.25">
      <c r="A143" s="1863">
        <v>42919</v>
      </c>
      <c r="B143" s="1864">
        <v>778.88</v>
      </c>
      <c r="C143" s="1865">
        <f t="shared" si="0"/>
        <v>4.9986519277433361E-2</v>
      </c>
    </row>
    <row r="144" spans="1:3" x14ac:dyDescent="0.25">
      <c r="A144" s="1863">
        <v>42948</v>
      </c>
      <c r="B144" s="1864">
        <v>786.81</v>
      </c>
      <c r="C144" s="1865">
        <f t="shared" si="0"/>
        <v>1.0181285949055097E-2</v>
      </c>
    </row>
    <row r="145" spans="1:3" x14ac:dyDescent="0.25">
      <c r="A145" s="1863">
        <v>42979</v>
      </c>
      <c r="B145" s="1864">
        <v>788.73</v>
      </c>
      <c r="C145" s="1865">
        <f t="shared" si="0"/>
        <v>2.4402333473139137E-3</v>
      </c>
    </row>
    <row r="146" spans="1:3" x14ac:dyDescent="0.25">
      <c r="A146" s="1863">
        <v>43010</v>
      </c>
      <c r="B146" s="1864">
        <v>802.23</v>
      </c>
      <c r="C146" s="1865">
        <f t="shared" si="0"/>
        <v>1.7116123388231763E-2</v>
      </c>
    </row>
    <row r="147" spans="1:3" x14ac:dyDescent="0.25">
      <c r="A147" s="1863">
        <v>43040</v>
      </c>
      <c r="B147" s="1864">
        <v>842.71</v>
      </c>
      <c r="C147" s="1865">
        <f t="shared" si="0"/>
        <v>5.0459344576991638E-2</v>
      </c>
    </row>
    <row r="148" spans="1:3" x14ac:dyDescent="0.25">
      <c r="A148" s="1863">
        <v>43070</v>
      </c>
      <c r="B148" s="1864">
        <v>960.33</v>
      </c>
      <c r="C148" s="1865">
        <f t="shared" si="0"/>
        <v>0.13957351876683566</v>
      </c>
    </row>
    <row r="149" spans="1:3" x14ac:dyDescent="0.25">
      <c r="A149" s="1863">
        <v>43102</v>
      </c>
      <c r="B149" s="1864">
        <v>995.77</v>
      </c>
      <c r="C149" s="1865">
        <f t="shared" si="0"/>
        <v>3.6903980923224333E-2</v>
      </c>
    </row>
    <row r="150" spans="1:3" x14ac:dyDescent="0.25">
      <c r="A150" s="1863">
        <v>43132</v>
      </c>
      <c r="B150" s="1864">
        <v>1099.67</v>
      </c>
      <c r="C150" s="1865">
        <f t="shared" si="0"/>
        <v>0.10434136396959137</v>
      </c>
    </row>
    <row r="151" spans="1:3" x14ac:dyDescent="0.25">
      <c r="A151" s="1863">
        <v>43160</v>
      </c>
      <c r="B151" s="1864">
        <v>1115.79</v>
      </c>
      <c r="C151" s="1865">
        <f t="shared" si="0"/>
        <v>1.4658943137486613E-2</v>
      </c>
    </row>
    <row r="152" spans="1:3" x14ac:dyDescent="0.25">
      <c r="A152" s="1863">
        <v>43192</v>
      </c>
      <c r="B152" s="1864">
        <v>1196.6099999999999</v>
      </c>
      <c r="C152" s="1865">
        <f t="shared" si="0"/>
        <v>7.2432984701422232E-2</v>
      </c>
    </row>
    <row r="153" spans="1:3" x14ac:dyDescent="0.25">
      <c r="A153" s="1863">
        <v>43222</v>
      </c>
      <c r="B153" s="1864">
        <v>1029.08</v>
      </c>
      <c r="C153" s="1865">
        <f t="shared" si="0"/>
        <v>-0.14000384419317902</v>
      </c>
    </row>
    <row r="154" spans="1:3" x14ac:dyDescent="0.25">
      <c r="A154" s="1863">
        <v>43252</v>
      </c>
      <c r="B154" s="1864">
        <v>992.87</v>
      </c>
      <c r="C154" s="1865">
        <f t="shared" si="0"/>
        <v>-3.5186768764333132E-2</v>
      </c>
    </row>
    <row r="155" spans="1:3" x14ac:dyDescent="0.25">
      <c r="A155" s="1863">
        <v>43283</v>
      </c>
      <c r="B155" s="1864">
        <v>947.15</v>
      </c>
      <c r="C155" s="1865">
        <f t="shared" si="0"/>
        <v>-4.6048324554070597E-2</v>
      </c>
    </row>
    <row r="156" spans="1:3" x14ac:dyDescent="0.25">
      <c r="A156" s="1863">
        <v>43313</v>
      </c>
      <c r="B156" s="1864">
        <v>952.77</v>
      </c>
      <c r="C156" s="1865">
        <f t="shared" si="0"/>
        <v>5.9335902444175304E-3</v>
      </c>
    </row>
    <row r="157" spans="1:3" x14ac:dyDescent="0.25">
      <c r="A157" s="1863">
        <v>43347</v>
      </c>
      <c r="B157" s="1864">
        <v>975.94</v>
      </c>
      <c r="C157" s="1865">
        <f t="shared" si="0"/>
        <v>2.43185658658438E-2</v>
      </c>
    </row>
    <row r="158" spans="1:3" x14ac:dyDescent="0.25">
      <c r="A158" s="1863">
        <v>43374</v>
      </c>
      <c r="B158" s="1864">
        <v>1012.88</v>
      </c>
      <c r="C158" s="1865">
        <f t="shared" si="0"/>
        <v>3.7850687542266837E-2</v>
      </c>
    </row>
    <row r="159" spans="1:3" x14ac:dyDescent="0.25">
      <c r="A159" s="1863">
        <v>43405</v>
      </c>
      <c r="B159" s="1864">
        <v>907.96</v>
      </c>
      <c r="C159" s="1865">
        <f t="shared" si="0"/>
        <v>-0.10358581470657924</v>
      </c>
    </row>
    <row r="160" spans="1:3" x14ac:dyDescent="0.25">
      <c r="A160" s="1863">
        <v>43437</v>
      </c>
      <c r="B160" s="1864">
        <v>951.59</v>
      </c>
      <c r="C160" s="1865">
        <f t="shared" si="0"/>
        <v>4.8052777655403389E-2</v>
      </c>
    </row>
    <row r="161" spans="1:3" x14ac:dyDescent="0.25">
      <c r="A161" s="1863">
        <v>43467</v>
      </c>
      <c r="B161" s="1864">
        <v>891.75</v>
      </c>
      <c r="C161" s="1865">
        <f t="shared" ref="C161:C214" si="1">B161/B160-1</f>
        <v>-6.2884225349152501E-2</v>
      </c>
    </row>
    <row r="162" spans="1:3" x14ac:dyDescent="0.25">
      <c r="A162" s="1863">
        <v>43497</v>
      </c>
      <c r="B162" s="1864">
        <v>908.67</v>
      </c>
      <c r="C162" s="1865">
        <f t="shared" si="1"/>
        <v>1.8973927670311141E-2</v>
      </c>
    </row>
    <row r="163" spans="1:3" x14ac:dyDescent="0.25">
      <c r="A163" s="1863">
        <v>43525</v>
      </c>
      <c r="B163" s="1864">
        <v>979.63</v>
      </c>
      <c r="C163" s="1865">
        <f t="shared" si="1"/>
        <v>7.8092156668537527E-2</v>
      </c>
    </row>
    <row r="164" spans="1:3" x14ac:dyDescent="0.25">
      <c r="A164" s="1863">
        <v>43556</v>
      </c>
      <c r="B164" s="1864">
        <v>988.53</v>
      </c>
      <c r="C164" s="1865">
        <f t="shared" si="1"/>
        <v>9.0850627277645479E-3</v>
      </c>
    </row>
    <row r="165" spans="1:3" x14ac:dyDescent="0.25">
      <c r="A165" s="1863">
        <v>43587</v>
      </c>
      <c r="B165" s="1864">
        <v>978.5</v>
      </c>
      <c r="C165" s="1865">
        <f t="shared" si="1"/>
        <v>-1.0146378966748526E-2</v>
      </c>
    </row>
    <row r="166" spans="1:3" x14ac:dyDescent="0.25">
      <c r="A166" s="1863">
        <v>43619</v>
      </c>
      <c r="B166" s="1864">
        <v>946.47</v>
      </c>
      <c r="C166" s="1865">
        <f t="shared" si="1"/>
        <v>-3.2733776188042851E-2</v>
      </c>
    </row>
    <row r="167" spans="1:3" x14ac:dyDescent="0.25">
      <c r="A167" s="1863">
        <v>43647</v>
      </c>
      <c r="B167" s="1864">
        <v>965.61</v>
      </c>
      <c r="C167" s="1865">
        <f t="shared" si="1"/>
        <v>2.0222511014612143E-2</v>
      </c>
    </row>
    <row r="168" spans="1:3" x14ac:dyDescent="0.25">
      <c r="A168" s="1863">
        <v>43678</v>
      </c>
      <c r="B168" s="1864">
        <v>997.39</v>
      </c>
      <c r="C168" s="1865">
        <f t="shared" si="1"/>
        <v>3.2911838112695602E-2</v>
      </c>
    </row>
    <row r="169" spans="1:3" x14ac:dyDescent="0.25">
      <c r="A169" s="1863">
        <v>43711</v>
      </c>
      <c r="B169" s="1864">
        <v>979.36</v>
      </c>
      <c r="C169" s="1865">
        <f t="shared" si="1"/>
        <v>-1.8077181443567736E-2</v>
      </c>
    </row>
    <row r="170" spans="1:3" x14ac:dyDescent="0.25">
      <c r="A170" s="1863">
        <v>43739</v>
      </c>
      <c r="B170" s="1864">
        <v>999.59</v>
      </c>
      <c r="C170" s="1865">
        <f t="shared" si="1"/>
        <v>2.0656347002123931E-2</v>
      </c>
    </row>
    <row r="171" spans="1:3" x14ac:dyDescent="0.25">
      <c r="A171" s="1863">
        <v>43770</v>
      </c>
      <c r="B171" s="1864">
        <v>1015.59</v>
      </c>
      <c r="C171" s="1865">
        <f t="shared" si="1"/>
        <v>1.6006562690703108E-2</v>
      </c>
    </row>
    <row r="172" spans="1:3" x14ac:dyDescent="0.25">
      <c r="A172" s="1863">
        <v>43801</v>
      </c>
      <c r="B172" s="1864">
        <v>959.31</v>
      </c>
      <c r="C172" s="1865">
        <f t="shared" si="1"/>
        <v>-5.5416063568960006E-2</v>
      </c>
    </row>
    <row r="173" spans="1:3" x14ac:dyDescent="0.25">
      <c r="A173" s="1863">
        <v>43832</v>
      </c>
      <c r="B173" s="1864">
        <v>966.67</v>
      </c>
      <c r="C173" s="1865">
        <f t="shared" si="1"/>
        <v>7.6721810467941243E-3</v>
      </c>
    </row>
    <row r="174" spans="1:3" x14ac:dyDescent="0.25">
      <c r="A174" s="1863">
        <v>43864</v>
      </c>
      <c r="B174" s="1864">
        <v>928.14</v>
      </c>
      <c r="C174" s="1865">
        <f t="shared" si="1"/>
        <v>-3.9858483246609455E-2</v>
      </c>
    </row>
    <row r="175" spans="1:3" x14ac:dyDescent="0.25">
      <c r="A175" s="1863">
        <v>43892</v>
      </c>
      <c r="B175" s="1864">
        <v>884.43</v>
      </c>
      <c r="C175" s="1865">
        <f t="shared" si="1"/>
        <v>-4.7094188376753499E-2</v>
      </c>
    </row>
    <row r="176" spans="1:3" x14ac:dyDescent="0.25">
      <c r="A176" s="1863">
        <v>43922</v>
      </c>
      <c r="B176" s="1864">
        <v>680.23</v>
      </c>
      <c r="C176" s="1865">
        <f t="shared" si="1"/>
        <v>-0.23088316768992456</v>
      </c>
    </row>
    <row r="177" spans="1:3" x14ac:dyDescent="0.25">
      <c r="A177" s="1863">
        <v>43955</v>
      </c>
      <c r="B177" s="1864">
        <v>762.47</v>
      </c>
      <c r="C177" s="1865">
        <f t="shared" si="1"/>
        <v>0.12090028372756279</v>
      </c>
    </row>
    <row r="178" spans="1:3" x14ac:dyDescent="0.25">
      <c r="A178" s="1863">
        <v>43983</v>
      </c>
      <c r="B178" s="1864">
        <v>878.67</v>
      </c>
      <c r="C178" s="1865">
        <f t="shared" si="1"/>
        <v>0.15239943866643935</v>
      </c>
    </row>
    <row r="179" spans="1:3" x14ac:dyDescent="0.25">
      <c r="A179" s="1863">
        <v>44013</v>
      </c>
      <c r="B179" s="1864">
        <v>843.49</v>
      </c>
      <c r="C179" s="1865">
        <f t="shared" si="1"/>
        <v>-4.0037784378663122E-2</v>
      </c>
    </row>
    <row r="180" spans="1:3" x14ac:dyDescent="0.25">
      <c r="A180" s="1863">
        <v>44046</v>
      </c>
      <c r="B180" s="1864">
        <v>814.65</v>
      </c>
      <c r="C180" s="1865">
        <f t="shared" si="1"/>
        <v>-3.4191276719344632E-2</v>
      </c>
    </row>
    <row r="181" spans="1:3" x14ac:dyDescent="0.25">
      <c r="A181" s="1863">
        <v>44075</v>
      </c>
      <c r="B181" s="1864">
        <v>891.73</v>
      </c>
      <c r="C181" s="1865">
        <f t="shared" si="1"/>
        <v>9.4617320321610521E-2</v>
      </c>
    </row>
    <row r="182" spans="1:3" x14ac:dyDescent="0.25">
      <c r="A182" s="1863">
        <v>44105</v>
      </c>
      <c r="B182" s="1864">
        <v>914.09</v>
      </c>
      <c r="C182" s="1865">
        <f t="shared" si="1"/>
        <v>2.507485449631619E-2</v>
      </c>
    </row>
    <row r="183" spans="1:3" x14ac:dyDescent="0.25">
      <c r="A183" s="1863">
        <v>44137</v>
      </c>
      <c r="B183" s="1864">
        <v>933.68</v>
      </c>
      <c r="C183" s="1865">
        <f t="shared" si="1"/>
        <v>2.1431150105569285E-2</v>
      </c>
    </row>
    <row r="184" spans="1:3" x14ac:dyDescent="0.25">
      <c r="A184" s="1863">
        <v>44166</v>
      </c>
      <c r="B184" s="1864">
        <v>1008.87</v>
      </c>
      <c r="C184" s="1865">
        <f t="shared" si="1"/>
        <v>8.0530802844657856E-2</v>
      </c>
    </row>
    <row r="185" spans="1:3" x14ac:dyDescent="0.25">
      <c r="A185" s="1863">
        <v>44200</v>
      </c>
      <c r="B185" s="1864">
        <v>1120.47</v>
      </c>
      <c r="C185" s="1865">
        <f t="shared" si="1"/>
        <v>0.11061881114514271</v>
      </c>
    </row>
    <row r="186" spans="1:3" x14ac:dyDescent="0.25">
      <c r="A186" s="1863">
        <v>44228</v>
      </c>
      <c r="B186" s="1864">
        <v>1035.51</v>
      </c>
      <c r="C186" s="1865">
        <f t="shared" si="1"/>
        <v>-7.5825323301828673E-2</v>
      </c>
    </row>
    <row r="187" spans="1:3" x14ac:dyDescent="0.25">
      <c r="A187" s="1863">
        <v>44256</v>
      </c>
      <c r="B187" s="1864">
        <v>1186.17</v>
      </c>
      <c r="C187" s="1865">
        <f t="shared" si="1"/>
        <v>0.14549352492974488</v>
      </c>
    </row>
    <row r="188" spans="1:3" x14ac:dyDescent="0.25">
      <c r="A188" s="1863">
        <v>44287</v>
      </c>
      <c r="B188" s="1864">
        <v>1216.0999999999999</v>
      </c>
      <c r="C188" s="1865">
        <f t="shared" si="1"/>
        <v>2.5232470893716608E-2</v>
      </c>
    </row>
    <row r="189" spans="1:3" x14ac:dyDescent="0.25">
      <c r="A189" s="1863">
        <v>44320</v>
      </c>
      <c r="B189" s="1864">
        <v>1242.2</v>
      </c>
      <c r="C189" s="1865">
        <f t="shared" si="1"/>
        <v>2.1462050818189304E-2</v>
      </c>
    </row>
    <row r="190" spans="1:3" x14ac:dyDescent="0.25">
      <c r="A190" s="1863">
        <v>44348</v>
      </c>
      <c r="B190" s="1864">
        <v>1337.78</v>
      </c>
      <c r="C190" s="1865">
        <f t="shared" si="1"/>
        <v>7.6944131379810043E-2</v>
      </c>
    </row>
    <row r="191" spans="1:3" x14ac:dyDescent="0.25">
      <c r="A191" s="1863">
        <v>44378</v>
      </c>
      <c r="B191" s="1864">
        <v>1417.08</v>
      </c>
      <c r="C191" s="1865">
        <f t="shared" si="1"/>
        <v>5.9277310170581021E-2</v>
      </c>
    </row>
    <row r="192" spans="1:3" x14ac:dyDescent="0.25">
      <c r="A192" s="1863">
        <v>44410</v>
      </c>
      <c r="B192" s="1864">
        <v>1314.22</v>
      </c>
      <c r="C192" s="1865">
        <f t="shared" si="1"/>
        <v>-7.2585880825359106E-2</v>
      </c>
    </row>
    <row r="193" spans="1:3" x14ac:dyDescent="0.25">
      <c r="A193" s="1863">
        <v>44440</v>
      </c>
      <c r="B193" s="1864">
        <v>1334.65</v>
      </c>
      <c r="C193" s="1865">
        <f t="shared" si="1"/>
        <v>1.5545342484515556E-2</v>
      </c>
    </row>
    <row r="194" spans="1:3" x14ac:dyDescent="0.25">
      <c r="A194" s="1863">
        <v>44470</v>
      </c>
      <c r="B194" s="1864">
        <v>1334.89</v>
      </c>
      <c r="C194" s="1865">
        <f t="shared" si="1"/>
        <v>1.7982242535485859E-4</v>
      </c>
    </row>
    <row r="195" spans="1:3" x14ac:dyDescent="0.25">
      <c r="A195" s="1863">
        <v>44501</v>
      </c>
      <c r="B195" s="1864">
        <v>1438.97</v>
      </c>
      <c r="C195" s="1865">
        <f t="shared" si="1"/>
        <v>7.7968971226093586E-2</v>
      </c>
    </row>
    <row r="196" spans="1:3" x14ac:dyDescent="0.25">
      <c r="A196" s="1863">
        <v>44531</v>
      </c>
      <c r="B196" s="1864">
        <v>1485.1899000000001</v>
      </c>
      <c r="C196" s="1865">
        <f t="shared" si="1"/>
        <v>3.2120127591263259E-2</v>
      </c>
    </row>
    <row r="197" spans="1:3" x14ac:dyDescent="0.25">
      <c r="A197" s="1863">
        <v>44565</v>
      </c>
      <c r="B197" s="1864">
        <v>1525.58</v>
      </c>
      <c r="C197" s="1865">
        <f t="shared" si="1"/>
        <v>2.719524284402941E-2</v>
      </c>
    </row>
    <row r="198" spans="1:3" x14ac:dyDescent="0.25">
      <c r="A198" s="1863">
        <v>44599</v>
      </c>
      <c r="B198" s="1864">
        <v>1497.66</v>
      </c>
      <c r="C198" s="1865">
        <f t="shared" si="1"/>
        <v>-1.830123625113067E-2</v>
      </c>
    </row>
    <row r="199" spans="1:3" x14ac:dyDescent="0.25">
      <c r="A199" s="1863">
        <v>44621</v>
      </c>
      <c r="B199" s="1864">
        <v>1498.78</v>
      </c>
      <c r="C199" s="1865">
        <f t="shared" si="1"/>
        <v>7.4783328659377979E-4</v>
      </c>
    </row>
    <row r="200" spans="1:3" x14ac:dyDescent="0.25">
      <c r="A200" s="1863">
        <v>44652</v>
      </c>
      <c r="B200" s="1864">
        <v>1516.4399000000001</v>
      </c>
      <c r="C200" s="1865">
        <f t="shared" si="1"/>
        <v>1.1782850051375249E-2</v>
      </c>
    </row>
    <row r="201" spans="1:3" x14ac:dyDescent="0.25">
      <c r="A201" s="1863">
        <v>44685</v>
      </c>
      <c r="B201" s="1864">
        <v>1348.6801</v>
      </c>
      <c r="C201" s="1865">
        <f t="shared" si="1"/>
        <v>-0.1106273977623512</v>
      </c>
    </row>
    <row r="202" spans="1:3" x14ac:dyDescent="0.25">
      <c r="A202" s="1863">
        <v>44713</v>
      </c>
      <c r="B202" s="1864">
        <v>1299.52</v>
      </c>
      <c r="C202" s="1865">
        <f t="shared" si="1"/>
        <v>-3.6450526703849184E-2</v>
      </c>
    </row>
    <row r="203" spans="1:3" x14ac:dyDescent="0.25">
      <c r="A203" s="1863">
        <v>44743</v>
      </c>
      <c r="B203" s="1864">
        <v>1198.9000000000001</v>
      </c>
      <c r="C203" s="1865">
        <f t="shared" si="1"/>
        <v>-7.7428589017483285E-2</v>
      </c>
    </row>
    <row r="204" spans="1:3" x14ac:dyDescent="0.25">
      <c r="A204" s="1863">
        <v>44774</v>
      </c>
      <c r="B204" s="1864">
        <v>1231.3499999999999</v>
      </c>
      <c r="C204" s="1865">
        <f t="shared" si="1"/>
        <v>2.7066477604470673E-2</v>
      </c>
    </row>
    <row r="205" spans="1:3" x14ac:dyDescent="0.25">
      <c r="A205" s="1863">
        <v>44809</v>
      </c>
      <c r="B205" s="1864">
        <v>1277.3499999999999</v>
      </c>
      <c r="C205" s="1865">
        <f t="shared" si="1"/>
        <v>3.7357371990092147E-2</v>
      </c>
    </row>
    <row r="206" spans="1:3" x14ac:dyDescent="0.25">
      <c r="A206" s="1863">
        <v>44837</v>
      </c>
      <c r="B206" s="1864">
        <v>1086.4399000000001</v>
      </c>
      <c r="C206" s="1865">
        <f t="shared" si="1"/>
        <v>-0.1494579402669588</v>
      </c>
    </row>
    <row r="207" spans="1:3" x14ac:dyDescent="0.25">
      <c r="A207" s="1863">
        <v>44866</v>
      </c>
      <c r="B207" s="1864">
        <v>1033.75</v>
      </c>
      <c r="C207" s="1865">
        <f t="shared" si="1"/>
        <v>-4.8497758596679041E-2</v>
      </c>
    </row>
    <row r="208" spans="1:3" x14ac:dyDescent="0.25">
      <c r="A208" s="1863">
        <v>44896</v>
      </c>
      <c r="B208" s="1864">
        <v>1036.28</v>
      </c>
      <c r="C208" s="1865">
        <f t="shared" si="1"/>
        <v>2.4474002418379825E-3</v>
      </c>
    </row>
    <row r="209" spans="1:3" x14ac:dyDescent="0.25">
      <c r="A209" s="1863">
        <v>44929</v>
      </c>
      <c r="B209" s="1864">
        <v>1043.9000000000001</v>
      </c>
      <c r="C209" s="1865">
        <f t="shared" si="1"/>
        <v>7.3532249971051122E-3</v>
      </c>
    </row>
    <row r="210" spans="1:3" x14ac:dyDescent="0.25">
      <c r="A210" s="1863">
        <v>44958</v>
      </c>
      <c r="B210" s="1864">
        <v>1075.97</v>
      </c>
      <c r="C210" s="1865">
        <f t="shared" si="1"/>
        <v>3.072133346105943E-2</v>
      </c>
    </row>
    <row r="211" spans="1:3" x14ac:dyDescent="0.25">
      <c r="A211" s="1863">
        <v>44986</v>
      </c>
      <c r="B211" s="1864">
        <v>1040.55</v>
      </c>
      <c r="C211" s="1865">
        <f t="shared" si="1"/>
        <v>-3.2919133433088388E-2</v>
      </c>
    </row>
    <row r="212" spans="1:3" x14ac:dyDescent="0.25">
      <c r="A212" s="1863">
        <v>45019</v>
      </c>
      <c r="B212" s="1864">
        <v>1079.28</v>
      </c>
      <c r="C212" s="1865">
        <f t="shared" si="1"/>
        <v>3.7220700591033662E-2</v>
      </c>
    </row>
    <row r="213" spans="1:3" x14ac:dyDescent="0.25">
      <c r="A213" s="1863">
        <v>45050</v>
      </c>
      <c r="B213" s="1864">
        <v>1040.6099999999999</v>
      </c>
      <c r="C213" s="1865">
        <f t="shared" si="1"/>
        <v>-3.5829441850122379E-2</v>
      </c>
    </row>
    <row r="214" spans="1:3" x14ac:dyDescent="0.25">
      <c r="A214" s="1863">
        <v>45078</v>
      </c>
      <c r="B214" s="1864">
        <v>1078.3900000000001</v>
      </c>
      <c r="C214" s="1865">
        <f t="shared" si="1"/>
        <v>3.6305628429479153E-2</v>
      </c>
    </row>
    <row r="215" spans="1:3" x14ac:dyDescent="0.25">
      <c r="A215" s="2228"/>
      <c r="B215" s="2229"/>
      <c r="C215" s="1866">
        <f>AVERAGE(C96:C214)</f>
        <v>8.5504390156723592E-3</v>
      </c>
    </row>
    <row r="216" spans="1:3" x14ac:dyDescent="0.25">
      <c r="A216" s="2228"/>
      <c r="B216" s="2229"/>
      <c r="C216" s="1866">
        <f>+(1+C215)^12-1</f>
        <v>0.10757073803045625</v>
      </c>
    </row>
  </sheetData>
  <mergeCells count="37">
    <mergeCell ref="B8:G8"/>
    <mergeCell ref="A1:G1"/>
    <mergeCell ref="A3:G3"/>
    <mergeCell ref="B5:G5"/>
    <mergeCell ref="B6:G6"/>
    <mergeCell ref="B7:G7"/>
    <mergeCell ref="B9:G9"/>
    <mergeCell ref="B10:G10"/>
    <mergeCell ref="B12:C12"/>
    <mergeCell ref="E12:F12"/>
    <mergeCell ref="B13:C13"/>
    <mergeCell ref="E13:F13"/>
    <mergeCell ref="B21:C21"/>
    <mergeCell ref="E21:F21"/>
    <mergeCell ref="B14:C14"/>
    <mergeCell ref="E14:F14"/>
    <mergeCell ref="B15:C15"/>
    <mergeCell ref="E15:F15"/>
    <mergeCell ref="B16:C16"/>
    <mergeCell ref="E16:F16"/>
    <mergeCell ref="B17:C17"/>
    <mergeCell ref="E17:F17"/>
    <mergeCell ref="A19:F19"/>
    <mergeCell ref="B20:C20"/>
    <mergeCell ref="E20:F20"/>
    <mergeCell ref="I72:M72"/>
    <mergeCell ref="A215:B215"/>
    <mergeCell ref="A216:B216"/>
    <mergeCell ref="B22:C22"/>
    <mergeCell ref="E22:F22"/>
    <mergeCell ref="A25:F25"/>
    <mergeCell ref="A26:A27"/>
    <mergeCell ref="B26:B27"/>
    <mergeCell ref="C26:G26"/>
    <mergeCell ref="C49:F49"/>
    <mergeCell ref="D58:E58"/>
    <mergeCell ref="D59:E59"/>
  </mergeCells>
  <hyperlinks>
    <hyperlink ref="I72" display="https://vst.mof.gov.vn/webcenter/portal/mkbnn/r/m/ptrphchph9/pdagitasa9/pkehophha_chitiet129?dDocName=KBNN212429&amp;dID=223531&amp;_afrLoop=16233214472283060&amp;_adf.ctrl-state=15jvl7nwks_22#!%40%40%3F_afrLoop%3D16233214472283060%26dDocName%3DKBNN212429%26dID%3D223" xr:uid="{3B1CE762-6F18-4728-8FC0-25A1B4DC0FD9}"/>
  </hyperlinks>
  <printOptions horizontalCentered="1"/>
  <pageMargins left="0.70866141732283472" right="0.70866141732283472" top="0.74803149606299213" bottom="0.74803149606299213" header="0.31496062992125984" footer="0.31496062992125984"/>
  <pageSetup paperSize="9" scale="78" orientation="landscape" r:id="rId1"/>
  <rowBreaks count="1" manualBreakCount="1">
    <brk id="23" max="6"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ADF6D-DB03-476D-9DF3-052CE0111EC6}">
  <sheetPr codeName="Sheet2">
    <tabColor rgb="FF0070C0"/>
    <pageSetUpPr fitToPage="1"/>
  </sheetPr>
  <dimension ref="B2:AA87"/>
  <sheetViews>
    <sheetView showGridLines="0" zoomScale="85" zoomScaleNormal="85" workbookViewId="0">
      <selection activeCell="C20" sqref="C20"/>
    </sheetView>
  </sheetViews>
  <sheetFormatPr defaultColWidth="9.140625" defaultRowHeight="15" x14ac:dyDescent="0.25"/>
  <cols>
    <col min="1" max="1" width="4.7109375" customWidth="1"/>
    <col min="2" max="2" width="37.5703125" bestFit="1" customWidth="1"/>
    <col min="3" max="3" width="12.28515625" customWidth="1"/>
    <col min="4" max="4" width="25.28515625" style="16" bestFit="1" customWidth="1"/>
    <col min="5" max="6" width="15.85546875" customWidth="1"/>
    <col min="7" max="7" width="19.5703125" customWidth="1"/>
    <col min="8" max="8" width="11.85546875" customWidth="1"/>
    <col min="9" max="9" width="14.7109375" customWidth="1"/>
    <col min="10" max="16" width="8" customWidth="1"/>
    <col min="17" max="21" width="8" style="60" customWidth="1"/>
    <col min="22" max="23" width="9.140625" style="60" customWidth="1"/>
    <col min="24" max="25" width="9.140625" style="60"/>
  </cols>
  <sheetData>
    <row r="2" spans="2:25" x14ac:dyDescent="0.25">
      <c r="B2" s="2248" t="s">
        <v>747</v>
      </c>
      <c r="C2" s="2248"/>
      <c r="D2" s="2248"/>
      <c r="E2" s="2248"/>
      <c r="F2" s="2248"/>
      <c r="G2" s="2248"/>
    </row>
    <row r="3" spans="2:25" x14ac:dyDescent="0.25">
      <c r="B3" s="9"/>
      <c r="C3" s="156"/>
      <c r="D3" s="1636"/>
      <c r="E3" s="463"/>
      <c r="F3" s="463"/>
      <c r="G3" s="463"/>
      <c r="H3" s="463"/>
      <c r="I3" s="463"/>
      <c r="J3" s="463"/>
      <c r="K3" s="463"/>
    </row>
    <row r="4" spans="2:25" ht="15.75" thickBot="1" x14ac:dyDescent="0.3">
      <c r="B4" s="1806" t="s">
        <v>748</v>
      </c>
      <c r="C4" s="465"/>
      <c r="D4" s="1637"/>
      <c r="E4" s="466"/>
      <c r="F4" s="466"/>
      <c r="G4" s="466"/>
      <c r="H4" s="463"/>
      <c r="I4" s="463"/>
      <c r="J4" s="463"/>
      <c r="K4" s="463"/>
    </row>
    <row r="5" spans="2:25" ht="17.25" x14ac:dyDescent="0.3">
      <c r="B5" s="9"/>
      <c r="C5" s="385"/>
      <c r="E5" s="3"/>
      <c r="F5" s="79"/>
      <c r="L5" s="467"/>
      <c r="Q5" s="468"/>
      <c r="R5" s="152"/>
      <c r="S5" s="468"/>
      <c r="T5" s="152"/>
      <c r="U5" s="468"/>
      <c r="V5" s="152"/>
      <c r="W5" s="468"/>
      <c r="X5" s="152"/>
      <c r="Y5" s="468"/>
    </row>
    <row r="6" spans="2:25" s="9" customFormat="1" x14ac:dyDescent="0.25">
      <c r="B6" s="9" t="s">
        <v>1832</v>
      </c>
      <c r="C6" s="1813">
        <v>12</v>
      </c>
      <c r="D6" s="1360" t="s">
        <v>1829</v>
      </c>
      <c r="Q6" s="474"/>
      <c r="R6" s="474"/>
      <c r="S6" s="474"/>
      <c r="T6" s="474"/>
      <c r="U6" s="474"/>
      <c r="V6" s="474"/>
      <c r="W6" s="474"/>
      <c r="X6" s="474"/>
      <c r="Y6" s="474"/>
    </row>
    <row r="7" spans="2:25" s="9" customFormat="1" x14ac:dyDescent="0.25">
      <c r="B7" s="9" t="s">
        <v>1830</v>
      </c>
      <c r="C7" s="1813">
        <v>30</v>
      </c>
      <c r="D7" s="1360" t="s">
        <v>1831</v>
      </c>
      <c r="Q7" s="474"/>
      <c r="R7" s="474"/>
      <c r="S7" s="474"/>
      <c r="T7" s="474"/>
      <c r="U7" s="474"/>
      <c r="V7" s="474"/>
      <c r="W7" s="474"/>
      <c r="X7" s="474"/>
      <c r="Y7" s="474"/>
    </row>
    <row r="8" spans="2:25" s="1814" customFormat="1" x14ac:dyDescent="0.25">
      <c r="B8" s="9" t="s">
        <v>749</v>
      </c>
      <c r="C8" s="1813">
        <v>8</v>
      </c>
      <c r="D8" s="1360" t="s">
        <v>750</v>
      </c>
      <c r="R8" s="474"/>
    </row>
    <row r="9" spans="2:25" x14ac:dyDescent="0.25">
      <c r="B9" s="9"/>
      <c r="C9" s="470"/>
      <c r="D9" s="471"/>
      <c r="K9" s="8"/>
      <c r="L9" s="469"/>
      <c r="P9" s="6"/>
      <c r="Q9" s="383"/>
      <c r="R9" s="383"/>
      <c r="S9" s="383"/>
      <c r="T9" s="383"/>
      <c r="U9" s="383"/>
      <c r="V9" s="383"/>
      <c r="W9" s="383"/>
      <c r="Y9" s="160"/>
    </row>
    <row r="10" spans="2:25" x14ac:dyDescent="0.25">
      <c r="B10" s="9" t="s">
        <v>1994</v>
      </c>
      <c r="C10" s="470"/>
      <c r="D10" s="471"/>
      <c r="K10" s="8"/>
      <c r="L10" s="469"/>
      <c r="P10" s="6"/>
      <c r="Q10" s="383"/>
      <c r="R10" s="383"/>
      <c r="S10" s="383"/>
      <c r="T10" s="383"/>
      <c r="U10" s="383"/>
      <c r="V10" s="383"/>
      <c r="W10" s="383"/>
      <c r="Y10" s="160"/>
    </row>
    <row r="11" spans="2:25" s="9" customFormat="1" x14ac:dyDescent="0.25">
      <c r="B11" s="1635" t="s">
        <v>1995</v>
      </c>
      <c r="C11" s="1807">
        <v>0.8</v>
      </c>
      <c r="D11" s="1808"/>
      <c r="E11" s="9" t="s">
        <v>1998</v>
      </c>
      <c r="K11" s="8"/>
      <c r="L11" s="1798"/>
      <c r="P11" s="158"/>
      <c r="Q11" s="1809"/>
      <c r="R11" s="1809"/>
      <c r="S11" s="1809"/>
      <c r="T11" s="1809"/>
      <c r="U11" s="1809"/>
      <c r="V11" s="1809"/>
      <c r="W11" s="1809"/>
      <c r="X11" s="474"/>
      <c r="Y11" s="690"/>
    </row>
    <row r="12" spans="2:25" s="9" customFormat="1" x14ac:dyDescent="0.25">
      <c r="B12" s="1635" t="s">
        <v>1996</v>
      </c>
      <c r="C12" s="1807">
        <v>0.13</v>
      </c>
      <c r="D12" s="1808"/>
      <c r="E12" s="9" t="s">
        <v>1998</v>
      </c>
      <c r="K12" s="8"/>
      <c r="L12" s="1798"/>
      <c r="P12" s="158"/>
      <c r="Q12" s="1809"/>
      <c r="R12" s="1809"/>
      <c r="S12" s="1809"/>
      <c r="T12" s="1809"/>
      <c r="U12" s="1809"/>
      <c r="V12" s="1809"/>
      <c r="W12" s="1809"/>
      <c r="X12" s="474"/>
      <c r="Y12" s="690"/>
    </row>
    <row r="13" spans="2:25" s="9" customFormat="1" x14ac:dyDescent="0.25">
      <c r="B13" s="1635" t="s">
        <v>1997</v>
      </c>
      <c r="C13" s="1807">
        <v>7.0000000000000007E-2</v>
      </c>
      <c r="D13" s="1808"/>
      <c r="E13" s="9" t="s">
        <v>1998</v>
      </c>
      <c r="K13" s="8"/>
      <c r="L13" s="1798"/>
      <c r="P13" s="158"/>
      <c r="Q13" s="1809"/>
      <c r="R13" s="1809"/>
      <c r="S13" s="1809"/>
      <c r="T13" s="1809"/>
      <c r="U13" s="1809"/>
      <c r="V13" s="1809"/>
      <c r="W13" s="1809"/>
      <c r="X13" s="474"/>
      <c r="Y13" s="690"/>
    </row>
    <row r="14" spans="2:25" x14ac:dyDescent="0.25">
      <c r="B14" s="9"/>
      <c r="C14" s="470"/>
      <c r="D14" s="471"/>
      <c r="K14" s="8"/>
      <c r="L14" s="469"/>
      <c r="P14" s="6"/>
      <c r="Q14" s="383"/>
      <c r="R14" s="383"/>
      <c r="S14" s="383"/>
      <c r="T14" s="383"/>
      <c r="U14" s="383"/>
      <c r="V14" s="383"/>
      <c r="W14" s="383"/>
      <c r="Y14" s="160"/>
    </row>
    <row r="15" spans="2:25" x14ac:dyDescent="0.25">
      <c r="B15" s="9"/>
      <c r="C15" s="470"/>
      <c r="D15" s="471"/>
      <c r="K15" s="8"/>
      <c r="L15" s="469"/>
      <c r="P15" s="6"/>
      <c r="Q15" s="383"/>
      <c r="R15" s="383"/>
      <c r="S15" s="383"/>
      <c r="T15" s="383"/>
      <c r="U15" s="383"/>
      <c r="V15" s="383"/>
      <c r="W15" s="383"/>
      <c r="Y15" s="160"/>
    </row>
    <row r="16" spans="2:25" ht="15.75" thickBot="1" x14ac:dyDescent="0.3">
      <c r="B16" s="1806" t="s">
        <v>752</v>
      </c>
      <c r="C16" s="465"/>
      <c r="D16" s="1637"/>
      <c r="E16" s="466"/>
      <c r="F16" s="466"/>
      <c r="G16" s="466"/>
      <c r="P16" s="475"/>
      <c r="Q16" s="473"/>
      <c r="R16" s="152"/>
      <c r="S16" s="473"/>
      <c r="T16" s="152"/>
    </row>
    <row r="17" spans="2:27" s="9" customFormat="1" x14ac:dyDescent="0.25">
      <c r="B17" s="9" t="s">
        <v>22</v>
      </c>
      <c r="C17" s="1810">
        <v>0.2</v>
      </c>
      <c r="D17" s="1811"/>
      <c r="I17" s="474"/>
      <c r="J17" s="672"/>
      <c r="K17" s="672"/>
      <c r="L17" s="672"/>
      <c r="M17" s="672"/>
      <c r="N17" s="672"/>
      <c r="O17" s="672"/>
      <c r="P17" s="672"/>
      <c r="Q17" s="672"/>
      <c r="R17" s="672"/>
      <c r="S17" s="672"/>
      <c r="T17" s="672"/>
      <c r="U17" s="672"/>
      <c r="V17" s="474"/>
      <c r="W17" s="474"/>
      <c r="X17" s="474"/>
      <c r="Y17" s="474"/>
    </row>
    <row r="18" spans="2:27" s="9" customFormat="1" x14ac:dyDescent="0.25">
      <c r="B18" s="9" t="s">
        <v>1993</v>
      </c>
      <c r="C18" s="1810">
        <v>0.01</v>
      </c>
      <c r="D18" s="1811"/>
      <c r="I18" s="474"/>
      <c r="J18" s="672"/>
      <c r="K18" s="672"/>
      <c r="L18" s="672"/>
      <c r="M18" s="672"/>
      <c r="N18" s="672"/>
      <c r="O18" s="672"/>
      <c r="P18" s="672"/>
      <c r="Q18" s="672"/>
      <c r="R18" s="672"/>
      <c r="S18" s="672"/>
      <c r="T18" s="672"/>
      <c r="U18" s="672"/>
      <c r="V18" s="474"/>
      <c r="W18" s="474"/>
      <c r="X18" s="474"/>
      <c r="Y18" s="474"/>
    </row>
    <row r="19" spans="2:27" s="9" customFormat="1" x14ac:dyDescent="0.25">
      <c r="B19" s="9" t="s">
        <v>1999</v>
      </c>
      <c r="C19" s="1810">
        <v>0.11</v>
      </c>
      <c r="D19" s="1811" t="s">
        <v>21</v>
      </c>
      <c r="I19" s="474"/>
      <c r="J19" s="672"/>
      <c r="K19" s="672"/>
      <c r="L19" s="672"/>
      <c r="M19" s="672"/>
      <c r="N19" s="672"/>
      <c r="O19" s="672"/>
      <c r="P19" s="672"/>
      <c r="Q19" s="672"/>
      <c r="R19" s="672"/>
      <c r="S19" s="672"/>
      <c r="T19" s="672"/>
      <c r="U19" s="672"/>
      <c r="V19" s="474"/>
      <c r="W19" s="474"/>
      <c r="X19" s="474"/>
      <c r="Y19" s="474"/>
    </row>
    <row r="20" spans="2:27" s="9" customFormat="1" x14ac:dyDescent="0.25">
      <c r="B20" s="9" t="s">
        <v>2000</v>
      </c>
      <c r="C20" s="1810">
        <v>0.1</v>
      </c>
      <c r="D20" s="1811" t="s">
        <v>21</v>
      </c>
      <c r="I20" s="474"/>
      <c r="J20" s="672"/>
      <c r="K20" s="672"/>
      <c r="L20" s="672"/>
      <c r="M20" s="672"/>
      <c r="N20" s="672"/>
      <c r="O20" s="672"/>
      <c r="P20" s="672"/>
      <c r="Q20" s="672"/>
      <c r="R20" s="672"/>
      <c r="S20" s="672"/>
      <c r="T20" s="672"/>
      <c r="U20" s="672"/>
      <c r="V20" s="474"/>
      <c r="W20" s="474"/>
      <c r="X20" s="474"/>
      <c r="Y20" s="474"/>
    </row>
    <row r="21" spans="2:27" x14ac:dyDescent="0.25">
      <c r="B21" s="9"/>
      <c r="C21" s="1791"/>
      <c r="D21" s="1638"/>
      <c r="I21" s="60"/>
      <c r="J21" s="476"/>
      <c r="K21" s="476"/>
      <c r="L21" s="476"/>
      <c r="M21" s="476"/>
      <c r="N21" s="476"/>
      <c r="O21" s="476"/>
      <c r="P21" s="476"/>
      <c r="Q21" s="476"/>
      <c r="R21" s="476"/>
      <c r="S21" s="476"/>
      <c r="T21" s="476"/>
      <c r="U21" s="476"/>
    </row>
    <row r="22" spans="2:27" ht="15.75" thickBot="1" x14ac:dyDescent="0.3">
      <c r="B22" s="1806" t="s">
        <v>751</v>
      </c>
      <c r="C22" s="465"/>
      <c r="D22" s="1637"/>
      <c r="E22" s="466"/>
      <c r="F22" s="466"/>
      <c r="G22" s="466"/>
      <c r="P22" s="475"/>
      <c r="Q22" s="473"/>
      <c r="R22" s="152"/>
      <c r="S22" s="473"/>
      <c r="T22" s="152"/>
    </row>
    <row r="23" spans="2:27" s="9" customFormat="1" x14ac:dyDescent="0.25">
      <c r="B23" s="9" t="s">
        <v>1972</v>
      </c>
      <c r="C23" s="1810">
        <v>0.01</v>
      </c>
      <c r="D23" s="1811"/>
      <c r="I23" s="474"/>
      <c r="J23" s="672"/>
      <c r="K23" s="672"/>
      <c r="L23" s="672"/>
      <c r="M23" s="672"/>
      <c r="N23" s="672"/>
      <c r="O23" s="672"/>
      <c r="P23" s="672"/>
      <c r="Q23" s="672"/>
      <c r="R23" s="672"/>
      <c r="S23" s="672"/>
      <c r="T23" s="672"/>
      <c r="U23" s="672"/>
      <c r="V23" s="474"/>
      <c r="W23" s="474"/>
      <c r="X23" s="474"/>
      <c r="Y23" s="474"/>
    </row>
    <row r="24" spans="2:27" s="9" customFormat="1" x14ac:dyDescent="0.25">
      <c r="B24" s="9" t="s">
        <v>1974</v>
      </c>
      <c r="C24" s="1810">
        <v>0.01</v>
      </c>
      <c r="D24" s="1811"/>
      <c r="I24" s="474"/>
      <c r="J24" s="672"/>
      <c r="K24" s="672"/>
      <c r="L24" s="672"/>
      <c r="M24" s="672"/>
      <c r="N24" s="672"/>
      <c r="O24" s="672"/>
      <c r="P24" s="672"/>
      <c r="Q24" s="672"/>
      <c r="R24" s="672"/>
      <c r="S24" s="672"/>
      <c r="T24" s="672"/>
      <c r="U24" s="672"/>
      <c r="V24" s="474"/>
      <c r="W24" s="474"/>
      <c r="X24" s="474"/>
      <c r="Y24" s="474"/>
    </row>
    <row r="25" spans="2:27" s="9" customFormat="1" x14ac:dyDescent="0.25">
      <c r="B25" s="9" t="s">
        <v>1973</v>
      </c>
      <c r="C25" s="1810">
        <v>0.01</v>
      </c>
      <c r="D25" s="1811"/>
      <c r="I25" s="474"/>
      <c r="J25" s="672"/>
      <c r="K25" s="672"/>
      <c r="L25" s="672"/>
      <c r="M25" s="672"/>
      <c r="N25" s="672"/>
      <c r="O25" s="672"/>
      <c r="P25" s="672"/>
      <c r="Q25" s="672"/>
      <c r="R25" s="672"/>
      <c r="S25" s="672"/>
      <c r="T25" s="672"/>
      <c r="U25" s="672"/>
      <c r="V25" s="474"/>
      <c r="W25" s="474"/>
      <c r="X25" s="474"/>
      <c r="Y25" s="474"/>
    </row>
    <row r="26" spans="2:27" s="9" customFormat="1" x14ac:dyDescent="0.25">
      <c r="B26" s="9" t="s">
        <v>1975</v>
      </c>
      <c r="C26" s="1810">
        <v>0.01</v>
      </c>
      <c r="D26" s="1811"/>
      <c r="I26" s="474"/>
      <c r="J26" s="672"/>
      <c r="K26" s="672"/>
      <c r="L26" s="672"/>
      <c r="M26" s="672"/>
      <c r="N26" s="672"/>
      <c r="O26" s="672"/>
      <c r="P26" s="672"/>
      <c r="Q26" s="672"/>
      <c r="R26" s="672"/>
      <c r="S26" s="672"/>
      <c r="T26" s="672"/>
      <c r="U26" s="672"/>
      <c r="V26" s="474"/>
      <c r="W26" s="474"/>
      <c r="X26" s="474"/>
      <c r="Y26" s="474"/>
    </row>
    <row r="27" spans="2:27" s="9" customFormat="1" x14ac:dyDescent="0.25">
      <c r="B27" s="9" t="s">
        <v>1976</v>
      </c>
      <c r="C27" s="1810">
        <v>0.01</v>
      </c>
      <c r="D27" s="1811"/>
      <c r="K27" s="8"/>
      <c r="O27" s="1812"/>
      <c r="P27" s="494"/>
      <c r="Q27" s="1809"/>
      <c r="R27" s="1809"/>
      <c r="S27" s="1809"/>
      <c r="T27" s="1809"/>
      <c r="U27" s="474"/>
      <c r="V27" s="474"/>
      <c r="W27" s="474"/>
      <c r="X27" s="474"/>
      <c r="Y27" s="474"/>
    </row>
    <row r="28" spans="2:27" s="9" customFormat="1" x14ac:dyDescent="0.25">
      <c r="B28" s="9" t="s">
        <v>1977</v>
      </c>
      <c r="C28" s="1810">
        <v>0.01</v>
      </c>
      <c r="D28" s="1811"/>
      <c r="K28" s="8"/>
      <c r="Q28" s="474"/>
      <c r="R28" s="474"/>
      <c r="S28" s="474"/>
      <c r="T28" s="474"/>
      <c r="U28" s="474"/>
      <c r="V28" s="474"/>
      <c r="W28" s="474"/>
      <c r="X28" s="474"/>
      <c r="Y28" s="474"/>
    </row>
    <row r="30" spans="2:27" ht="15.75" thickBot="1" x14ac:dyDescent="0.3">
      <c r="B30" s="1806" t="s">
        <v>754</v>
      </c>
      <c r="C30" s="465"/>
      <c r="D30" s="1637"/>
      <c r="E30" s="466"/>
      <c r="F30" s="466"/>
      <c r="G30" s="466"/>
      <c r="M30" s="158"/>
      <c r="N30" s="478"/>
      <c r="O30" s="478"/>
      <c r="P30" s="478"/>
      <c r="Q30" s="478"/>
      <c r="R30" s="478"/>
      <c r="S30" s="478"/>
      <c r="T30" s="478"/>
      <c r="U30" s="478"/>
      <c r="V30" s="478"/>
      <c r="W30" s="478"/>
      <c r="X30" s="478"/>
      <c r="Y30" s="478"/>
      <c r="Z30" s="478"/>
      <c r="AA30" s="478"/>
    </row>
    <row r="31" spans="2:27" x14ac:dyDescent="0.25">
      <c r="L31" s="2"/>
      <c r="M31" s="479"/>
      <c r="N31" s="159"/>
      <c r="O31" s="480"/>
      <c r="P31" s="159"/>
      <c r="Q31" s="481"/>
      <c r="R31" s="481"/>
      <c r="S31" s="383"/>
      <c r="T31" s="383"/>
      <c r="U31" s="383"/>
      <c r="V31" s="383"/>
      <c r="W31" s="383"/>
    </row>
    <row r="32" spans="2:27" x14ac:dyDescent="0.25">
      <c r="B32" s="9" t="s">
        <v>1984</v>
      </c>
      <c r="L32" s="2"/>
      <c r="M32" s="479"/>
      <c r="N32" s="159"/>
      <c r="O32" s="480"/>
      <c r="P32" s="159"/>
      <c r="Q32" s="481"/>
      <c r="R32" s="481"/>
      <c r="S32" s="383"/>
      <c r="T32" s="383"/>
      <c r="U32" s="383"/>
      <c r="V32" s="383"/>
      <c r="W32" s="383"/>
    </row>
    <row r="33" spans="2:25" x14ac:dyDescent="0.25">
      <c r="B33" s="1635" t="s">
        <v>963</v>
      </c>
      <c r="C33" s="1797">
        <v>0.13</v>
      </c>
      <c r="E33" s="9" t="s">
        <v>1981</v>
      </c>
      <c r="L33" s="2"/>
      <c r="M33" s="479"/>
      <c r="N33" s="159"/>
      <c r="O33" s="480"/>
      <c r="P33" s="159"/>
      <c r="Q33" s="481"/>
      <c r="R33" s="481"/>
      <c r="S33" s="383"/>
      <c r="T33" s="383"/>
      <c r="U33" s="383"/>
      <c r="V33" s="383"/>
      <c r="W33" s="383"/>
    </row>
    <row r="34" spans="2:25" x14ac:dyDescent="0.25">
      <c r="B34" s="1635" t="s">
        <v>964</v>
      </c>
      <c r="C34" s="1797">
        <v>0.01</v>
      </c>
      <c r="E34" s="9" t="s">
        <v>1981</v>
      </c>
      <c r="L34" s="2"/>
      <c r="M34" s="479"/>
      <c r="N34" s="159"/>
      <c r="O34" s="480"/>
      <c r="P34" s="159"/>
      <c r="Q34" s="481"/>
      <c r="R34" s="481"/>
      <c r="S34" s="383"/>
      <c r="T34" s="383"/>
      <c r="U34" s="383"/>
      <c r="V34" s="383"/>
      <c r="W34" s="383"/>
    </row>
    <row r="35" spans="2:25" x14ac:dyDescent="0.25">
      <c r="B35" s="1635" t="s">
        <v>965</v>
      </c>
      <c r="C35" s="1797">
        <v>0.05</v>
      </c>
      <c r="E35" s="9" t="s">
        <v>1981</v>
      </c>
      <c r="L35" s="2"/>
      <c r="M35" s="479"/>
      <c r="N35" s="159"/>
      <c r="O35" s="480"/>
      <c r="P35" s="159"/>
      <c r="Q35" s="481"/>
      <c r="R35" s="481"/>
      <c r="S35" s="383"/>
      <c r="T35" s="383"/>
      <c r="U35" s="383"/>
      <c r="V35" s="383"/>
      <c r="W35" s="383"/>
    </row>
    <row r="36" spans="2:25" x14ac:dyDescent="0.25">
      <c r="L36" s="2"/>
      <c r="M36" s="479"/>
      <c r="N36" s="159"/>
      <c r="O36" s="480"/>
      <c r="P36" s="159"/>
      <c r="Q36" s="481"/>
      <c r="R36" s="481"/>
      <c r="S36" s="383"/>
      <c r="T36" s="383"/>
      <c r="U36" s="383"/>
      <c r="V36" s="383"/>
      <c r="W36" s="383"/>
    </row>
    <row r="37" spans="2:25" s="9" customFormat="1" x14ac:dyDescent="0.25">
      <c r="B37" s="9" t="s">
        <v>1978</v>
      </c>
      <c r="C37" s="158"/>
      <c r="D37" s="1360"/>
      <c r="L37" s="482"/>
      <c r="M37" s="486"/>
      <c r="O37" s="1795"/>
      <c r="P37" s="484"/>
      <c r="Q37" s="1796"/>
      <c r="R37" s="474"/>
      <c r="S37" s="474"/>
      <c r="T37" s="474"/>
      <c r="U37" s="474"/>
      <c r="V37" s="474"/>
      <c r="W37" s="474"/>
      <c r="X37" s="474"/>
      <c r="Y37" s="474"/>
    </row>
    <row r="38" spans="2:25" s="9" customFormat="1" x14ac:dyDescent="0.25">
      <c r="B38" s="1635" t="s">
        <v>1980</v>
      </c>
      <c r="C38" s="1794">
        <v>0.06</v>
      </c>
      <c r="D38" s="1360" t="s">
        <v>1982</v>
      </c>
      <c r="E38" s="9" t="s">
        <v>1981</v>
      </c>
      <c r="L38" s="482"/>
      <c r="M38" s="486"/>
      <c r="O38" s="1795"/>
      <c r="P38" s="484"/>
      <c r="Q38" s="1796"/>
      <c r="R38" s="474"/>
      <c r="S38" s="474"/>
      <c r="T38" s="474"/>
      <c r="U38" s="474"/>
      <c r="V38" s="474"/>
      <c r="W38" s="474"/>
      <c r="X38" s="474"/>
      <c r="Y38" s="474"/>
    </row>
    <row r="39" spans="2:25" s="9" customFormat="1" x14ac:dyDescent="0.25">
      <c r="B39" s="1635" t="s">
        <v>1979</v>
      </c>
      <c r="C39" s="1794">
        <v>0.06</v>
      </c>
      <c r="D39" s="1360" t="s">
        <v>1982</v>
      </c>
      <c r="E39" s="9" t="s">
        <v>1981</v>
      </c>
      <c r="L39" s="482"/>
      <c r="M39" s="486"/>
      <c r="O39" s="1795"/>
      <c r="P39" s="484"/>
      <c r="Q39" s="1796"/>
      <c r="R39" s="474"/>
      <c r="S39" s="474"/>
      <c r="T39" s="474"/>
      <c r="U39" s="474"/>
      <c r="V39" s="474"/>
      <c r="W39" s="474"/>
      <c r="X39" s="474"/>
      <c r="Y39" s="474"/>
    </row>
    <row r="40" spans="2:25" x14ac:dyDescent="0.25">
      <c r="B40" s="9" t="s">
        <v>1409</v>
      </c>
      <c r="C40" s="1792"/>
      <c r="K40" s="9"/>
      <c r="L40" s="482"/>
      <c r="M40" s="14"/>
      <c r="O40" s="483"/>
      <c r="P40" s="134"/>
      <c r="Q40" s="473"/>
    </row>
    <row r="41" spans="2:25" x14ac:dyDescent="0.25">
      <c r="B41" s="1635" t="s">
        <v>961</v>
      </c>
      <c r="C41" s="1793">
        <v>0.03</v>
      </c>
      <c r="D41" s="1360" t="s">
        <v>1982</v>
      </c>
      <c r="E41" s="9" t="s">
        <v>1981</v>
      </c>
      <c r="K41" s="9"/>
      <c r="L41" s="482"/>
      <c r="M41" s="14"/>
      <c r="O41" s="483"/>
      <c r="P41" s="134"/>
      <c r="Q41" s="473"/>
    </row>
    <row r="42" spans="2:25" x14ac:dyDescent="0.25">
      <c r="B42" s="1635" t="s">
        <v>962</v>
      </c>
      <c r="C42" s="1793">
        <v>0.03</v>
      </c>
      <c r="D42" s="1360" t="s">
        <v>1982</v>
      </c>
      <c r="E42" s="9" t="s">
        <v>1981</v>
      </c>
      <c r="K42" s="9"/>
      <c r="L42" s="482"/>
      <c r="M42" s="14"/>
      <c r="O42" s="483"/>
      <c r="P42" s="134"/>
      <c r="Q42" s="473"/>
    </row>
    <row r="43" spans="2:25" x14ac:dyDescent="0.25">
      <c r="B43" s="1635" t="s">
        <v>963</v>
      </c>
      <c r="C43" s="1793">
        <v>0.03</v>
      </c>
      <c r="D43" s="1360" t="s">
        <v>1982</v>
      </c>
      <c r="E43" s="9" t="s">
        <v>1981</v>
      </c>
      <c r="K43" s="9"/>
      <c r="L43" s="482"/>
      <c r="M43" s="14"/>
      <c r="O43" s="483"/>
      <c r="P43" s="134"/>
      <c r="Q43" s="473"/>
    </row>
    <row r="44" spans="2:25" x14ac:dyDescent="0.25">
      <c r="B44" s="1635" t="s">
        <v>964</v>
      </c>
      <c r="C44" s="1793">
        <v>0.03</v>
      </c>
      <c r="D44" s="1360" t="s">
        <v>1982</v>
      </c>
      <c r="E44" s="9" t="s">
        <v>1981</v>
      </c>
      <c r="K44" s="9"/>
      <c r="L44" s="482"/>
      <c r="M44" s="14"/>
      <c r="O44" s="483"/>
      <c r="P44" s="134"/>
      <c r="Q44" s="473"/>
    </row>
    <row r="45" spans="2:25" x14ac:dyDescent="0.25">
      <c r="B45" s="1635" t="s">
        <v>965</v>
      </c>
      <c r="C45" s="1793">
        <v>0.03</v>
      </c>
      <c r="D45" s="1360" t="s">
        <v>1982</v>
      </c>
      <c r="E45" s="9" t="s">
        <v>1981</v>
      </c>
      <c r="K45" s="9"/>
      <c r="L45" s="482"/>
      <c r="M45" s="14"/>
      <c r="O45" s="483"/>
      <c r="P45" s="134"/>
      <c r="Q45" s="473"/>
    </row>
    <row r="46" spans="2:25" x14ac:dyDescent="0.25">
      <c r="B46" s="9" t="s">
        <v>1983</v>
      </c>
      <c r="C46" s="1793"/>
      <c r="D46" s="1360"/>
      <c r="E46" s="9"/>
      <c r="K46" s="9"/>
      <c r="L46" s="482"/>
      <c r="M46" s="14"/>
      <c r="O46" s="483"/>
      <c r="P46" s="134"/>
      <c r="Q46" s="473"/>
    </row>
    <row r="47" spans="2:25" x14ac:dyDescent="0.25">
      <c r="B47" s="1635" t="s">
        <v>961</v>
      </c>
      <c r="C47" s="1793">
        <v>0</v>
      </c>
      <c r="D47" s="1360" t="s">
        <v>1982</v>
      </c>
      <c r="E47" s="9" t="s">
        <v>1981</v>
      </c>
      <c r="K47" s="9"/>
      <c r="L47" s="482"/>
      <c r="M47" s="14"/>
      <c r="O47" s="483"/>
      <c r="P47" s="134"/>
      <c r="Q47" s="473"/>
    </row>
    <row r="48" spans="2:25" x14ac:dyDescent="0.25">
      <c r="B48" s="1635" t="s">
        <v>962</v>
      </c>
      <c r="C48" s="1793">
        <v>0</v>
      </c>
      <c r="D48" s="1360" t="s">
        <v>1982</v>
      </c>
      <c r="E48" s="9" t="s">
        <v>1981</v>
      </c>
      <c r="K48" s="9"/>
      <c r="L48" s="482"/>
      <c r="M48" s="14"/>
      <c r="O48" s="483"/>
      <c r="P48" s="134"/>
      <c r="Q48" s="473"/>
    </row>
    <row r="49" spans="2:25" x14ac:dyDescent="0.25">
      <c r="B49" s="1635" t="s">
        <v>963</v>
      </c>
      <c r="C49" s="1793">
        <v>0</v>
      </c>
      <c r="D49" s="1360" t="s">
        <v>1982</v>
      </c>
      <c r="E49" s="9" t="s">
        <v>1981</v>
      </c>
      <c r="K49" s="9"/>
      <c r="L49" s="482"/>
      <c r="M49" s="14"/>
      <c r="O49" s="483"/>
      <c r="P49" s="134"/>
      <c r="Q49" s="473"/>
    </row>
    <row r="50" spans="2:25" x14ac:dyDescent="0.25">
      <c r="B50" s="1635" t="s">
        <v>964</v>
      </c>
      <c r="C50" s="1793">
        <v>0</v>
      </c>
      <c r="D50" s="1360" t="s">
        <v>1982</v>
      </c>
      <c r="E50" s="9" t="s">
        <v>1981</v>
      </c>
      <c r="K50" s="9"/>
      <c r="L50" s="482"/>
      <c r="M50" s="14"/>
      <c r="O50" s="483"/>
      <c r="P50" s="134"/>
      <c r="Q50" s="473"/>
    </row>
    <row r="51" spans="2:25" x14ac:dyDescent="0.25">
      <c r="B51" s="1635" t="s">
        <v>965</v>
      </c>
      <c r="C51" s="1793">
        <v>0</v>
      </c>
      <c r="D51" s="1360" t="s">
        <v>1982</v>
      </c>
      <c r="E51" s="9" t="s">
        <v>1981</v>
      </c>
      <c r="K51" s="9"/>
      <c r="L51" s="482"/>
      <c r="M51" s="14"/>
      <c r="O51" s="483"/>
      <c r="P51" s="134"/>
      <c r="Q51" s="473"/>
    </row>
    <row r="52" spans="2:25" x14ac:dyDescent="0.25">
      <c r="B52" s="9" t="s">
        <v>1983</v>
      </c>
      <c r="C52" s="1793"/>
      <c r="D52" s="1360"/>
      <c r="E52" s="9"/>
      <c r="K52" s="9"/>
      <c r="L52" s="482"/>
      <c r="M52" s="14"/>
      <c r="O52" s="483"/>
      <c r="P52" s="134"/>
      <c r="Q52" s="473"/>
    </row>
    <row r="53" spans="2:25" x14ac:dyDescent="0.25">
      <c r="B53" s="1635" t="s">
        <v>961</v>
      </c>
      <c r="C53" s="1793">
        <v>0.05</v>
      </c>
      <c r="D53" s="1360" t="s">
        <v>1982</v>
      </c>
      <c r="E53" s="9" t="s">
        <v>1981</v>
      </c>
      <c r="K53" s="9"/>
      <c r="L53" s="482"/>
      <c r="M53" s="14"/>
      <c r="O53" s="483"/>
      <c r="P53" s="134"/>
      <c r="Q53" s="473"/>
    </row>
    <row r="54" spans="2:25" x14ac:dyDescent="0.25">
      <c r="B54" s="1635" t="s">
        <v>962</v>
      </c>
      <c r="C54" s="1793">
        <v>0.05</v>
      </c>
      <c r="D54" s="1360" t="s">
        <v>1982</v>
      </c>
      <c r="E54" s="9" t="s">
        <v>1981</v>
      </c>
      <c r="K54" s="9"/>
      <c r="L54" s="482"/>
      <c r="M54" s="14"/>
      <c r="O54" s="483"/>
      <c r="P54" s="134"/>
      <c r="Q54" s="473"/>
    </row>
    <row r="55" spans="2:25" x14ac:dyDescent="0.25">
      <c r="B55" s="1635" t="s">
        <v>963</v>
      </c>
      <c r="C55" s="1793">
        <v>0.05</v>
      </c>
      <c r="D55" s="1360" t="s">
        <v>1982</v>
      </c>
      <c r="E55" s="9" t="s">
        <v>1981</v>
      </c>
      <c r="K55" s="9"/>
      <c r="L55" s="482"/>
      <c r="M55" s="14"/>
      <c r="O55" s="483"/>
      <c r="P55" s="134"/>
      <c r="Q55" s="473"/>
    </row>
    <row r="56" spans="2:25" x14ac:dyDescent="0.25">
      <c r="B56" s="1635" t="s">
        <v>964</v>
      </c>
      <c r="C56" s="1793">
        <v>0.05</v>
      </c>
      <c r="D56" s="1360" t="s">
        <v>1982</v>
      </c>
      <c r="E56" s="9" t="s">
        <v>1981</v>
      </c>
      <c r="K56" s="9"/>
      <c r="L56" s="482"/>
      <c r="M56" s="14"/>
      <c r="O56" s="483"/>
      <c r="P56" s="134"/>
      <c r="Q56" s="473"/>
    </row>
    <row r="57" spans="2:25" x14ac:dyDescent="0.25">
      <c r="B57" s="1635" t="s">
        <v>965</v>
      </c>
      <c r="C57" s="1793">
        <v>0.05</v>
      </c>
      <c r="D57" s="1360" t="s">
        <v>1982</v>
      </c>
      <c r="E57" s="9" t="s">
        <v>1981</v>
      </c>
      <c r="K57" s="9"/>
      <c r="L57" s="482"/>
      <c r="M57" s="14"/>
      <c r="O57" s="483"/>
      <c r="P57" s="134"/>
      <c r="Q57" s="473"/>
    </row>
    <row r="58" spans="2:25" x14ac:dyDescent="0.25">
      <c r="B58" s="9" t="s">
        <v>1985</v>
      </c>
      <c r="C58" s="1793">
        <v>0.02</v>
      </c>
      <c r="D58" s="1360" t="s">
        <v>520</v>
      </c>
      <c r="E58" s="9"/>
      <c r="K58" s="9"/>
      <c r="L58" s="482"/>
      <c r="M58" s="14"/>
      <c r="O58" s="483"/>
      <c r="P58" s="134"/>
      <c r="Q58" s="473"/>
    </row>
    <row r="59" spans="2:25" x14ac:dyDescent="0.25">
      <c r="K59" s="477"/>
      <c r="L59" s="6"/>
    </row>
    <row r="60" spans="2:25" ht="15.75" thickBot="1" x14ac:dyDescent="0.3">
      <c r="B60" s="1806" t="s">
        <v>756</v>
      </c>
      <c r="C60" s="465"/>
      <c r="D60" s="1637"/>
      <c r="E60" s="466"/>
      <c r="F60" s="466"/>
      <c r="G60" s="466"/>
    </row>
    <row r="61" spans="2:25" x14ac:dyDescent="0.25">
      <c r="B61" s="1228"/>
    </row>
    <row r="62" spans="2:25" s="9" customFormat="1" x14ac:dyDescent="0.25">
      <c r="B62" s="9" t="s">
        <v>1986</v>
      </c>
      <c r="C62" s="1798">
        <v>2</v>
      </c>
      <c r="D62" s="1360" t="s">
        <v>757</v>
      </c>
      <c r="E62" s="1635" t="s">
        <v>1992</v>
      </c>
      <c r="F62" s="15"/>
      <c r="Q62" s="474"/>
      <c r="R62" s="474"/>
      <c r="S62" s="474"/>
      <c r="T62" s="474"/>
      <c r="U62" s="474"/>
      <c r="V62" s="474"/>
      <c r="W62" s="474"/>
      <c r="X62" s="474"/>
      <c r="Y62" s="474"/>
    </row>
    <row r="63" spans="2:25" s="9" customFormat="1" x14ac:dyDescent="0.25">
      <c r="B63" s="9" t="s">
        <v>1987</v>
      </c>
      <c r="C63" s="9">
        <v>30</v>
      </c>
      <c r="D63" s="1360" t="s">
        <v>757</v>
      </c>
      <c r="E63" s="1635" t="s">
        <v>1992</v>
      </c>
      <c r="Q63" s="474"/>
      <c r="R63" s="474"/>
      <c r="S63" s="474"/>
      <c r="T63" s="474"/>
      <c r="U63" s="474"/>
      <c r="V63" s="474"/>
      <c r="W63" s="474"/>
      <c r="X63" s="474"/>
      <c r="Y63" s="474"/>
    </row>
    <row r="64" spans="2:25" s="9" customFormat="1" x14ac:dyDescent="0.25">
      <c r="B64" s="9" t="s">
        <v>1988</v>
      </c>
      <c r="C64" s="1799">
        <v>2</v>
      </c>
      <c r="D64" s="1360" t="s">
        <v>757</v>
      </c>
      <c r="E64" s="1635" t="s">
        <v>1992</v>
      </c>
      <c r="K64" s="1800"/>
      <c r="S64" s="474"/>
      <c r="T64" s="474"/>
      <c r="U64" s="474"/>
      <c r="V64" s="474"/>
      <c r="W64" s="474"/>
      <c r="X64" s="474"/>
      <c r="Y64" s="474"/>
    </row>
    <row r="65" spans="2:25" s="9" customFormat="1" x14ac:dyDescent="0.25">
      <c r="B65" s="9" t="s">
        <v>1841</v>
      </c>
      <c r="C65" s="1799">
        <v>32</v>
      </c>
      <c r="D65" s="1360" t="s">
        <v>757</v>
      </c>
      <c r="E65" s="1635" t="s">
        <v>1992</v>
      </c>
      <c r="K65" s="1801"/>
      <c r="L65" s="1802"/>
      <c r="Q65" s="474"/>
      <c r="R65" s="474"/>
      <c r="S65" s="474"/>
      <c r="T65" s="474"/>
      <c r="U65" s="474"/>
      <c r="V65" s="474"/>
      <c r="W65" s="474"/>
      <c r="X65" s="474"/>
      <c r="Y65" s="474"/>
    </row>
    <row r="66" spans="2:25" x14ac:dyDescent="0.25">
      <c r="C66" s="3"/>
      <c r="D66" s="1639"/>
      <c r="K66" s="489"/>
      <c r="L66" s="3"/>
      <c r="M66" s="3"/>
      <c r="N66" s="3"/>
      <c r="O66" s="3"/>
    </row>
    <row r="67" spans="2:25" s="9" customFormat="1" x14ac:dyDescent="0.25">
      <c r="B67" s="9" t="s">
        <v>211</v>
      </c>
      <c r="C67" s="115">
        <f>360/C62</f>
        <v>180</v>
      </c>
      <c r="D67" s="1803" t="s">
        <v>1991</v>
      </c>
      <c r="E67" s="1523"/>
      <c r="K67" s="1801"/>
      <c r="L67" s="115"/>
      <c r="M67" s="115"/>
      <c r="N67" s="115"/>
      <c r="O67" s="115"/>
      <c r="Q67" s="474"/>
      <c r="R67" s="474"/>
      <c r="S67" s="474"/>
      <c r="T67" s="474"/>
      <c r="U67" s="474"/>
      <c r="V67" s="474"/>
      <c r="W67" s="474"/>
      <c r="X67" s="474"/>
      <c r="Y67" s="474"/>
    </row>
    <row r="68" spans="2:25" s="9" customFormat="1" x14ac:dyDescent="0.25">
      <c r="B68" s="9" t="s">
        <v>1989</v>
      </c>
      <c r="C68" s="115">
        <f t="shared" ref="C68:C70" si="0">360/C63</f>
        <v>12</v>
      </c>
      <c r="D68" s="1803" t="s">
        <v>1991</v>
      </c>
      <c r="E68" s="1523"/>
      <c r="G68" s="1804"/>
      <c r="K68" s="1801"/>
      <c r="L68" s="115"/>
      <c r="M68" s="115"/>
      <c r="N68" s="115"/>
      <c r="O68" s="115"/>
      <c r="Q68" s="474"/>
      <c r="R68" s="474"/>
      <c r="S68" s="474"/>
      <c r="T68" s="474"/>
      <c r="U68" s="474"/>
      <c r="V68" s="474"/>
      <c r="W68" s="474"/>
      <c r="X68" s="474"/>
      <c r="Y68" s="474"/>
    </row>
    <row r="69" spans="2:25" s="9" customFormat="1" x14ac:dyDescent="0.25">
      <c r="B69" s="9" t="s">
        <v>1990</v>
      </c>
      <c r="C69" s="115">
        <f t="shared" si="0"/>
        <v>180</v>
      </c>
      <c r="D69" s="1803" t="s">
        <v>1991</v>
      </c>
      <c r="E69" s="1523"/>
      <c r="K69" s="1801"/>
      <c r="L69" s="115"/>
      <c r="M69" s="115"/>
      <c r="N69" s="115"/>
      <c r="O69" s="115"/>
      <c r="Q69" s="474"/>
      <c r="R69" s="474"/>
      <c r="S69" s="474"/>
      <c r="T69" s="474"/>
      <c r="U69" s="474"/>
      <c r="V69" s="474"/>
      <c r="W69" s="474"/>
      <c r="X69" s="474"/>
      <c r="Y69" s="474"/>
    </row>
    <row r="70" spans="2:25" x14ac:dyDescent="0.25">
      <c r="B70" t="s">
        <v>612</v>
      </c>
      <c r="C70" s="115">
        <f t="shared" si="0"/>
        <v>11.25</v>
      </c>
      <c r="D70" s="1803" t="s">
        <v>1991</v>
      </c>
      <c r="K70" s="489"/>
      <c r="L70" s="488"/>
    </row>
    <row r="71" spans="2:25" x14ac:dyDescent="0.25">
      <c r="C71" s="3"/>
      <c r="D71" s="1639"/>
      <c r="K71" s="489"/>
      <c r="L71" s="488"/>
    </row>
    <row r="72" spans="2:25" x14ac:dyDescent="0.25">
      <c r="C72" s="3"/>
      <c r="D72" s="1639"/>
      <c r="G72" s="150"/>
      <c r="K72" s="489"/>
      <c r="L72" s="488"/>
    </row>
    <row r="73" spans="2:25" x14ac:dyDescent="0.25">
      <c r="C73" s="488"/>
      <c r="K73" s="489"/>
      <c r="L73" s="488"/>
    </row>
    <row r="74" spans="2:25" x14ac:dyDescent="0.25">
      <c r="B74" s="9"/>
      <c r="C74" s="490"/>
      <c r="D74" s="1640"/>
      <c r="E74" s="491"/>
    </row>
    <row r="75" spans="2:25" ht="14.25" customHeight="1" x14ac:dyDescent="0.25"/>
    <row r="78" spans="2:25" x14ac:dyDescent="0.25">
      <c r="E78" s="2"/>
    </row>
    <row r="79" spans="2:25" x14ac:dyDescent="0.25">
      <c r="C79" s="385"/>
      <c r="D79" s="1641"/>
      <c r="E79" s="3"/>
      <c r="F79" s="3"/>
      <c r="G79" s="3"/>
      <c r="H79" s="3"/>
      <c r="I79" s="3"/>
      <c r="J79" s="3"/>
      <c r="K79" s="3"/>
      <c r="L79" s="3"/>
      <c r="M79" s="3"/>
    </row>
    <row r="82" spans="3:13" x14ac:dyDescent="0.25">
      <c r="C82" s="25"/>
      <c r="D82" s="1642"/>
      <c r="E82" s="312"/>
      <c r="F82" s="312"/>
      <c r="G82" s="312"/>
      <c r="H82" s="312"/>
      <c r="I82" s="312"/>
      <c r="J82" s="312"/>
      <c r="K82" s="312"/>
      <c r="L82" s="312"/>
      <c r="M82" s="312"/>
    </row>
    <row r="85" spans="3:13" x14ac:dyDescent="0.25">
      <c r="C85" s="385"/>
    </row>
    <row r="86" spans="3:13" x14ac:dyDescent="0.25">
      <c r="E86" s="25"/>
      <c r="F86" s="25"/>
      <c r="G86" s="25"/>
      <c r="H86" s="25"/>
      <c r="I86" s="25"/>
      <c r="J86" s="25"/>
      <c r="K86" s="25"/>
    </row>
    <row r="87" spans="3:13" x14ac:dyDescent="0.25">
      <c r="D87" s="1643"/>
    </row>
  </sheetData>
  <dataConsolidate/>
  <mergeCells count="1">
    <mergeCell ref="B2:G2"/>
  </mergeCells>
  <pageMargins left="0.25" right="0.25" top="0.75" bottom="0.75" header="0.3" footer="0.3"/>
  <pageSetup scale="46"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D47E2-5354-49EC-8EBB-46CF7EB5770E}">
  <sheetPr>
    <tabColor theme="8" tint="-0.249977111117893"/>
  </sheetPr>
  <dimension ref="B2:Q118"/>
  <sheetViews>
    <sheetView showGridLines="0" zoomScale="85" zoomScaleNormal="85" workbookViewId="0">
      <pane xSplit="2" ySplit="2" topLeftCell="C3" activePane="bottomRight" state="frozen"/>
      <selection activeCell="L12" sqref="L12"/>
      <selection pane="topRight" activeCell="L12" sqref="L12"/>
      <selection pane="bottomLeft" activeCell="L12" sqref="L12"/>
      <selection pane="bottomRight" activeCell="I24" sqref="I24"/>
    </sheetView>
  </sheetViews>
  <sheetFormatPr defaultColWidth="8.7109375" defaultRowHeight="15" x14ac:dyDescent="0.25"/>
  <cols>
    <col min="1" max="1" width="2.7109375" style="129" customWidth="1"/>
    <col min="2" max="2" width="3.42578125" style="1118" bestFit="1" customWidth="1"/>
    <col min="3" max="3" width="37" style="129" bestFit="1" customWidth="1"/>
    <col min="4" max="4" width="14.7109375" style="1118" bestFit="1" customWidth="1"/>
    <col min="5" max="5" width="14.7109375" style="129" bestFit="1" customWidth="1"/>
    <col min="6" max="6" width="14.85546875" style="1117" bestFit="1" customWidth="1"/>
    <col min="7" max="14" width="11" style="129" customWidth="1"/>
    <col min="15" max="16384" width="8.7109375" style="129"/>
  </cols>
  <sheetData>
    <row r="2" spans="2:15" x14ac:dyDescent="0.25">
      <c r="B2" s="679" t="s">
        <v>156</v>
      </c>
      <c r="C2" s="679" t="s">
        <v>142</v>
      </c>
      <c r="D2" s="679" t="s">
        <v>244</v>
      </c>
      <c r="E2" s="679">
        <v>2024</v>
      </c>
      <c r="F2" s="1115">
        <v>2025</v>
      </c>
      <c r="G2" s="679">
        <v>2026</v>
      </c>
      <c r="H2" s="679">
        <v>2027</v>
      </c>
      <c r="I2" s="679">
        <v>2028</v>
      </c>
      <c r="J2" s="679">
        <v>2029</v>
      </c>
      <c r="K2" s="679">
        <v>2030</v>
      </c>
      <c r="L2" s="679">
        <v>2031</v>
      </c>
      <c r="M2" s="679">
        <v>2032</v>
      </c>
      <c r="N2" s="679">
        <v>2033</v>
      </c>
    </row>
    <row r="3" spans="2:15" x14ac:dyDescent="0.25">
      <c r="B3" s="1116"/>
      <c r="C3" s="303"/>
      <c r="D3" s="1116"/>
    </row>
    <row r="4" spans="2:15" x14ac:dyDescent="0.25">
      <c r="B4" s="1116"/>
      <c r="C4" s="303"/>
      <c r="D4" s="1116"/>
      <c r="O4" s="129" t="s">
        <v>995</v>
      </c>
    </row>
    <row r="5" spans="2:15" x14ac:dyDescent="0.25">
      <c r="B5" s="1118" t="s">
        <v>29</v>
      </c>
      <c r="C5" s="1119" t="s">
        <v>687</v>
      </c>
      <c r="D5" s="1120" t="s">
        <v>637</v>
      </c>
      <c r="E5" s="1121">
        <v>7000000</v>
      </c>
    </row>
    <row r="6" spans="2:15" x14ac:dyDescent="0.25">
      <c r="B6" s="1118" t="s">
        <v>31</v>
      </c>
      <c r="C6" s="1122" t="s">
        <v>240</v>
      </c>
      <c r="D6" s="1120" t="s">
        <v>141</v>
      </c>
      <c r="E6" s="1121">
        <v>120</v>
      </c>
    </row>
    <row r="7" spans="2:15" x14ac:dyDescent="0.25">
      <c r="B7" s="1123"/>
      <c r="C7" s="1124" t="s">
        <v>996</v>
      </c>
      <c r="D7" s="1125">
        <v>0.7</v>
      </c>
      <c r="E7" s="1126">
        <f>D7*$E$6</f>
        <v>84</v>
      </c>
    </row>
    <row r="8" spans="2:15" x14ac:dyDescent="0.25">
      <c r="B8" s="1123"/>
      <c r="C8" s="1124" t="s">
        <v>241</v>
      </c>
      <c r="D8" s="1125">
        <f>100%-D7</f>
        <v>0.30000000000000004</v>
      </c>
      <c r="E8" s="1126">
        <f>D8*$E$6</f>
        <v>36.000000000000007</v>
      </c>
    </row>
    <row r="9" spans="2:15" x14ac:dyDescent="0.25">
      <c r="B9" s="1123"/>
      <c r="C9" s="1124" t="s">
        <v>258</v>
      </c>
      <c r="D9" s="1127"/>
      <c r="E9" s="1126"/>
    </row>
    <row r="10" spans="2:15" x14ac:dyDescent="0.25">
      <c r="B10" s="1123"/>
      <c r="C10" s="1124" t="s">
        <v>257</v>
      </c>
      <c r="D10" s="1127"/>
      <c r="E10" s="1128">
        <f>[28]INPUT!D19</f>
        <v>0.11</v>
      </c>
    </row>
    <row r="11" spans="2:15" x14ac:dyDescent="0.25">
      <c r="B11" s="1118" t="s">
        <v>37</v>
      </c>
      <c r="C11" s="1122" t="s">
        <v>239</v>
      </c>
      <c r="D11" s="1120" t="s">
        <v>11</v>
      </c>
      <c r="E11" s="626">
        <f>E6/[28]INPUT!D17</f>
        <v>6</v>
      </c>
    </row>
    <row r="12" spans="2:15" x14ac:dyDescent="0.25">
      <c r="C12" s="1122"/>
      <c r="D12" s="1120"/>
      <c r="E12" s="626"/>
    </row>
    <row r="13" spans="2:15" x14ac:dyDescent="0.25">
      <c r="B13" s="1116"/>
      <c r="C13" s="303"/>
      <c r="D13" s="1116"/>
    </row>
    <row r="14" spans="2:15" x14ac:dyDescent="0.25">
      <c r="B14" s="1116"/>
      <c r="C14" s="303" t="s">
        <v>997</v>
      </c>
      <c r="D14" s="1116"/>
      <c r="F14" s="1129"/>
    </row>
    <row r="15" spans="2:15" x14ac:dyDescent="0.25">
      <c r="B15" s="1118" t="s">
        <v>29</v>
      </c>
      <c r="C15" s="1119" t="s">
        <v>689</v>
      </c>
      <c r="D15" s="1120" t="s">
        <v>638</v>
      </c>
      <c r="F15" s="1130">
        <f>'[28]NB  '!I28</f>
        <v>6000000</v>
      </c>
    </row>
    <row r="16" spans="2:15" x14ac:dyDescent="0.25">
      <c r="B16" s="1118" t="s">
        <v>31</v>
      </c>
      <c r="C16" s="1122" t="s">
        <v>240</v>
      </c>
      <c r="D16" s="1120" t="s">
        <v>141</v>
      </c>
      <c r="F16" s="1130">
        <v>60</v>
      </c>
      <c r="O16" s="129" t="s">
        <v>998</v>
      </c>
    </row>
    <row r="17" spans="2:15" x14ac:dyDescent="0.25">
      <c r="B17" s="1123"/>
      <c r="C17" s="1124" t="s">
        <v>245</v>
      </c>
      <c r="D17" s="1125">
        <v>0.7</v>
      </c>
      <c r="F17" s="1131">
        <f>$F$16*D17</f>
        <v>42</v>
      </c>
    </row>
    <row r="18" spans="2:15" x14ac:dyDescent="0.25">
      <c r="B18" s="1123"/>
      <c r="C18" s="1124" t="s">
        <v>241</v>
      </c>
      <c r="D18" s="1125">
        <f>1-D17</f>
        <v>0.30000000000000004</v>
      </c>
      <c r="F18" s="1131">
        <f>$F$16*D18</f>
        <v>18.000000000000004</v>
      </c>
    </row>
    <row r="19" spans="2:15" x14ac:dyDescent="0.25">
      <c r="B19" s="1123"/>
      <c r="C19" s="1124" t="s">
        <v>258</v>
      </c>
      <c r="D19" s="1127"/>
      <c r="F19" s="1131"/>
    </row>
    <row r="20" spans="2:15" x14ac:dyDescent="0.25">
      <c r="B20" s="1123"/>
      <c r="C20" s="1124" t="s">
        <v>257</v>
      </c>
      <c r="D20" s="1127"/>
      <c r="F20" s="1132">
        <f>[28]INPUT!D36</f>
        <v>0</v>
      </c>
    </row>
    <row r="21" spans="2:15" x14ac:dyDescent="0.25">
      <c r="B21" s="1118" t="s">
        <v>37</v>
      </c>
      <c r="C21" s="1122" t="s">
        <v>239</v>
      </c>
      <c r="D21" s="1120" t="s">
        <v>11</v>
      </c>
      <c r="F21" s="1133">
        <f>F16/[28]INPUT!D17</f>
        <v>3</v>
      </c>
    </row>
    <row r="22" spans="2:15" x14ac:dyDescent="0.25">
      <c r="C22" s="1122"/>
      <c r="D22" s="1120"/>
    </row>
    <row r="23" spans="2:15" x14ac:dyDescent="0.25">
      <c r="B23" s="1116"/>
      <c r="C23" s="303" t="s">
        <v>999</v>
      </c>
      <c r="D23" s="1116"/>
      <c r="F23" s="1129">
        <v>2024</v>
      </c>
    </row>
    <row r="24" spans="2:15" x14ac:dyDescent="0.25">
      <c r="B24" s="1118" t="s">
        <v>29</v>
      </c>
      <c r="C24" s="1119" t="s">
        <v>689</v>
      </c>
      <c r="D24" s="1120" t="s">
        <v>638</v>
      </c>
      <c r="F24" s="1130">
        <v>120000</v>
      </c>
      <c r="O24" s="129" t="s">
        <v>998</v>
      </c>
    </row>
    <row r="25" spans="2:15" x14ac:dyDescent="0.25">
      <c r="B25" s="1118" t="s">
        <v>31</v>
      </c>
      <c r="C25" s="1122" t="s">
        <v>240</v>
      </c>
      <c r="D25" s="1120" t="s">
        <v>141</v>
      </c>
      <c r="F25" s="1130">
        <v>10</v>
      </c>
    </row>
    <row r="26" spans="2:15" x14ac:dyDescent="0.25">
      <c r="B26" s="1123"/>
      <c r="C26" s="1124" t="s">
        <v>245</v>
      </c>
      <c r="D26" s="1125">
        <v>0.7</v>
      </c>
      <c r="F26" s="1131">
        <f>D26*F$25</f>
        <v>7</v>
      </c>
    </row>
    <row r="27" spans="2:15" x14ac:dyDescent="0.25">
      <c r="B27" s="1123"/>
      <c r="C27" s="1124" t="s">
        <v>241</v>
      </c>
      <c r="D27" s="1125">
        <f>1-D26</f>
        <v>0.30000000000000004</v>
      </c>
      <c r="F27" s="1131">
        <f>D27*F$25</f>
        <v>3.0000000000000004</v>
      </c>
    </row>
    <row r="28" spans="2:15" x14ac:dyDescent="0.25">
      <c r="B28" s="1123"/>
      <c r="C28" s="1124" t="s">
        <v>258</v>
      </c>
      <c r="D28" s="1127"/>
      <c r="F28" s="1131"/>
    </row>
    <row r="29" spans="2:15" x14ac:dyDescent="0.25">
      <c r="B29" s="1123"/>
      <c r="C29" s="1124" t="s">
        <v>257</v>
      </c>
      <c r="D29" s="1127"/>
      <c r="F29" s="1132">
        <f>[28]INPUT!D46</f>
        <v>0</v>
      </c>
    </row>
    <row r="30" spans="2:15" x14ac:dyDescent="0.25">
      <c r="B30" s="1118" t="s">
        <v>37</v>
      </c>
      <c r="C30" s="1122" t="s">
        <v>239</v>
      </c>
      <c r="D30" s="1120" t="s">
        <v>11</v>
      </c>
      <c r="F30" s="1133">
        <f>F25/[28]INPUT!D17</f>
        <v>0.5</v>
      </c>
    </row>
    <row r="31" spans="2:15" x14ac:dyDescent="0.25">
      <c r="C31" s="1122"/>
      <c r="D31" s="1120"/>
      <c r="F31" s="1133"/>
    </row>
    <row r="32" spans="2:15" x14ac:dyDescent="0.25">
      <c r="B32" s="1116"/>
      <c r="C32" s="1134" t="s">
        <v>691</v>
      </c>
      <c r="D32" s="1135" t="s">
        <v>141</v>
      </c>
      <c r="E32" s="1136">
        <f t="shared" ref="E32" si="0">E33+E34</f>
        <v>120</v>
      </c>
      <c r="F32" s="1137">
        <f>F33+F34</f>
        <v>70</v>
      </c>
    </row>
    <row r="33" spans="2:14" x14ac:dyDescent="0.25">
      <c r="B33" s="1123"/>
      <c r="C33" s="1124" t="s">
        <v>245</v>
      </c>
      <c r="D33" s="1125">
        <f>F33/$F$32</f>
        <v>0.7</v>
      </c>
      <c r="E33" s="1121">
        <f>E26+E17+E7</f>
        <v>84</v>
      </c>
      <c r="F33" s="1130">
        <f>F26+F17+F7</f>
        <v>49</v>
      </c>
    </row>
    <row r="34" spans="2:14" x14ac:dyDescent="0.25">
      <c r="B34" s="1123"/>
      <c r="C34" s="1124" t="s">
        <v>241</v>
      </c>
      <c r="D34" s="1125">
        <f>F34/$F$32</f>
        <v>0.30000000000000004</v>
      </c>
      <c r="E34" s="1121">
        <f>E27+E18+E8</f>
        <v>36.000000000000007</v>
      </c>
      <c r="F34" s="1130">
        <f>F27+F18+F8</f>
        <v>21.000000000000004</v>
      </c>
    </row>
    <row r="35" spans="2:14" x14ac:dyDescent="0.25">
      <c r="B35" s="1118" t="s">
        <v>37</v>
      </c>
      <c r="C35" s="1122" t="s">
        <v>239</v>
      </c>
      <c r="D35" s="1120" t="s">
        <v>11</v>
      </c>
      <c r="E35" s="626">
        <f t="shared" ref="E35:I35" si="1">E30+E21+E11</f>
        <v>6</v>
      </c>
      <c r="F35" s="1133">
        <f>F30+F21+F11</f>
        <v>3.5</v>
      </c>
      <c r="G35" s="626">
        <f t="shared" si="1"/>
        <v>0</v>
      </c>
      <c r="H35" s="626">
        <f t="shared" si="1"/>
        <v>0</v>
      </c>
      <c r="I35" s="626">
        <f t="shared" si="1"/>
        <v>0</v>
      </c>
      <c r="J35" s="626">
        <f t="shared" ref="J35:N35" si="2">J30+J21+J11</f>
        <v>0</v>
      </c>
      <c r="K35" s="626">
        <f t="shared" si="2"/>
        <v>0</v>
      </c>
      <c r="L35" s="626">
        <f t="shared" si="2"/>
        <v>0</v>
      </c>
      <c r="M35" s="626">
        <f t="shared" si="2"/>
        <v>0</v>
      </c>
      <c r="N35" s="626">
        <f t="shared" si="2"/>
        <v>0</v>
      </c>
    </row>
    <row r="36" spans="2:14" x14ac:dyDescent="0.25">
      <c r="B36" s="1116"/>
      <c r="C36" s="303"/>
      <c r="D36" s="1116"/>
    </row>
    <row r="37" spans="2:14" x14ac:dyDescent="0.25">
      <c r="B37" s="1116"/>
      <c r="C37" s="303"/>
      <c r="D37" s="1116"/>
    </row>
    <row r="38" spans="2:14" x14ac:dyDescent="0.25">
      <c r="B38" s="1116"/>
      <c r="C38" s="303"/>
      <c r="D38" s="1116"/>
    </row>
    <row r="39" spans="2:14" x14ac:dyDescent="0.25">
      <c r="B39" s="1116"/>
      <c r="C39" s="303"/>
      <c r="D39" s="1116"/>
    </row>
    <row r="40" spans="2:14" x14ac:dyDescent="0.25">
      <c r="B40" s="1116"/>
      <c r="C40" s="303"/>
      <c r="D40" s="1116"/>
    </row>
    <row r="41" spans="2:14" x14ac:dyDescent="0.25">
      <c r="B41" s="1116"/>
      <c r="C41" s="303"/>
      <c r="D41" s="1116"/>
    </row>
    <row r="42" spans="2:14" x14ac:dyDescent="0.25">
      <c r="B42" s="1116"/>
      <c r="C42" s="303"/>
      <c r="D42" s="1116"/>
    </row>
    <row r="43" spans="2:14" hidden="1" x14ac:dyDescent="0.25">
      <c r="C43" s="303" t="s">
        <v>648</v>
      </c>
    </row>
    <row r="44" spans="2:14" s="610" customFormat="1" hidden="1" x14ac:dyDescent="0.25">
      <c r="B44" s="1116"/>
      <c r="C44" s="303" t="s">
        <v>697</v>
      </c>
      <c r="D44" s="1116"/>
      <c r="F44" s="1138"/>
    </row>
    <row r="45" spans="2:14" hidden="1" x14ac:dyDescent="0.25">
      <c r="B45" s="1118" t="s">
        <v>29</v>
      </c>
      <c r="C45" s="1119" t="s">
        <v>689</v>
      </c>
      <c r="D45" s="1120" t="s">
        <v>637</v>
      </c>
    </row>
    <row r="46" spans="2:14" hidden="1" x14ac:dyDescent="0.25">
      <c r="B46" s="1118" t="s">
        <v>31</v>
      </c>
      <c r="C46" s="1122" t="s">
        <v>240</v>
      </c>
      <c r="D46" s="1120" t="s">
        <v>141</v>
      </c>
    </row>
    <row r="47" spans="2:14" hidden="1" x14ac:dyDescent="0.25">
      <c r="B47" s="1123"/>
      <c r="C47" s="1124" t="s">
        <v>245</v>
      </c>
      <c r="D47" s="1125">
        <v>0.7</v>
      </c>
    </row>
    <row r="48" spans="2:14" hidden="1" x14ac:dyDescent="0.25">
      <c r="B48" s="1123"/>
      <c r="C48" s="1124" t="s">
        <v>241</v>
      </c>
      <c r="D48" s="1125">
        <f>1-D47</f>
        <v>0.30000000000000004</v>
      </c>
    </row>
    <row r="49" spans="2:6" hidden="1" x14ac:dyDescent="0.25">
      <c r="B49" s="1123"/>
      <c r="C49" s="1124" t="s">
        <v>258</v>
      </c>
      <c r="D49" s="1127"/>
    </row>
    <row r="50" spans="2:6" hidden="1" x14ac:dyDescent="0.25">
      <c r="B50" s="1123"/>
      <c r="C50" s="1124" t="s">
        <v>257</v>
      </c>
      <c r="D50" s="1127"/>
    </row>
    <row r="51" spans="2:6" hidden="1" x14ac:dyDescent="0.25">
      <c r="B51" s="1118" t="s">
        <v>37</v>
      </c>
      <c r="C51" s="1122" t="s">
        <v>239</v>
      </c>
      <c r="D51" s="1120" t="s">
        <v>11</v>
      </c>
    </row>
    <row r="52" spans="2:6" s="610" customFormat="1" hidden="1" x14ac:dyDescent="0.25">
      <c r="B52" s="1116"/>
      <c r="C52" s="303" t="s">
        <v>688</v>
      </c>
      <c r="D52" s="1116"/>
      <c r="F52" s="1138"/>
    </row>
    <row r="53" spans="2:6" hidden="1" x14ac:dyDescent="0.25">
      <c r="B53" s="1118" t="s">
        <v>29</v>
      </c>
      <c r="C53" s="1119" t="s">
        <v>689</v>
      </c>
      <c r="D53" s="1120" t="s">
        <v>637</v>
      </c>
    </row>
    <row r="54" spans="2:6" hidden="1" x14ac:dyDescent="0.25">
      <c r="B54" s="1118" t="s">
        <v>31</v>
      </c>
      <c r="C54" s="1122" t="s">
        <v>240</v>
      </c>
      <c r="D54" s="1120" t="s">
        <v>141</v>
      </c>
      <c r="E54" s="129" t="s">
        <v>700</v>
      </c>
      <c r="F54" s="1139" t="s">
        <v>701</v>
      </c>
    </row>
    <row r="55" spans="2:6" hidden="1" x14ac:dyDescent="0.25">
      <c r="B55" s="1123"/>
      <c r="C55" s="1124" t="s">
        <v>996</v>
      </c>
      <c r="D55" s="1125">
        <v>0.7</v>
      </c>
      <c r="E55" s="129" t="s">
        <v>702</v>
      </c>
      <c r="F55" s="1140" t="s">
        <v>703</v>
      </c>
    </row>
    <row r="56" spans="2:6" hidden="1" x14ac:dyDescent="0.25">
      <c r="B56" s="1123"/>
      <c r="C56" s="1124" t="s">
        <v>241</v>
      </c>
      <c r="D56" s="1125">
        <f>100%-D55</f>
        <v>0.30000000000000004</v>
      </c>
    </row>
    <row r="57" spans="2:6" hidden="1" x14ac:dyDescent="0.25">
      <c r="B57" s="1123"/>
      <c r="C57" s="1124" t="s">
        <v>258</v>
      </c>
      <c r="D57" s="1127"/>
    </row>
    <row r="58" spans="2:6" hidden="1" x14ac:dyDescent="0.25">
      <c r="B58" s="1123"/>
      <c r="C58" s="1124" t="s">
        <v>257</v>
      </c>
      <c r="D58" s="1127"/>
    </row>
    <row r="59" spans="2:6" hidden="1" x14ac:dyDescent="0.25">
      <c r="B59" s="1118" t="s">
        <v>37</v>
      </c>
      <c r="C59" s="1122" t="s">
        <v>239</v>
      </c>
      <c r="D59" s="1120" t="s">
        <v>11</v>
      </c>
    </row>
    <row r="60" spans="2:6" hidden="1" x14ac:dyDescent="0.25"/>
    <row r="61" spans="2:6" hidden="1" x14ac:dyDescent="0.25">
      <c r="C61" s="1122"/>
      <c r="D61" s="1120"/>
    </row>
    <row r="62" spans="2:6" hidden="1" x14ac:dyDescent="0.25"/>
    <row r="63" spans="2:6" hidden="1" x14ac:dyDescent="0.25"/>
    <row r="64" spans="2:6" hidden="1" x14ac:dyDescent="0.25"/>
    <row r="65" spans="2:6" s="610" customFormat="1" hidden="1" x14ac:dyDescent="0.25">
      <c r="F65" s="1139" t="s">
        <v>701</v>
      </c>
    </row>
    <row r="66" spans="2:6" s="610" customFormat="1" hidden="1" x14ac:dyDescent="0.25">
      <c r="F66" s="1140" t="s">
        <v>703</v>
      </c>
    </row>
    <row r="67" spans="2:6" s="610" customFormat="1" hidden="1" x14ac:dyDescent="0.25">
      <c r="F67" s="1138"/>
    </row>
    <row r="68" spans="2:6" s="610" customFormat="1" hidden="1" x14ac:dyDescent="0.25">
      <c r="F68" s="1138"/>
    </row>
    <row r="69" spans="2:6" s="610" customFormat="1" hidden="1" x14ac:dyDescent="0.25">
      <c r="F69" s="1138"/>
    </row>
    <row r="70" spans="2:6" s="610" customFormat="1" hidden="1" x14ac:dyDescent="0.25">
      <c r="F70" s="1138"/>
    </row>
    <row r="71" spans="2:6" s="610" customFormat="1" hidden="1" x14ac:dyDescent="0.25">
      <c r="F71" s="1138"/>
    </row>
    <row r="72" spans="2:6" hidden="1" x14ac:dyDescent="0.25">
      <c r="B72" s="1116"/>
      <c r="C72" s="303" t="s">
        <v>690</v>
      </c>
      <c r="D72" s="1116"/>
    </row>
    <row r="73" spans="2:6" hidden="1" x14ac:dyDescent="0.25">
      <c r="B73" s="1118" t="s">
        <v>29</v>
      </c>
      <c r="C73" s="1119" t="s">
        <v>689</v>
      </c>
      <c r="D73" s="1120" t="s">
        <v>637</v>
      </c>
    </row>
    <row r="74" spans="2:6" hidden="1" x14ac:dyDescent="0.25">
      <c r="B74" s="1118" t="s">
        <v>31</v>
      </c>
      <c r="C74" s="1122" t="s">
        <v>240</v>
      </c>
      <c r="D74" s="1120" t="s">
        <v>141</v>
      </c>
    </row>
    <row r="75" spans="2:6" hidden="1" x14ac:dyDescent="0.25">
      <c r="B75" s="1123"/>
      <c r="C75" s="1124" t="s">
        <v>245</v>
      </c>
      <c r="D75" s="1125">
        <v>0.3</v>
      </c>
    </row>
    <row r="76" spans="2:6" hidden="1" x14ac:dyDescent="0.25">
      <c r="B76" s="1123"/>
      <c r="C76" s="1124" t="s">
        <v>241</v>
      </c>
      <c r="D76" s="1125">
        <v>0.7</v>
      </c>
    </row>
    <row r="77" spans="2:6" hidden="1" x14ac:dyDescent="0.25">
      <c r="B77" s="1123"/>
      <c r="C77" s="1124" t="s">
        <v>258</v>
      </c>
      <c r="D77" s="1127"/>
    </row>
    <row r="78" spans="2:6" hidden="1" x14ac:dyDescent="0.25">
      <c r="B78" s="1123"/>
      <c r="C78" s="1124" t="s">
        <v>257</v>
      </c>
      <c r="D78" s="1127"/>
    </row>
    <row r="79" spans="2:6" hidden="1" x14ac:dyDescent="0.25">
      <c r="B79" s="1118" t="s">
        <v>37</v>
      </c>
      <c r="C79" s="1122" t="s">
        <v>239</v>
      </c>
      <c r="D79" s="1120" t="s">
        <v>11</v>
      </c>
    </row>
    <row r="80" spans="2:6" hidden="1" x14ac:dyDescent="0.25"/>
    <row r="81" spans="2:17" hidden="1" x14ac:dyDescent="0.25">
      <c r="B81" s="1116"/>
      <c r="C81" s="303" t="s">
        <v>639</v>
      </c>
      <c r="D81" s="1116"/>
    </row>
    <row r="82" spans="2:17" hidden="1" x14ac:dyDescent="0.25">
      <c r="B82" s="1116"/>
      <c r="C82" s="303" t="s">
        <v>699</v>
      </c>
      <c r="D82" s="1116"/>
    </row>
    <row r="83" spans="2:17" hidden="1" x14ac:dyDescent="0.25">
      <c r="B83" s="1118" t="s">
        <v>29</v>
      </c>
      <c r="C83" s="1119" t="s">
        <v>687</v>
      </c>
      <c r="D83" s="1120" t="s">
        <v>637</v>
      </c>
    </row>
    <row r="84" spans="2:17" s="610" customFormat="1" hidden="1" x14ac:dyDescent="0.25">
      <c r="B84" s="1118" t="s">
        <v>31</v>
      </c>
      <c r="C84" s="1122" t="s">
        <v>240</v>
      </c>
      <c r="D84" s="1120" t="s">
        <v>141</v>
      </c>
      <c r="F84" s="1138"/>
    </row>
    <row r="85" spans="2:17" s="610" customFormat="1" hidden="1" x14ac:dyDescent="0.25">
      <c r="B85" s="1123"/>
      <c r="C85" s="1124" t="s">
        <v>245</v>
      </c>
      <c r="D85" s="1125">
        <v>0.7</v>
      </c>
      <c r="F85" s="1138"/>
    </row>
    <row r="86" spans="2:17" s="610" customFormat="1" hidden="1" x14ac:dyDescent="0.25">
      <c r="B86" s="1123"/>
      <c r="C86" s="1124" t="s">
        <v>241</v>
      </c>
      <c r="D86" s="1125">
        <f>1-D85</f>
        <v>0.30000000000000004</v>
      </c>
      <c r="F86" s="1138"/>
    </row>
    <row r="87" spans="2:17" s="610" customFormat="1" hidden="1" x14ac:dyDescent="0.25">
      <c r="B87" s="1123"/>
      <c r="C87" s="1124" t="s">
        <v>258</v>
      </c>
      <c r="D87" s="1127"/>
      <c r="F87" s="1138"/>
      <c r="Q87" s="129"/>
    </row>
    <row r="88" spans="2:17" s="610" customFormat="1" hidden="1" x14ac:dyDescent="0.25">
      <c r="B88" s="1123"/>
      <c r="C88" s="1124" t="s">
        <v>257</v>
      </c>
      <c r="D88" s="1127"/>
      <c r="F88" s="1138"/>
      <c r="Q88" s="129" t="s">
        <v>700</v>
      </c>
    </row>
    <row r="89" spans="2:17" s="610" customFormat="1" hidden="1" x14ac:dyDescent="0.25">
      <c r="B89" s="1118" t="s">
        <v>37</v>
      </c>
      <c r="C89" s="1122" t="s">
        <v>239</v>
      </c>
      <c r="D89" s="1120" t="s">
        <v>11</v>
      </c>
      <c r="F89" s="1138"/>
      <c r="Q89" s="129" t="s">
        <v>702</v>
      </c>
    </row>
    <row r="90" spans="2:17" s="610" customFormat="1" x14ac:dyDescent="0.25">
      <c r="B90" s="1118"/>
      <c r="C90" s="1122"/>
      <c r="D90" s="1120"/>
      <c r="F90" s="1138"/>
    </row>
    <row r="91" spans="2:17" x14ac:dyDescent="0.25">
      <c r="Q91" s="610"/>
    </row>
    <row r="92" spans="2:17" x14ac:dyDescent="0.25">
      <c r="Q92" s="610"/>
    </row>
    <row r="93" spans="2:17" x14ac:dyDescent="0.25">
      <c r="Q93" s="610"/>
    </row>
    <row r="94" spans="2:17" s="610" customFormat="1" x14ac:dyDescent="0.25">
      <c r="F94" s="1138"/>
    </row>
    <row r="95" spans="2:17" s="610" customFormat="1" x14ac:dyDescent="0.25">
      <c r="F95" s="1138"/>
      <c r="Q95" s="129"/>
    </row>
    <row r="96" spans="2:17" s="610" customFormat="1" x14ac:dyDescent="0.25">
      <c r="F96" s="1138"/>
      <c r="Q96" s="129"/>
    </row>
    <row r="97" spans="2:17" s="610" customFormat="1" x14ac:dyDescent="0.25">
      <c r="F97" s="1138"/>
      <c r="Q97" s="129"/>
    </row>
    <row r="98" spans="2:17" s="610" customFormat="1" x14ac:dyDescent="0.25">
      <c r="F98" s="1138"/>
      <c r="Q98" s="129"/>
    </row>
    <row r="99" spans="2:17" s="610" customFormat="1" x14ac:dyDescent="0.25">
      <c r="F99" s="1138"/>
      <c r="Q99" s="129"/>
    </row>
    <row r="100" spans="2:17" s="610" customFormat="1" x14ac:dyDescent="0.25">
      <c r="F100" s="1138"/>
      <c r="Q100" s="129"/>
    </row>
    <row r="101" spans="2:17" s="610" customFormat="1" x14ac:dyDescent="0.25">
      <c r="F101" s="1138"/>
      <c r="Q101" s="129"/>
    </row>
    <row r="102" spans="2:17" s="610" customFormat="1" x14ac:dyDescent="0.25">
      <c r="F102" s="1138"/>
      <c r="Q102" s="129"/>
    </row>
    <row r="103" spans="2:17" s="610" customFormat="1" x14ac:dyDescent="0.25">
      <c r="F103" s="1138"/>
      <c r="Q103" s="129"/>
    </row>
    <row r="104" spans="2:17" s="610" customFormat="1" x14ac:dyDescent="0.25">
      <c r="F104" s="1138"/>
      <c r="Q104" s="129"/>
    </row>
    <row r="105" spans="2:17" s="610" customFormat="1" x14ac:dyDescent="0.25">
      <c r="F105" s="1138"/>
      <c r="Q105" s="129"/>
    </row>
    <row r="106" spans="2:17" s="610" customFormat="1" x14ac:dyDescent="0.25">
      <c r="F106" s="1138"/>
      <c r="Q106" s="129"/>
    </row>
    <row r="107" spans="2:17" s="610" customFormat="1" hidden="1" x14ac:dyDescent="0.25">
      <c r="F107" s="1138"/>
    </row>
    <row r="108" spans="2:17" s="610" customFormat="1" hidden="1" x14ac:dyDescent="0.25">
      <c r="F108" s="1138"/>
    </row>
    <row r="109" spans="2:17" s="610" customFormat="1" hidden="1" x14ac:dyDescent="0.25">
      <c r="B109" s="1118"/>
      <c r="C109" s="1122"/>
      <c r="D109" s="1120"/>
      <c r="F109" s="1138"/>
    </row>
    <row r="110" spans="2:17" s="610" customFormat="1" hidden="1" x14ac:dyDescent="0.25">
      <c r="B110" s="1116"/>
      <c r="C110" s="303" t="s">
        <v>698</v>
      </c>
      <c r="D110" s="1116"/>
      <c r="F110" s="1138"/>
    </row>
    <row r="111" spans="2:17" s="610" customFormat="1" hidden="1" x14ac:dyDescent="0.25">
      <c r="B111" s="1118" t="s">
        <v>29</v>
      </c>
      <c r="C111" s="1119" t="s">
        <v>687</v>
      </c>
      <c r="D111" s="1120" t="s">
        <v>704</v>
      </c>
      <c r="F111" s="1138"/>
    </row>
    <row r="112" spans="2:17" s="610" customFormat="1" hidden="1" x14ac:dyDescent="0.25">
      <c r="B112" s="1118" t="s">
        <v>31</v>
      </c>
      <c r="C112" s="1122" t="s">
        <v>240</v>
      </c>
      <c r="D112" s="1120" t="s">
        <v>141</v>
      </c>
      <c r="F112" s="1138"/>
    </row>
    <row r="113" spans="2:17" s="610" customFormat="1" hidden="1" x14ac:dyDescent="0.25">
      <c r="B113" s="1123"/>
      <c r="C113" s="1124" t="s">
        <v>245</v>
      </c>
      <c r="D113" s="1125">
        <v>0.7</v>
      </c>
      <c r="F113" s="1138"/>
    </row>
    <row r="114" spans="2:17" hidden="1" x14ac:dyDescent="0.25">
      <c r="B114" s="1123"/>
      <c r="C114" s="1124" t="s">
        <v>241</v>
      </c>
      <c r="D114" s="1125">
        <f>1-D113</f>
        <v>0.30000000000000004</v>
      </c>
    </row>
    <row r="115" spans="2:17" hidden="1" x14ac:dyDescent="0.25">
      <c r="B115" s="1123"/>
      <c r="C115" s="1124" t="s">
        <v>258</v>
      </c>
      <c r="D115" s="1127"/>
    </row>
    <row r="116" spans="2:17" hidden="1" x14ac:dyDescent="0.25">
      <c r="B116" s="1123"/>
      <c r="C116" s="1124" t="s">
        <v>257</v>
      </c>
      <c r="D116" s="1127"/>
      <c r="Q116" s="129" t="s">
        <v>1000</v>
      </c>
    </row>
    <row r="117" spans="2:17" hidden="1" x14ac:dyDescent="0.25">
      <c r="B117" s="1118" t="s">
        <v>37</v>
      </c>
      <c r="C117" s="1122" t="s">
        <v>239</v>
      </c>
      <c r="D117" s="1120" t="s">
        <v>11</v>
      </c>
    </row>
    <row r="118" spans="2:17" s="303" customFormat="1" x14ac:dyDescent="0.25">
      <c r="F118" s="114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70C0"/>
  </sheetPr>
  <dimension ref="A3:AE284"/>
  <sheetViews>
    <sheetView showGridLines="0" zoomScale="85" zoomScaleNormal="85" workbookViewId="0">
      <pane xSplit="2" ySplit="5" topLeftCell="C6" activePane="bottomRight" state="frozen"/>
      <selection pane="topRight" activeCell="C1" sqref="C1"/>
      <selection pane="bottomLeft" activeCell="A6" sqref="A6"/>
      <selection pane="bottomRight" activeCell="B28" sqref="B28"/>
    </sheetView>
  </sheetViews>
  <sheetFormatPr defaultColWidth="8.7109375" defaultRowHeight="15" x14ac:dyDescent="0.25"/>
  <cols>
    <col min="1" max="1" width="8.7109375" style="1"/>
    <col min="2" max="2" width="40.85546875" customWidth="1"/>
    <col min="3" max="3" width="10.5703125" bestFit="1" customWidth="1"/>
    <col min="4" max="4" width="7.85546875" style="547" customWidth="1"/>
    <col min="5" max="10" width="9" customWidth="1"/>
    <col min="11" max="11" width="13.85546875" bestFit="1" customWidth="1"/>
    <col min="12" max="12" width="15.42578125" style="546" bestFit="1" customWidth="1"/>
    <col min="13" max="17" width="13.7109375" style="546" bestFit="1" customWidth="1"/>
    <col min="18" max="18" width="13.7109375" style="517" bestFit="1" customWidth="1"/>
    <col min="19" max="19" width="13.7109375" style="518" bestFit="1" customWidth="1"/>
    <col min="20" max="21" width="13.7109375" style="517" bestFit="1" customWidth="1"/>
    <col min="22" max="28" width="12.28515625" style="156" bestFit="1" customWidth="1"/>
    <col min="29" max="29" width="12.28515625" bestFit="1" customWidth="1"/>
    <col min="31" max="31" width="13.28515625" bestFit="1" customWidth="1"/>
  </cols>
  <sheetData>
    <row r="3" spans="1:28" x14ac:dyDescent="0.25">
      <c r="A3" s="1">
        <v>1</v>
      </c>
      <c r="B3" s="313" t="s">
        <v>856</v>
      </c>
      <c r="C3" s="316"/>
      <c r="D3" s="588"/>
      <c r="E3" s="316"/>
      <c r="F3" s="316"/>
      <c r="G3" s="316"/>
      <c r="H3" s="316"/>
      <c r="I3" s="316"/>
      <c r="J3" s="316"/>
      <c r="K3" s="316"/>
      <c r="L3" s="589"/>
      <c r="M3" s="589"/>
      <c r="N3" s="589"/>
      <c r="O3" s="589"/>
      <c r="P3" s="589"/>
      <c r="Q3" s="589"/>
      <c r="R3" s="553"/>
      <c r="S3" s="554"/>
      <c r="T3" s="553"/>
      <c r="U3" s="553"/>
    </row>
    <row r="4" spans="1:28" x14ac:dyDescent="0.25">
      <c r="B4" s="1" t="s">
        <v>821</v>
      </c>
      <c r="C4" s="1"/>
      <c r="L4" s="590"/>
      <c r="M4" s="590"/>
      <c r="N4" s="590"/>
      <c r="O4" s="590"/>
      <c r="P4" s="590"/>
      <c r="Q4" s="590"/>
      <c r="R4" s="590"/>
      <c r="S4" s="590"/>
      <c r="T4" s="590"/>
      <c r="U4" s="590"/>
    </row>
    <row r="5" spans="1:28" s="560" customFormat="1" ht="60" x14ac:dyDescent="0.25">
      <c r="B5" s="570" t="s">
        <v>819</v>
      </c>
      <c r="C5" s="570" t="s">
        <v>642</v>
      </c>
      <c r="D5" s="591" t="s">
        <v>692</v>
      </c>
      <c r="E5" s="591" t="s">
        <v>840</v>
      </c>
      <c r="F5" s="591" t="s">
        <v>836</v>
      </c>
      <c r="G5" s="591" t="s">
        <v>839</v>
      </c>
      <c r="H5" s="591" t="s">
        <v>841</v>
      </c>
      <c r="I5" s="591" t="s">
        <v>842</v>
      </c>
      <c r="J5" s="591" t="s">
        <v>842</v>
      </c>
      <c r="K5" s="591" t="s">
        <v>843</v>
      </c>
      <c r="L5" s="1468">
        <v>2024</v>
      </c>
      <c r="M5" s="1468">
        <v>2025</v>
      </c>
      <c r="N5" s="1468">
        <v>2026</v>
      </c>
      <c r="O5" s="1468">
        <v>2027</v>
      </c>
      <c r="P5" s="1468">
        <v>2028</v>
      </c>
      <c r="Q5" s="1468">
        <v>2029</v>
      </c>
      <c r="R5" s="1468">
        <v>2030</v>
      </c>
      <c r="S5" s="1468">
        <v>2031</v>
      </c>
      <c r="T5" s="1468">
        <v>2032</v>
      </c>
      <c r="U5" s="1468">
        <v>2033</v>
      </c>
      <c r="V5" s="516"/>
      <c r="W5" s="516"/>
      <c r="X5" s="516"/>
      <c r="Y5" s="516"/>
      <c r="Z5" s="516"/>
      <c r="AA5" s="516"/>
      <c r="AB5" s="516"/>
    </row>
    <row r="6" spans="1:28" s="560" customFormat="1" x14ac:dyDescent="0.25">
      <c r="B6" s="587" t="s">
        <v>826</v>
      </c>
      <c r="C6" s="587"/>
      <c r="D6" s="593"/>
      <c r="E6" s="587"/>
      <c r="F6" s="587"/>
      <c r="G6" s="587"/>
      <c r="H6" s="587"/>
      <c r="I6" s="587"/>
      <c r="J6" s="587"/>
      <c r="K6" s="587"/>
      <c r="L6" s="594">
        <f t="shared" ref="L6:U6" si="0">L8+L13</f>
        <v>163296</v>
      </c>
      <c r="M6" s="594">
        <f t="shared" si="0"/>
        <v>163296</v>
      </c>
      <c r="N6" s="594">
        <f t="shared" si="0"/>
        <v>163296</v>
      </c>
      <c r="O6" s="594">
        <f t="shared" si="0"/>
        <v>163296</v>
      </c>
      <c r="P6" s="594">
        <f t="shared" si="0"/>
        <v>163296</v>
      </c>
      <c r="Q6" s="594">
        <f t="shared" si="0"/>
        <v>163296</v>
      </c>
      <c r="R6" s="594">
        <f t="shared" si="0"/>
        <v>163296</v>
      </c>
      <c r="S6" s="594">
        <f t="shared" si="0"/>
        <v>163296</v>
      </c>
      <c r="T6" s="594">
        <f t="shared" si="0"/>
        <v>163296</v>
      </c>
      <c r="U6" s="594">
        <f t="shared" si="0"/>
        <v>163296</v>
      </c>
      <c r="V6" s="516"/>
      <c r="W6" s="516"/>
      <c r="X6" s="516"/>
      <c r="Y6" s="516"/>
      <c r="Z6" s="516"/>
      <c r="AA6" s="516"/>
      <c r="AB6" s="516"/>
    </row>
    <row r="7" spans="1:28" s="560" customFormat="1" x14ac:dyDescent="0.25">
      <c r="B7" s="587" t="s">
        <v>760</v>
      </c>
      <c r="C7" s="587"/>
      <c r="D7" s="593"/>
      <c r="E7" s="587"/>
      <c r="F7" s="587"/>
      <c r="G7" s="587"/>
      <c r="H7" s="587"/>
      <c r="I7" s="587"/>
      <c r="J7" s="587"/>
      <c r="K7" s="587"/>
      <c r="L7" s="1167">
        <v>0.15</v>
      </c>
      <c r="M7" s="1167">
        <f>L7</f>
        <v>0.15</v>
      </c>
      <c r="N7" s="1167">
        <f t="shared" ref="N7:U7" si="1">M7</f>
        <v>0.15</v>
      </c>
      <c r="O7" s="1167">
        <f t="shared" si="1"/>
        <v>0.15</v>
      </c>
      <c r="P7" s="1167">
        <f t="shared" si="1"/>
        <v>0.15</v>
      </c>
      <c r="Q7" s="1167">
        <f t="shared" si="1"/>
        <v>0.15</v>
      </c>
      <c r="R7" s="1167">
        <f t="shared" si="1"/>
        <v>0.15</v>
      </c>
      <c r="S7" s="1167">
        <f t="shared" si="1"/>
        <v>0.15</v>
      </c>
      <c r="T7" s="1167">
        <f t="shared" si="1"/>
        <v>0.15</v>
      </c>
      <c r="U7" s="1167">
        <f t="shared" si="1"/>
        <v>0.15</v>
      </c>
      <c r="V7" s="516"/>
      <c r="W7" s="516"/>
      <c r="X7" s="516"/>
      <c r="Y7" s="516"/>
      <c r="Z7" s="516"/>
      <c r="AA7" s="516"/>
      <c r="AB7" s="516"/>
    </row>
    <row r="8" spans="1:28" s="1" customFormat="1" x14ac:dyDescent="0.25">
      <c r="B8" s="1" t="s">
        <v>828</v>
      </c>
      <c r="C8" s="1" t="s">
        <v>813</v>
      </c>
      <c r="D8" s="116">
        <f>D9+D10</f>
        <v>2</v>
      </c>
      <c r="E8" s="116">
        <f>E9+E10</f>
        <v>240</v>
      </c>
      <c r="F8" s="116"/>
      <c r="G8" s="116">
        <f>G9+G10</f>
        <v>168</v>
      </c>
      <c r="H8" s="116"/>
      <c r="I8" s="116"/>
      <c r="J8" s="116"/>
      <c r="K8" s="116"/>
      <c r="L8" s="116">
        <f>L9+L10</f>
        <v>72576</v>
      </c>
      <c r="M8" s="116">
        <f>M9+M10</f>
        <v>72576</v>
      </c>
      <c r="N8" s="116">
        <f t="shared" ref="N8:U8" si="2">N9+N10</f>
        <v>72576</v>
      </c>
      <c r="O8" s="116">
        <f t="shared" si="2"/>
        <v>72576</v>
      </c>
      <c r="P8" s="116">
        <f t="shared" si="2"/>
        <v>72576</v>
      </c>
      <c r="Q8" s="116">
        <f t="shared" si="2"/>
        <v>72576</v>
      </c>
      <c r="R8" s="116">
        <f t="shared" si="2"/>
        <v>72576</v>
      </c>
      <c r="S8" s="116">
        <f t="shared" si="2"/>
        <v>72576</v>
      </c>
      <c r="T8" s="116">
        <f t="shared" si="2"/>
        <v>72576</v>
      </c>
      <c r="U8" s="116">
        <f t="shared" si="2"/>
        <v>72576</v>
      </c>
      <c r="V8" s="116"/>
      <c r="W8" s="116"/>
      <c r="X8" s="116"/>
      <c r="Y8" s="116"/>
      <c r="Z8" s="116"/>
      <c r="AA8" s="116"/>
      <c r="AB8" s="116"/>
    </row>
    <row r="9" spans="1:28" s="9" customFormat="1" x14ac:dyDescent="0.25">
      <c r="B9" s="9" t="s">
        <v>837</v>
      </c>
      <c r="D9" s="597">
        <v>1</v>
      </c>
      <c r="E9" s="556">
        <v>120</v>
      </c>
      <c r="F9" s="659">
        <v>0.3</v>
      </c>
      <c r="G9" s="556">
        <f>E9*(1-F9)</f>
        <v>84</v>
      </c>
      <c r="H9" s="656">
        <f>'2. Input'!$C$8</f>
        <v>8</v>
      </c>
      <c r="I9" s="656">
        <f>'2. Input'!$C$7</f>
        <v>30</v>
      </c>
      <c r="J9" s="556">
        <v>12</v>
      </c>
      <c r="K9" s="556">
        <f>J9*I9*H9*G9</f>
        <v>241920</v>
      </c>
      <c r="L9" s="658">
        <f>$K$9*L11</f>
        <v>36288</v>
      </c>
      <c r="M9" s="658">
        <f t="shared" ref="M9:U9" si="3">$K$9*M11</f>
        <v>36288</v>
      </c>
      <c r="N9" s="658">
        <f t="shared" si="3"/>
        <v>36288</v>
      </c>
      <c r="O9" s="658">
        <f t="shared" si="3"/>
        <v>36288</v>
      </c>
      <c r="P9" s="658">
        <f t="shared" si="3"/>
        <v>36288</v>
      </c>
      <c r="Q9" s="658">
        <f t="shared" si="3"/>
        <v>36288</v>
      </c>
      <c r="R9" s="658">
        <f t="shared" si="3"/>
        <v>36288</v>
      </c>
      <c r="S9" s="658">
        <f t="shared" si="3"/>
        <v>36288</v>
      </c>
      <c r="T9" s="658">
        <f t="shared" si="3"/>
        <v>36288</v>
      </c>
      <c r="U9" s="658">
        <f t="shared" si="3"/>
        <v>36288</v>
      </c>
      <c r="V9" s="556"/>
      <c r="W9" s="556"/>
      <c r="X9" s="556"/>
      <c r="Y9" s="556"/>
      <c r="Z9" s="556"/>
      <c r="AA9" s="556"/>
      <c r="AB9" s="556"/>
    </row>
    <row r="10" spans="1:28" s="9" customFormat="1" x14ac:dyDescent="0.25">
      <c r="B10" s="9" t="s">
        <v>838</v>
      </c>
      <c r="D10" s="597">
        <v>1</v>
      </c>
      <c r="E10" s="556">
        <v>120</v>
      </c>
      <c r="F10" s="659">
        <v>0.3</v>
      </c>
      <c r="G10" s="556">
        <f>E10*(1-F10)</f>
        <v>84</v>
      </c>
      <c r="H10" s="656">
        <f>'2. Input'!$C$8</f>
        <v>8</v>
      </c>
      <c r="I10" s="656">
        <f>'2. Input'!$C$7</f>
        <v>30</v>
      </c>
      <c r="J10" s="556">
        <v>12</v>
      </c>
      <c r="K10" s="556">
        <f>J10*I10*H10*G10</f>
        <v>241920</v>
      </c>
      <c r="L10" s="658">
        <f>$K$10*L11</f>
        <v>36288</v>
      </c>
      <c r="M10" s="658">
        <f t="shared" ref="M10:U10" si="4">$K$10*M11</f>
        <v>36288</v>
      </c>
      <c r="N10" s="658">
        <f t="shared" si="4"/>
        <v>36288</v>
      </c>
      <c r="O10" s="658">
        <f t="shared" si="4"/>
        <v>36288</v>
      </c>
      <c r="P10" s="658">
        <f t="shared" si="4"/>
        <v>36288</v>
      </c>
      <c r="Q10" s="658">
        <f t="shared" si="4"/>
        <v>36288</v>
      </c>
      <c r="R10" s="658">
        <f t="shared" si="4"/>
        <v>36288</v>
      </c>
      <c r="S10" s="658">
        <f t="shared" si="4"/>
        <v>36288</v>
      </c>
      <c r="T10" s="658">
        <f t="shared" si="4"/>
        <v>36288</v>
      </c>
      <c r="U10" s="658">
        <f t="shared" si="4"/>
        <v>36288</v>
      </c>
      <c r="V10" s="556"/>
      <c r="W10" s="556"/>
      <c r="X10" s="556"/>
      <c r="Y10" s="556"/>
      <c r="Z10" s="556"/>
      <c r="AA10" s="556"/>
      <c r="AB10" s="556"/>
    </row>
    <row r="11" spans="1:28" x14ac:dyDescent="0.25">
      <c r="A11"/>
      <c r="B11" t="s">
        <v>760</v>
      </c>
      <c r="L11" s="1168">
        <f>L7</f>
        <v>0.15</v>
      </c>
      <c r="M11" s="1168">
        <f t="shared" ref="M11:U11" si="5">M7</f>
        <v>0.15</v>
      </c>
      <c r="N11" s="1168">
        <f t="shared" si="5"/>
        <v>0.15</v>
      </c>
      <c r="O11" s="1168">
        <f t="shared" si="5"/>
        <v>0.15</v>
      </c>
      <c r="P11" s="1168">
        <f t="shared" si="5"/>
        <v>0.15</v>
      </c>
      <c r="Q11" s="1168">
        <f t="shared" si="5"/>
        <v>0.15</v>
      </c>
      <c r="R11" s="1168">
        <f t="shared" si="5"/>
        <v>0.15</v>
      </c>
      <c r="S11" s="1168">
        <f t="shared" si="5"/>
        <v>0.15</v>
      </c>
      <c r="T11" s="1168">
        <f t="shared" si="5"/>
        <v>0.15</v>
      </c>
      <c r="U11" s="1168">
        <f t="shared" si="5"/>
        <v>0.15</v>
      </c>
      <c r="V11" s="157"/>
      <c r="W11" s="157"/>
      <c r="X11" s="157"/>
      <c r="Y11" s="157"/>
      <c r="Z11" s="157"/>
      <c r="AA11" s="157"/>
      <c r="AB11" s="157"/>
    </row>
    <row r="12" spans="1:28" x14ac:dyDescent="0.25">
      <c r="B12" s="1"/>
      <c r="L12" s="557"/>
      <c r="M12" s="557"/>
      <c r="N12" s="557"/>
      <c r="O12" s="557"/>
      <c r="P12" s="557"/>
      <c r="Q12" s="557"/>
      <c r="R12" s="557"/>
      <c r="S12" s="557"/>
      <c r="T12" s="557"/>
      <c r="U12" s="557"/>
    </row>
    <row r="13" spans="1:28" s="1" customFormat="1" x14ac:dyDescent="0.25">
      <c r="B13" s="1" t="s">
        <v>844</v>
      </c>
      <c r="C13" s="1" t="s">
        <v>813</v>
      </c>
      <c r="D13" s="116">
        <f>D14+D15</f>
        <v>2</v>
      </c>
      <c r="E13" s="116">
        <f>E14+E15</f>
        <v>300</v>
      </c>
      <c r="F13" s="116"/>
      <c r="G13" s="116">
        <f>G14+G15</f>
        <v>210</v>
      </c>
      <c r="H13" s="116"/>
      <c r="I13" s="116"/>
      <c r="J13" s="116"/>
      <c r="K13" s="116"/>
      <c r="L13" s="116">
        <f>L14+L15</f>
        <v>90720</v>
      </c>
      <c r="M13" s="116">
        <f>M14+M15</f>
        <v>90720</v>
      </c>
      <c r="N13" s="116">
        <f t="shared" ref="N13:U13" si="6">N14+N15</f>
        <v>90720</v>
      </c>
      <c r="O13" s="116">
        <f t="shared" si="6"/>
        <v>90720</v>
      </c>
      <c r="P13" s="116">
        <f t="shared" si="6"/>
        <v>90720</v>
      </c>
      <c r="Q13" s="116">
        <f t="shared" si="6"/>
        <v>90720</v>
      </c>
      <c r="R13" s="116">
        <f t="shared" si="6"/>
        <v>90720</v>
      </c>
      <c r="S13" s="116">
        <f t="shared" si="6"/>
        <v>90720</v>
      </c>
      <c r="T13" s="116">
        <f t="shared" si="6"/>
        <v>90720</v>
      </c>
      <c r="U13" s="116">
        <f t="shared" si="6"/>
        <v>90720</v>
      </c>
      <c r="V13" s="116"/>
      <c r="W13" s="116"/>
      <c r="X13" s="116"/>
      <c r="Y13" s="116"/>
      <c r="Z13" s="116"/>
      <c r="AA13" s="116"/>
      <c r="AB13" s="116"/>
    </row>
    <row r="14" spans="1:28" s="9" customFormat="1" x14ac:dyDescent="0.25">
      <c r="B14" s="9" t="s">
        <v>837</v>
      </c>
      <c r="D14" s="597">
        <v>1</v>
      </c>
      <c r="E14" s="556">
        <v>180</v>
      </c>
      <c r="F14" s="659">
        <v>0.3</v>
      </c>
      <c r="G14" s="556">
        <f>E14*(1-F14)</f>
        <v>125.99999999999999</v>
      </c>
      <c r="H14" s="656">
        <f>'2. Input'!$C$8</f>
        <v>8</v>
      </c>
      <c r="I14" s="656">
        <f>'2. Input'!$C$7</f>
        <v>30</v>
      </c>
      <c r="J14" s="556">
        <v>12</v>
      </c>
      <c r="K14" s="556">
        <f>J14*I14*H14*G14</f>
        <v>362879.99999999994</v>
      </c>
      <c r="L14" s="658">
        <f>$K$14*L16</f>
        <v>54431.999999999993</v>
      </c>
      <c r="M14" s="658">
        <f t="shared" ref="M14:U14" si="7">$K$14*M16</f>
        <v>54431.999999999993</v>
      </c>
      <c r="N14" s="658">
        <f t="shared" si="7"/>
        <v>54431.999999999993</v>
      </c>
      <c r="O14" s="658">
        <f t="shared" si="7"/>
        <v>54431.999999999993</v>
      </c>
      <c r="P14" s="658">
        <f t="shared" si="7"/>
        <v>54431.999999999993</v>
      </c>
      <c r="Q14" s="658">
        <f t="shared" si="7"/>
        <v>54431.999999999993</v>
      </c>
      <c r="R14" s="658">
        <f t="shared" si="7"/>
        <v>54431.999999999993</v>
      </c>
      <c r="S14" s="658">
        <f t="shared" si="7"/>
        <v>54431.999999999993</v>
      </c>
      <c r="T14" s="658">
        <f t="shared" si="7"/>
        <v>54431.999999999993</v>
      </c>
      <c r="U14" s="658">
        <f t="shared" si="7"/>
        <v>54431.999999999993</v>
      </c>
      <c r="V14" s="556"/>
      <c r="W14" s="556"/>
      <c r="X14" s="556"/>
      <c r="Y14" s="556"/>
      <c r="Z14" s="556"/>
      <c r="AA14" s="556"/>
      <c r="AB14" s="556"/>
    </row>
    <row r="15" spans="1:28" s="9" customFormat="1" x14ac:dyDescent="0.25">
      <c r="B15" s="9" t="s">
        <v>838</v>
      </c>
      <c r="D15" s="597">
        <v>1</v>
      </c>
      <c r="E15" s="556">
        <v>120</v>
      </c>
      <c r="F15" s="659">
        <v>0.3</v>
      </c>
      <c r="G15" s="556">
        <f>E15*(1-F15)</f>
        <v>84</v>
      </c>
      <c r="H15" s="656">
        <f>'2. Input'!$C$8</f>
        <v>8</v>
      </c>
      <c r="I15" s="656">
        <f>'2. Input'!$C$7</f>
        <v>30</v>
      </c>
      <c r="J15" s="556">
        <v>12</v>
      </c>
      <c r="K15" s="556">
        <f>J15*I15*H15*G15</f>
        <v>241920</v>
      </c>
      <c r="L15" s="658">
        <f>$K$15*L16</f>
        <v>36288</v>
      </c>
      <c r="M15" s="658">
        <f t="shared" ref="M15:U15" si="8">$K$15*M16</f>
        <v>36288</v>
      </c>
      <c r="N15" s="658">
        <f t="shared" si="8"/>
        <v>36288</v>
      </c>
      <c r="O15" s="658">
        <f t="shared" si="8"/>
        <v>36288</v>
      </c>
      <c r="P15" s="658">
        <f t="shared" si="8"/>
        <v>36288</v>
      </c>
      <c r="Q15" s="658">
        <f t="shared" si="8"/>
        <v>36288</v>
      </c>
      <c r="R15" s="658">
        <f t="shared" si="8"/>
        <v>36288</v>
      </c>
      <c r="S15" s="658">
        <f t="shared" si="8"/>
        <v>36288</v>
      </c>
      <c r="T15" s="658">
        <f t="shared" si="8"/>
        <v>36288</v>
      </c>
      <c r="U15" s="658">
        <f t="shared" si="8"/>
        <v>36288</v>
      </c>
      <c r="V15" s="556"/>
      <c r="W15" s="556"/>
      <c r="X15" s="556"/>
      <c r="Y15" s="556"/>
      <c r="Z15" s="556"/>
      <c r="AA15" s="556"/>
      <c r="AB15" s="556"/>
    </row>
    <row r="16" spans="1:28" x14ac:dyDescent="0.25">
      <c r="A16"/>
      <c r="B16" t="s">
        <v>760</v>
      </c>
      <c r="L16" s="1168">
        <f>L11</f>
        <v>0.15</v>
      </c>
      <c r="M16" s="1168">
        <f t="shared" ref="M16:U16" si="9">M11</f>
        <v>0.15</v>
      </c>
      <c r="N16" s="1168">
        <f t="shared" si="9"/>
        <v>0.15</v>
      </c>
      <c r="O16" s="1168">
        <f t="shared" si="9"/>
        <v>0.15</v>
      </c>
      <c r="P16" s="1168">
        <f t="shared" si="9"/>
        <v>0.15</v>
      </c>
      <c r="Q16" s="1168">
        <f t="shared" si="9"/>
        <v>0.15</v>
      </c>
      <c r="R16" s="1168">
        <f t="shared" si="9"/>
        <v>0.15</v>
      </c>
      <c r="S16" s="1168">
        <f t="shared" si="9"/>
        <v>0.15</v>
      </c>
      <c r="T16" s="1168">
        <f t="shared" si="9"/>
        <v>0.15</v>
      </c>
      <c r="U16" s="1168">
        <f t="shared" si="9"/>
        <v>0.15</v>
      </c>
      <c r="V16" s="157"/>
      <c r="W16" s="157"/>
      <c r="X16" s="157"/>
      <c r="Y16" s="157"/>
      <c r="Z16" s="157"/>
      <c r="AA16" s="157"/>
      <c r="AB16" s="157"/>
    </row>
    <row r="17" spans="2:28" x14ac:dyDescent="0.25">
      <c r="B17" s="1"/>
      <c r="L17" s="557"/>
      <c r="M17" s="557"/>
      <c r="N17" s="557"/>
      <c r="O17" s="557"/>
      <c r="P17" s="557"/>
      <c r="Q17" s="557"/>
      <c r="R17" s="557"/>
      <c r="S17" s="557"/>
      <c r="T17" s="557"/>
      <c r="U17" s="557"/>
    </row>
    <row r="18" spans="2:28" x14ac:dyDescent="0.25">
      <c r="B18" s="627" t="s">
        <v>827</v>
      </c>
      <c r="C18" s="628"/>
      <c r="D18" s="629"/>
      <c r="E18" s="628"/>
      <c r="F18" s="628"/>
      <c r="G18" s="628"/>
      <c r="H18" s="628"/>
      <c r="I18" s="628"/>
      <c r="J18" s="628"/>
      <c r="K18" s="628"/>
      <c r="L18" s="594">
        <f>L19</f>
        <v>57456</v>
      </c>
      <c r="M18" s="594">
        <f t="shared" ref="M18:U18" si="10">M19</f>
        <v>57456</v>
      </c>
      <c r="N18" s="594">
        <f t="shared" si="10"/>
        <v>57456</v>
      </c>
      <c r="O18" s="594">
        <f t="shared" si="10"/>
        <v>57456</v>
      </c>
      <c r="P18" s="594">
        <f t="shared" si="10"/>
        <v>57456</v>
      </c>
      <c r="Q18" s="594">
        <f t="shared" si="10"/>
        <v>57456</v>
      </c>
      <c r="R18" s="594">
        <f t="shared" si="10"/>
        <v>57456</v>
      </c>
      <c r="S18" s="594">
        <f t="shared" si="10"/>
        <v>57456</v>
      </c>
      <c r="T18" s="594">
        <f t="shared" si="10"/>
        <v>57456</v>
      </c>
      <c r="U18" s="594">
        <f t="shared" si="10"/>
        <v>57456</v>
      </c>
    </row>
    <row r="19" spans="2:28" s="1" customFormat="1" x14ac:dyDescent="0.25">
      <c r="B19" s="1" t="s">
        <v>845</v>
      </c>
      <c r="C19" s="1" t="s">
        <v>813</v>
      </c>
      <c r="D19" s="116">
        <f>D20+D21</f>
        <v>2</v>
      </c>
      <c r="E19" s="116">
        <f>E20+E21</f>
        <v>190</v>
      </c>
      <c r="F19" s="116"/>
      <c r="G19" s="116">
        <f>G20+G21</f>
        <v>133</v>
      </c>
      <c r="H19" s="116"/>
      <c r="I19" s="116"/>
      <c r="J19" s="116"/>
      <c r="K19" s="116"/>
      <c r="L19" s="116">
        <f>L20+L21</f>
        <v>57456</v>
      </c>
      <c r="M19" s="116">
        <f>M20+M21</f>
        <v>57456</v>
      </c>
      <c r="N19" s="116">
        <f t="shared" ref="N19" si="11">N20+N21</f>
        <v>57456</v>
      </c>
      <c r="O19" s="116">
        <f t="shared" ref="O19" si="12">O20+O21</f>
        <v>57456</v>
      </c>
      <c r="P19" s="116">
        <f t="shared" ref="P19" si="13">P20+P21</f>
        <v>57456</v>
      </c>
      <c r="Q19" s="116">
        <f t="shared" ref="Q19" si="14">Q20+Q21</f>
        <v>57456</v>
      </c>
      <c r="R19" s="116">
        <f t="shared" ref="R19" si="15">R20+R21</f>
        <v>57456</v>
      </c>
      <c r="S19" s="116">
        <f t="shared" ref="S19" si="16">S20+S21</f>
        <v>57456</v>
      </c>
      <c r="T19" s="116">
        <f t="shared" ref="T19" si="17">T20+T21</f>
        <v>57456</v>
      </c>
      <c r="U19" s="116">
        <f t="shared" ref="U19" si="18">U20+U21</f>
        <v>57456</v>
      </c>
      <c r="V19" s="116"/>
      <c r="W19" s="116"/>
      <c r="X19" s="116"/>
      <c r="Y19" s="116"/>
      <c r="Z19" s="116"/>
      <c r="AA19" s="116"/>
      <c r="AB19" s="116"/>
    </row>
    <row r="20" spans="2:28" customFormat="1" x14ac:dyDescent="0.25">
      <c r="B20" s="9" t="s">
        <v>837</v>
      </c>
      <c r="C20" s="9"/>
      <c r="D20" s="597">
        <v>1</v>
      </c>
      <c r="E20" s="556">
        <v>90</v>
      </c>
      <c r="F20" s="659">
        <v>0.3</v>
      </c>
      <c r="G20" s="556">
        <f>E20*(1-F20)</f>
        <v>62.999999999999993</v>
      </c>
      <c r="H20" s="656">
        <f>'2. Input'!$C$8</f>
        <v>8</v>
      </c>
      <c r="I20" s="656">
        <f>'2. Input'!$C$7</f>
        <v>30</v>
      </c>
      <c r="J20" s="556">
        <v>12</v>
      </c>
      <c r="K20" s="556">
        <f>J20*I20*H20*G20</f>
        <v>181439.99999999997</v>
      </c>
      <c r="L20" s="658">
        <f>$K$20*L22</f>
        <v>27215.999999999996</v>
      </c>
      <c r="M20" s="658">
        <f t="shared" ref="M20:U20" si="19">$K$20*M22</f>
        <v>27215.999999999996</v>
      </c>
      <c r="N20" s="658">
        <f t="shared" si="19"/>
        <v>27215.999999999996</v>
      </c>
      <c r="O20" s="658">
        <f t="shared" si="19"/>
        <v>27215.999999999996</v>
      </c>
      <c r="P20" s="658">
        <f t="shared" si="19"/>
        <v>27215.999999999996</v>
      </c>
      <c r="Q20" s="658">
        <f t="shared" si="19"/>
        <v>27215.999999999996</v>
      </c>
      <c r="R20" s="658">
        <f t="shared" si="19"/>
        <v>27215.999999999996</v>
      </c>
      <c r="S20" s="658">
        <f t="shared" si="19"/>
        <v>27215.999999999996</v>
      </c>
      <c r="T20" s="658">
        <f t="shared" si="19"/>
        <v>27215.999999999996</v>
      </c>
      <c r="U20" s="658">
        <f t="shared" si="19"/>
        <v>27215.999999999996</v>
      </c>
      <c r="V20" s="157"/>
      <c r="W20" s="157"/>
      <c r="X20" s="157"/>
      <c r="Y20" s="157"/>
      <c r="Z20" s="157"/>
      <c r="AA20" s="157"/>
      <c r="AB20" s="157"/>
    </row>
    <row r="21" spans="2:28" customFormat="1" x14ac:dyDescent="0.25">
      <c r="B21" s="1635" t="s">
        <v>838</v>
      </c>
      <c r="C21" s="9"/>
      <c r="D21" s="597">
        <v>1</v>
      </c>
      <c r="E21" s="556">
        <v>100</v>
      </c>
      <c r="F21" s="659">
        <v>0.3</v>
      </c>
      <c r="G21" s="556">
        <f>E21*(1-F21)</f>
        <v>70</v>
      </c>
      <c r="H21" s="656">
        <f>'2. Input'!$C$8</f>
        <v>8</v>
      </c>
      <c r="I21" s="656">
        <f>'2. Input'!$C$7</f>
        <v>30</v>
      </c>
      <c r="J21" s="556">
        <v>12</v>
      </c>
      <c r="K21" s="556">
        <f>J21*I21*H21*G21</f>
        <v>201600</v>
      </c>
      <c r="L21" s="658">
        <f>$K$21*L22</f>
        <v>30240</v>
      </c>
      <c r="M21" s="658">
        <f t="shared" ref="M21:U21" si="20">$K$21*M22</f>
        <v>30240</v>
      </c>
      <c r="N21" s="658">
        <f t="shared" si="20"/>
        <v>30240</v>
      </c>
      <c r="O21" s="658">
        <f t="shared" si="20"/>
        <v>30240</v>
      </c>
      <c r="P21" s="658">
        <f t="shared" si="20"/>
        <v>30240</v>
      </c>
      <c r="Q21" s="658">
        <f t="shared" si="20"/>
        <v>30240</v>
      </c>
      <c r="R21" s="658">
        <f t="shared" si="20"/>
        <v>30240</v>
      </c>
      <c r="S21" s="658">
        <f t="shared" si="20"/>
        <v>30240</v>
      </c>
      <c r="T21" s="658">
        <f t="shared" si="20"/>
        <v>30240</v>
      </c>
      <c r="U21" s="658">
        <f t="shared" si="20"/>
        <v>30240</v>
      </c>
      <c r="V21" s="157"/>
      <c r="W21" s="157"/>
      <c r="X21" s="157"/>
      <c r="Y21" s="157"/>
      <c r="Z21" s="157"/>
      <c r="AA21" s="157"/>
      <c r="AB21" s="157"/>
    </row>
    <row r="22" spans="2:28" customFormat="1" x14ac:dyDescent="0.25">
      <c r="B22" t="s">
        <v>760</v>
      </c>
      <c r="D22" s="547"/>
      <c r="L22" s="1168">
        <f>L16</f>
        <v>0.15</v>
      </c>
      <c r="M22" s="1168">
        <f t="shared" ref="M22:U22" si="21">M16</f>
        <v>0.15</v>
      </c>
      <c r="N22" s="1168">
        <f t="shared" si="21"/>
        <v>0.15</v>
      </c>
      <c r="O22" s="1168">
        <f t="shared" si="21"/>
        <v>0.15</v>
      </c>
      <c r="P22" s="1168">
        <f t="shared" si="21"/>
        <v>0.15</v>
      </c>
      <c r="Q22" s="1168">
        <f t="shared" si="21"/>
        <v>0.15</v>
      </c>
      <c r="R22" s="1168">
        <f t="shared" si="21"/>
        <v>0.15</v>
      </c>
      <c r="S22" s="1168">
        <f t="shared" si="21"/>
        <v>0.15</v>
      </c>
      <c r="T22" s="1168">
        <f t="shared" si="21"/>
        <v>0.15</v>
      </c>
      <c r="U22" s="1168">
        <f t="shared" si="21"/>
        <v>0.15</v>
      </c>
      <c r="V22" s="157"/>
      <c r="W22" s="157"/>
      <c r="X22" s="157"/>
      <c r="Y22" s="157"/>
      <c r="Z22" s="157"/>
      <c r="AA22" s="157"/>
      <c r="AB22" s="157"/>
    </row>
    <row r="23" spans="2:28" s="1" customFormat="1" x14ac:dyDescent="0.25">
      <c r="B23" s="684" t="s">
        <v>694</v>
      </c>
      <c r="C23" s="684"/>
      <c r="D23" s="685"/>
      <c r="E23" s="684"/>
      <c r="F23" s="684"/>
      <c r="G23" s="684"/>
      <c r="H23" s="684"/>
      <c r="I23" s="684"/>
      <c r="J23" s="684"/>
      <c r="K23" s="684"/>
      <c r="L23" s="686">
        <f t="shared" ref="L23:U23" si="22">L6+L19</f>
        <v>220752</v>
      </c>
      <c r="M23" s="686">
        <f t="shared" si="22"/>
        <v>220752</v>
      </c>
      <c r="N23" s="686">
        <f t="shared" si="22"/>
        <v>220752</v>
      </c>
      <c r="O23" s="686">
        <f t="shared" si="22"/>
        <v>220752</v>
      </c>
      <c r="P23" s="686">
        <f t="shared" si="22"/>
        <v>220752</v>
      </c>
      <c r="Q23" s="686">
        <f t="shared" si="22"/>
        <v>220752</v>
      </c>
      <c r="R23" s="686">
        <f t="shared" si="22"/>
        <v>220752</v>
      </c>
      <c r="S23" s="686">
        <f t="shared" si="22"/>
        <v>220752</v>
      </c>
      <c r="T23" s="686">
        <f t="shared" si="22"/>
        <v>220752</v>
      </c>
      <c r="U23" s="686">
        <f t="shared" si="22"/>
        <v>220752</v>
      </c>
      <c r="V23" s="116"/>
      <c r="W23" s="116"/>
      <c r="X23" s="116"/>
      <c r="Y23" s="116"/>
      <c r="Z23" s="116"/>
      <c r="AA23" s="116"/>
      <c r="AB23" s="116"/>
    </row>
    <row r="24" spans="2:28" x14ac:dyDescent="0.25">
      <c r="L24" s="601"/>
    </row>
    <row r="25" spans="2:28" x14ac:dyDescent="0.25">
      <c r="B25" s="1" t="s">
        <v>822</v>
      </c>
      <c r="C25" s="1"/>
      <c r="L25" s="590"/>
      <c r="M25" s="590"/>
      <c r="N25" s="590"/>
      <c r="O25" s="590"/>
      <c r="P25" s="590"/>
      <c r="Q25" s="590"/>
      <c r="R25" s="590"/>
      <c r="S25" s="590"/>
      <c r="T25" s="590"/>
      <c r="U25" s="590"/>
    </row>
    <row r="26" spans="2:28" s="560" customFormat="1" ht="60" x14ac:dyDescent="0.25">
      <c r="B26" s="570" t="s">
        <v>819</v>
      </c>
      <c r="C26" s="570" t="s">
        <v>642</v>
      </c>
      <c r="D26" s="591" t="s">
        <v>818</v>
      </c>
      <c r="E26" s="591" t="s">
        <v>853</v>
      </c>
      <c r="F26" s="570"/>
      <c r="G26" s="570"/>
      <c r="H26" s="591" t="s">
        <v>841</v>
      </c>
      <c r="I26" s="591" t="s">
        <v>842</v>
      </c>
      <c r="J26" s="591" t="s">
        <v>842</v>
      </c>
      <c r="K26" s="591" t="s">
        <v>843</v>
      </c>
      <c r="L26" s="592">
        <v>2024</v>
      </c>
      <c r="M26" s="592">
        <v>2025</v>
      </c>
      <c r="N26" s="592">
        <v>2026</v>
      </c>
      <c r="O26" s="592">
        <v>2027</v>
      </c>
      <c r="P26" s="592">
        <v>2028</v>
      </c>
      <c r="Q26" s="592">
        <v>2029</v>
      </c>
      <c r="R26" s="592">
        <v>2030</v>
      </c>
      <c r="S26" s="592">
        <v>2031</v>
      </c>
      <c r="T26" s="592">
        <v>2032</v>
      </c>
      <c r="U26" s="592">
        <v>2033</v>
      </c>
      <c r="V26" s="516"/>
      <c r="W26" s="516"/>
      <c r="X26" s="516"/>
      <c r="Y26" s="516"/>
      <c r="Z26" s="516"/>
      <c r="AA26" s="516"/>
      <c r="AB26" s="516"/>
    </row>
    <row r="27" spans="2:28" s="560" customFormat="1" x14ac:dyDescent="0.25">
      <c r="B27" s="587" t="s">
        <v>826</v>
      </c>
      <c r="C27" s="587"/>
      <c r="D27" s="593"/>
      <c r="E27" s="587"/>
      <c r="F27" s="587"/>
      <c r="G27" s="587"/>
      <c r="H27" s="587"/>
      <c r="I27" s="587"/>
      <c r="J27" s="587"/>
      <c r="K27" s="587"/>
      <c r="L27" s="630"/>
      <c r="M27" s="630"/>
      <c r="N27" s="630"/>
      <c r="O27" s="630"/>
      <c r="P27" s="630"/>
      <c r="Q27" s="630"/>
      <c r="R27" s="630"/>
      <c r="S27" s="630"/>
      <c r="T27" s="630"/>
      <c r="U27" s="630"/>
      <c r="V27" s="516"/>
      <c r="W27" s="516"/>
      <c r="X27" s="516"/>
      <c r="Y27" s="516"/>
      <c r="Z27" s="516"/>
      <c r="AA27" s="516"/>
      <c r="AB27" s="516"/>
    </row>
    <row r="28" spans="2:28" s="560" customFormat="1" x14ac:dyDescent="0.25">
      <c r="B28" s="587"/>
      <c r="C28" s="587"/>
      <c r="D28" s="593"/>
      <c r="E28" s="587"/>
      <c r="F28" s="587"/>
      <c r="G28" s="587"/>
      <c r="H28" s="587"/>
      <c r="I28" s="587"/>
      <c r="J28" s="587"/>
      <c r="K28" s="587"/>
      <c r="L28" s="631"/>
      <c r="M28" s="631"/>
      <c r="N28" s="631"/>
      <c r="O28" s="631"/>
      <c r="P28" s="631"/>
      <c r="Q28" s="631"/>
      <c r="R28" s="631"/>
      <c r="S28" s="631"/>
      <c r="T28" s="631"/>
      <c r="U28" s="631"/>
      <c r="V28" s="516"/>
      <c r="W28" s="516"/>
      <c r="X28" s="516"/>
      <c r="Y28" s="516"/>
      <c r="Z28" s="516"/>
      <c r="AA28" s="516"/>
      <c r="AB28" s="516"/>
    </row>
    <row r="29" spans="2:28" s="560" customFormat="1" x14ac:dyDescent="0.25">
      <c r="B29" s="587" t="s">
        <v>885</v>
      </c>
      <c r="C29" s="587"/>
      <c r="D29" s="593"/>
      <c r="E29" s="587"/>
      <c r="F29" s="587"/>
      <c r="G29" s="587"/>
      <c r="H29" s="587"/>
      <c r="I29" s="587"/>
      <c r="J29" s="587"/>
      <c r="K29" s="587"/>
      <c r="L29" s="631">
        <f>L31*L30</f>
        <v>3932928</v>
      </c>
      <c r="M29" s="631">
        <f t="shared" ref="M29:U29" si="23">M31*M30</f>
        <v>3932928</v>
      </c>
      <c r="N29" s="631">
        <f t="shared" si="23"/>
        <v>3932928</v>
      </c>
      <c r="O29" s="631">
        <f t="shared" si="23"/>
        <v>3932928</v>
      </c>
      <c r="P29" s="631">
        <f t="shared" si="23"/>
        <v>3932928</v>
      </c>
      <c r="Q29" s="631">
        <f t="shared" si="23"/>
        <v>3932928</v>
      </c>
      <c r="R29" s="631">
        <f t="shared" si="23"/>
        <v>3932928</v>
      </c>
      <c r="S29" s="631">
        <f t="shared" si="23"/>
        <v>3932928</v>
      </c>
      <c r="T29" s="631">
        <f t="shared" si="23"/>
        <v>3932928</v>
      </c>
      <c r="U29" s="631">
        <f t="shared" si="23"/>
        <v>3932928</v>
      </c>
      <c r="V29" s="516"/>
      <c r="W29" s="516"/>
      <c r="X29" s="516"/>
      <c r="Y29" s="516"/>
      <c r="Z29" s="516"/>
      <c r="AA29" s="516"/>
      <c r="AB29" s="516"/>
    </row>
    <row r="30" spans="2:28" s="560" customFormat="1" x14ac:dyDescent="0.25">
      <c r="B30" s="587" t="s">
        <v>760</v>
      </c>
      <c r="C30" s="587"/>
      <c r="D30" s="593"/>
      <c r="E30" s="587"/>
      <c r="F30" s="587"/>
      <c r="G30" s="587"/>
      <c r="H30" s="587"/>
      <c r="I30" s="587"/>
      <c r="J30" s="587"/>
      <c r="K30" s="587"/>
      <c r="L30" s="1173">
        <v>0.4</v>
      </c>
      <c r="M30" s="1173">
        <f>L30</f>
        <v>0.4</v>
      </c>
      <c r="N30" s="1173">
        <f t="shared" ref="N30:U30" si="24">M30</f>
        <v>0.4</v>
      </c>
      <c r="O30" s="1173">
        <f t="shared" si="24"/>
        <v>0.4</v>
      </c>
      <c r="P30" s="1173">
        <f t="shared" si="24"/>
        <v>0.4</v>
      </c>
      <c r="Q30" s="1173">
        <f t="shared" si="24"/>
        <v>0.4</v>
      </c>
      <c r="R30" s="1173">
        <f t="shared" si="24"/>
        <v>0.4</v>
      </c>
      <c r="S30" s="1173">
        <f t="shared" si="24"/>
        <v>0.4</v>
      </c>
      <c r="T30" s="1173">
        <f t="shared" si="24"/>
        <v>0.4</v>
      </c>
      <c r="U30" s="1173">
        <f t="shared" si="24"/>
        <v>0.4</v>
      </c>
      <c r="V30" s="516"/>
      <c r="W30" s="516"/>
      <c r="X30" s="516"/>
      <c r="Y30" s="516"/>
      <c r="Z30" s="516"/>
      <c r="AA30" s="516"/>
      <c r="AB30" s="516"/>
    </row>
    <row r="31" spans="2:28" s="1" customFormat="1" x14ac:dyDescent="0.25">
      <c r="B31" s="1" t="s">
        <v>829</v>
      </c>
      <c r="C31" s="1" t="s">
        <v>820</v>
      </c>
      <c r="D31" s="632">
        <v>1</v>
      </c>
      <c r="E31" s="116">
        <v>10000</v>
      </c>
      <c r="F31" s="116"/>
      <c r="G31" s="116"/>
      <c r="H31" s="116"/>
      <c r="I31" s="116"/>
      <c r="J31" s="116"/>
      <c r="K31" s="116"/>
      <c r="L31" s="1172">
        <f>L32+L34+L36+L38+L40+L42+L44</f>
        <v>9832320</v>
      </c>
      <c r="M31" s="1172">
        <f t="shared" ref="M31:U31" si="25">M32+M34+M36+M38+M40+M42+M44</f>
        <v>9832320</v>
      </c>
      <c r="N31" s="1172">
        <f t="shared" si="25"/>
        <v>9832320</v>
      </c>
      <c r="O31" s="1172">
        <f t="shared" si="25"/>
        <v>9832320</v>
      </c>
      <c r="P31" s="1172">
        <f t="shared" si="25"/>
        <v>9832320</v>
      </c>
      <c r="Q31" s="1172">
        <f t="shared" si="25"/>
        <v>9832320</v>
      </c>
      <c r="R31" s="1172">
        <f t="shared" si="25"/>
        <v>9832320</v>
      </c>
      <c r="S31" s="1172">
        <f t="shared" si="25"/>
        <v>9832320</v>
      </c>
      <c r="T31" s="1172">
        <f t="shared" si="25"/>
        <v>9832320</v>
      </c>
      <c r="U31" s="1172">
        <f t="shared" si="25"/>
        <v>9832320</v>
      </c>
      <c r="V31" s="116"/>
      <c r="W31" s="116"/>
      <c r="X31" s="116"/>
      <c r="Y31" s="116"/>
      <c r="Z31" s="116"/>
      <c r="AA31" s="116"/>
      <c r="AB31" s="116"/>
    </row>
    <row r="32" spans="2:28" s="9" customFormat="1" x14ac:dyDescent="0.25">
      <c r="B32" s="9" t="s">
        <v>846</v>
      </c>
      <c r="D32" s="597"/>
      <c r="E32" s="556">
        <v>6000</v>
      </c>
      <c r="F32" s="556"/>
      <c r="G32" s="556"/>
      <c r="H32" s="656">
        <f>'2. Input'!$C$8</f>
        <v>8</v>
      </c>
      <c r="I32" s="656">
        <f>'2. Input'!$C$7</f>
        <v>30</v>
      </c>
      <c r="J32" s="556">
        <v>12</v>
      </c>
      <c r="K32" s="556">
        <f>E32*H32*I32*J32</f>
        <v>17280000</v>
      </c>
      <c r="L32" s="1169">
        <f>$K$32*L33</f>
        <v>2592000</v>
      </c>
      <c r="M32" s="1169">
        <f t="shared" ref="M32:U32" si="26">$K$32*M33</f>
        <v>2592000</v>
      </c>
      <c r="N32" s="1169">
        <f t="shared" si="26"/>
        <v>2592000</v>
      </c>
      <c r="O32" s="1169">
        <f t="shared" si="26"/>
        <v>2592000</v>
      </c>
      <c r="P32" s="1169">
        <f t="shared" si="26"/>
        <v>2592000</v>
      </c>
      <c r="Q32" s="1169">
        <f t="shared" si="26"/>
        <v>2592000</v>
      </c>
      <c r="R32" s="1169">
        <f t="shared" si="26"/>
        <v>2592000</v>
      </c>
      <c r="S32" s="1169">
        <f t="shared" si="26"/>
        <v>2592000</v>
      </c>
      <c r="T32" s="1169">
        <f t="shared" si="26"/>
        <v>2592000</v>
      </c>
      <c r="U32" s="1169">
        <f t="shared" si="26"/>
        <v>2592000</v>
      </c>
      <c r="V32" s="556"/>
      <c r="W32" s="556"/>
      <c r="X32" s="556"/>
      <c r="Y32" s="556"/>
      <c r="Z32" s="556"/>
      <c r="AA32" s="556"/>
      <c r="AB32" s="556"/>
    </row>
    <row r="33" spans="2:28" s="9" customFormat="1" x14ac:dyDescent="0.25">
      <c r="B33" s="9" t="s">
        <v>854</v>
      </c>
      <c r="D33" s="597"/>
      <c r="E33" s="556"/>
      <c r="F33" s="556"/>
      <c r="G33" s="556"/>
      <c r="H33" s="656"/>
      <c r="I33" s="656"/>
      <c r="J33" s="556"/>
      <c r="K33" s="556"/>
      <c r="L33" s="1170">
        <v>0.15</v>
      </c>
      <c r="M33" s="1170">
        <f>L33</f>
        <v>0.15</v>
      </c>
      <c r="N33" s="1170">
        <f t="shared" ref="N33:U33" si="27">M33</f>
        <v>0.15</v>
      </c>
      <c r="O33" s="1170">
        <f t="shared" si="27"/>
        <v>0.15</v>
      </c>
      <c r="P33" s="1170">
        <f t="shared" si="27"/>
        <v>0.15</v>
      </c>
      <c r="Q33" s="1170">
        <f t="shared" si="27"/>
        <v>0.15</v>
      </c>
      <c r="R33" s="1170">
        <f t="shared" si="27"/>
        <v>0.15</v>
      </c>
      <c r="S33" s="1170">
        <f t="shared" si="27"/>
        <v>0.15</v>
      </c>
      <c r="T33" s="1170">
        <f t="shared" si="27"/>
        <v>0.15</v>
      </c>
      <c r="U33" s="1170">
        <f t="shared" si="27"/>
        <v>0.15</v>
      </c>
      <c r="V33" s="556"/>
      <c r="W33" s="556"/>
      <c r="X33" s="556"/>
      <c r="Y33" s="556"/>
      <c r="Z33" s="556"/>
      <c r="AA33" s="556"/>
      <c r="AB33" s="556"/>
    </row>
    <row r="34" spans="2:28" s="9" customFormat="1" x14ac:dyDescent="0.25">
      <c r="B34" s="9" t="s">
        <v>847</v>
      </c>
      <c r="D34" s="597"/>
      <c r="E34" s="556">
        <v>6000</v>
      </c>
      <c r="F34" s="556"/>
      <c r="G34" s="556"/>
      <c r="H34" s="656">
        <f>'2. Input'!$C$8</f>
        <v>8</v>
      </c>
      <c r="I34" s="656">
        <f>'2. Input'!$C$7</f>
        <v>30</v>
      </c>
      <c r="J34" s="556">
        <v>12</v>
      </c>
      <c r="K34" s="556">
        <f t="shared" ref="K34:K44" si="28">E34*H34*I34*J34</f>
        <v>17280000</v>
      </c>
      <c r="L34" s="1169">
        <f>$K$34*L35</f>
        <v>2592000</v>
      </c>
      <c r="M34" s="1169">
        <f t="shared" ref="M34:U34" si="29">$K$34*M35</f>
        <v>2592000</v>
      </c>
      <c r="N34" s="1169">
        <f t="shared" si="29"/>
        <v>2592000</v>
      </c>
      <c r="O34" s="1169">
        <f t="shared" si="29"/>
        <v>2592000</v>
      </c>
      <c r="P34" s="1169">
        <f t="shared" si="29"/>
        <v>2592000</v>
      </c>
      <c r="Q34" s="1169">
        <f t="shared" si="29"/>
        <v>2592000</v>
      </c>
      <c r="R34" s="1169">
        <f t="shared" si="29"/>
        <v>2592000</v>
      </c>
      <c r="S34" s="1169">
        <f t="shared" si="29"/>
        <v>2592000</v>
      </c>
      <c r="T34" s="1169">
        <f t="shared" si="29"/>
        <v>2592000</v>
      </c>
      <c r="U34" s="1169">
        <f t="shared" si="29"/>
        <v>2592000</v>
      </c>
      <c r="V34" s="556"/>
      <c r="W34" s="556"/>
      <c r="X34" s="556"/>
      <c r="Y34" s="556"/>
      <c r="Z34" s="556"/>
      <c r="AA34" s="556"/>
      <c r="AB34" s="556"/>
    </row>
    <row r="35" spans="2:28" s="9" customFormat="1" x14ac:dyDescent="0.25">
      <c r="B35" s="9" t="s">
        <v>854</v>
      </c>
      <c r="D35" s="597"/>
      <c r="E35" s="556"/>
      <c r="F35" s="556"/>
      <c r="G35" s="556"/>
      <c r="H35" s="656"/>
      <c r="I35" s="656"/>
      <c r="J35" s="556"/>
      <c r="K35" s="556"/>
      <c r="L35" s="1170">
        <v>0.15</v>
      </c>
      <c r="M35" s="1170">
        <f>L35</f>
        <v>0.15</v>
      </c>
      <c r="N35" s="1170">
        <f t="shared" ref="N35:U45" si="30">M35</f>
        <v>0.15</v>
      </c>
      <c r="O35" s="1170">
        <f t="shared" si="30"/>
        <v>0.15</v>
      </c>
      <c r="P35" s="1170">
        <f t="shared" si="30"/>
        <v>0.15</v>
      </c>
      <c r="Q35" s="1170">
        <f t="shared" si="30"/>
        <v>0.15</v>
      </c>
      <c r="R35" s="1170">
        <f t="shared" si="30"/>
        <v>0.15</v>
      </c>
      <c r="S35" s="1170">
        <f t="shared" si="30"/>
        <v>0.15</v>
      </c>
      <c r="T35" s="1170">
        <f t="shared" si="30"/>
        <v>0.15</v>
      </c>
      <c r="U35" s="1170">
        <f t="shared" si="30"/>
        <v>0.15</v>
      </c>
      <c r="V35" s="556"/>
      <c r="W35" s="556"/>
      <c r="X35" s="556"/>
      <c r="Y35" s="556"/>
      <c r="Z35" s="556"/>
      <c r="AA35" s="556"/>
      <c r="AB35" s="556"/>
    </row>
    <row r="36" spans="2:28" s="9" customFormat="1" x14ac:dyDescent="0.25">
      <c r="B36" s="9" t="s">
        <v>848</v>
      </c>
      <c r="D36" s="597"/>
      <c r="E36" s="556">
        <v>1440</v>
      </c>
      <c r="F36" s="556"/>
      <c r="G36" s="556"/>
      <c r="H36" s="656">
        <f>'2. Input'!$C$8</f>
        <v>8</v>
      </c>
      <c r="I36" s="656">
        <f>'2. Input'!$C$7</f>
        <v>30</v>
      </c>
      <c r="J36" s="556">
        <v>12</v>
      </c>
      <c r="K36" s="556">
        <f t="shared" si="28"/>
        <v>4147200</v>
      </c>
      <c r="L36" s="1169">
        <f>$K$36*L37</f>
        <v>622080</v>
      </c>
      <c r="M36" s="1169">
        <f t="shared" ref="M36:U36" si="31">$K$36*M37</f>
        <v>622080</v>
      </c>
      <c r="N36" s="1169">
        <f t="shared" si="31"/>
        <v>622080</v>
      </c>
      <c r="O36" s="1169">
        <f t="shared" si="31"/>
        <v>622080</v>
      </c>
      <c r="P36" s="1169">
        <f t="shared" si="31"/>
        <v>622080</v>
      </c>
      <c r="Q36" s="1169">
        <f t="shared" si="31"/>
        <v>622080</v>
      </c>
      <c r="R36" s="1169">
        <f t="shared" si="31"/>
        <v>622080</v>
      </c>
      <c r="S36" s="1169">
        <f t="shared" si="31"/>
        <v>622080</v>
      </c>
      <c r="T36" s="1169">
        <f t="shared" si="31"/>
        <v>622080</v>
      </c>
      <c r="U36" s="1169">
        <f t="shared" si="31"/>
        <v>622080</v>
      </c>
      <c r="V36" s="556"/>
      <c r="W36" s="556"/>
      <c r="X36" s="556"/>
      <c r="Y36" s="556"/>
      <c r="Z36" s="556"/>
      <c r="AA36" s="556"/>
      <c r="AB36" s="556"/>
    </row>
    <row r="37" spans="2:28" s="9" customFormat="1" x14ac:dyDescent="0.25">
      <c r="B37" s="9" t="s">
        <v>854</v>
      </c>
      <c r="D37" s="597"/>
      <c r="E37" s="556"/>
      <c r="F37" s="556"/>
      <c r="G37" s="556"/>
      <c r="H37" s="656"/>
      <c r="I37" s="656"/>
      <c r="J37" s="556"/>
      <c r="K37" s="556"/>
      <c r="L37" s="1170">
        <v>0.15</v>
      </c>
      <c r="M37" s="1170">
        <f>L37</f>
        <v>0.15</v>
      </c>
      <c r="N37" s="1170">
        <f t="shared" si="30"/>
        <v>0.15</v>
      </c>
      <c r="O37" s="1170">
        <f t="shared" si="30"/>
        <v>0.15</v>
      </c>
      <c r="P37" s="1170">
        <f t="shared" si="30"/>
        <v>0.15</v>
      </c>
      <c r="Q37" s="1170">
        <f t="shared" si="30"/>
        <v>0.15</v>
      </c>
      <c r="R37" s="1170">
        <f t="shared" si="30"/>
        <v>0.15</v>
      </c>
      <c r="S37" s="1170">
        <f t="shared" si="30"/>
        <v>0.15</v>
      </c>
      <c r="T37" s="1170">
        <f t="shared" si="30"/>
        <v>0.15</v>
      </c>
      <c r="U37" s="1170">
        <f t="shared" si="30"/>
        <v>0.15</v>
      </c>
      <c r="V37" s="556"/>
      <c r="W37" s="556"/>
      <c r="X37" s="556"/>
      <c r="Y37" s="556"/>
      <c r="Z37" s="556"/>
      <c r="AA37" s="556"/>
      <c r="AB37" s="556"/>
    </row>
    <row r="38" spans="2:28" s="9" customFormat="1" x14ac:dyDescent="0.25">
      <c r="B38" s="9" t="s">
        <v>849</v>
      </c>
      <c r="D38" s="597"/>
      <c r="E38" s="556">
        <v>2160</v>
      </c>
      <c r="F38" s="556"/>
      <c r="G38" s="556"/>
      <c r="H38" s="656">
        <f>'2. Input'!$C$8</f>
        <v>8</v>
      </c>
      <c r="I38" s="656">
        <f>'2. Input'!$C$7</f>
        <v>30</v>
      </c>
      <c r="J38" s="556">
        <v>12</v>
      </c>
      <c r="K38" s="556">
        <f t="shared" si="28"/>
        <v>6220800</v>
      </c>
      <c r="L38" s="1169">
        <f>$K$38*L39</f>
        <v>933120</v>
      </c>
      <c r="M38" s="1169">
        <f t="shared" ref="M38:U38" si="32">$K$38*M39</f>
        <v>933120</v>
      </c>
      <c r="N38" s="1169">
        <f t="shared" si="32"/>
        <v>933120</v>
      </c>
      <c r="O38" s="1169">
        <f t="shared" si="32"/>
        <v>933120</v>
      </c>
      <c r="P38" s="1169">
        <f t="shared" si="32"/>
        <v>933120</v>
      </c>
      <c r="Q38" s="1169">
        <f t="shared" si="32"/>
        <v>933120</v>
      </c>
      <c r="R38" s="1169">
        <f t="shared" si="32"/>
        <v>933120</v>
      </c>
      <c r="S38" s="1169">
        <f t="shared" si="32"/>
        <v>933120</v>
      </c>
      <c r="T38" s="1169">
        <f t="shared" si="32"/>
        <v>933120</v>
      </c>
      <c r="U38" s="1169">
        <f t="shared" si="32"/>
        <v>933120</v>
      </c>
      <c r="V38" s="556"/>
      <c r="W38" s="556"/>
      <c r="X38" s="556"/>
      <c r="Y38" s="556"/>
      <c r="Z38" s="556"/>
      <c r="AA38" s="556"/>
      <c r="AB38" s="556"/>
    </row>
    <row r="39" spans="2:28" s="9" customFormat="1" x14ac:dyDescent="0.25">
      <c r="B39" s="9" t="s">
        <v>854</v>
      </c>
      <c r="D39" s="597"/>
      <c r="E39" s="556"/>
      <c r="F39" s="556"/>
      <c r="G39" s="556"/>
      <c r="H39" s="656"/>
      <c r="I39" s="656"/>
      <c r="J39" s="556"/>
      <c r="K39" s="556"/>
      <c r="L39" s="1170">
        <v>0.15</v>
      </c>
      <c r="M39" s="1170">
        <f>L39</f>
        <v>0.15</v>
      </c>
      <c r="N39" s="1170">
        <f t="shared" si="30"/>
        <v>0.15</v>
      </c>
      <c r="O39" s="1170">
        <f t="shared" si="30"/>
        <v>0.15</v>
      </c>
      <c r="P39" s="1170">
        <f t="shared" si="30"/>
        <v>0.15</v>
      </c>
      <c r="Q39" s="1170">
        <f t="shared" si="30"/>
        <v>0.15</v>
      </c>
      <c r="R39" s="1170">
        <f t="shared" si="30"/>
        <v>0.15</v>
      </c>
      <c r="S39" s="1170">
        <f t="shared" si="30"/>
        <v>0.15</v>
      </c>
      <c r="T39" s="1170">
        <f t="shared" si="30"/>
        <v>0.15</v>
      </c>
      <c r="U39" s="1170">
        <f t="shared" si="30"/>
        <v>0.15</v>
      </c>
      <c r="V39" s="556"/>
      <c r="W39" s="556"/>
      <c r="X39" s="556"/>
      <c r="Y39" s="556"/>
      <c r="Z39" s="556"/>
      <c r="AA39" s="556"/>
      <c r="AB39" s="556"/>
    </row>
    <row r="40" spans="2:28" s="9" customFormat="1" x14ac:dyDescent="0.25">
      <c r="B40" s="9" t="s">
        <v>850</v>
      </c>
      <c r="D40" s="597"/>
      <c r="E40" s="556">
        <v>720</v>
      </c>
      <c r="F40" s="556"/>
      <c r="G40" s="556"/>
      <c r="H40" s="656">
        <f>'2. Input'!$C$8</f>
        <v>8</v>
      </c>
      <c r="I40" s="656">
        <f>'2. Input'!$C$7</f>
        <v>30</v>
      </c>
      <c r="J40" s="556">
        <v>12</v>
      </c>
      <c r="K40" s="556">
        <f t="shared" si="28"/>
        <v>2073600</v>
      </c>
      <c r="L40" s="1169">
        <f>$K$40*L41</f>
        <v>311040</v>
      </c>
      <c r="M40" s="1169">
        <f t="shared" ref="M40:U40" si="33">$K$40*M41</f>
        <v>311040</v>
      </c>
      <c r="N40" s="1169">
        <f t="shared" si="33"/>
        <v>311040</v>
      </c>
      <c r="O40" s="1169">
        <f t="shared" si="33"/>
        <v>311040</v>
      </c>
      <c r="P40" s="1169">
        <f t="shared" si="33"/>
        <v>311040</v>
      </c>
      <c r="Q40" s="1169">
        <f t="shared" si="33"/>
        <v>311040</v>
      </c>
      <c r="R40" s="1169">
        <f t="shared" si="33"/>
        <v>311040</v>
      </c>
      <c r="S40" s="1169">
        <f t="shared" si="33"/>
        <v>311040</v>
      </c>
      <c r="T40" s="1169">
        <f t="shared" si="33"/>
        <v>311040</v>
      </c>
      <c r="U40" s="1169">
        <f t="shared" si="33"/>
        <v>311040</v>
      </c>
      <c r="V40" s="556"/>
      <c r="W40" s="556"/>
      <c r="X40" s="556"/>
      <c r="Y40" s="556"/>
      <c r="Z40" s="556"/>
      <c r="AA40" s="556"/>
      <c r="AB40" s="556"/>
    </row>
    <row r="41" spans="2:28" s="9" customFormat="1" x14ac:dyDescent="0.25">
      <c r="B41" s="9" t="s">
        <v>854</v>
      </c>
      <c r="D41" s="597"/>
      <c r="E41" s="556"/>
      <c r="F41" s="556"/>
      <c r="G41" s="556"/>
      <c r="H41" s="656"/>
      <c r="I41" s="656"/>
      <c r="J41" s="556"/>
      <c r="K41" s="556"/>
      <c r="L41" s="1170">
        <v>0.15</v>
      </c>
      <c r="M41" s="1170">
        <f>L41</f>
        <v>0.15</v>
      </c>
      <c r="N41" s="1170">
        <f t="shared" si="30"/>
        <v>0.15</v>
      </c>
      <c r="O41" s="1170">
        <f t="shared" si="30"/>
        <v>0.15</v>
      </c>
      <c r="P41" s="1170">
        <f t="shared" si="30"/>
        <v>0.15</v>
      </c>
      <c r="Q41" s="1170">
        <f t="shared" si="30"/>
        <v>0.15</v>
      </c>
      <c r="R41" s="1170">
        <f t="shared" si="30"/>
        <v>0.15</v>
      </c>
      <c r="S41" s="1170">
        <f t="shared" si="30"/>
        <v>0.15</v>
      </c>
      <c r="T41" s="1170">
        <f t="shared" si="30"/>
        <v>0.15</v>
      </c>
      <c r="U41" s="1170">
        <f t="shared" si="30"/>
        <v>0.15</v>
      </c>
      <c r="V41" s="556"/>
      <c r="W41" s="556"/>
      <c r="X41" s="556"/>
      <c r="Y41" s="556"/>
      <c r="Z41" s="556"/>
      <c r="AA41" s="556"/>
      <c r="AB41" s="556"/>
    </row>
    <row r="42" spans="2:28" s="9" customFormat="1" x14ac:dyDescent="0.25">
      <c r="B42" s="9" t="s">
        <v>851</v>
      </c>
      <c r="D42" s="597"/>
      <c r="E42" s="556">
        <v>360</v>
      </c>
      <c r="F42" s="556"/>
      <c r="G42" s="556"/>
      <c r="H42" s="656">
        <f>'2. Input'!$C$8</f>
        <v>8</v>
      </c>
      <c r="I42" s="656">
        <f>'2. Input'!$C$7</f>
        <v>30</v>
      </c>
      <c r="J42" s="556">
        <v>12</v>
      </c>
      <c r="K42" s="556">
        <f t="shared" si="28"/>
        <v>1036800</v>
      </c>
      <c r="L42" s="1169">
        <f>$K$42*L43</f>
        <v>155520</v>
      </c>
      <c r="M42" s="1169">
        <f t="shared" ref="M42:U42" si="34">$K$42*M43</f>
        <v>155520</v>
      </c>
      <c r="N42" s="1169">
        <f t="shared" si="34"/>
        <v>155520</v>
      </c>
      <c r="O42" s="1169">
        <f t="shared" si="34"/>
        <v>155520</v>
      </c>
      <c r="P42" s="1169">
        <f t="shared" si="34"/>
        <v>155520</v>
      </c>
      <c r="Q42" s="1169">
        <f t="shared" si="34"/>
        <v>155520</v>
      </c>
      <c r="R42" s="1169">
        <f t="shared" si="34"/>
        <v>155520</v>
      </c>
      <c r="S42" s="1169">
        <f t="shared" si="34"/>
        <v>155520</v>
      </c>
      <c r="T42" s="1169">
        <f t="shared" si="34"/>
        <v>155520</v>
      </c>
      <c r="U42" s="1169">
        <f t="shared" si="34"/>
        <v>155520</v>
      </c>
      <c r="V42" s="556"/>
      <c r="W42" s="556"/>
      <c r="X42" s="556"/>
      <c r="Y42" s="556"/>
      <c r="Z42" s="556"/>
      <c r="AA42" s="556"/>
      <c r="AB42" s="556"/>
    </row>
    <row r="43" spans="2:28" s="9" customFormat="1" x14ac:dyDescent="0.25">
      <c r="B43" s="9" t="s">
        <v>854</v>
      </c>
      <c r="D43" s="597"/>
      <c r="E43" s="556"/>
      <c r="F43" s="556"/>
      <c r="G43" s="556"/>
      <c r="H43" s="656"/>
      <c r="I43" s="656"/>
      <c r="J43" s="556"/>
      <c r="K43" s="556"/>
      <c r="L43" s="1170">
        <v>0.15</v>
      </c>
      <c r="M43" s="1170">
        <f>L43</f>
        <v>0.15</v>
      </c>
      <c r="N43" s="1170">
        <f t="shared" si="30"/>
        <v>0.15</v>
      </c>
      <c r="O43" s="1170">
        <f t="shared" si="30"/>
        <v>0.15</v>
      </c>
      <c r="P43" s="1170">
        <f t="shared" si="30"/>
        <v>0.15</v>
      </c>
      <c r="Q43" s="1170">
        <f t="shared" si="30"/>
        <v>0.15</v>
      </c>
      <c r="R43" s="1170">
        <f t="shared" si="30"/>
        <v>0.15</v>
      </c>
      <c r="S43" s="1170">
        <f t="shared" si="30"/>
        <v>0.15</v>
      </c>
      <c r="T43" s="1170">
        <f t="shared" si="30"/>
        <v>0.15</v>
      </c>
      <c r="U43" s="1170">
        <f t="shared" si="30"/>
        <v>0.15</v>
      </c>
      <c r="V43" s="556"/>
      <c r="W43" s="556"/>
      <c r="X43" s="556"/>
      <c r="Y43" s="556"/>
      <c r="Z43" s="556"/>
      <c r="AA43" s="556"/>
      <c r="AB43" s="556"/>
    </row>
    <row r="44" spans="2:28" s="9" customFormat="1" x14ac:dyDescent="0.25">
      <c r="B44" s="9" t="s">
        <v>852</v>
      </c>
      <c r="E44" s="556">
        <v>9120</v>
      </c>
      <c r="H44" s="656">
        <f>'2. Input'!$C$8</f>
        <v>8</v>
      </c>
      <c r="I44" s="656">
        <f>'2. Input'!$C$7</f>
        <v>30</v>
      </c>
      <c r="J44" s="556">
        <v>12</v>
      </c>
      <c r="K44" s="556">
        <f t="shared" si="28"/>
        <v>26265600</v>
      </c>
      <c r="L44" s="1169">
        <f>$K$44*L45</f>
        <v>2626560</v>
      </c>
      <c r="M44" s="1169">
        <f t="shared" ref="M44:U44" si="35">$K$44*M45</f>
        <v>2626560</v>
      </c>
      <c r="N44" s="1169">
        <f t="shared" si="35"/>
        <v>2626560</v>
      </c>
      <c r="O44" s="1169">
        <f t="shared" si="35"/>
        <v>2626560</v>
      </c>
      <c r="P44" s="1169">
        <f t="shared" si="35"/>
        <v>2626560</v>
      </c>
      <c r="Q44" s="1169">
        <f t="shared" si="35"/>
        <v>2626560</v>
      </c>
      <c r="R44" s="1169">
        <f t="shared" si="35"/>
        <v>2626560</v>
      </c>
      <c r="S44" s="1169">
        <f t="shared" si="35"/>
        <v>2626560</v>
      </c>
      <c r="T44" s="1169">
        <f t="shared" si="35"/>
        <v>2626560</v>
      </c>
      <c r="U44" s="1169">
        <f t="shared" si="35"/>
        <v>2626560</v>
      </c>
    </row>
    <row r="45" spans="2:28" s="9" customFormat="1" x14ac:dyDescent="0.25">
      <c r="B45" s="9" t="s">
        <v>854</v>
      </c>
      <c r="D45" s="597"/>
      <c r="E45" s="556"/>
      <c r="F45" s="556"/>
      <c r="G45" s="556"/>
      <c r="H45" s="656"/>
      <c r="I45" s="656"/>
      <c r="J45" s="556"/>
      <c r="K45" s="556"/>
      <c r="L45" s="1170">
        <v>0.1</v>
      </c>
      <c r="M45" s="1170">
        <f>L45</f>
        <v>0.1</v>
      </c>
      <c r="N45" s="1170">
        <f t="shared" si="30"/>
        <v>0.1</v>
      </c>
      <c r="O45" s="1170">
        <f t="shared" si="30"/>
        <v>0.1</v>
      </c>
      <c r="P45" s="1170">
        <f t="shared" si="30"/>
        <v>0.1</v>
      </c>
      <c r="Q45" s="1170">
        <f t="shared" si="30"/>
        <v>0.1</v>
      </c>
      <c r="R45" s="1170">
        <f t="shared" si="30"/>
        <v>0.1</v>
      </c>
      <c r="S45" s="1170">
        <f t="shared" si="30"/>
        <v>0.1</v>
      </c>
      <c r="T45" s="1170">
        <f t="shared" si="30"/>
        <v>0.1</v>
      </c>
      <c r="U45" s="1170">
        <f t="shared" si="30"/>
        <v>0.1</v>
      </c>
      <c r="V45" s="556"/>
      <c r="W45" s="556"/>
      <c r="X45" s="556"/>
      <c r="Y45" s="556"/>
      <c r="Z45" s="556"/>
      <c r="AA45" s="556"/>
      <c r="AB45" s="556"/>
    </row>
    <row r="46" spans="2:28" x14ac:dyDescent="0.25">
      <c r="D46" s="634"/>
      <c r="E46" s="157"/>
      <c r="F46" s="157"/>
      <c r="G46" s="157"/>
      <c r="H46" s="635"/>
      <c r="I46" s="635"/>
      <c r="J46" s="157"/>
      <c r="K46" s="157"/>
      <c r="L46" s="1171"/>
      <c r="M46" s="1171"/>
      <c r="N46" s="1171"/>
      <c r="O46" s="1171"/>
      <c r="P46" s="1171"/>
      <c r="Q46" s="1171"/>
      <c r="R46" s="1171"/>
      <c r="S46" s="1171"/>
      <c r="T46" s="1171"/>
      <c r="U46" s="1171"/>
      <c r="V46" s="157"/>
      <c r="W46" s="157"/>
      <c r="X46" s="157"/>
      <c r="Y46" s="157"/>
      <c r="Z46" s="157"/>
      <c r="AA46" s="157"/>
      <c r="AB46" s="157"/>
    </row>
    <row r="47" spans="2:28" s="42" customFormat="1" x14ac:dyDescent="0.25">
      <c r="B47" s="42" t="s">
        <v>760</v>
      </c>
      <c r="D47" s="1465"/>
      <c r="L47" s="1466">
        <f>L33+L35+L37+L39+L41+L43+L45</f>
        <v>1</v>
      </c>
      <c r="M47" s="1466">
        <f t="shared" ref="M47:U47" si="36">M33+M35+M37+M39+M41+M43+M45</f>
        <v>1</v>
      </c>
      <c r="N47" s="1466">
        <f t="shared" si="36"/>
        <v>1</v>
      </c>
      <c r="O47" s="1466">
        <f t="shared" si="36"/>
        <v>1</v>
      </c>
      <c r="P47" s="1466">
        <f t="shared" si="36"/>
        <v>1</v>
      </c>
      <c r="Q47" s="1466">
        <f t="shared" si="36"/>
        <v>1</v>
      </c>
      <c r="R47" s="1466">
        <f t="shared" si="36"/>
        <v>1</v>
      </c>
      <c r="S47" s="1466">
        <f t="shared" si="36"/>
        <v>1</v>
      </c>
      <c r="T47" s="1466">
        <f t="shared" si="36"/>
        <v>1</v>
      </c>
      <c r="U47" s="1466">
        <f t="shared" si="36"/>
        <v>1</v>
      </c>
      <c r="V47" s="1467"/>
      <c r="W47" s="1467"/>
      <c r="X47" s="1467"/>
      <c r="Y47" s="1467"/>
      <c r="Z47" s="1467"/>
      <c r="AA47" s="1467"/>
      <c r="AB47" s="1467"/>
    </row>
    <row r="48" spans="2:28" s="560" customFormat="1" x14ac:dyDescent="0.25">
      <c r="B48" s="587" t="s">
        <v>857</v>
      </c>
      <c r="C48" s="587"/>
      <c r="D48" s="593"/>
      <c r="E48" s="587"/>
      <c r="F48" s="587"/>
      <c r="G48" s="587"/>
      <c r="H48" s="587"/>
      <c r="I48" s="587"/>
      <c r="J48" s="587"/>
      <c r="K48" s="587"/>
      <c r="L48" s="630"/>
      <c r="M48" s="630"/>
      <c r="N48" s="630"/>
      <c r="O48" s="630"/>
      <c r="P48" s="630"/>
      <c r="Q48" s="630"/>
      <c r="R48" s="630"/>
      <c r="S48" s="630"/>
      <c r="T48" s="630"/>
      <c r="U48" s="630"/>
      <c r="V48" s="516"/>
      <c r="W48" s="516"/>
      <c r="X48" s="516"/>
      <c r="Y48" s="516"/>
      <c r="Z48" s="516"/>
      <c r="AA48" s="516"/>
      <c r="AB48" s="516"/>
    </row>
    <row r="49" spans="2:28" x14ac:dyDescent="0.25">
      <c r="B49" s="1"/>
      <c r="L49" s="557"/>
      <c r="M49" s="557"/>
      <c r="N49" s="557"/>
      <c r="O49" s="557"/>
      <c r="P49" s="557"/>
      <c r="Q49" s="557"/>
      <c r="R49" s="557"/>
      <c r="S49" s="557"/>
      <c r="T49" s="557"/>
      <c r="U49" s="557"/>
    </row>
    <row r="50" spans="2:28" x14ac:dyDescent="0.25">
      <c r="B50" s="587" t="s">
        <v>885</v>
      </c>
      <c r="L50" s="633">
        <f>L51*L52</f>
        <v>4609290.2400000012</v>
      </c>
      <c r="M50" s="633">
        <f t="shared" ref="M50:U50" si="37">M51*M52</f>
        <v>4609290.2400000012</v>
      </c>
      <c r="N50" s="633">
        <f t="shared" si="37"/>
        <v>4609290.2400000012</v>
      </c>
      <c r="O50" s="633">
        <f t="shared" si="37"/>
        <v>4609290.2400000012</v>
      </c>
      <c r="P50" s="633">
        <f t="shared" si="37"/>
        <v>4609290.2400000012</v>
      </c>
      <c r="Q50" s="633">
        <f t="shared" si="37"/>
        <v>4609290.2400000012</v>
      </c>
      <c r="R50" s="633">
        <f t="shared" si="37"/>
        <v>4609290.2400000012</v>
      </c>
      <c r="S50" s="633">
        <f t="shared" si="37"/>
        <v>4609290.2400000012</v>
      </c>
      <c r="T50" s="633">
        <f t="shared" si="37"/>
        <v>4609290.2400000012</v>
      </c>
      <c r="U50" s="633">
        <f t="shared" si="37"/>
        <v>4609290.2400000012</v>
      </c>
    </row>
    <row r="51" spans="2:28" s="1" customFormat="1" x14ac:dyDescent="0.25">
      <c r="B51" s="587" t="s">
        <v>760</v>
      </c>
      <c r="D51" s="636"/>
      <c r="L51" s="1173">
        <f>L30</f>
        <v>0.4</v>
      </c>
      <c r="M51" s="1173">
        <f t="shared" ref="M51:U51" si="38">M30</f>
        <v>0.4</v>
      </c>
      <c r="N51" s="1173">
        <f t="shared" si="38"/>
        <v>0.4</v>
      </c>
      <c r="O51" s="1173">
        <f t="shared" si="38"/>
        <v>0.4</v>
      </c>
      <c r="P51" s="1173">
        <f t="shared" si="38"/>
        <v>0.4</v>
      </c>
      <c r="Q51" s="1173">
        <f t="shared" si="38"/>
        <v>0.4</v>
      </c>
      <c r="R51" s="1173">
        <f t="shared" si="38"/>
        <v>0.4</v>
      </c>
      <c r="S51" s="1173">
        <f t="shared" si="38"/>
        <v>0.4</v>
      </c>
      <c r="T51" s="1173">
        <f t="shared" si="38"/>
        <v>0.4</v>
      </c>
      <c r="U51" s="1173">
        <f t="shared" si="38"/>
        <v>0.4</v>
      </c>
      <c r="V51" s="116"/>
      <c r="W51" s="116"/>
      <c r="X51" s="116"/>
      <c r="Y51" s="116"/>
      <c r="Z51" s="116"/>
      <c r="AA51" s="116"/>
      <c r="AB51" s="116"/>
    </row>
    <row r="52" spans="2:28" s="1" customFormat="1" x14ac:dyDescent="0.25">
      <c r="B52" s="1" t="s">
        <v>858</v>
      </c>
      <c r="C52" s="1" t="s">
        <v>820</v>
      </c>
      <c r="D52" s="632">
        <v>1</v>
      </c>
      <c r="E52" s="116">
        <v>10000</v>
      </c>
      <c r="F52" s="116"/>
      <c r="G52" s="116"/>
      <c r="H52" s="116"/>
      <c r="I52" s="116"/>
      <c r="J52" s="116"/>
      <c r="K52" s="116"/>
      <c r="L52" s="633">
        <f>L53+L55+L57+L59+L61+L63+L65</f>
        <v>11523225.600000001</v>
      </c>
      <c r="M52" s="633">
        <f t="shared" ref="M52:U52" si="39">M53+M55+M57+M59+M61+M63+M65</f>
        <v>11523225.600000001</v>
      </c>
      <c r="N52" s="633">
        <f t="shared" si="39"/>
        <v>11523225.600000001</v>
      </c>
      <c r="O52" s="633">
        <f t="shared" si="39"/>
        <v>11523225.600000001</v>
      </c>
      <c r="P52" s="633">
        <f t="shared" si="39"/>
        <v>11523225.600000001</v>
      </c>
      <c r="Q52" s="633">
        <f t="shared" si="39"/>
        <v>11523225.600000001</v>
      </c>
      <c r="R52" s="633">
        <f t="shared" si="39"/>
        <v>11523225.600000001</v>
      </c>
      <c r="S52" s="633">
        <f t="shared" si="39"/>
        <v>11523225.600000001</v>
      </c>
      <c r="T52" s="633">
        <f t="shared" si="39"/>
        <v>11523225.600000001</v>
      </c>
      <c r="U52" s="633">
        <f t="shared" si="39"/>
        <v>11523225.600000001</v>
      </c>
      <c r="V52" s="116"/>
      <c r="W52" s="116"/>
      <c r="X52" s="116"/>
      <c r="Y52" s="116"/>
      <c r="Z52" s="116"/>
      <c r="AA52" s="116"/>
      <c r="AB52" s="116"/>
    </row>
    <row r="53" spans="2:28" s="9" customFormat="1" x14ac:dyDescent="0.25">
      <c r="B53" s="9" t="s">
        <v>846</v>
      </c>
      <c r="D53" s="597"/>
      <c r="E53" s="556">
        <v>5760</v>
      </c>
      <c r="F53" s="556"/>
      <c r="G53" s="556"/>
      <c r="H53" s="656">
        <f>'2. Input'!$C$8</f>
        <v>8</v>
      </c>
      <c r="I53" s="656">
        <f>'2. Input'!$C$7</f>
        <v>30</v>
      </c>
      <c r="J53" s="556">
        <v>12</v>
      </c>
      <c r="K53" s="556">
        <f>E53*H53*I53*J53</f>
        <v>16588800</v>
      </c>
      <c r="L53" s="1169">
        <f>$K$53*L54</f>
        <v>4976640</v>
      </c>
      <c r="M53" s="1169">
        <f t="shared" ref="M53:U53" si="40">$K$53*M54</f>
        <v>4976640</v>
      </c>
      <c r="N53" s="1169">
        <f t="shared" si="40"/>
        <v>4976640</v>
      </c>
      <c r="O53" s="1169">
        <f t="shared" si="40"/>
        <v>4976640</v>
      </c>
      <c r="P53" s="1169">
        <f t="shared" si="40"/>
        <v>4976640</v>
      </c>
      <c r="Q53" s="1169">
        <f t="shared" si="40"/>
        <v>4976640</v>
      </c>
      <c r="R53" s="1169">
        <f t="shared" si="40"/>
        <v>4976640</v>
      </c>
      <c r="S53" s="1169">
        <f t="shared" si="40"/>
        <v>4976640</v>
      </c>
      <c r="T53" s="1169">
        <f t="shared" si="40"/>
        <v>4976640</v>
      </c>
      <c r="U53" s="1169">
        <f t="shared" si="40"/>
        <v>4976640</v>
      </c>
      <c r="V53" s="556"/>
      <c r="W53" s="556"/>
      <c r="X53" s="556"/>
      <c r="Y53" s="556"/>
      <c r="Z53" s="556"/>
      <c r="AA53" s="556"/>
      <c r="AB53" s="556"/>
    </row>
    <row r="54" spans="2:28" s="9" customFormat="1" x14ac:dyDescent="0.25">
      <c r="B54" s="9" t="s">
        <v>854</v>
      </c>
      <c r="D54" s="597"/>
      <c r="E54" s="556"/>
      <c r="F54" s="556"/>
      <c r="G54" s="556"/>
      <c r="H54" s="656"/>
      <c r="I54" s="656"/>
      <c r="J54" s="556"/>
      <c r="K54" s="556"/>
      <c r="L54" s="1170">
        <v>0.3</v>
      </c>
      <c r="M54" s="1170">
        <f>L54</f>
        <v>0.3</v>
      </c>
      <c r="N54" s="1170">
        <f t="shared" ref="N54:U54" si="41">M54</f>
        <v>0.3</v>
      </c>
      <c r="O54" s="1170">
        <f t="shared" si="41"/>
        <v>0.3</v>
      </c>
      <c r="P54" s="1170">
        <f t="shared" si="41"/>
        <v>0.3</v>
      </c>
      <c r="Q54" s="1170">
        <f t="shared" si="41"/>
        <v>0.3</v>
      </c>
      <c r="R54" s="1170">
        <f t="shared" si="41"/>
        <v>0.3</v>
      </c>
      <c r="S54" s="1170">
        <f t="shared" si="41"/>
        <v>0.3</v>
      </c>
      <c r="T54" s="1170">
        <f t="shared" si="41"/>
        <v>0.3</v>
      </c>
      <c r="U54" s="1170">
        <f t="shared" si="41"/>
        <v>0.3</v>
      </c>
      <c r="V54" s="556"/>
      <c r="W54" s="556"/>
      <c r="X54" s="556"/>
      <c r="Y54" s="556"/>
      <c r="Z54" s="556"/>
      <c r="AA54" s="556"/>
      <c r="AB54" s="556"/>
    </row>
    <row r="55" spans="2:28" s="9" customFormat="1" x14ac:dyDescent="0.25">
      <c r="B55" s="9" t="s">
        <v>847</v>
      </c>
      <c r="D55" s="597"/>
      <c r="E55" s="556">
        <v>5760</v>
      </c>
      <c r="F55" s="556"/>
      <c r="G55" s="556"/>
      <c r="H55" s="656">
        <f>'2. Input'!$C$8</f>
        <v>8</v>
      </c>
      <c r="I55" s="656">
        <f>'2. Input'!$C$7</f>
        <v>30</v>
      </c>
      <c r="J55" s="556">
        <v>12</v>
      </c>
      <c r="K55" s="556">
        <f t="shared" ref="K55" si="42">E55*H55*I55*J55</f>
        <v>16588800</v>
      </c>
      <c r="L55" s="1169">
        <f>$K$55*L56</f>
        <v>2488320</v>
      </c>
      <c r="M55" s="1169">
        <f t="shared" ref="M55:U55" si="43">$K$55*M56</f>
        <v>2488320</v>
      </c>
      <c r="N55" s="1169">
        <f t="shared" si="43"/>
        <v>2488320</v>
      </c>
      <c r="O55" s="1169">
        <f t="shared" si="43"/>
        <v>2488320</v>
      </c>
      <c r="P55" s="1169">
        <f t="shared" si="43"/>
        <v>2488320</v>
      </c>
      <c r="Q55" s="1169">
        <f t="shared" si="43"/>
        <v>2488320</v>
      </c>
      <c r="R55" s="1169">
        <f t="shared" si="43"/>
        <v>2488320</v>
      </c>
      <c r="S55" s="1169">
        <f t="shared" si="43"/>
        <v>2488320</v>
      </c>
      <c r="T55" s="1169">
        <f t="shared" si="43"/>
        <v>2488320</v>
      </c>
      <c r="U55" s="1169">
        <f t="shared" si="43"/>
        <v>2488320</v>
      </c>
      <c r="V55" s="556"/>
      <c r="W55" s="556"/>
      <c r="X55" s="556"/>
      <c r="Y55" s="556"/>
      <c r="Z55" s="556"/>
      <c r="AA55" s="556"/>
      <c r="AB55" s="556"/>
    </row>
    <row r="56" spans="2:28" s="9" customFormat="1" x14ac:dyDescent="0.25">
      <c r="B56" s="9" t="s">
        <v>854</v>
      </c>
      <c r="D56" s="597"/>
      <c r="E56" s="556"/>
      <c r="F56" s="556"/>
      <c r="G56" s="556"/>
      <c r="H56" s="656"/>
      <c r="I56" s="656"/>
      <c r="J56" s="556"/>
      <c r="K56" s="556"/>
      <c r="L56" s="1170">
        <v>0.15</v>
      </c>
      <c r="M56" s="1170">
        <f>L56</f>
        <v>0.15</v>
      </c>
      <c r="N56" s="1170">
        <f t="shared" ref="N56:U56" si="44">M56</f>
        <v>0.15</v>
      </c>
      <c r="O56" s="1170">
        <f t="shared" si="44"/>
        <v>0.15</v>
      </c>
      <c r="P56" s="1170">
        <f t="shared" si="44"/>
        <v>0.15</v>
      </c>
      <c r="Q56" s="1170">
        <f t="shared" si="44"/>
        <v>0.15</v>
      </c>
      <c r="R56" s="1170">
        <f t="shared" si="44"/>
        <v>0.15</v>
      </c>
      <c r="S56" s="1170">
        <f t="shared" si="44"/>
        <v>0.15</v>
      </c>
      <c r="T56" s="1170">
        <f t="shared" si="44"/>
        <v>0.15</v>
      </c>
      <c r="U56" s="1170">
        <f t="shared" si="44"/>
        <v>0.15</v>
      </c>
      <c r="V56" s="556"/>
      <c r="W56" s="556"/>
      <c r="X56" s="556"/>
      <c r="Y56" s="556"/>
      <c r="Z56" s="556"/>
      <c r="AA56" s="556"/>
      <c r="AB56" s="556"/>
    </row>
    <row r="57" spans="2:28" s="9" customFormat="1" x14ac:dyDescent="0.25">
      <c r="B57" s="9" t="s">
        <v>848</v>
      </c>
      <c r="D57" s="597"/>
      <c r="E57" s="556">
        <v>2828.4</v>
      </c>
      <c r="F57" s="556"/>
      <c r="G57" s="556"/>
      <c r="H57" s="656">
        <f>'2. Input'!$C$8</f>
        <v>8</v>
      </c>
      <c r="I57" s="656">
        <f>'2. Input'!$C$7</f>
        <v>30</v>
      </c>
      <c r="J57" s="556">
        <v>12</v>
      </c>
      <c r="K57" s="556">
        <f t="shared" ref="K57" si="45">E57*H57*I57*J57</f>
        <v>8145792</v>
      </c>
      <c r="L57" s="1169">
        <f>$K$57*L58</f>
        <v>1221868.8</v>
      </c>
      <c r="M57" s="1169">
        <f t="shared" ref="M57:U57" si="46">$K$57*M58</f>
        <v>1221868.8</v>
      </c>
      <c r="N57" s="1169">
        <f t="shared" si="46"/>
        <v>1221868.8</v>
      </c>
      <c r="O57" s="1169">
        <f t="shared" si="46"/>
        <v>1221868.8</v>
      </c>
      <c r="P57" s="1169">
        <f t="shared" si="46"/>
        <v>1221868.8</v>
      </c>
      <c r="Q57" s="1169">
        <f t="shared" si="46"/>
        <v>1221868.8</v>
      </c>
      <c r="R57" s="1169">
        <f t="shared" si="46"/>
        <v>1221868.8</v>
      </c>
      <c r="S57" s="1169">
        <f t="shared" si="46"/>
        <v>1221868.8</v>
      </c>
      <c r="T57" s="1169">
        <f t="shared" si="46"/>
        <v>1221868.8</v>
      </c>
      <c r="U57" s="1169">
        <f t="shared" si="46"/>
        <v>1221868.8</v>
      </c>
      <c r="V57" s="556"/>
      <c r="W57" s="556"/>
      <c r="X57" s="556"/>
      <c r="Y57" s="556"/>
      <c r="Z57" s="556"/>
      <c r="AA57" s="556"/>
      <c r="AB57" s="556"/>
    </row>
    <row r="58" spans="2:28" s="9" customFormat="1" x14ac:dyDescent="0.25">
      <c r="B58" s="9" t="s">
        <v>854</v>
      </c>
      <c r="D58" s="597"/>
      <c r="E58" s="556"/>
      <c r="F58" s="556"/>
      <c r="G58" s="556"/>
      <c r="H58" s="656"/>
      <c r="I58" s="656"/>
      <c r="J58" s="556"/>
      <c r="K58" s="556"/>
      <c r="L58" s="1170">
        <v>0.15</v>
      </c>
      <c r="M58" s="1170">
        <f>L58</f>
        <v>0.15</v>
      </c>
      <c r="N58" s="1170">
        <f t="shared" ref="N58:U58" si="47">M58</f>
        <v>0.15</v>
      </c>
      <c r="O58" s="1170">
        <f t="shared" si="47"/>
        <v>0.15</v>
      </c>
      <c r="P58" s="1170">
        <f t="shared" si="47"/>
        <v>0.15</v>
      </c>
      <c r="Q58" s="1170">
        <f t="shared" si="47"/>
        <v>0.15</v>
      </c>
      <c r="R58" s="1170">
        <f t="shared" si="47"/>
        <v>0.15</v>
      </c>
      <c r="S58" s="1170">
        <f t="shared" si="47"/>
        <v>0.15</v>
      </c>
      <c r="T58" s="1170">
        <f t="shared" si="47"/>
        <v>0.15</v>
      </c>
      <c r="U58" s="1170">
        <f t="shared" si="47"/>
        <v>0.15</v>
      </c>
      <c r="V58" s="556"/>
      <c r="W58" s="556"/>
      <c r="X58" s="556"/>
      <c r="Y58" s="556"/>
      <c r="Z58" s="556"/>
      <c r="AA58" s="556"/>
      <c r="AB58" s="556"/>
    </row>
    <row r="59" spans="2:28" s="9" customFormat="1" x14ac:dyDescent="0.25">
      <c r="B59" s="9" t="s">
        <v>849</v>
      </c>
      <c r="D59" s="597"/>
      <c r="E59" s="556">
        <v>2828.4</v>
      </c>
      <c r="F59" s="556"/>
      <c r="G59" s="556"/>
      <c r="H59" s="656">
        <f>'2. Input'!$C$8</f>
        <v>8</v>
      </c>
      <c r="I59" s="656">
        <f>'2. Input'!$C$7</f>
        <v>30</v>
      </c>
      <c r="J59" s="556">
        <v>12</v>
      </c>
      <c r="K59" s="556">
        <f t="shared" ref="K59" si="48">E59*H59*I59*J59</f>
        <v>8145792</v>
      </c>
      <c r="L59" s="1169">
        <f>$K$59*L60</f>
        <v>1221868.8</v>
      </c>
      <c r="M59" s="1169">
        <f t="shared" ref="M59:U59" si="49">$K$59*M60</f>
        <v>1221868.8</v>
      </c>
      <c r="N59" s="1169">
        <f t="shared" si="49"/>
        <v>1221868.8</v>
      </c>
      <c r="O59" s="1169">
        <f t="shared" si="49"/>
        <v>1221868.8</v>
      </c>
      <c r="P59" s="1169">
        <f t="shared" si="49"/>
        <v>1221868.8</v>
      </c>
      <c r="Q59" s="1169">
        <f t="shared" si="49"/>
        <v>1221868.8</v>
      </c>
      <c r="R59" s="1169">
        <f t="shared" si="49"/>
        <v>1221868.8</v>
      </c>
      <c r="S59" s="1169">
        <f t="shared" si="49"/>
        <v>1221868.8</v>
      </c>
      <c r="T59" s="1169">
        <f t="shared" si="49"/>
        <v>1221868.8</v>
      </c>
      <c r="U59" s="1169">
        <f t="shared" si="49"/>
        <v>1221868.8</v>
      </c>
      <c r="V59" s="556"/>
      <c r="W59" s="556"/>
      <c r="X59" s="556"/>
      <c r="Y59" s="556"/>
      <c r="Z59" s="556"/>
      <c r="AA59" s="556"/>
      <c r="AB59" s="556"/>
    </row>
    <row r="60" spans="2:28" s="9" customFormat="1" x14ac:dyDescent="0.25">
      <c r="B60" s="9" t="s">
        <v>854</v>
      </c>
      <c r="D60" s="597"/>
      <c r="E60" s="556"/>
      <c r="F60" s="556"/>
      <c r="G60" s="556"/>
      <c r="H60" s="656"/>
      <c r="I60" s="656"/>
      <c r="J60" s="556"/>
      <c r="K60" s="556"/>
      <c r="L60" s="1170">
        <v>0.15</v>
      </c>
      <c r="M60" s="1170">
        <f>L60</f>
        <v>0.15</v>
      </c>
      <c r="N60" s="1170">
        <f t="shared" ref="N60:U60" si="50">M60</f>
        <v>0.15</v>
      </c>
      <c r="O60" s="1170">
        <f t="shared" si="50"/>
        <v>0.15</v>
      </c>
      <c r="P60" s="1170">
        <f t="shared" si="50"/>
        <v>0.15</v>
      </c>
      <c r="Q60" s="1170">
        <f t="shared" si="50"/>
        <v>0.15</v>
      </c>
      <c r="R60" s="1170">
        <f t="shared" si="50"/>
        <v>0.15</v>
      </c>
      <c r="S60" s="1170">
        <f t="shared" si="50"/>
        <v>0.15</v>
      </c>
      <c r="T60" s="1170">
        <f t="shared" si="50"/>
        <v>0.15</v>
      </c>
      <c r="U60" s="1170">
        <f t="shared" si="50"/>
        <v>0.15</v>
      </c>
      <c r="V60" s="556"/>
      <c r="W60" s="556"/>
      <c r="X60" s="556"/>
      <c r="Y60" s="556"/>
      <c r="Z60" s="556"/>
      <c r="AA60" s="556"/>
      <c r="AB60" s="556"/>
    </row>
    <row r="61" spans="2:28" s="9" customFormat="1" x14ac:dyDescent="0.25">
      <c r="B61" s="9" t="s">
        <v>850</v>
      </c>
      <c r="D61" s="597"/>
      <c r="E61" s="556">
        <v>0</v>
      </c>
      <c r="F61" s="556"/>
      <c r="G61" s="556"/>
      <c r="H61" s="656">
        <f>'2. Input'!$C$8</f>
        <v>8</v>
      </c>
      <c r="I61" s="656">
        <f>'2. Input'!$C$7</f>
        <v>30</v>
      </c>
      <c r="J61" s="556">
        <v>12</v>
      </c>
      <c r="K61" s="556">
        <f t="shared" ref="K61" si="51">E61*H61*I61*J61</f>
        <v>0</v>
      </c>
      <c r="L61" s="1169">
        <f>$K$61*L62</f>
        <v>0</v>
      </c>
      <c r="M61" s="1169">
        <f t="shared" ref="M61:U61" si="52">$K$61*M62</f>
        <v>0</v>
      </c>
      <c r="N61" s="1169">
        <f t="shared" si="52"/>
        <v>0</v>
      </c>
      <c r="O61" s="1169">
        <f t="shared" si="52"/>
        <v>0</v>
      </c>
      <c r="P61" s="1169">
        <f t="shared" si="52"/>
        <v>0</v>
      </c>
      <c r="Q61" s="1169">
        <f t="shared" si="52"/>
        <v>0</v>
      </c>
      <c r="R61" s="1169">
        <f t="shared" si="52"/>
        <v>0</v>
      </c>
      <c r="S61" s="1169">
        <f t="shared" si="52"/>
        <v>0</v>
      </c>
      <c r="T61" s="1169">
        <f t="shared" si="52"/>
        <v>0</v>
      </c>
      <c r="U61" s="1169">
        <f t="shared" si="52"/>
        <v>0</v>
      </c>
      <c r="V61" s="556"/>
      <c r="W61" s="556"/>
      <c r="X61" s="556"/>
      <c r="Y61" s="556"/>
      <c r="Z61" s="556"/>
      <c r="AA61" s="556"/>
      <c r="AB61" s="556"/>
    </row>
    <row r="62" spans="2:28" s="9" customFormat="1" x14ac:dyDescent="0.25">
      <c r="B62" s="9" t="s">
        <v>854</v>
      </c>
      <c r="D62" s="597"/>
      <c r="E62" s="556"/>
      <c r="F62" s="556"/>
      <c r="G62" s="556"/>
      <c r="H62" s="656"/>
      <c r="I62" s="656"/>
      <c r="J62" s="556"/>
      <c r="K62" s="556"/>
      <c r="L62" s="1170">
        <v>0.15</v>
      </c>
      <c r="M62" s="1170">
        <f>L62</f>
        <v>0.15</v>
      </c>
      <c r="N62" s="1170">
        <f t="shared" ref="N62:U62" si="53">M62</f>
        <v>0.15</v>
      </c>
      <c r="O62" s="1170">
        <f t="shared" si="53"/>
        <v>0.15</v>
      </c>
      <c r="P62" s="1170">
        <f t="shared" si="53"/>
        <v>0.15</v>
      </c>
      <c r="Q62" s="1170">
        <f t="shared" si="53"/>
        <v>0.15</v>
      </c>
      <c r="R62" s="1170">
        <f t="shared" si="53"/>
        <v>0.15</v>
      </c>
      <c r="S62" s="1170">
        <f t="shared" si="53"/>
        <v>0.15</v>
      </c>
      <c r="T62" s="1170">
        <f t="shared" si="53"/>
        <v>0.15</v>
      </c>
      <c r="U62" s="1170">
        <f t="shared" si="53"/>
        <v>0.15</v>
      </c>
      <c r="V62" s="556"/>
      <c r="W62" s="556"/>
      <c r="X62" s="556"/>
      <c r="Y62" s="556"/>
      <c r="Z62" s="556"/>
      <c r="AA62" s="556"/>
      <c r="AB62" s="556"/>
    </row>
    <row r="63" spans="2:28" s="9" customFormat="1" x14ac:dyDescent="0.25">
      <c r="B63" s="9" t="s">
        <v>851</v>
      </c>
      <c r="D63" s="597"/>
      <c r="E63" s="556">
        <v>1132</v>
      </c>
      <c r="F63" s="556"/>
      <c r="G63" s="556"/>
      <c r="H63" s="656">
        <f>'2. Input'!$C$8</f>
        <v>8</v>
      </c>
      <c r="I63" s="656">
        <f>'2. Input'!$C$7</f>
        <v>30</v>
      </c>
      <c r="J63" s="556">
        <v>12</v>
      </c>
      <c r="K63" s="556">
        <f t="shared" ref="K63" si="54">E63*H63*I63*J63</f>
        <v>3260160</v>
      </c>
      <c r="L63" s="1169">
        <f>$K$63*L64</f>
        <v>489024</v>
      </c>
      <c r="M63" s="1169">
        <f t="shared" ref="M63:U63" si="55">$K$63*M64</f>
        <v>489024</v>
      </c>
      <c r="N63" s="1169">
        <f t="shared" si="55"/>
        <v>489024</v>
      </c>
      <c r="O63" s="1169">
        <f t="shared" si="55"/>
        <v>489024</v>
      </c>
      <c r="P63" s="1169">
        <f t="shared" si="55"/>
        <v>489024</v>
      </c>
      <c r="Q63" s="1169">
        <f t="shared" si="55"/>
        <v>489024</v>
      </c>
      <c r="R63" s="1169">
        <f t="shared" si="55"/>
        <v>489024</v>
      </c>
      <c r="S63" s="1169">
        <f t="shared" si="55"/>
        <v>489024</v>
      </c>
      <c r="T63" s="1169">
        <f t="shared" si="55"/>
        <v>489024</v>
      </c>
      <c r="U63" s="1169">
        <f t="shared" si="55"/>
        <v>489024</v>
      </c>
      <c r="V63" s="556"/>
      <c r="W63" s="556"/>
      <c r="X63" s="556"/>
      <c r="Y63" s="556"/>
      <c r="Z63" s="556"/>
      <c r="AA63" s="556"/>
      <c r="AB63" s="556"/>
    </row>
    <row r="64" spans="2:28" s="9" customFormat="1" x14ac:dyDescent="0.25">
      <c r="B64" s="9" t="s">
        <v>854</v>
      </c>
      <c r="D64" s="597"/>
      <c r="E64" s="556"/>
      <c r="F64" s="556"/>
      <c r="G64" s="556"/>
      <c r="H64" s="656"/>
      <c r="I64" s="656"/>
      <c r="J64" s="556"/>
      <c r="K64" s="556"/>
      <c r="L64" s="1170">
        <v>0.15</v>
      </c>
      <c r="M64" s="1170">
        <f>L64</f>
        <v>0.15</v>
      </c>
      <c r="N64" s="1170">
        <f t="shared" ref="N64:U64" si="56">M64</f>
        <v>0.15</v>
      </c>
      <c r="O64" s="1170">
        <f t="shared" si="56"/>
        <v>0.15</v>
      </c>
      <c r="P64" s="1170">
        <f t="shared" si="56"/>
        <v>0.15</v>
      </c>
      <c r="Q64" s="1170">
        <f t="shared" si="56"/>
        <v>0.15</v>
      </c>
      <c r="R64" s="1170">
        <f t="shared" si="56"/>
        <v>0.15</v>
      </c>
      <c r="S64" s="1170">
        <f t="shared" si="56"/>
        <v>0.15</v>
      </c>
      <c r="T64" s="1170">
        <f t="shared" si="56"/>
        <v>0.15</v>
      </c>
      <c r="U64" s="1170">
        <f t="shared" si="56"/>
        <v>0.15</v>
      </c>
      <c r="V64" s="556"/>
      <c r="W64" s="556"/>
      <c r="X64" s="556"/>
      <c r="Y64" s="556"/>
      <c r="Z64" s="556"/>
      <c r="AA64" s="556"/>
      <c r="AB64" s="556"/>
    </row>
    <row r="65" spans="1:28" s="9" customFormat="1" x14ac:dyDescent="0.25">
      <c r="B65" s="9" t="s">
        <v>852</v>
      </c>
      <c r="E65" s="556">
        <v>3908</v>
      </c>
      <c r="H65" s="656">
        <f>'2. Input'!$C$8</f>
        <v>8</v>
      </c>
      <c r="I65" s="656">
        <f>'2. Input'!$C$7</f>
        <v>30</v>
      </c>
      <c r="J65" s="556">
        <v>12</v>
      </c>
      <c r="K65" s="556">
        <f t="shared" ref="K65" si="57">E65*H65*I65*J65</f>
        <v>11255040</v>
      </c>
      <c r="L65" s="1169">
        <f>$K$65*L66</f>
        <v>1125504</v>
      </c>
      <c r="M65" s="1169">
        <f t="shared" ref="M65:U65" si="58">$K$65*M66</f>
        <v>1125504</v>
      </c>
      <c r="N65" s="1169">
        <f t="shared" si="58"/>
        <v>1125504</v>
      </c>
      <c r="O65" s="1169">
        <f t="shared" si="58"/>
        <v>1125504</v>
      </c>
      <c r="P65" s="1169">
        <f t="shared" si="58"/>
        <v>1125504</v>
      </c>
      <c r="Q65" s="1169">
        <f t="shared" si="58"/>
        <v>1125504</v>
      </c>
      <c r="R65" s="1169">
        <f t="shared" si="58"/>
        <v>1125504</v>
      </c>
      <c r="S65" s="1169">
        <f t="shared" si="58"/>
        <v>1125504</v>
      </c>
      <c r="T65" s="1169">
        <f t="shared" si="58"/>
        <v>1125504</v>
      </c>
      <c r="U65" s="1169">
        <f t="shared" si="58"/>
        <v>1125504</v>
      </c>
    </row>
    <row r="66" spans="1:28" s="9" customFormat="1" x14ac:dyDescent="0.25">
      <c r="B66" s="9" t="s">
        <v>854</v>
      </c>
      <c r="D66" s="597"/>
      <c r="E66" s="556"/>
      <c r="F66" s="556"/>
      <c r="G66" s="556"/>
      <c r="H66" s="656"/>
      <c r="I66" s="656"/>
      <c r="J66" s="556"/>
      <c r="K66" s="556"/>
      <c r="L66" s="1170">
        <v>0.1</v>
      </c>
      <c r="M66" s="1170">
        <f>L66</f>
        <v>0.1</v>
      </c>
      <c r="N66" s="1170">
        <f t="shared" ref="N66:U66" si="59">M66</f>
        <v>0.1</v>
      </c>
      <c r="O66" s="1170">
        <f t="shared" si="59"/>
        <v>0.1</v>
      </c>
      <c r="P66" s="1170">
        <f t="shared" si="59"/>
        <v>0.1</v>
      </c>
      <c r="Q66" s="1170">
        <f t="shared" si="59"/>
        <v>0.1</v>
      </c>
      <c r="R66" s="1170">
        <f t="shared" si="59"/>
        <v>0.1</v>
      </c>
      <c r="S66" s="1170">
        <f t="shared" si="59"/>
        <v>0.1</v>
      </c>
      <c r="T66" s="1170">
        <f t="shared" si="59"/>
        <v>0.1</v>
      </c>
      <c r="U66" s="1170">
        <f t="shared" si="59"/>
        <v>0.1</v>
      </c>
      <c r="V66" s="556"/>
      <c r="W66" s="556"/>
      <c r="X66" s="556"/>
      <c r="Y66" s="556"/>
      <c r="Z66" s="556"/>
      <c r="AA66" s="556"/>
      <c r="AB66" s="556"/>
    </row>
    <row r="67" spans="1:28" x14ac:dyDescent="0.25">
      <c r="D67" s="634"/>
      <c r="E67" s="157"/>
      <c r="F67" s="157"/>
      <c r="G67" s="157"/>
      <c r="H67" s="635"/>
      <c r="I67" s="635"/>
      <c r="J67" s="157"/>
      <c r="K67" s="157"/>
      <c r="L67" s="1171"/>
      <c r="M67" s="1171"/>
      <c r="N67" s="1171"/>
      <c r="O67" s="1171"/>
      <c r="P67" s="1171"/>
      <c r="Q67" s="1171"/>
      <c r="R67" s="1171"/>
      <c r="S67" s="1171"/>
      <c r="T67" s="1171"/>
      <c r="U67" s="1171"/>
      <c r="V67" s="157"/>
      <c r="W67" s="157"/>
      <c r="X67" s="157"/>
      <c r="Y67" s="157"/>
      <c r="Z67" s="157"/>
      <c r="AA67" s="157"/>
      <c r="AB67" s="157"/>
    </row>
    <row r="68" spans="1:28" s="42" customFormat="1" x14ac:dyDescent="0.25">
      <c r="B68" s="42" t="s">
        <v>760</v>
      </c>
      <c r="D68" s="1465"/>
      <c r="L68" s="1466">
        <f>L54+L56+L58+L60+L62+L64+L66</f>
        <v>1.1500000000000001</v>
      </c>
      <c r="M68" s="1466">
        <f t="shared" ref="M68:U68" si="60">M54+M56+M58+M60+M62+M64+M66</f>
        <v>1.1500000000000001</v>
      </c>
      <c r="N68" s="1466">
        <f t="shared" si="60"/>
        <v>1.1500000000000001</v>
      </c>
      <c r="O68" s="1466">
        <f t="shared" si="60"/>
        <v>1.1500000000000001</v>
      </c>
      <c r="P68" s="1466">
        <f t="shared" si="60"/>
        <v>1.1500000000000001</v>
      </c>
      <c r="Q68" s="1466">
        <f t="shared" si="60"/>
        <v>1.1500000000000001</v>
      </c>
      <c r="R68" s="1466">
        <f t="shared" si="60"/>
        <v>1.1500000000000001</v>
      </c>
      <c r="S68" s="1466">
        <f t="shared" si="60"/>
        <v>1.1500000000000001</v>
      </c>
      <c r="T68" s="1466">
        <f t="shared" si="60"/>
        <v>1.1500000000000001</v>
      </c>
      <c r="U68" s="1466">
        <f t="shared" si="60"/>
        <v>1.1500000000000001</v>
      </c>
      <c r="V68" s="1467"/>
      <c r="W68" s="1467"/>
      <c r="X68" s="1467"/>
      <c r="Y68" s="1467"/>
      <c r="Z68" s="1467"/>
      <c r="AA68" s="1467"/>
      <c r="AB68" s="1467"/>
    </row>
    <row r="69" spans="1:28" x14ac:dyDescent="0.25">
      <c r="B69" s="1"/>
      <c r="L69" s="557"/>
      <c r="M69" s="557"/>
      <c r="N69" s="557"/>
      <c r="O69" s="557"/>
      <c r="P69" s="557"/>
      <c r="Q69" s="557"/>
      <c r="R69" s="557"/>
      <c r="S69" s="557"/>
      <c r="T69" s="557"/>
      <c r="U69" s="557"/>
    </row>
    <row r="70" spans="1:28" s="1" customFormat="1" x14ac:dyDescent="0.25">
      <c r="B70" s="684" t="s">
        <v>694</v>
      </c>
      <c r="C70" s="684"/>
      <c r="D70" s="685"/>
      <c r="E70" s="684"/>
      <c r="F70" s="684"/>
      <c r="G70" s="684"/>
      <c r="H70" s="684"/>
      <c r="I70" s="684"/>
      <c r="J70" s="684"/>
      <c r="K70" s="684"/>
      <c r="L70" s="686">
        <f>L50+L29</f>
        <v>8542218.2400000021</v>
      </c>
      <c r="M70" s="686">
        <f t="shared" ref="M70:U70" si="61">M50+M29</f>
        <v>8542218.2400000021</v>
      </c>
      <c r="N70" s="686">
        <f t="shared" si="61"/>
        <v>8542218.2400000021</v>
      </c>
      <c r="O70" s="686">
        <f t="shared" si="61"/>
        <v>8542218.2400000021</v>
      </c>
      <c r="P70" s="686">
        <f t="shared" si="61"/>
        <v>8542218.2400000021</v>
      </c>
      <c r="Q70" s="686">
        <f t="shared" si="61"/>
        <v>8542218.2400000021</v>
      </c>
      <c r="R70" s="686">
        <f t="shared" si="61"/>
        <v>8542218.2400000021</v>
      </c>
      <c r="S70" s="686">
        <f t="shared" si="61"/>
        <v>8542218.2400000021</v>
      </c>
      <c r="T70" s="686">
        <f t="shared" si="61"/>
        <v>8542218.2400000021</v>
      </c>
      <c r="U70" s="686">
        <f t="shared" si="61"/>
        <v>8542218.2400000021</v>
      </c>
      <c r="V70" s="116"/>
      <c r="W70" s="116"/>
      <c r="X70" s="116"/>
      <c r="Y70" s="116"/>
      <c r="Z70" s="116"/>
      <c r="AA70" s="116"/>
      <c r="AB70" s="116"/>
    </row>
    <row r="71" spans="1:28" x14ac:dyDescent="0.25">
      <c r="B71" s="1"/>
    </row>
    <row r="72" spans="1:28" x14ac:dyDescent="0.25">
      <c r="A72" s="1">
        <v>2</v>
      </c>
      <c r="B72" s="313" t="s">
        <v>855</v>
      </c>
      <c r="C72" s="316"/>
      <c r="D72" s="588"/>
      <c r="E72" s="316"/>
      <c r="F72" s="316"/>
      <c r="G72" s="316"/>
      <c r="H72" s="316"/>
      <c r="I72" s="316"/>
      <c r="J72" s="316"/>
      <c r="K72" s="316"/>
      <c r="L72" s="589"/>
      <c r="M72" s="589"/>
      <c r="N72" s="589"/>
      <c r="O72" s="589"/>
      <c r="P72" s="589"/>
      <c r="Q72" s="589"/>
      <c r="R72" s="553"/>
      <c r="S72" s="554"/>
      <c r="T72" s="553"/>
      <c r="U72" s="553"/>
    </row>
    <row r="73" spans="1:28" x14ac:dyDescent="0.25">
      <c r="B73" s="1" t="s">
        <v>817</v>
      </c>
      <c r="L73" s="590">
        <v>2024</v>
      </c>
      <c r="M73" s="590">
        <v>2025</v>
      </c>
      <c r="N73" s="590">
        <v>2026</v>
      </c>
      <c r="O73" s="590">
        <v>2027</v>
      </c>
      <c r="P73" s="590">
        <v>2028</v>
      </c>
      <c r="Q73" s="590">
        <v>2029</v>
      </c>
      <c r="R73" s="590">
        <v>2030</v>
      </c>
      <c r="S73" s="590">
        <v>2031</v>
      </c>
      <c r="T73" s="590">
        <v>2032</v>
      </c>
      <c r="U73" s="590">
        <v>2033</v>
      </c>
    </row>
    <row r="74" spans="1:28" s="9" customFormat="1" x14ac:dyDescent="0.25">
      <c r="B74" s="9" t="s">
        <v>823</v>
      </c>
      <c r="C74" s="9" t="s">
        <v>813</v>
      </c>
      <c r="D74" s="598"/>
      <c r="L74" s="661">
        <v>0.3</v>
      </c>
      <c r="M74" s="661">
        <v>0.3</v>
      </c>
      <c r="N74" s="661">
        <v>0.3</v>
      </c>
      <c r="O74" s="661">
        <v>0.3</v>
      </c>
      <c r="P74" s="661">
        <v>0.3</v>
      </c>
      <c r="Q74" s="661">
        <v>0.3</v>
      </c>
      <c r="R74" s="661">
        <v>0.3</v>
      </c>
      <c r="S74" s="661">
        <v>0.3</v>
      </c>
      <c r="T74" s="661">
        <v>0.3</v>
      </c>
      <c r="U74" s="661">
        <v>0.3</v>
      </c>
      <c r="V74" s="556"/>
      <c r="W74" s="556"/>
      <c r="X74" s="556"/>
      <c r="Y74" s="556"/>
      <c r="Z74" s="556"/>
      <c r="AA74" s="556"/>
      <c r="AB74" s="556"/>
    </row>
    <row r="75" spans="1:28" s="9" customFormat="1" x14ac:dyDescent="0.25">
      <c r="B75" s="9" t="s">
        <v>824</v>
      </c>
      <c r="C75" s="9" t="s">
        <v>813</v>
      </c>
      <c r="D75" s="598"/>
      <c r="L75" s="661">
        <v>0.3</v>
      </c>
      <c r="M75" s="661">
        <v>0.3</v>
      </c>
      <c r="N75" s="661">
        <v>0.3</v>
      </c>
      <c r="O75" s="661">
        <v>0.3</v>
      </c>
      <c r="P75" s="661">
        <v>0.3</v>
      </c>
      <c r="Q75" s="661">
        <v>0.3</v>
      </c>
      <c r="R75" s="661">
        <v>0.3</v>
      </c>
      <c r="S75" s="661">
        <v>0.3</v>
      </c>
      <c r="T75" s="661">
        <v>0.3</v>
      </c>
      <c r="U75" s="661">
        <v>0.3</v>
      </c>
      <c r="V75" s="556"/>
      <c r="W75" s="556"/>
      <c r="X75" s="556"/>
      <c r="Y75" s="556"/>
      <c r="Z75" s="556"/>
      <c r="AA75" s="556"/>
      <c r="AB75" s="556"/>
    </row>
    <row r="76" spans="1:28" s="9" customFormat="1" x14ac:dyDescent="0.25">
      <c r="B76" s="9" t="s">
        <v>825</v>
      </c>
      <c r="C76" s="9" t="s">
        <v>813</v>
      </c>
      <c r="D76" s="598"/>
      <c r="L76" s="661">
        <v>0.2</v>
      </c>
      <c r="M76" s="661">
        <v>0.2</v>
      </c>
      <c r="N76" s="661">
        <v>0.2</v>
      </c>
      <c r="O76" s="661">
        <v>0.2</v>
      </c>
      <c r="P76" s="661">
        <v>0.2</v>
      </c>
      <c r="Q76" s="661">
        <v>0.2</v>
      </c>
      <c r="R76" s="661">
        <v>0.2</v>
      </c>
      <c r="S76" s="661">
        <v>0.2</v>
      </c>
      <c r="T76" s="661">
        <v>0.2</v>
      </c>
      <c r="U76" s="661">
        <v>0.2</v>
      </c>
      <c r="V76" s="556"/>
      <c r="W76" s="556"/>
      <c r="X76" s="556"/>
      <c r="Y76" s="556"/>
      <c r="Z76" s="556"/>
      <c r="AA76" s="556"/>
      <c r="AB76" s="556"/>
    </row>
    <row r="77" spans="1:28" s="9" customFormat="1" x14ac:dyDescent="0.25">
      <c r="B77" s="9" t="s">
        <v>652</v>
      </c>
      <c r="C77" s="9" t="s">
        <v>813</v>
      </c>
      <c r="D77" s="598"/>
      <c r="L77" s="661">
        <v>0.2</v>
      </c>
      <c r="M77" s="661">
        <v>0.2</v>
      </c>
      <c r="N77" s="661">
        <v>0.2</v>
      </c>
      <c r="O77" s="661">
        <v>0.2</v>
      </c>
      <c r="P77" s="661">
        <v>0.2</v>
      </c>
      <c r="Q77" s="661">
        <v>0.2</v>
      </c>
      <c r="R77" s="661">
        <v>0.2</v>
      </c>
      <c r="S77" s="661">
        <v>0.2</v>
      </c>
      <c r="T77" s="661">
        <v>0.2</v>
      </c>
      <c r="U77" s="661">
        <v>0.2</v>
      </c>
      <c r="V77" s="556"/>
      <c r="W77" s="556"/>
      <c r="X77" s="556"/>
      <c r="Y77" s="556"/>
      <c r="Z77" s="556"/>
      <c r="AA77" s="556"/>
      <c r="AB77" s="556"/>
    </row>
    <row r="78" spans="1:28" x14ac:dyDescent="0.25">
      <c r="A78"/>
      <c r="B78" t="s">
        <v>615</v>
      </c>
      <c r="D78"/>
      <c r="L78" s="6">
        <f>SUM(L74:L77)</f>
        <v>1</v>
      </c>
      <c r="M78" s="6">
        <f t="shared" ref="M78:U78" si="62">SUM(M74:M77)</f>
        <v>1</v>
      </c>
      <c r="N78" s="6">
        <f t="shared" si="62"/>
        <v>1</v>
      </c>
      <c r="O78" s="6">
        <f t="shared" si="62"/>
        <v>1</v>
      </c>
      <c r="P78" s="6">
        <f t="shared" si="62"/>
        <v>1</v>
      </c>
      <c r="Q78" s="6">
        <f t="shared" si="62"/>
        <v>1</v>
      </c>
      <c r="R78" s="6">
        <f t="shared" si="62"/>
        <v>1</v>
      </c>
      <c r="S78" s="6">
        <f t="shared" si="62"/>
        <v>1</v>
      </c>
      <c r="T78" s="6">
        <f t="shared" si="62"/>
        <v>1</v>
      </c>
      <c r="U78" s="6">
        <f t="shared" si="62"/>
        <v>1</v>
      </c>
      <c r="V78" s="157"/>
      <c r="W78" s="157"/>
      <c r="X78" s="157"/>
      <c r="Y78" s="157"/>
      <c r="Z78" s="157"/>
      <c r="AA78" s="157"/>
      <c r="AB78" s="157"/>
    </row>
    <row r="79" spans="1:28" x14ac:dyDescent="0.25">
      <c r="A79"/>
      <c r="R79" s="657"/>
      <c r="S79" s="660"/>
      <c r="T79" s="657"/>
      <c r="U79" s="657"/>
      <c r="V79" s="157"/>
      <c r="W79" s="157"/>
      <c r="X79" s="157"/>
      <c r="Y79" s="157"/>
      <c r="Z79" s="157"/>
      <c r="AA79" s="157"/>
      <c r="AB79" s="157"/>
    </row>
    <row r="80" spans="1:28" s="9" customFormat="1" x14ac:dyDescent="0.25">
      <c r="B80" s="1" t="s">
        <v>814</v>
      </c>
      <c r="C80" s="1"/>
      <c r="D80" s="636"/>
      <c r="E80" s="1"/>
      <c r="F80" s="1"/>
      <c r="G80" s="1"/>
      <c r="H80" s="1"/>
      <c r="I80" s="1"/>
      <c r="J80" s="1"/>
      <c r="K80" s="1"/>
      <c r="L80" s="590">
        <v>2024</v>
      </c>
      <c r="M80" s="590">
        <v>2025</v>
      </c>
      <c r="N80" s="590">
        <v>2026</v>
      </c>
      <c r="O80" s="590">
        <v>2027</v>
      </c>
      <c r="P80" s="590">
        <v>2028</v>
      </c>
      <c r="Q80" s="590">
        <v>2029</v>
      </c>
      <c r="R80" s="590">
        <v>2030</v>
      </c>
      <c r="S80" s="590">
        <v>2031</v>
      </c>
      <c r="T80" s="590">
        <v>2032</v>
      </c>
      <c r="U80" s="590">
        <v>2033</v>
      </c>
      <c r="V80" s="556"/>
      <c r="W80" s="556"/>
      <c r="X80" s="556"/>
      <c r="Y80" s="556"/>
      <c r="Z80" s="556"/>
      <c r="AA80" s="556"/>
      <c r="AB80" s="556"/>
    </row>
    <row r="81" spans="1:28" s="9" customFormat="1" x14ac:dyDescent="0.25">
      <c r="B81" s="9" t="s">
        <v>823</v>
      </c>
      <c r="C81" s="9" t="s">
        <v>820</v>
      </c>
      <c r="D81" s="598"/>
      <c r="L81" s="661">
        <v>0.3</v>
      </c>
      <c r="M81" s="661">
        <v>0.3</v>
      </c>
      <c r="N81" s="661">
        <v>0.3</v>
      </c>
      <c r="O81" s="661">
        <v>0.3</v>
      </c>
      <c r="P81" s="661">
        <v>0.3</v>
      </c>
      <c r="Q81" s="661">
        <v>0.3</v>
      </c>
      <c r="R81" s="661">
        <v>0.3</v>
      </c>
      <c r="S81" s="661">
        <v>0.3</v>
      </c>
      <c r="T81" s="661">
        <v>0.3</v>
      </c>
      <c r="U81" s="661">
        <v>0.3</v>
      </c>
      <c r="V81" s="556"/>
      <c r="W81" s="556"/>
      <c r="X81" s="556"/>
      <c r="Y81" s="556"/>
      <c r="Z81" s="556"/>
      <c r="AA81" s="556"/>
      <c r="AB81" s="556"/>
    </row>
    <row r="82" spans="1:28" s="9" customFormat="1" x14ac:dyDescent="0.25">
      <c r="B82" s="9" t="s">
        <v>824</v>
      </c>
      <c r="C82" s="9" t="s">
        <v>820</v>
      </c>
      <c r="D82" s="598"/>
      <c r="L82" s="661">
        <v>0.3</v>
      </c>
      <c r="M82" s="661">
        <v>0.3</v>
      </c>
      <c r="N82" s="661">
        <v>0.3</v>
      </c>
      <c r="O82" s="661">
        <v>0.3</v>
      </c>
      <c r="P82" s="661">
        <v>0.3</v>
      </c>
      <c r="Q82" s="661">
        <v>0.3</v>
      </c>
      <c r="R82" s="661">
        <v>0.3</v>
      </c>
      <c r="S82" s="661">
        <v>0.3</v>
      </c>
      <c r="T82" s="661">
        <v>0.3</v>
      </c>
      <c r="U82" s="661">
        <v>0.3</v>
      </c>
      <c r="V82" s="556"/>
      <c r="W82" s="556"/>
      <c r="X82" s="556"/>
      <c r="Y82" s="556"/>
      <c r="Z82" s="556"/>
      <c r="AA82" s="556"/>
      <c r="AB82" s="556"/>
    </row>
    <row r="83" spans="1:28" s="9" customFormat="1" x14ac:dyDescent="0.25">
      <c r="B83" s="9" t="s">
        <v>825</v>
      </c>
      <c r="C83" s="9" t="s">
        <v>820</v>
      </c>
      <c r="D83" s="598"/>
      <c r="L83" s="661">
        <v>0.2</v>
      </c>
      <c r="M83" s="661">
        <v>0.2</v>
      </c>
      <c r="N83" s="661">
        <v>0.2</v>
      </c>
      <c r="O83" s="661">
        <v>0.2</v>
      </c>
      <c r="P83" s="661">
        <v>0.2</v>
      </c>
      <c r="Q83" s="661">
        <v>0.2</v>
      </c>
      <c r="R83" s="661">
        <v>0.2</v>
      </c>
      <c r="S83" s="661">
        <v>0.2</v>
      </c>
      <c r="T83" s="661">
        <v>0.2</v>
      </c>
      <c r="U83" s="661">
        <v>0.2</v>
      </c>
      <c r="V83" s="556"/>
      <c r="W83" s="556"/>
      <c r="X83" s="556"/>
      <c r="Y83" s="556"/>
      <c r="Z83" s="556"/>
      <c r="AA83" s="556"/>
      <c r="AB83" s="556"/>
    </row>
    <row r="84" spans="1:28" s="9" customFormat="1" x14ac:dyDescent="0.25">
      <c r="B84" s="9" t="s">
        <v>652</v>
      </c>
      <c r="C84" s="9" t="s">
        <v>820</v>
      </c>
      <c r="D84" s="598"/>
      <c r="L84" s="661">
        <v>0.2</v>
      </c>
      <c r="M84" s="661">
        <v>0.2</v>
      </c>
      <c r="N84" s="661">
        <v>0.2</v>
      </c>
      <c r="O84" s="661">
        <v>0.2</v>
      </c>
      <c r="P84" s="661">
        <v>0.2</v>
      </c>
      <c r="Q84" s="661">
        <v>0.2</v>
      </c>
      <c r="R84" s="661">
        <v>0.2</v>
      </c>
      <c r="S84" s="661">
        <v>0.2</v>
      </c>
      <c r="T84" s="661">
        <v>0.2</v>
      </c>
      <c r="U84" s="661">
        <v>0.2</v>
      </c>
      <c r="V84" s="556"/>
      <c r="W84" s="556"/>
      <c r="X84" s="556"/>
      <c r="Y84" s="556"/>
      <c r="Z84" s="556"/>
      <c r="AA84" s="556"/>
      <c r="AB84" s="556"/>
    </row>
    <row r="85" spans="1:28" x14ac:dyDescent="0.25">
      <c r="A85"/>
      <c r="B85" t="s">
        <v>615</v>
      </c>
      <c r="D85"/>
      <c r="L85" s="6">
        <f>SUM(L81:L84)</f>
        <v>1</v>
      </c>
      <c r="M85" s="6">
        <f t="shared" ref="M85:U85" si="63">SUM(M81:M84)</f>
        <v>1</v>
      </c>
      <c r="N85" s="6">
        <f t="shared" si="63"/>
        <v>1</v>
      </c>
      <c r="O85" s="6">
        <f t="shared" si="63"/>
        <v>1</v>
      </c>
      <c r="P85" s="6">
        <f t="shared" si="63"/>
        <v>1</v>
      </c>
      <c r="Q85" s="6">
        <f t="shared" si="63"/>
        <v>1</v>
      </c>
      <c r="R85" s="6">
        <f t="shared" si="63"/>
        <v>1</v>
      </c>
      <c r="S85" s="6">
        <f t="shared" si="63"/>
        <v>1</v>
      </c>
      <c r="T85" s="6">
        <f t="shared" si="63"/>
        <v>1</v>
      </c>
      <c r="U85" s="6">
        <f t="shared" si="63"/>
        <v>1</v>
      </c>
      <c r="V85" s="157"/>
      <c r="W85" s="157"/>
      <c r="X85" s="157"/>
      <c r="Y85" s="157"/>
      <c r="Z85" s="157"/>
      <c r="AA85" s="157"/>
      <c r="AB85" s="157"/>
    </row>
    <row r="87" spans="1:28" x14ac:dyDescent="0.25">
      <c r="A87" s="1">
        <v>3</v>
      </c>
      <c r="B87" s="313" t="s">
        <v>874</v>
      </c>
      <c r="C87" s="316"/>
      <c r="D87" s="588"/>
      <c r="E87" s="316"/>
      <c r="F87" s="316"/>
      <c r="G87" s="316"/>
      <c r="H87" s="316"/>
      <c r="I87" s="316"/>
      <c r="J87" s="316"/>
      <c r="K87" s="316"/>
      <c r="L87" s="589"/>
      <c r="M87" s="589"/>
      <c r="N87" s="589"/>
      <c r="O87" s="589"/>
      <c r="P87" s="589"/>
      <c r="Q87" s="589"/>
      <c r="R87" s="553"/>
      <c r="S87" s="554"/>
      <c r="T87" s="553"/>
      <c r="U87" s="553"/>
    </row>
    <row r="88" spans="1:28" x14ac:dyDescent="0.25">
      <c r="B88" s="1" t="s">
        <v>817</v>
      </c>
      <c r="L88" s="590">
        <v>2024</v>
      </c>
      <c r="M88" s="590">
        <v>2025</v>
      </c>
      <c r="N88" s="590">
        <v>2026</v>
      </c>
      <c r="O88" s="590">
        <v>2027</v>
      </c>
      <c r="P88" s="590">
        <v>2028</v>
      </c>
      <c r="Q88" s="590">
        <v>2029</v>
      </c>
      <c r="R88" s="590">
        <v>2030</v>
      </c>
      <c r="S88" s="590">
        <v>2031</v>
      </c>
      <c r="T88" s="590">
        <v>2032</v>
      </c>
      <c r="U88" s="590">
        <v>2033</v>
      </c>
    </row>
    <row r="89" spans="1:28" x14ac:dyDescent="0.25">
      <c r="B89" s="1"/>
      <c r="L89" s="590"/>
      <c r="M89" s="590"/>
      <c r="N89" s="590"/>
      <c r="O89" s="590"/>
      <c r="P89" s="590"/>
      <c r="Q89" s="590"/>
      <c r="R89" s="590"/>
      <c r="S89" s="590"/>
      <c r="T89" s="590"/>
      <c r="U89" s="590"/>
    </row>
    <row r="90" spans="1:28" x14ac:dyDescent="0.25">
      <c r="B90" s="587" t="s">
        <v>826</v>
      </c>
      <c r="C90" s="587"/>
      <c r="D90" s="593"/>
      <c r="E90" s="587"/>
      <c r="F90" s="587"/>
      <c r="G90" s="587"/>
      <c r="H90" s="587"/>
      <c r="I90" s="587"/>
      <c r="J90" s="587"/>
      <c r="K90" s="587"/>
      <c r="L90" s="594">
        <f>SUM(L91:L94)</f>
        <v>163296</v>
      </c>
      <c r="M90" s="594">
        <f t="shared" ref="M90:U90" si="64">SUM(M91:M94)</f>
        <v>163296</v>
      </c>
      <c r="N90" s="594">
        <f t="shared" si="64"/>
        <v>163296</v>
      </c>
      <c r="O90" s="594">
        <f t="shared" si="64"/>
        <v>163296</v>
      </c>
      <c r="P90" s="594">
        <f t="shared" si="64"/>
        <v>163296</v>
      </c>
      <c r="Q90" s="594">
        <f t="shared" si="64"/>
        <v>163296</v>
      </c>
      <c r="R90" s="594">
        <f t="shared" si="64"/>
        <v>163296</v>
      </c>
      <c r="S90" s="594">
        <f t="shared" si="64"/>
        <v>163296</v>
      </c>
      <c r="T90" s="594">
        <f t="shared" si="64"/>
        <v>163296</v>
      </c>
      <c r="U90" s="594">
        <f t="shared" si="64"/>
        <v>163296</v>
      </c>
    </row>
    <row r="91" spans="1:28" s="9" customFormat="1" x14ac:dyDescent="0.25">
      <c r="B91" s="9" t="s">
        <v>823</v>
      </c>
      <c r="C91" s="9" t="s">
        <v>813</v>
      </c>
      <c r="D91" s="598"/>
      <c r="L91" s="658">
        <f>L74*$L$6</f>
        <v>48988.799999999996</v>
      </c>
      <c r="M91" s="658">
        <f t="shared" ref="M91:U91" si="65">M74*$L$6</f>
        <v>48988.799999999996</v>
      </c>
      <c r="N91" s="658">
        <f t="shared" si="65"/>
        <v>48988.799999999996</v>
      </c>
      <c r="O91" s="658">
        <f t="shared" si="65"/>
        <v>48988.799999999996</v>
      </c>
      <c r="P91" s="658">
        <f t="shared" si="65"/>
        <v>48988.799999999996</v>
      </c>
      <c r="Q91" s="658">
        <f t="shared" si="65"/>
        <v>48988.799999999996</v>
      </c>
      <c r="R91" s="658">
        <f t="shared" si="65"/>
        <v>48988.799999999996</v>
      </c>
      <c r="S91" s="658">
        <f t="shared" si="65"/>
        <v>48988.799999999996</v>
      </c>
      <c r="T91" s="658">
        <f t="shared" si="65"/>
        <v>48988.799999999996</v>
      </c>
      <c r="U91" s="658">
        <f t="shared" si="65"/>
        <v>48988.799999999996</v>
      </c>
      <c r="V91" s="556"/>
      <c r="W91" s="556"/>
      <c r="X91" s="556"/>
      <c r="Y91" s="556"/>
      <c r="Z91" s="556"/>
      <c r="AA91" s="556"/>
      <c r="AB91" s="556"/>
    </row>
    <row r="92" spans="1:28" s="9" customFormat="1" x14ac:dyDescent="0.25">
      <c r="B92" s="9" t="s">
        <v>824</v>
      </c>
      <c r="C92" s="9" t="s">
        <v>813</v>
      </c>
      <c r="D92" s="598"/>
      <c r="L92" s="658">
        <f t="shared" ref="L92:U92" si="66">L75*$L$6</f>
        <v>48988.799999999996</v>
      </c>
      <c r="M92" s="658">
        <f t="shared" si="66"/>
        <v>48988.799999999996</v>
      </c>
      <c r="N92" s="658">
        <f t="shared" si="66"/>
        <v>48988.799999999996</v>
      </c>
      <c r="O92" s="658">
        <f t="shared" si="66"/>
        <v>48988.799999999996</v>
      </c>
      <c r="P92" s="658">
        <f t="shared" si="66"/>
        <v>48988.799999999996</v>
      </c>
      <c r="Q92" s="658">
        <f t="shared" si="66"/>
        <v>48988.799999999996</v>
      </c>
      <c r="R92" s="658">
        <f t="shared" si="66"/>
        <v>48988.799999999996</v>
      </c>
      <c r="S92" s="658">
        <f t="shared" si="66"/>
        <v>48988.799999999996</v>
      </c>
      <c r="T92" s="658">
        <f t="shared" si="66"/>
        <v>48988.799999999996</v>
      </c>
      <c r="U92" s="658">
        <f t="shared" si="66"/>
        <v>48988.799999999996</v>
      </c>
      <c r="V92" s="556"/>
      <c r="W92" s="556"/>
      <c r="X92" s="556"/>
      <c r="Y92" s="556"/>
      <c r="Z92" s="556"/>
      <c r="AA92" s="556"/>
      <c r="AB92" s="556"/>
    </row>
    <row r="93" spans="1:28" s="9" customFormat="1" x14ac:dyDescent="0.25">
      <c r="B93" s="9" t="s">
        <v>825</v>
      </c>
      <c r="C93" s="9" t="s">
        <v>813</v>
      </c>
      <c r="D93" s="598"/>
      <c r="L93" s="658">
        <f t="shared" ref="L93:U93" si="67">L76*$L$6</f>
        <v>32659.200000000001</v>
      </c>
      <c r="M93" s="658">
        <f t="shared" si="67"/>
        <v>32659.200000000001</v>
      </c>
      <c r="N93" s="658">
        <f t="shared" si="67"/>
        <v>32659.200000000001</v>
      </c>
      <c r="O93" s="658">
        <f t="shared" si="67"/>
        <v>32659.200000000001</v>
      </c>
      <c r="P93" s="658">
        <f t="shared" si="67"/>
        <v>32659.200000000001</v>
      </c>
      <c r="Q93" s="658">
        <f t="shared" si="67"/>
        <v>32659.200000000001</v>
      </c>
      <c r="R93" s="658">
        <f t="shared" si="67"/>
        <v>32659.200000000001</v>
      </c>
      <c r="S93" s="658">
        <f t="shared" si="67"/>
        <v>32659.200000000001</v>
      </c>
      <c r="T93" s="658">
        <f t="shared" si="67"/>
        <v>32659.200000000001</v>
      </c>
      <c r="U93" s="658">
        <f t="shared" si="67"/>
        <v>32659.200000000001</v>
      </c>
      <c r="V93" s="556"/>
      <c r="W93" s="556"/>
      <c r="X93" s="556"/>
      <c r="Y93" s="556"/>
      <c r="Z93" s="556"/>
      <c r="AA93" s="556"/>
      <c r="AB93" s="556"/>
    </row>
    <row r="94" spans="1:28" s="9" customFormat="1" x14ac:dyDescent="0.25">
      <c r="B94" s="9" t="s">
        <v>652</v>
      </c>
      <c r="C94" s="9" t="s">
        <v>813</v>
      </c>
      <c r="D94" s="598"/>
      <c r="L94" s="658">
        <f t="shared" ref="L94:U94" si="68">L77*$L$6</f>
        <v>32659.200000000001</v>
      </c>
      <c r="M94" s="658">
        <f t="shared" si="68"/>
        <v>32659.200000000001</v>
      </c>
      <c r="N94" s="658">
        <f t="shared" si="68"/>
        <v>32659.200000000001</v>
      </c>
      <c r="O94" s="658">
        <f t="shared" si="68"/>
        <v>32659.200000000001</v>
      </c>
      <c r="P94" s="658">
        <f t="shared" si="68"/>
        <v>32659.200000000001</v>
      </c>
      <c r="Q94" s="658">
        <f t="shared" si="68"/>
        <v>32659.200000000001</v>
      </c>
      <c r="R94" s="658">
        <f t="shared" si="68"/>
        <v>32659.200000000001</v>
      </c>
      <c r="S94" s="658">
        <f t="shared" si="68"/>
        <v>32659.200000000001</v>
      </c>
      <c r="T94" s="658">
        <f t="shared" si="68"/>
        <v>32659.200000000001</v>
      </c>
      <c r="U94" s="658">
        <f t="shared" si="68"/>
        <v>32659.200000000001</v>
      </c>
      <c r="V94" s="556"/>
      <c r="W94" s="556"/>
      <c r="X94" s="556"/>
      <c r="Y94" s="556"/>
      <c r="Z94" s="556"/>
      <c r="AA94" s="556"/>
      <c r="AB94" s="556"/>
    </row>
    <row r="95" spans="1:28" x14ac:dyDescent="0.25">
      <c r="B95" s="627" t="s">
        <v>827</v>
      </c>
      <c r="C95" s="587"/>
      <c r="D95" s="593"/>
      <c r="E95" s="587"/>
      <c r="F95" s="587"/>
      <c r="G95" s="587"/>
      <c r="H95" s="587"/>
      <c r="I95" s="587"/>
      <c r="J95" s="587"/>
      <c r="K95" s="587"/>
      <c r="L95" s="594">
        <f>SUM(L96:L99)</f>
        <v>57456</v>
      </c>
      <c r="M95" s="594">
        <f t="shared" ref="M95" si="69">SUM(M96:M99)</f>
        <v>57456</v>
      </c>
      <c r="N95" s="594">
        <f t="shared" ref="N95" si="70">SUM(N96:N99)</f>
        <v>57456</v>
      </c>
      <c r="O95" s="594">
        <f t="shared" ref="O95" si="71">SUM(O96:O99)</f>
        <v>57456</v>
      </c>
      <c r="P95" s="594">
        <f t="shared" ref="P95" si="72">SUM(P96:P99)</f>
        <v>57456</v>
      </c>
      <c r="Q95" s="594">
        <f t="shared" ref="Q95" si="73">SUM(Q96:Q99)</f>
        <v>57456</v>
      </c>
      <c r="R95" s="594">
        <f t="shared" ref="R95" si="74">SUM(R96:R99)</f>
        <v>57456</v>
      </c>
      <c r="S95" s="594">
        <f t="shared" ref="S95" si="75">SUM(S96:S99)</f>
        <v>57456</v>
      </c>
      <c r="T95" s="594">
        <f t="shared" ref="T95" si="76">SUM(T96:T99)</f>
        <v>57456</v>
      </c>
      <c r="U95" s="594">
        <f t="shared" ref="U95" si="77">SUM(U96:U99)</f>
        <v>57456</v>
      </c>
    </row>
    <row r="96" spans="1:28" s="9" customFormat="1" x14ac:dyDescent="0.25">
      <c r="A96" s="552"/>
      <c r="B96" s="9" t="s">
        <v>823</v>
      </c>
      <c r="C96" s="552" t="s">
        <v>813</v>
      </c>
      <c r="D96" s="598"/>
      <c r="L96" s="658">
        <f>L74*$L$18</f>
        <v>17236.8</v>
      </c>
      <c r="M96" s="658">
        <f t="shared" ref="M96:U96" si="78">M74*$L$18</f>
        <v>17236.8</v>
      </c>
      <c r="N96" s="658">
        <f t="shared" si="78"/>
        <v>17236.8</v>
      </c>
      <c r="O96" s="658">
        <f t="shared" si="78"/>
        <v>17236.8</v>
      </c>
      <c r="P96" s="658">
        <f t="shared" si="78"/>
        <v>17236.8</v>
      </c>
      <c r="Q96" s="658">
        <f t="shared" si="78"/>
        <v>17236.8</v>
      </c>
      <c r="R96" s="658">
        <f t="shared" si="78"/>
        <v>17236.8</v>
      </c>
      <c r="S96" s="658">
        <f t="shared" si="78"/>
        <v>17236.8</v>
      </c>
      <c r="T96" s="658">
        <f t="shared" si="78"/>
        <v>17236.8</v>
      </c>
      <c r="U96" s="658">
        <f t="shared" si="78"/>
        <v>17236.8</v>
      </c>
      <c r="V96" s="556"/>
      <c r="W96" s="556"/>
      <c r="X96" s="556"/>
      <c r="Y96" s="556"/>
      <c r="Z96" s="556"/>
      <c r="AA96" s="556"/>
      <c r="AB96" s="556"/>
    </row>
    <row r="97" spans="1:28" s="9" customFormat="1" x14ac:dyDescent="0.25">
      <c r="A97" s="552"/>
      <c r="B97" s="9" t="s">
        <v>824</v>
      </c>
      <c r="C97" s="552" t="s">
        <v>813</v>
      </c>
      <c r="D97" s="598"/>
      <c r="L97" s="658">
        <f t="shared" ref="L97:U99" si="79">L75*$L$18</f>
        <v>17236.8</v>
      </c>
      <c r="M97" s="658">
        <f t="shared" si="79"/>
        <v>17236.8</v>
      </c>
      <c r="N97" s="658">
        <f t="shared" si="79"/>
        <v>17236.8</v>
      </c>
      <c r="O97" s="658">
        <f t="shared" si="79"/>
        <v>17236.8</v>
      </c>
      <c r="P97" s="658">
        <f t="shared" si="79"/>
        <v>17236.8</v>
      </c>
      <c r="Q97" s="658">
        <f t="shared" si="79"/>
        <v>17236.8</v>
      </c>
      <c r="R97" s="658">
        <f t="shared" si="79"/>
        <v>17236.8</v>
      </c>
      <c r="S97" s="658">
        <f t="shared" si="79"/>
        <v>17236.8</v>
      </c>
      <c r="T97" s="658">
        <f t="shared" si="79"/>
        <v>17236.8</v>
      </c>
      <c r="U97" s="658">
        <f t="shared" si="79"/>
        <v>17236.8</v>
      </c>
      <c r="V97" s="556"/>
      <c r="W97" s="556"/>
      <c r="X97" s="556"/>
      <c r="Y97" s="556"/>
      <c r="Z97" s="556"/>
      <c r="AA97" s="556"/>
      <c r="AB97" s="556"/>
    </row>
    <row r="98" spans="1:28" s="9" customFormat="1" x14ac:dyDescent="0.25">
      <c r="A98" s="552"/>
      <c r="B98" s="9" t="s">
        <v>825</v>
      </c>
      <c r="C98" s="552" t="s">
        <v>813</v>
      </c>
      <c r="D98" s="598"/>
      <c r="L98" s="658">
        <f t="shared" si="79"/>
        <v>11491.2</v>
      </c>
      <c r="M98" s="658">
        <f t="shared" si="79"/>
        <v>11491.2</v>
      </c>
      <c r="N98" s="658">
        <f t="shared" si="79"/>
        <v>11491.2</v>
      </c>
      <c r="O98" s="658">
        <f t="shared" si="79"/>
        <v>11491.2</v>
      </c>
      <c r="P98" s="658">
        <f t="shared" si="79"/>
        <v>11491.2</v>
      </c>
      <c r="Q98" s="658">
        <f t="shared" si="79"/>
        <v>11491.2</v>
      </c>
      <c r="R98" s="658">
        <f t="shared" si="79"/>
        <v>11491.2</v>
      </c>
      <c r="S98" s="658">
        <f t="shared" si="79"/>
        <v>11491.2</v>
      </c>
      <c r="T98" s="658">
        <f t="shared" si="79"/>
        <v>11491.2</v>
      </c>
      <c r="U98" s="658">
        <f t="shared" si="79"/>
        <v>11491.2</v>
      </c>
      <c r="V98" s="556"/>
      <c r="W98" s="556"/>
      <c r="X98" s="556"/>
      <c r="Y98" s="556"/>
      <c r="Z98" s="556"/>
      <c r="AA98" s="556"/>
      <c r="AB98" s="556"/>
    </row>
    <row r="99" spans="1:28" s="9" customFormat="1" x14ac:dyDescent="0.25">
      <c r="A99" s="552"/>
      <c r="B99" s="9" t="s">
        <v>652</v>
      </c>
      <c r="C99" s="552" t="s">
        <v>813</v>
      </c>
      <c r="D99" s="598"/>
      <c r="L99" s="658">
        <f t="shared" si="79"/>
        <v>11491.2</v>
      </c>
      <c r="M99" s="658">
        <f t="shared" si="79"/>
        <v>11491.2</v>
      </c>
      <c r="N99" s="658">
        <f t="shared" si="79"/>
        <v>11491.2</v>
      </c>
      <c r="O99" s="658">
        <f t="shared" si="79"/>
        <v>11491.2</v>
      </c>
      <c r="P99" s="658">
        <f t="shared" si="79"/>
        <v>11491.2</v>
      </c>
      <c r="Q99" s="658">
        <f t="shared" si="79"/>
        <v>11491.2</v>
      </c>
      <c r="R99" s="658">
        <f t="shared" si="79"/>
        <v>11491.2</v>
      </c>
      <c r="S99" s="658">
        <f t="shared" si="79"/>
        <v>11491.2</v>
      </c>
      <c r="T99" s="658">
        <f t="shared" si="79"/>
        <v>11491.2</v>
      </c>
      <c r="U99" s="658">
        <f t="shared" si="79"/>
        <v>11491.2</v>
      </c>
      <c r="V99" s="556"/>
      <c r="W99" s="556"/>
      <c r="X99" s="556"/>
      <c r="Y99" s="556"/>
      <c r="Z99" s="556"/>
      <c r="AA99" s="556"/>
      <c r="AB99" s="556"/>
    </row>
    <row r="100" spans="1:28" x14ac:dyDescent="0.25">
      <c r="B100" s="684" t="s">
        <v>694</v>
      </c>
      <c r="C100" s="684"/>
      <c r="D100" s="685"/>
      <c r="E100" s="684"/>
      <c r="F100" s="684"/>
      <c r="G100" s="684"/>
      <c r="H100" s="684"/>
      <c r="I100" s="684"/>
      <c r="J100" s="684"/>
      <c r="K100" s="684"/>
      <c r="L100" s="687">
        <f>L90+L95</f>
        <v>220752</v>
      </c>
      <c r="M100" s="687">
        <f t="shared" ref="M100:U100" si="80">M90+M95</f>
        <v>220752</v>
      </c>
      <c r="N100" s="687">
        <f t="shared" si="80"/>
        <v>220752</v>
      </c>
      <c r="O100" s="687">
        <f t="shared" si="80"/>
        <v>220752</v>
      </c>
      <c r="P100" s="687">
        <f t="shared" si="80"/>
        <v>220752</v>
      </c>
      <c r="Q100" s="687">
        <f t="shared" si="80"/>
        <v>220752</v>
      </c>
      <c r="R100" s="687">
        <f t="shared" si="80"/>
        <v>220752</v>
      </c>
      <c r="S100" s="687">
        <f t="shared" si="80"/>
        <v>220752</v>
      </c>
      <c r="T100" s="687">
        <f t="shared" si="80"/>
        <v>220752</v>
      </c>
      <c r="U100" s="687">
        <f t="shared" si="80"/>
        <v>220752</v>
      </c>
    </row>
    <row r="102" spans="1:28" x14ac:dyDescent="0.25">
      <c r="B102" s="1" t="s">
        <v>814</v>
      </c>
      <c r="L102" s="590">
        <v>2024</v>
      </c>
      <c r="M102" s="590">
        <v>2025</v>
      </c>
      <c r="N102" s="590">
        <v>2026</v>
      </c>
      <c r="O102" s="590">
        <v>2027</v>
      </c>
      <c r="P102" s="590">
        <v>2028</v>
      </c>
      <c r="Q102" s="590">
        <v>2029</v>
      </c>
      <c r="R102" s="590">
        <v>2030</v>
      </c>
      <c r="S102" s="590">
        <v>2031</v>
      </c>
      <c r="T102" s="590">
        <v>2032</v>
      </c>
      <c r="U102" s="590">
        <v>2033</v>
      </c>
    </row>
    <row r="103" spans="1:28" x14ac:dyDescent="0.25">
      <c r="B103" s="587" t="s">
        <v>826</v>
      </c>
      <c r="C103" s="587"/>
      <c r="D103" s="593"/>
      <c r="E103" s="587"/>
      <c r="F103" s="587"/>
      <c r="G103" s="587"/>
      <c r="H103" s="587"/>
      <c r="I103" s="587"/>
      <c r="J103" s="587"/>
      <c r="K103" s="587"/>
      <c r="L103" s="594">
        <f>SUM(L104:L107)</f>
        <v>3932928</v>
      </c>
      <c r="M103" s="594">
        <f t="shared" ref="M103" si="81">SUM(M104:M107)</f>
        <v>3932928</v>
      </c>
      <c r="N103" s="594">
        <f t="shared" ref="N103" si="82">SUM(N104:N107)</f>
        <v>3932928</v>
      </c>
      <c r="O103" s="594">
        <f t="shared" ref="O103" si="83">SUM(O104:O107)</f>
        <v>3932928</v>
      </c>
      <c r="P103" s="594">
        <f t="shared" ref="P103" si="84">SUM(P104:P107)</f>
        <v>3932928</v>
      </c>
      <c r="Q103" s="594">
        <f t="shared" ref="Q103" si="85">SUM(Q104:Q107)</f>
        <v>3932928</v>
      </c>
      <c r="R103" s="594">
        <f t="shared" ref="R103" si="86">SUM(R104:R107)</f>
        <v>3932928</v>
      </c>
      <c r="S103" s="594">
        <f t="shared" ref="S103" si="87">SUM(S104:S107)</f>
        <v>3932928</v>
      </c>
      <c r="T103" s="594">
        <f t="shared" ref="T103" si="88">SUM(T104:T107)</f>
        <v>3932928</v>
      </c>
      <c r="U103" s="594">
        <f t="shared" ref="U103" si="89">SUM(U104:U107)</f>
        <v>3932928</v>
      </c>
    </row>
    <row r="104" spans="1:28" s="9" customFormat="1" x14ac:dyDescent="0.25">
      <c r="A104" s="552"/>
      <c r="B104" s="9" t="s">
        <v>823</v>
      </c>
      <c r="C104" s="9" t="s">
        <v>816</v>
      </c>
      <c r="D104" s="598"/>
      <c r="L104" s="658">
        <f>L81*$L$29</f>
        <v>1179878.3999999999</v>
      </c>
      <c r="M104" s="658">
        <f t="shared" ref="M104:U104" si="90">M81*$L$29</f>
        <v>1179878.3999999999</v>
      </c>
      <c r="N104" s="658">
        <f t="shared" si="90"/>
        <v>1179878.3999999999</v>
      </c>
      <c r="O104" s="658">
        <f t="shared" si="90"/>
        <v>1179878.3999999999</v>
      </c>
      <c r="P104" s="658">
        <f t="shared" si="90"/>
        <v>1179878.3999999999</v>
      </c>
      <c r="Q104" s="658">
        <f t="shared" si="90"/>
        <v>1179878.3999999999</v>
      </c>
      <c r="R104" s="658">
        <f t="shared" si="90"/>
        <v>1179878.3999999999</v>
      </c>
      <c r="S104" s="658">
        <f t="shared" si="90"/>
        <v>1179878.3999999999</v>
      </c>
      <c r="T104" s="658">
        <f t="shared" si="90"/>
        <v>1179878.3999999999</v>
      </c>
      <c r="U104" s="658">
        <f t="shared" si="90"/>
        <v>1179878.3999999999</v>
      </c>
      <c r="V104" s="556"/>
      <c r="W104" s="556"/>
      <c r="X104" s="556"/>
      <c r="Y104" s="556"/>
      <c r="Z104" s="556"/>
      <c r="AA104" s="556"/>
      <c r="AB104" s="556"/>
    </row>
    <row r="105" spans="1:28" s="9" customFormat="1" x14ac:dyDescent="0.25">
      <c r="A105" s="552"/>
      <c r="B105" s="9" t="s">
        <v>824</v>
      </c>
      <c r="C105" s="9" t="s">
        <v>816</v>
      </c>
      <c r="D105" s="598"/>
      <c r="L105" s="658">
        <f t="shared" ref="L105:U107" si="91">L82*$L$29</f>
        <v>1179878.3999999999</v>
      </c>
      <c r="M105" s="658">
        <f t="shared" si="91"/>
        <v>1179878.3999999999</v>
      </c>
      <c r="N105" s="658">
        <f t="shared" si="91"/>
        <v>1179878.3999999999</v>
      </c>
      <c r="O105" s="658">
        <f t="shared" si="91"/>
        <v>1179878.3999999999</v>
      </c>
      <c r="P105" s="658">
        <f t="shared" si="91"/>
        <v>1179878.3999999999</v>
      </c>
      <c r="Q105" s="658">
        <f t="shared" si="91"/>
        <v>1179878.3999999999</v>
      </c>
      <c r="R105" s="658">
        <f t="shared" si="91"/>
        <v>1179878.3999999999</v>
      </c>
      <c r="S105" s="658">
        <f t="shared" si="91"/>
        <v>1179878.3999999999</v>
      </c>
      <c r="T105" s="658">
        <f t="shared" si="91"/>
        <v>1179878.3999999999</v>
      </c>
      <c r="U105" s="658">
        <f t="shared" si="91"/>
        <v>1179878.3999999999</v>
      </c>
      <c r="V105" s="556"/>
      <c r="W105" s="556"/>
      <c r="X105" s="556"/>
      <c r="Y105" s="556"/>
      <c r="Z105" s="556"/>
      <c r="AA105" s="556"/>
      <c r="AB105" s="556"/>
    </row>
    <row r="106" spans="1:28" s="9" customFormat="1" x14ac:dyDescent="0.25">
      <c r="A106" s="552"/>
      <c r="B106" s="9" t="s">
        <v>825</v>
      </c>
      <c r="C106" s="9" t="s">
        <v>816</v>
      </c>
      <c r="D106" s="598"/>
      <c r="L106" s="658">
        <f t="shared" si="91"/>
        <v>786585.60000000009</v>
      </c>
      <c r="M106" s="658">
        <f t="shared" si="91"/>
        <v>786585.60000000009</v>
      </c>
      <c r="N106" s="658">
        <f t="shared" si="91"/>
        <v>786585.60000000009</v>
      </c>
      <c r="O106" s="658">
        <f t="shared" si="91"/>
        <v>786585.60000000009</v>
      </c>
      <c r="P106" s="658">
        <f t="shared" si="91"/>
        <v>786585.60000000009</v>
      </c>
      <c r="Q106" s="658">
        <f t="shared" si="91"/>
        <v>786585.60000000009</v>
      </c>
      <c r="R106" s="658">
        <f t="shared" si="91"/>
        <v>786585.60000000009</v>
      </c>
      <c r="S106" s="658">
        <f t="shared" si="91"/>
        <v>786585.60000000009</v>
      </c>
      <c r="T106" s="658">
        <f t="shared" si="91"/>
        <v>786585.60000000009</v>
      </c>
      <c r="U106" s="658">
        <f t="shared" si="91"/>
        <v>786585.60000000009</v>
      </c>
      <c r="V106" s="556"/>
      <c r="W106" s="556"/>
      <c r="X106" s="556"/>
      <c r="Y106" s="556"/>
      <c r="Z106" s="556"/>
      <c r="AA106" s="556"/>
      <c r="AB106" s="556"/>
    </row>
    <row r="107" spans="1:28" s="9" customFormat="1" x14ac:dyDescent="0.25">
      <c r="A107" s="552"/>
      <c r="B107" s="9" t="s">
        <v>652</v>
      </c>
      <c r="C107" s="9" t="s">
        <v>816</v>
      </c>
      <c r="D107" s="598"/>
      <c r="L107" s="658">
        <f t="shared" si="91"/>
        <v>786585.60000000009</v>
      </c>
      <c r="M107" s="658">
        <f t="shared" si="91"/>
        <v>786585.60000000009</v>
      </c>
      <c r="N107" s="658">
        <f t="shared" si="91"/>
        <v>786585.60000000009</v>
      </c>
      <c r="O107" s="658">
        <f t="shared" si="91"/>
        <v>786585.60000000009</v>
      </c>
      <c r="P107" s="658">
        <f t="shared" si="91"/>
        <v>786585.60000000009</v>
      </c>
      <c r="Q107" s="658">
        <f t="shared" si="91"/>
        <v>786585.60000000009</v>
      </c>
      <c r="R107" s="658">
        <f t="shared" si="91"/>
        <v>786585.60000000009</v>
      </c>
      <c r="S107" s="658">
        <f t="shared" si="91"/>
        <v>786585.60000000009</v>
      </c>
      <c r="T107" s="658">
        <f t="shared" si="91"/>
        <v>786585.60000000009</v>
      </c>
      <c r="U107" s="658">
        <f t="shared" si="91"/>
        <v>786585.60000000009</v>
      </c>
      <c r="V107" s="556"/>
      <c r="W107" s="556"/>
      <c r="X107" s="556"/>
      <c r="Y107" s="556"/>
      <c r="Z107" s="556"/>
      <c r="AA107" s="556"/>
      <c r="AB107" s="556"/>
    </row>
    <row r="108" spans="1:28" x14ac:dyDescent="0.25">
      <c r="B108" s="587" t="s">
        <v>826</v>
      </c>
      <c r="C108" s="587"/>
      <c r="D108" s="593"/>
      <c r="E108" s="587"/>
      <c r="F108" s="587"/>
      <c r="G108" s="587"/>
      <c r="H108" s="587"/>
      <c r="I108" s="587"/>
      <c r="J108" s="587"/>
      <c r="K108" s="587"/>
      <c r="L108" s="594">
        <f>SUM(L109:L112)</f>
        <v>4609290.2400000012</v>
      </c>
      <c r="M108" s="594">
        <f t="shared" ref="M108:U108" si="92">SUM(M109:M112)</f>
        <v>4609290.2400000012</v>
      </c>
      <c r="N108" s="594">
        <f t="shared" si="92"/>
        <v>4609290.2400000012</v>
      </c>
      <c r="O108" s="594">
        <f t="shared" si="92"/>
        <v>4609290.2400000012</v>
      </c>
      <c r="P108" s="594">
        <f t="shared" si="92"/>
        <v>4609290.2400000012</v>
      </c>
      <c r="Q108" s="594">
        <f t="shared" si="92"/>
        <v>4609290.2400000012</v>
      </c>
      <c r="R108" s="594">
        <f t="shared" si="92"/>
        <v>4609290.2400000012</v>
      </c>
      <c r="S108" s="594">
        <f t="shared" si="92"/>
        <v>4609290.2400000012</v>
      </c>
      <c r="T108" s="594">
        <f t="shared" si="92"/>
        <v>4609290.2400000012</v>
      </c>
      <c r="U108" s="594">
        <f t="shared" si="92"/>
        <v>4609290.2400000012</v>
      </c>
    </row>
    <row r="109" spans="1:28" s="9" customFormat="1" x14ac:dyDescent="0.25">
      <c r="A109" s="552"/>
      <c r="B109" s="9" t="s">
        <v>823</v>
      </c>
      <c r="C109" s="9" t="s">
        <v>816</v>
      </c>
      <c r="D109" s="598"/>
      <c r="L109" s="658">
        <f>L81*$L$50</f>
        <v>1382787.0720000004</v>
      </c>
      <c r="M109" s="658">
        <f t="shared" ref="M109:U109" si="93">M81*$L$50</f>
        <v>1382787.0720000004</v>
      </c>
      <c r="N109" s="658">
        <f t="shared" si="93"/>
        <v>1382787.0720000004</v>
      </c>
      <c r="O109" s="658">
        <f t="shared" si="93"/>
        <v>1382787.0720000004</v>
      </c>
      <c r="P109" s="658">
        <f t="shared" si="93"/>
        <v>1382787.0720000004</v>
      </c>
      <c r="Q109" s="658">
        <f t="shared" si="93"/>
        <v>1382787.0720000004</v>
      </c>
      <c r="R109" s="658">
        <f t="shared" si="93"/>
        <v>1382787.0720000004</v>
      </c>
      <c r="S109" s="658">
        <f t="shared" si="93"/>
        <v>1382787.0720000004</v>
      </c>
      <c r="T109" s="658">
        <f t="shared" si="93"/>
        <v>1382787.0720000004</v>
      </c>
      <c r="U109" s="658">
        <f t="shared" si="93"/>
        <v>1382787.0720000004</v>
      </c>
      <c r="V109" s="556"/>
      <c r="W109" s="556"/>
      <c r="X109" s="556"/>
      <c r="Y109" s="556"/>
      <c r="Z109" s="556"/>
      <c r="AA109" s="556"/>
      <c r="AB109" s="556"/>
    </row>
    <row r="110" spans="1:28" s="9" customFormat="1" x14ac:dyDescent="0.25">
      <c r="A110" s="552"/>
      <c r="B110" s="9" t="s">
        <v>824</v>
      </c>
      <c r="C110" s="9" t="s">
        <v>816</v>
      </c>
      <c r="D110" s="598"/>
      <c r="L110" s="658">
        <f t="shared" ref="L110:U112" si="94">L82*$L$50</f>
        <v>1382787.0720000004</v>
      </c>
      <c r="M110" s="658">
        <f t="shared" si="94"/>
        <v>1382787.0720000004</v>
      </c>
      <c r="N110" s="658">
        <f t="shared" si="94"/>
        <v>1382787.0720000004</v>
      </c>
      <c r="O110" s="658">
        <f t="shared" si="94"/>
        <v>1382787.0720000004</v>
      </c>
      <c r="P110" s="658">
        <f t="shared" si="94"/>
        <v>1382787.0720000004</v>
      </c>
      <c r="Q110" s="658">
        <f t="shared" si="94"/>
        <v>1382787.0720000004</v>
      </c>
      <c r="R110" s="658">
        <f t="shared" si="94"/>
        <v>1382787.0720000004</v>
      </c>
      <c r="S110" s="658">
        <f t="shared" si="94"/>
        <v>1382787.0720000004</v>
      </c>
      <c r="T110" s="658">
        <f t="shared" si="94"/>
        <v>1382787.0720000004</v>
      </c>
      <c r="U110" s="658">
        <f t="shared" si="94"/>
        <v>1382787.0720000004</v>
      </c>
      <c r="V110" s="556"/>
      <c r="W110" s="556"/>
      <c r="X110" s="556"/>
      <c r="Y110" s="556"/>
      <c r="Z110" s="556"/>
      <c r="AA110" s="556"/>
      <c r="AB110" s="556"/>
    </row>
    <row r="111" spans="1:28" s="9" customFormat="1" x14ac:dyDescent="0.25">
      <c r="A111" s="552"/>
      <c r="B111" s="9" t="s">
        <v>825</v>
      </c>
      <c r="C111" s="9" t="s">
        <v>816</v>
      </c>
      <c r="D111" s="598"/>
      <c r="L111" s="658">
        <f t="shared" si="94"/>
        <v>921858.0480000003</v>
      </c>
      <c r="M111" s="658">
        <f t="shared" si="94"/>
        <v>921858.0480000003</v>
      </c>
      <c r="N111" s="658">
        <f t="shared" si="94"/>
        <v>921858.0480000003</v>
      </c>
      <c r="O111" s="658">
        <f t="shared" si="94"/>
        <v>921858.0480000003</v>
      </c>
      <c r="P111" s="658">
        <f t="shared" si="94"/>
        <v>921858.0480000003</v>
      </c>
      <c r="Q111" s="658">
        <f t="shared" si="94"/>
        <v>921858.0480000003</v>
      </c>
      <c r="R111" s="658">
        <f t="shared" si="94"/>
        <v>921858.0480000003</v>
      </c>
      <c r="S111" s="658">
        <f t="shared" si="94"/>
        <v>921858.0480000003</v>
      </c>
      <c r="T111" s="658">
        <f t="shared" si="94"/>
        <v>921858.0480000003</v>
      </c>
      <c r="U111" s="658">
        <f t="shared" si="94"/>
        <v>921858.0480000003</v>
      </c>
      <c r="V111" s="556"/>
      <c r="W111" s="556"/>
      <c r="X111" s="556"/>
      <c r="Y111" s="556"/>
      <c r="Z111" s="556"/>
      <c r="AA111" s="556"/>
      <c r="AB111" s="556"/>
    </row>
    <row r="112" spans="1:28" s="9" customFormat="1" x14ac:dyDescent="0.25">
      <c r="A112" s="552"/>
      <c r="B112" s="9" t="s">
        <v>652</v>
      </c>
      <c r="C112" s="9" t="s">
        <v>816</v>
      </c>
      <c r="D112" s="598"/>
      <c r="L112" s="658">
        <f t="shared" si="94"/>
        <v>921858.0480000003</v>
      </c>
      <c r="M112" s="658">
        <f t="shared" si="94"/>
        <v>921858.0480000003</v>
      </c>
      <c r="N112" s="658">
        <f t="shared" si="94"/>
        <v>921858.0480000003</v>
      </c>
      <c r="O112" s="658">
        <f t="shared" si="94"/>
        <v>921858.0480000003</v>
      </c>
      <c r="P112" s="658">
        <f t="shared" si="94"/>
        <v>921858.0480000003</v>
      </c>
      <c r="Q112" s="658">
        <f t="shared" si="94"/>
        <v>921858.0480000003</v>
      </c>
      <c r="R112" s="658">
        <f t="shared" si="94"/>
        <v>921858.0480000003</v>
      </c>
      <c r="S112" s="658">
        <f t="shared" si="94"/>
        <v>921858.0480000003</v>
      </c>
      <c r="T112" s="658">
        <f t="shared" si="94"/>
        <v>921858.0480000003</v>
      </c>
      <c r="U112" s="658">
        <f t="shared" si="94"/>
        <v>921858.0480000003</v>
      </c>
      <c r="V112" s="556"/>
      <c r="W112" s="556"/>
      <c r="X112" s="556"/>
      <c r="Y112" s="556"/>
      <c r="Z112" s="556"/>
      <c r="AA112" s="556"/>
      <c r="AB112" s="556"/>
    </row>
    <row r="166" spans="1:28" s="129" customFormat="1" x14ac:dyDescent="0.25">
      <c r="A166" s="303"/>
      <c r="D166" s="602"/>
      <c r="L166" s="603"/>
      <c r="M166" s="603"/>
      <c r="N166" s="603"/>
      <c r="O166" s="603"/>
      <c r="P166" s="603"/>
      <c r="Q166" s="603"/>
      <c r="R166" s="521"/>
      <c r="S166" s="522"/>
      <c r="T166" s="521"/>
      <c r="U166" s="521"/>
      <c r="V166" s="307"/>
      <c r="W166" s="307"/>
      <c r="X166" s="307"/>
      <c r="Y166" s="307"/>
      <c r="Z166" s="307"/>
      <c r="AA166" s="307"/>
      <c r="AB166" s="307"/>
    </row>
    <row r="167" spans="1:28" s="129" customFormat="1" x14ac:dyDescent="0.25">
      <c r="A167" s="303"/>
      <c r="D167" s="602"/>
      <c r="L167" s="603"/>
      <c r="M167" s="603"/>
      <c r="N167" s="603"/>
      <c r="O167" s="603"/>
      <c r="P167" s="603"/>
      <c r="Q167" s="603"/>
      <c r="R167" s="521"/>
      <c r="S167" s="522"/>
      <c r="T167" s="521"/>
      <c r="U167" s="521"/>
      <c r="V167" s="307"/>
      <c r="W167" s="307"/>
      <c r="X167" s="307"/>
      <c r="Y167" s="307"/>
      <c r="Z167" s="307"/>
      <c r="AA167" s="307"/>
      <c r="AB167" s="307"/>
    </row>
    <row r="168" spans="1:28" s="129" customFormat="1" x14ac:dyDescent="0.25">
      <c r="A168" s="303"/>
      <c r="D168" s="602"/>
      <c r="L168" s="603"/>
      <c r="M168" s="603"/>
      <c r="N168" s="603"/>
      <c r="O168" s="603"/>
      <c r="P168" s="603"/>
      <c r="Q168" s="603"/>
      <c r="R168" s="521"/>
      <c r="S168" s="522"/>
      <c r="T168" s="521"/>
      <c r="U168" s="521"/>
      <c r="V168" s="307"/>
      <c r="W168" s="307"/>
      <c r="X168" s="307"/>
      <c r="Y168" s="307"/>
      <c r="Z168" s="307"/>
      <c r="AA168" s="307"/>
      <c r="AB168" s="307"/>
    </row>
    <row r="169" spans="1:28" s="129" customFormat="1" x14ac:dyDescent="0.25">
      <c r="A169" s="303"/>
      <c r="D169" s="602"/>
      <c r="L169" s="603"/>
      <c r="M169" s="603"/>
      <c r="N169" s="603"/>
      <c r="O169" s="603"/>
      <c r="P169" s="603"/>
      <c r="Q169" s="603"/>
      <c r="R169" s="521"/>
      <c r="S169" s="522"/>
      <c r="T169" s="521"/>
      <c r="U169" s="521"/>
      <c r="V169" s="307"/>
      <c r="W169" s="307"/>
      <c r="X169" s="307"/>
      <c r="Y169" s="307"/>
      <c r="Z169" s="307"/>
      <c r="AA169" s="307"/>
      <c r="AB169" s="307"/>
    </row>
    <row r="170" spans="1:28" s="129" customFormat="1" x14ac:dyDescent="0.25">
      <c r="A170" s="303"/>
      <c r="D170" s="602"/>
      <c r="L170" s="603"/>
      <c r="M170" s="603"/>
      <c r="N170" s="603"/>
      <c r="O170" s="603"/>
      <c r="P170" s="603"/>
      <c r="Q170" s="603"/>
      <c r="R170" s="521"/>
      <c r="S170" s="522"/>
      <c r="T170" s="521"/>
      <c r="U170" s="521"/>
      <c r="V170" s="307"/>
      <c r="W170" s="307"/>
      <c r="X170" s="307"/>
      <c r="Y170" s="307"/>
      <c r="Z170" s="307"/>
      <c r="AA170" s="307"/>
      <c r="AB170" s="307"/>
    </row>
    <row r="171" spans="1:28" s="129" customFormat="1" x14ac:dyDescent="0.25">
      <c r="A171" s="303"/>
      <c r="B171" s="303"/>
      <c r="C171" s="303"/>
      <c r="D171" s="602"/>
      <c r="L171" s="603"/>
      <c r="M171" s="603"/>
      <c r="N171" s="603"/>
      <c r="O171" s="603"/>
      <c r="P171" s="603"/>
      <c r="Q171" s="603"/>
      <c r="R171" s="521"/>
      <c r="S171" s="522"/>
      <c r="T171" s="521"/>
      <c r="U171" s="521"/>
      <c r="V171" s="307"/>
      <c r="W171" s="307"/>
      <c r="X171" s="307"/>
      <c r="Y171" s="307"/>
      <c r="Z171" s="307"/>
      <c r="AA171" s="307"/>
      <c r="AB171" s="307"/>
    </row>
    <row r="172" spans="1:28" s="129" customFormat="1" x14ac:dyDescent="0.25">
      <c r="A172" s="303"/>
      <c r="D172" s="602"/>
      <c r="L172" s="603"/>
      <c r="M172" s="603"/>
      <c r="N172" s="603"/>
      <c r="O172" s="603"/>
      <c r="P172" s="603"/>
      <c r="Q172" s="603"/>
      <c r="R172" s="521"/>
      <c r="S172" s="522"/>
      <c r="T172" s="521"/>
      <c r="U172" s="521"/>
      <c r="V172" s="307"/>
      <c r="W172" s="307"/>
      <c r="X172" s="307"/>
      <c r="Y172" s="307"/>
      <c r="Z172" s="307"/>
      <c r="AA172" s="307"/>
      <c r="AB172" s="307"/>
    </row>
    <row r="173" spans="1:28" s="303" customFormat="1" ht="18.600000000000001" customHeight="1" x14ac:dyDescent="0.25">
      <c r="D173" s="604"/>
      <c r="L173" s="605"/>
      <c r="M173" s="605"/>
      <c r="N173" s="605"/>
      <c r="O173" s="605"/>
      <c r="P173" s="605"/>
      <c r="Q173" s="605"/>
      <c r="R173" s="605"/>
      <c r="S173" s="605"/>
      <c r="T173" s="605"/>
      <c r="U173" s="605"/>
    </row>
    <row r="174" spans="1:28" s="303" customFormat="1" x14ac:dyDescent="0.25">
      <c r="D174" s="604"/>
      <c r="L174" s="605"/>
      <c r="M174" s="605"/>
      <c r="N174" s="605"/>
      <c r="O174" s="605"/>
      <c r="P174" s="605"/>
      <c r="Q174" s="605"/>
      <c r="R174" s="605"/>
      <c r="S174" s="605"/>
      <c r="T174" s="605"/>
      <c r="U174" s="605"/>
    </row>
    <row r="175" spans="1:28" s="129" customFormat="1" x14ac:dyDescent="0.25">
      <c r="A175" s="303"/>
      <c r="D175" s="602"/>
      <c r="E175" s="307"/>
      <c r="F175" s="307"/>
      <c r="G175" s="307"/>
      <c r="H175" s="307"/>
      <c r="I175" s="307"/>
      <c r="J175" s="307"/>
      <c r="K175" s="307"/>
      <c r="L175" s="521"/>
      <c r="M175" s="522"/>
      <c r="N175" s="521"/>
      <c r="O175" s="603"/>
      <c r="P175" s="521"/>
      <c r="Q175" s="606"/>
      <c r="R175" s="603"/>
      <c r="S175" s="606"/>
      <c r="T175" s="521"/>
      <c r="U175" s="521"/>
      <c r="V175" s="307"/>
      <c r="W175" s="307"/>
      <c r="X175" s="307"/>
      <c r="Y175" s="307"/>
      <c r="Z175" s="307"/>
      <c r="AA175" s="307"/>
      <c r="AB175" s="307"/>
    </row>
    <row r="176" spans="1:28" s="129" customFormat="1" x14ac:dyDescent="0.25">
      <c r="A176" s="303"/>
      <c r="D176" s="602"/>
      <c r="E176" s="307"/>
      <c r="F176" s="307"/>
      <c r="G176" s="307"/>
      <c r="H176" s="307"/>
      <c r="I176" s="307"/>
      <c r="J176" s="307"/>
      <c r="K176" s="307"/>
      <c r="L176" s="521"/>
      <c r="M176" s="522"/>
      <c r="N176" s="521"/>
      <c r="O176" s="603"/>
      <c r="P176" s="521"/>
      <c r="Q176" s="606"/>
      <c r="R176" s="603"/>
      <c r="S176" s="606"/>
      <c r="T176" s="521"/>
      <c r="U176" s="521"/>
      <c r="V176" s="307"/>
      <c r="W176" s="307"/>
      <c r="X176" s="307"/>
      <c r="Y176" s="307"/>
      <c r="Z176" s="307"/>
      <c r="AA176" s="307"/>
      <c r="AB176" s="307"/>
    </row>
    <row r="177" spans="1:28" s="129" customFormat="1" x14ac:dyDescent="0.25">
      <c r="A177" s="303"/>
      <c r="D177" s="602"/>
      <c r="E177" s="307"/>
      <c r="F177" s="307"/>
      <c r="G177" s="307"/>
      <c r="H177" s="307"/>
      <c r="I177" s="307"/>
      <c r="J177" s="307"/>
      <c r="K177" s="307"/>
      <c r="L177" s="521"/>
      <c r="M177" s="522"/>
      <c r="N177" s="521"/>
      <c r="O177" s="603"/>
      <c r="P177" s="521"/>
      <c r="Q177" s="606"/>
      <c r="R177" s="603"/>
      <c r="S177" s="606"/>
      <c r="T177" s="521"/>
      <c r="U177" s="521"/>
      <c r="V177" s="307"/>
      <c r="W177" s="307"/>
      <c r="X177" s="307"/>
      <c r="Y177" s="307"/>
      <c r="Z177" s="307"/>
      <c r="AA177" s="307"/>
      <c r="AB177" s="307"/>
    </row>
    <row r="178" spans="1:28" s="129" customFormat="1" x14ac:dyDescent="0.25">
      <c r="A178" s="303"/>
      <c r="D178" s="602"/>
      <c r="E178" s="307"/>
      <c r="F178" s="307"/>
      <c r="G178" s="307"/>
      <c r="H178" s="307"/>
      <c r="I178" s="307"/>
      <c r="J178" s="307"/>
      <c r="K178" s="307"/>
      <c r="L178" s="521"/>
      <c r="M178" s="522"/>
      <c r="N178" s="521"/>
      <c r="O178" s="603"/>
      <c r="P178" s="521"/>
      <c r="Q178" s="606"/>
      <c r="R178" s="603"/>
      <c r="S178" s="606"/>
      <c r="T178" s="521"/>
      <c r="U178" s="521"/>
      <c r="V178" s="307"/>
      <c r="W178" s="307"/>
      <c r="X178" s="307"/>
      <c r="Y178" s="307"/>
      <c r="Z178" s="307"/>
      <c r="AA178" s="307"/>
      <c r="AB178" s="307"/>
    </row>
    <row r="179" spans="1:28" s="129" customFormat="1" x14ac:dyDescent="0.25">
      <c r="A179" s="303"/>
      <c r="D179" s="602"/>
      <c r="E179" s="307"/>
      <c r="F179" s="307"/>
      <c r="G179" s="307"/>
      <c r="H179" s="307"/>
      <c r="I179" s="307"/>
      <c r="J179" s="307"/>
      <c r="K179" s="307"/>
      <c r="L179" s="521"/>
      <c r="M179" s="522"/>
      <c r="N179" s="521"/>
      <c r="O179" s="603"/>
      <c r="P179" s="521"/>
      <c r="Q179" s="606"/>
      <c r="R179" s="603"/>
      <c r="S179" s="606"/>
      <c r="T179" s="521"/>
      <c r="U179" s="521"/>
      <c r="V179" s="307"/>
      <c r="W179" s="307"/>
      <c r="X179" s="307"/>
      <c r="Y179" s="307"/>
      <c r="Z179" s="307"/>
      <c r="AA179" s="307"/>
      <c r="AB179" s="307"/>
    </row>
    <row r="180" spans="1:28" s="129" customFormat="1" x14ac:dyDescent="0.25">
      <c r="A180" s="303"/>
      <c r="D180" s="602"/>
      <c r="E180" s="307"/>
      <c r="F180" s="307"/>
      <c r="G180" s="307"/>
      <c r="H180" s="307"/>
      <c r="I180" s="307"/>
      <c r="J180" s="307"/>
      <c r="K180" s="307"/>
      <c r="L180" s="521"/>
      <c r="M180" s="522"/>
      <c r="N180" s="521"/>
      <c r="O180" s="603"/>
      <c r="P180" s="521"/>
      <c r="Q180" s="606"/>
      <c r="R180" s="603"/>
      <c r="S180" s="606"/>
      <c r="T180" s="521"/>
      <c r="U180" s="521"/>
      <c r="V180" s="307"/>
      <c r="W180" s="307"/>
      <c r="X180" s="307"/>
      <c r="Y180" s="307"/>
      <c r="Z180" s="307"/>
      <c r="AA180" s="307"/>
      <c r="AB180" s="307"/>
    </row>
    <row r="181" spans="1:28" s="303" customFormat="1" x14ac:dyDescent="0.25">
      <c r="D181" s="604"/>
      <c r="E181" s="523"/>
      <c r="F181" s="523"/>
      <c r="G181" s="523"/>
      <c r="H181" s="523"/>
      <c r="I181" s="523"/>
      <c r="J181" s="523"/>
      <c r="K181" s="523"/>
      <c r="L181" s="524"/>
      <c r="M181" s="525"/>
      <c r="N181" s="524"/>
      <c r="O181" s="605"/>
      <c r="P181" s="605"/>
      <c r="Q181" s="524"/>
      <c r="R181" s="605"/>
      <c r="S181" s="595"/>
      <c r="T181" s="524"/>
      <c r="U181" s="524"/>
      <c r="V181" s="523"/>
      <c r="W181" s="523"/>
      <c r="X181" s="523"/>
      <c r="Y181" s="523"/>
      <c r="Z181" s="523"/>
      <c r="AA181" s="523"/>
      <c r="AB181" s="523"/>
    </row>
    <row r="182" spans="1:28" s="129" customFormat="1" x14ac:dyDescent="0.25">
      <c r="A182" s="303"/>
      <c r="B182" s="303"/>
      <c r="C182" s="303"/>
      <c r="D182" s="602"/>
      <c r="L182" s="603"/>
      <c r="M182" s="521"/>
      <c r="N182" s="603"/>
      <c r="O182" s="603"/>
      <c r="P182" s="521"/>
      <c r="Q182" s="603"/>
      <c r="R182" s="603"/>
      <c r="S182" s="603"/>
      <c r="T182" s="521"/>
      <c r="U182" s="521"/>
      <c r="V182" s="307"/>
      <c r="W182" s="307"/>
      <c r="X182" s="307"/>
      <c r="Y182" s="307"/>
      <c r="Z182" s="307"/>
      <c r="AA182" s="307"/>
      <c r="AB182" s="307"/>
    </row>
    <row r="183" spans="1:28" s="607" customFormat="1" x14ac:dyDescent="0.25">
      <c r="D183" s="608"/>
      <c r="L183" s="526"/>
      <c r="M183" s="527"/>
      <c r="N183" s="609"/>
      <c r="O183" s="526"/>
      <c r="P183" s="526"/>
      <c r="Q183" s="609"/>
      <c r="R183" s="609"/>
      <c r="S183" s="526"/>
      <c r="T183" s="526"/>
      <c r="U183" s="526"/>
      <c r="V183" s="528"/>
      <c r="W183" s="528"/>
      <c r="X183" s="528"/>
      <c r="Y183" s="528"/>
      <c r="Z183" s="528"/>
      <c r="AA183" s="528"/>
      <c r="AB183" s="528"/>
    </row>
    <row r="184" spans="1:28" s="610" customFormat="1" x14ac:dyDescent="0.25">
      <c r="A184" s="607"/>
      <c r="D184" s="611"/>
      <c r="E184" s="529"/>
      <c r="F184" s="529"/>
      <c r="G184" s="529"/>
      <c r="H184" s="529"/>
      <c r="I184" s="529"/>
      <c r="J184" s="529"/>
      <c r="K184" s="529"/>
      <c r="L184" s="530"/>
      <c r="M184" s="531"/>
      <c r="N184" s="612"/>
      <c r="O184" s="530"/>
      <c r="P184" s="530"/>
      <c r="Q184" s="612"/>
      <c r="R184" s="612"/>
      <c r="S184" s="530"/>
      <c r="T184" s="530"/>
      <c r="U184" s="530"/>
      <c r="V184" s="529"/>
      <c r="W184" s="529"/>
      <c r="X184" s="529"/>
      <c r="Y184" s="529"/>
      <c r="Z184" s="529"/>
      <c r="AA184" s="529"/>
      <c r="AB184" s="529"/>
    </row>
    <row r="185" spans="1:28" s="610" customFormat="1" x14ac:dyDescent="0.25">
      <c r="A185" s="607"/>
      <c r="D185" s="611"/>
      <c r="E185" s="529"/>
      <c r="F185" s="529"/>
      <c r="G185" s="529"/>
      <c r="H185" s="529"/>
      <c r="I185" s="529"/>
      <c r="J185" s="529"/>
      <c r="K185" s="529"/>
      <c r="L185" s="530"/>
      <c r="M185" s="531"/>
      <c r="N185" s="612"/>
      <c r="O185" s="530"/>
      <c r="P185" s="530"/>
      <c r="Q185" s="612"/>
      <c r="R185" s="612"/>
      <c r="S185" s="530"/>
      <c r="T185" s="530"/>
      <c r="U185" s="530"/>
      <c r="V185" s="529"/>
      <c r="W185" s="529"/>
      <c r="X185" s="529"/>
      <c r="Y185" s="529"/>
      <c r="Z185" s="529"/>
      <c r="AA185" s="529"/>
      <c r="AB185" s="529"/>
    </row>
    <row r="186" spans="1:28" s="607" customFormat="1" x14ac:dyDescent="0.25">
      <c r="D186" s="608"/>
      <c r="L186" s="526"/>
      <c r="M186" s="527"/>
      <c r="N186" s="609"/>
      <c r="O186" s="526"/>
      <c r="P186" s="526"/>
      <c r="Q186" s="609"/>
      <c r="R186" s="609"/>
      <c r="S186" s="526"/>
      <c r="T186" s="532"/>
      <c r="U186" s="526"/>
      <c r="V186" s="528"/>
      <c r="W186" s="528"/>
      <c r="X186" s="528"/>
      <c r="Y186" s="528"/>
      <c r="Z186" s="528"/>
      <c r="AA186" s="528"/>
      <c r="AB186" s="528"/>
    </row>
    <row r="187" spans="1:28" s="129" customFormat="1" x14ac:dyDescent="0.25">
      <c r="A187" s="303"/>
      <c r="B187" s="610"/>
      <c r="C187" s="610"/>
      <c r="D187" s="611"/>
      <c r="E187" s="529"/>
      <c r="F187" s="529"/>
      <c r="G187" s="529"/>
      <c r="H187" s="529"/>
      <c r="I187" s="529"/>
      <c r="J187" s="529"/>
      <c r="K187" s="529"/>
      <c r="L187" s="530"/>
      <c r="M187" s="531"/>
      <c r="N187" s="603"/>
      <c r="O187" s="530"/>
      <c r="P187" s="530"/>
      <c r="Q187" s="612"/>
      <c r="R187" s="612"/>
      <c r="S187" s="530"/>
      <c r="T187" s="521"/>
      <c r="U187" s="521"/>
      <c r="V187" s="307"/>
      <c r="W187" s="307"/>
      <c r="X187" s="307"/>
      <c r="Y187" s="307"/>
      <c r="Z187" s="307"/>
      <c r="AA187" s="307"/>
      <c r="AB187" s="307"/>
    </row>
    <row r="188" spans="1:28" s="129" customFormat="1" x14ac:dyDescent="0.25">
      <c r="A188" s="303"/>
      <c r="B188" s="610"/>
      <c r="C188" s="610"/>
      <c r="D188" s="611"/>
      <c r="E188" s="529"/>
      <c r="F188" s="529"/>
      <c r="G188" s="529"/>
      <c r="H188" s="529"/>
      <c r="I188" s="529"/>
      <c r="J188" s="529"/>
      <c r="K188" s="529"/>
      <c r="L188" s="530"/>
      <c r="M188" s="531"/>
      <c r="N188" s="603"/>
      <c r="O188" s="530"/>
      <c r="P188" s="530"/>
      <c r="Q188" s="612"/>
      <c r="R188" s="612"/>
      <c r="S188" s="530"/>
      <c r="T188" s="521"/>
      <c r="U188" s="521"/>
      <c r="V188" s="307"/>
      <c r="W188" s="307"/>
      <c r="X188" s="307"/>
      <c r="Y188" s="307"/>
      <c r="Z188" s="307"/>
      <c r="AA188" s="307"/>
      <c r="AB188" s="307"/>
    </row>
    <row r="189" spans="1:28" s="607" customFormat="1" hidden="1" x14ac:dyDescent="0.25">
      <c r="D189" s="608"/>
      <c r="L189" s="609"/>
      <c r="M189" s="527"/>
      <c r="N189" s="609"/>
      <c r="O189" s="526"/>
      <c r="P189" s="526"/>
      <c r="Q189" s="609"/>
      <c r="R189" s="609"/>
      <c r="S189" s="526"/>
      <c r="T189" s="526"/>
      <c r="U189" s="526"/>
      <c r="V189" s="528"/>
      <c r="W189" s="528"/>
      <c r="X189" s="528"/>
      <c r="Y189" s="528"/>
      <c r="Z189" s="528"/>
      <c r="AA189" s="528"/>
      <c r="AB189" s="528"/>
    </row>
    <row r="190" spans="1:28" s="129" customFormat="1" hidden="1" x14ac:dyDescent="0.25">
      <c r="A190" s="303"/>
      <c r="B190" s="610"/>
      <c r="C190" s="610"/>
      <c r="D190" s="611"/>
      <c r="E190" s="529"/>
      <c r="F190" s="529"/>
      <c r="G190" s="529"/>
      <c r="H190" s="529"/>
      <c r="I190" s="529"/>
      <c r="J190" s="529"/>
      <c r="K190" s="529"/>
      <c r="L190" s="530"/>
      <c r="M190" s="531"/>
      <c r="N190" s="603"/>
      <c r="O190" s="530"/>
      <c r="P190" s="530"/>
      <c r="Q190" s="612"/>
      <c r="R190" s="612"/>
      <c r="S190" s="530"/>
      <c r="T190" s="521"/>
      <c r="U190" s="521"/>
      <c r="V190" s="307"/>
      <c r="W190" s="307"/>
      <c r="X190" s="307"/>
      <c r="Y190" s="307"/>
      <c r="Z190" s="307"/>
      <c r="AA190" s="307"/>
      <c r="AB190" s="307"/>
    </row>
    <row r="191" spans="1:28" s="129" customFormat="1" hidden="1" x14ac:dyDescent="0.25">
      <c r="A191" s="303"/>
      <c r="B191" s="610"/>
      <c r="C191" s="610"/>
      <c r="D191" s="611"/>
      <c r="E191" s="529"/>
      <c r="F191" s="529"/>
      <c r="G191" s="529"/>
      <c r="H191" s="529"/>
      <c r="I191" s="529"/>
      <c r="J191" s="529"/>
      <c r="K191" s="529"/>
      <c r="L191" s="530"/>
      <c r="M191" s="531"/>
      <c r="N191" s="603"/>
      <c r="O191" s="530"/>
      <c r="P191" s="530"/>
      <c r="Q191" s="612"/>
      <c r="R191" s="612"/>
      <c r="S191" s="530"/>
      <c r="T191" s="521"/>
      <c r="U191" s="521"/>
      <c r="V191" s="307"/>
      <c r="W191" s="307"/>
      <c r="X191" s="307"/>
      <c r="Y191" s="307"/>
      <c r="Z191" s="307"/>
      <c r="AA191" s="307"/>
      <c r="AB191" s="307"/>
    </row>
    <row r="192" spans="1:28" s="129" customFormat="1" x14ac:dyDescent="0.25">
      <c r="A192" s="303"/>
      <c r="B192" s="303"/>
      <c r="C192" s="303"/>
      <c r="D192" s="602"/>
      <c r="L192" s="603"/>
      <c r="M192" s="521"/>
      <c r="N192" s="603"/>
      <c r="O192" s="603"/>
      <c r="P192" s="521"/>
      <c r="Q192" s="603"/>
      <c r="R192" s="603"/>
      <c r="S192" s="603"/>
      <c r="T192" s="521"/>
      <c r="U192" s="521"/>
      <c r="V192" s="307"/>
      <c r="W192" s="307"/>
      <c r="X192" s="307"/>
      <c r="Y192" s="307"/>
      <c r="Z192" s="307"/>
      <c r="AA192" s="307"/>
      <c r="AB192" s="307"/>
    </row>
    <row r="193" spans="1:31" s="129" customFormat="1" x14ac:dyDescent="0.25">
      <c r="A193" s="303"/>
      <c r="D193" s="602"/>
      <c r="E193" s="307"/>
      <c r="F193" s="307"/>
      <c r="G193" s="307"/>
      <c r="H193" s="307"/>
      <c r="I193" s="307"/>
      <c r="J193" s="307"/>
      <c r="K193" s="307"/>
      <c r="L193" s="521"/>
      <c r="M193" s="522"/>
      <c r="N193" s="521"/>
      <c r="O193" s="603"/>
      <c r="P193" s="521"/>
      <c r="Q193" s="524"/>
      <c r="R193" s="603"/>
      <c r="S193" s="606"/>
      <c r="T193" s="521"/>
      <c r="U193" s="521"/>
      <c r="V193" s="307"/>
      <c r="W193" s="307"/>
      <c r="X193" s="307"/>
      <c r="Y193" s="307"/>
      <c r="Z193" s="307"/>
      <c r="AA193" s="307"/>
      <c r="AB193" s="307"/>
    </row>
    <row r="194" spans="1:31" s="129" customFormat="1" x14ac:dyDescent="0.25">
      <c r="A194" s="303"/>
      <c r="B194" s="303"/>
      <c r="C194" s="303"/>
      <c r="D194" s="602"/>
      <c r="L194" s="603"/>
      <c r="M194" s="521"/>
      <c r="N194" s="603"/>
      <c r="O194" s="603"/>
      <c r="P194" s="521"/>
      <c r="Q194" s="603"/>
      <c r="R194" s="603"/>
      <c r="S194" s="522"/>
      <c r="T194" s="521"/>
      <c r="U194" s="521"/>
      <c r="V194" s="307"/>
      <c r="W194" s="307"/>
      <c r="X194" s="307"/>
      <c r="Y194" s="307"/>
      <c r="Z194" s="307"/>
      <c r="AA194" s="307"/>
      <c r="AB194" s="307"/>
    </row>
    <row r="195" spans="1:31" s="129" customFormat="1" x14ac:dyDescent="0.25">
      <c r="A195" s="303"/>
      <c r="D195" s="602"/>
      <c r="E195" s="637"/>
      <c r="F195" s="637"/>
      <c r="G195" s="637"/>
      <c r="H195" s="637"/>
      <c r="I195" s="637"/>
      <c r="J195" s="637"/>
      <c r="K195" s="637"/>
      <c r="L195" s="521"/>
      <c r="M195" s="521"/>
      <c r="N195" s="603"/>
      <c r="O195" s="603"/>
      <c r="P195" s="521"/>
      <c r="Q195" s="603"/>
      <c r="R195" s="603"/>
      <c r="S195" s="522"/>
      <c r="T195" s="521"/>
      <c r="U195" s="521"/>
      <c r="V195" s="307"/>
      <c r="W195" s="307"/>
      <c r="X195" s="307"/>
      <c r="Y195" s="307"/>
      <c r="Z195" s="307"/>
      <c r="AA195" s="307"/>
      <c r="AB195" s="307"/>
    </row>
    <row r="196" spans="1:31" s="303" customFormat="1" x14ac:dyDescent="0.25">
      <c r="B196" s="613"/>
      <c r="C196" s="613"/>
      <c r="D196" s="614"/>
      <c r="E196" s="613"/>
      <c r="F196" s="613"/>
      <c r="G196" s="613"/>
      <c r="H196" s="613"/>
      <c r="I196" s="613"/>
      <c r="J196" s="613"/>
      <c r="K196" s="613"/>
      <c r="L196" s="615"/>
      <c r="M196" s="615"/>
      <c r="N196" s="615"/>
      <c r="O196" s="615"/>
      <c r="P196" s="615"/>
      <c r="Q196" s="615"/>
      <c r="R196" s="615"/>
      <c r="S196" s="533"/>
      <c r="T196" s="605"/>
      <c r="U196" s="605"/>
      <c r="AE196" s="616"/>
    </row>
    <row r="197" spans="1:31" s="303" customFormat="1" x14ac:dyDescent="0.25">
      <c r="D197" s="604"/>
      <c r="L197" s="605"/>
      <c r="M197" s="605"/>
      <c r="N197" s="605"/>
      <c r="O197" s="605"/>
      <c r="P197" s="605"/>
      <c r="Q197" s="605"/>
      <c r="R197" s="605"/>
      <c r="S197" s="534"/>
      <c r="T197" s="534"/>
      <c r="U197" s="534"/>
      <c r="V197" s="535"/>
      <c r="W197" s="535"/>
      <c r="X197" s="535"/>
      <c r="Y197" s="535"/>
      <c r="Z197" s="535"/>
      <c r="AA197" s="535"/>
      <c r="AB197" s="535"/>
      <c r="AC197" s="535"/>
      <c r="AE197" s="616"/>
    </row>
    <row r="198" spans="1:31" s="303" customFormat="1" x14ac:dyDescent="0.25">
      <c r="D198" s="602"/>
      <c r="L198" s="605"/>
      <c r="M198" s="605"/>
      <c r="N198" s="605"/>
      <c r="O198" s="605"/>
      <c r="P198" s="605"/>
      <c r="Q198" s="605"/>
      <c r="R198" s="605"/>
      <c r="S198" s="534"/>
      <c r="T198" s="534"/>
      <c r="U198" s="534"/>
      <c r="V198" s="535"/>
      <c r="W198" s="535"/>
      <c r="X198" s="535"/>
      <c r="Y198" s="535"/>
      <c r="Z198" s="535"/>
      <c r="AA198" s="535"/>
      <c r="AB198" s="535"/>
      <c r="AC198" s="535"/>
      <c r="AE198" s="616"/>
    </row>
    <row r="199" spans="1:31" s="303" customFormat="1" x14ac:dyDescent="0.25">
      <c r="D199" s="604"/>
      <c r="L199" s="605"/>
      <c r="M199" s="605"/>
      <c r="N199" s="605"/>
      <c r="O199" s="605"/>
      <c r="P199" s="605"/>
      <c r="Q199" s="605"/>
      <c r="R199" s="605"/>
      <c r="S199" s="534"/>
      <c r="T199" s="534"/>
      <c r="U199" s="534"/>
      <c r="V199" s="535"/>
      <c r="W199" s="535"/>
      <c r="X199" s="535"/>
      <c r="Y199" s="535"/>
      <c r="Z199" s="535"/>
      <c r="AA199" s="535"/>
      <c r="AB199" s="535"/>
      <c r="AC199" s="535"/>
      <c r="AE199" s="616"/>
    </row>
    <row r="200" spans="1:31" s="303" customFormat="1" x14ac:dyDescent="0.25">
      <c r="D200" s="548"/>
      <c r="E200" s="536"/>
      <c r="F200" s="536"/>
      <c r="G200" s="536"/>
      <c r="H200" s="536"/>
      <c r="I200" s="536"/>
      <c r="J200" s="536"/>
      <c r="K200" s="536"/>
      <c r="L200" s="537"/>
      <c r="M200" s="537"/>
      <c r="N200" s="537"/>
      <c r="O200" s="537"/>
      <c r="P200" s="537"/>
      <c r="Q200" s="537"/>
      <c r="R200" s="537"/>
      <c r="S200" s="537"/>
      <c r="T200" s="537"/>
      <c r="U200" s="537"/>
      <c r="V200" s="535"/>
      <c r="W200" s="535"/>
      <c r="X200" s="535"/>
      <c r="Y200" s="535"/>
      <c r="Z200" s="535"/>
      <c r="AA200" s="535"/>
      <c r="AB200" s="535"/>
      <c r="AC200" s="535"/>
      <c r="AE200" s="616"/>
    </row>
    <row r="201" spans="1:31" s="303" customFormat="1" x14ac:dyDescent="0.25">
      <c r="D201" s="617"/>
      <c r="E201" s="616"/>
      <c r="F201" s="616"/>
      <c r="G201" s="616"/>
      <c r="H201" s="616"/>
      <c r="I201" s="616"/>
      <c r="J201" s="616"/>
      <c r="K201" s="616"/>
      <c r="L201" s="595"/>
      <c r="M201" s="595"/>
      <c r="N201" s="595"/>
      <c r="O201" s="595"/>
      <c r="P201" s="595"/>
      <c r="Q201" s="595"/>
      <c r="R201" s="595"/>
      <c r="S201" s="595"/>
      <c r="T201" s="595"/>
      <c r="U201" s="595"/>
      <c r="V201" s="535"/>
      <c r="W201" s="535"/>
      <c r="X201" s="535"/>
      <c r="Y201" s="535"/>
      <c r="Z201" s="535"/>
      <c r="AA201" s="535"/>
      <c r="AB201" s="535"/>
      <c r="AC201" s="535"/>
      <c r="AE201" s="616"/>
    </row>
    <row r="202" spans="1:31" s="303" customFormat="1" x14ac:dyDescent="0.25">
      <c r="B202" s="129"/>
      <c r="C202" s="129"/>
      <c r="D202" s="617"/>
      <c r="E202" s="307"/>
      <c r="F202" s="307"/>
      <c r="G202" s="307"/>
      <c r="H202" s="307"/>
      <c r="I202" s="307"/>
      <c r="J202" s="307"/>
      <c r="K202" s="307"/>
      <c r="L202" s="521"/>
      <c r="M202" s="521"/>
      <c r="N202" s="521"/>
      <c r="O202" s="521"/>
      <c r="P202" s="521"/>
      <c r="Q202" s="521"/>
      <c r="R202" s="521"/>
      <c r="S202" s="521"/>
      <c r="T202" s="521"/>
      <c r="U202" s="521"/>
      <c r="V202" s="535"/>
      <c r="W202" s="535"/>
      <c r="X202" s="535"/>
      <c r="Y202" s="535"/>
      <c r="Z202" s="535"/>
      <c r="AA202" s="535"/>
      <c r="AB202" s="535"/>
      <c r="AC202" s="535"/>
      <c r="AE202" s="616"/>
    </row>
    <row r="203" spans="1:31" s="303" customFormat="1" x14ac:dyDescent="0.25">
      <c r="B203" s="129"/>
      <c r="C203" s="129"/>
      <c r="D203" s="617"/>
      <c r="E203" s="307"/>
      <c r="F203" s="307"/>
      <c r="G203" s="307"/>
      <c r="H203" s="307"/>
      <c r="I203" s="307"/>
      <c r="J203" s="307"/>
      <c r="K203" s="307"/>
      <c r="L203" s="521"/>
      <c r="M203" s="521"/>
      <c r="N203" s="521"/>
      <c r="O203" s="521"/>
      <c r="P203" s="521"/>
      <c r="Q203" s="521"/>
      <c r="R203" s="521"/>
      <c r="S203" s="521"/>
      <c r="T203" s="521"/>
      <c r="U203" s="521"/>
      <c r="V203" s="535"/>
      <c r="W203" s="535"/>
      <c r="X203" s="535"/>
      <c r="Y203" s="535"/>
      <c r="Z203" s="535"/>
      <c r="AA203" s="535"/>
      <c r="AB203" s="535"/>
      <c r="AC203" s="535"/>
      <c r="AE203" s="616"/>
    </row>
    <row r="204" spans="1:31" s="303" customFormat="1" x14ac:dyDescent="0.25">
      <c r="B204" s="129"/>
      <c r="C204" s="129"/>
      <c r="D204" s="617"/>
      <c r="E204" s="307"/>
      <c r="F204" s="307"/>
      <c r="G204" s="307"/>
      <c r="H204" s="307"/>
      <c r="I204" s="307"/>
      <c r="J204" s="307"/>
      <c r="K204" s="307"/>
      <c r="L204" s="521"/>
      <c r="M204" s="521"/>
      <c r="N204" s="521"/>
      <c r="O204" s="521"/>
      <c r="P204" s="521"/>
      <c r="Q204" s="521"/>
      <c r="R204" s="521"/>
      <c r="S204" s="521"/>
      <c r="T204" s="521"/>
      <c r="U204" s="521"/>
      <c r="V204" s="535"/>
      <c r="W204" s="535"/>
      <c r="X204" s="535"/>
      <c r="Y204" s="535"/>
      <c r="Z204" s="535"/>
      <c r="AA204" s="535"/>
      <c r="AB204" s="535"/>
      <c r="AC204" s="535"/>
      <c r="AE204" s="616"/>
    </row>
    <row r="205" spans="1:31" s="303" customFormat="1" x14ac:dyDescent="0.25">
      <c r="B205" s="129"/>
      <c r="C205" s="129"/>
      <c r="D205" s="617"/>
      <c r="E205" s="307"/>
      <c r="F205" s="307"/>
      <c r="G205" s="307"/>
      <c r="H205" s="307"/>
      <c r="I205" s="307"/>
      <c r="J205" s="307"/>
      <c r="K205" s="307"/>
      <c r="L205" s="521"/>
      <c r="M205" s="521"/>
      <c r="N205" s="521"/>
      <c r="O205" s="521"/>
      <c r="P205" s="521"/>
      <c r="Q205" s="521"/>
      <c r="R205" s="521"/>
      <c r="S205" s="521"/>
      <c r="T205" s="521"/>
      <c r="U205" s="521"/>
      <c r="V205" s="535"/>
      <c r="W205" s="535"/>
      <c r="X205" s="535"/>
      <c r="Y205" s="535"/>
      <c r="Z205" s="535"/>
      <c r="AA205" s="535"/>
      <c r="AB205" s="535"/>
      <c r="AC205" s="535"/>
      <c r="AE205" s="616"/>
    </row>
    <row r="206" spans="1:31" s="303" customFormat="1" x14ac:dyDescent="0.25">
      <c r="B206" s="129"/>
      <c r="C206" s="129"/>
      <c r="D206" s="617"/>
      <c r="E206" s="307"/>
      <c r="F206" s="307"/>
      <c r="G206" s="307"/>
      <c r="H206" s="307"/>
      <c r="I206" s="307"/>
      <c r="J206" s="307"/>
      <c r="K206" s="307"/>
      <c r="L206" s="521"/>
      <c r="M206" s="521"/>
      <c r="N206" s="521"/>
      <c r="O206" s="521"/>
      <c r="P206" s="521"/>
      <c r="Q206" s="521"/>
      <c r="R206" s="521"/>
      <c r="S206" s="521"/>
      <c r="T206" s="521"/>
      <c r="U206" s="521"/>
      <c r="V206" s="535"/>
      <c r="W206" s="535"/>
      <c r="X206" s="535"/>
      <c r="Y206" s="535"/>
      <c r="Z206" s="535"/>
      <c r="AA206" s="535"/>
      <c r="AB206" s="535"/>
      <c r="AC206" s="535"/>
      <c r="AE206" s="616"/>
    </row>
    <row r="207" spans="1:31" s="303" customFormat="1" x14ac:dyDescent="0.25">
      <c r="B207" s="129"/>
      <c r="C207" s="129"/>
      <c r="D207" s="617"/>
      <c r="E207" s="307"/>
      <c r="F207" s="307"/>
      <c r="G207" s="307"/>
      <c r="H207" s="307"/>
      <c r="I207" s="307"/>
      <c r="J207" s="307"/>
      <c r="K207" s="307"/>
      <c r="L207" s="521"/>
      <c r="M207" s="521"/>
      <c r="N207" s="521"/>
      <c r="O207" s="521"/>
      <c r="P207" s="521"/>
      <c r="Q207" s="521"/>
      <c r="R207" s="521"/>
      <c r="S207" s="521"/>
      <c r="T207" s="521"/>
      <c r="U207" s="521"/>
      <c r="V207" s="535"/>
      <c r="W207" s="535"/>
      <c r="X207" s="535"/>
      <c r="Y207" s="535"/>
      <c r="Z207" s="535"/>
      <c r="AA207" s="535"/>
      <c r="AB207" s="535"/>
      <c r="AC207" s="535"/>
      <c r="AE207" s="616"/>
    </row>
    <row r="208" spans="1:31" s="303" customFormat="1" x14ac:dyDescent="0.25">
      <c r="B208" s="129"/>
      <c r="C208" s="129"/>
      <c r="D208" s="617"/>
      <c r="E208" s="307"/>
      <c r="F208" s="307"/>
      <c r="G208" s="307"/>
      <c r="H208" s="307"/>
      <c r="I208" s="307"/>
      <c r="J208" s="307"/>
      <c r="K208" s="307"/>
      <c r="L208" s="521"/>
      <c r="M208" s="521"/>
      <c r="N208" s="521"/>
      <c r="O208" s="521"/>
      <c r="P208" s="521"/>
      <c r="Q208" s="521"/>
      <c r="R208" s="521"/>
      <c r="S208" s="521"/>
      <c r="T208" s="521"/>
      <c r="U208" s="521"/>
      <c r="V208" s="535"/>
      <c r="W208" s="535"/>
      <c r="X208" s="535"/>
      <c r="Y208" s="535"/>
      <c r="Z208" s="535"/>
      <c r="AA208" s="535"/>
      <c r="AB208" s="535"/>
      <c r="AC208" s="535"/>
      <c r="AE208" s="616"/>
    </row>
    <row r="209" spans="2:31" s="303" customFormat="1" x14ac:dyDescent="0.25">
      <c r="D209" s="617"/>
      <c r="E209" s="523"/>
      <c r="F209" s="523"/>
      <c r="G209" s="523"/>
      <c r="H209" s="523"/>
      <c r="I209" s="523"/>
      <c r="J209" s="523"/>
      <c r="K209" s="523"/>
      <c r="L209" s="524"/>
      <c r="M209" s="524"/>
      <c r="N209" s="524"/>
      <c r="O209" s="524"/>
      <c r="P209" s="524"/>
      <c r="Q209" s="524"/>
      <c r="R209" s="524"/>
      <c r="S209" s="524"/>
      <c r="T209" s="524"/>
      <c r="U209" s="524"/>
      <c r="V209" s="535"/>
      <c r="W209" s="535"/>
      <c r="X209" s="535"/>
      <c r="Y209" s="535"/>
      <c r="Z209" s="535"/>
      <c r="AA209" s="535"/>
      <c r="AB209" s="535"/>
      <c r="AC209" s="535"/>
      <c r="AE209" s="616"/>
    </row>
    <row r="210" spans="2:31" s="303" customFormat="1" x14ac:dyDescent="0.25">
      <c r="B210" s="129"/>
      <c r="C210" s="129"/>
      <c r="D210" s="617"/>
      <c r="E210" s="307"/>
      <c r="F210" s="307"/>
      <c r="G210" s="307"/>
      <c r="H210" s="307"/>
      <c r="I210" s="307"/>
      <c r="J210" s="307"/>
      <c r="K210" s="307"/>
      <c r="L210" s="521"/>
      <c r="M210" s="521"/>
      <c r="N210" s="521"/>
      <c r="O210" s="521"/>
      <c r="P210" s="521"/>
      <c r="Q210" s="521"/>
      <c r="R210" s="521"/>
      <c r="S210" s="521"/>
      <c r="T210" s="521"/>
      <c r="U210" s="521"/>
      <c r="V210" s="535"/>
      <c r="W210" s="535"/>
      <c r="X210" s="535"/>
      <c r="Y210" s="535"/>
      <c r="Z210" s="535"/>
      <c r="AA210" s="535"/>
      <c r="AB210" s="535"/>
      <c r="AC210" s="535"/>
      <c r="AE210" s="616"/>
    </row>
    <row r="211" spans="2:31" s="303" customFormat="1" x14ac:dyDescent="0.25">
      <c r="B211" s="129"/>
      <c r="C211" s="129"/>
      <c r="D211" s="617"/>
      <c r="E211" s="307"/>
      <c r="F211" s="307"/>
      <c r="G211" s="307"/>
      <c r="H211" s="307"/>
      <c r="I211" s="307"/>
      <c r="J211" s="307"/>
      <c r="K211" s="307"/>
      <c r="L211" s="521"/>
      <c r="M211" s="521"/>
      <c r="N211" s="521"/>
      <c r="O211" s="521"/>
      <c r="P211" s="521"/>
      <c r="Q211" s="521"/>
      <c r="R211" s="521"/>
      <c r="S211" s="521"/>
      <c r="T211" s="521"/>
      <c r="U211" s="521"/>
      <c r="V211" s="535"/>
      <c r="W211" s="535"/>
      <c r="X211" s="535"/>
      <c r="Y211" s="535"/>
      <c r="Z211" s="535"/>
      <c r="AA211" s="535"/>
      <c r="AB211" s="535"/>
      <c r="AC211" s="535"/>
      <c r="AE211" s="616"/>
    </row>
    <row r="212" spans="2:31" s="303" customFormat="1" x14ac:dyDescent="0.25">
      <c r="B212" s="129"/>
      <c r="C212" s="129"/>
      <c r="D212" s="617"/>
      <c r="E212" s="307"/>
      <c r="F212" s="307"/>
      <c r="G212" s="307"/>
      <c r="H212" s="307"/>
      <c r="I212" s="307"/>
      <c r="J212" s="307"/>
      <c r="K212" s="307"/>
      <c r="L212" s="521"/>
      <c r="M212" s="521"/>
      <c r="N212" s="521"/>
      <c r="O212" s="521"/>
      <c r="P212" s="521"/>
      <c r="Q212" s="521"/>
      <c r="R212" s="521"/>
      <c r="S212" s="521"/>
      <c r="T212" s="521"/>
      <c r="U212" s="521"/>
      <c r="V212" s="535"/>
      <c r="W212" s="535"/>
      <c r="X212" s="535"/>
      <c r="Y212" s="535"/>
      <c r="Z212" s="535"/>
      <c r="AA212" s="535"/>
      <c r="AB212" s="535"/>
      <c r="AC212" s="535"/>
      <c r="AE212" s="616"/>
    </row>
    <row r="213" spans="2:31" s="303" customFormat="1" x14ac:dyDescent="0.25">
      <c r="D213" s="617"/>
      <c r="E213" s="307"/>
      <c r="F213" s="307"/>
      <c r="G213" s="307"/>
      <c r="H213" s="307"/>
      <c r="I213" s="307"/>
      <c r="J213" s="307"/>
      <c r="K213" s="307"/>
      <c r="L213" s="521"/>
      <c r="M213" s="521"/>
      <c r="N213" s="521"/>
      <c r="O213" s="521"/>
      <c r="P213" s="521"/>
      <c r="Q213" s="521"/>
      <c r="R213" s="521"/>
      <c r="S213" s="521"/>
      <c r="T213" s="521"/>
      <c r="U213" s="521"/>
      <c r="V213" s="535"/>
      <c r="W213" s="535"/>
      <c r="X213" s="535"/>
      <c r="Y213" s="535"/>
      <c r="Z213" s="535"/>
      <c r="AA213" s="535"/>
      <c r="AB213" s="535"/>
      <c r="AC213" s="535"/>
      <c r="AE213" s="616"/>
    </row>
    <row r="214" spans="2:31" s="303" customFormat="1" x14ac:dyDescent="0.25">
      <c r="D214" s="617"/>
      <c r="E214" s="523"/>
      <c r="F214" s="523"/>
      <c r="G214" s="523"/>
      <c r="H214" s="523"/>
      <c r="I214" s="523"/>
      <c r="J214" s="523"/>
      <c r="K214" s="523"/>
      <c r="L214" s="524"/>
      <c r="M214" s="524"/>
      <c r="N214" s="524"/>
      <c r="O214" s="524"/>
      <c r="P214" s="524"/>
      <c r="Q214" s="524"/>
      <c r="R214" s="524"/>
      <c r="S214" s="524"/>
      <c r="T214" s="524"/>
      <c r="U214" s="524"/>
      <c r="V214" s="535"/>
      <c r="W214" s="535"/>
      <c r="X214" s="535"/>
      <c r="Y214" s="535"/>
      <c r="Z214" s="535"/>
      <c r="AA214" s="535"/>
      <c r="AB214" s="535"/>
      <c r="AC214" s="535"/>
      <c r="AE214" s="616"/>
    </row>
    <row r="215" spans="2:31" s="303" customFormat="1" x14ac:dyDescent="0.25">
      <c r="D215" s="617"/>
      <c r="E215" s="307"/>
      <c r="F215" s="307"/>
      <c r="G215" s="307"/>
      <c r="H215" s="307"/>
      <c r="I215" s="307"/>
      <c r="J215" s="307"/>
      <c r="K215" s="307"/>
      <c r="L215" s="521"/>
      <c r="M215" s="521"/>
      <c r="N215" s="521"/>
      <c r="O215" s="521"/>
      <c r="P215" s="521"/>
      <c r="Q215" s="521"/>
      <c r="R215" s="521"/>
      <c r="S215" s="521"/>
      <c r="T215" s="521"/>
      <c r="U215" s="521"/>
      <c r="V215" s="535"/>
      <c r="W215" s="535"/>
      <c r="X215" s="535"/>
      <c r="Y215" s="535"/>
      <c r="Z215" s="535"/>
      <c r="AA215" s="535"/>
      <c r="AB215" s="535"/>
      <c r="AC215" s="535"/>
      <c r="AE215" s="616"/>
    </row>
    <row r="216" spans="2:31" s="303" customFormat="1" x14ac:dyDescent="0.25">
      <c r="B216" s="129"/>
      <c r="C216" s="129"/>
      <c r="D216" s="604"/>
      <c r="E216" s="307"/>
      <c r="F216" s="307"/>
      <c r="G216" s="307"/>
      <c r="H216" s="307"/>
      <c r="I216" s="307"/>
      <c r="J216" s="307"/>
      <c r="K216" s="307"/>
      <c r="L216" s="521"/>
      <c r="M216" s="521"/>
      <c r="N216" s="521"/>
      <c r="O216" s="521"/>
      <c r="P216" s="521"/>
      <c r="Q216" s="521"/>
      <c r="R216" s="521"/>
      <c r="S216" s="521"/>
      <c r="T216" s="521"/>
      <c r="U216" s="521"/>
      <c r="V216" s="535"/>
      <c r="W216" s="535"/>
      <c r="X216" s="535"/>
      <c r="Y216" s="535"/>
      <c r="Z216" s="535"/>
      <c r="AA216" s="535"/>
      <c r="AB216" s="535"/>
      <c r="AC216" s="535"/>
      <c r="AE216" s="616"/>
    </row>
    <row r="217" spans="2:31" s="303" customFormat="1" x14ac:dyDescent="0.25">
      <c r="B217" s="613"/>
      <c r="C217" s="613"/>
      <c r="D217" s="604"/>
      <c r="E217" s="538"/>
      <c r="F217" s="538"/>
      <c r="G217" s="538"/>
      <c r="H217" s="538"/>
      <c r="I217" s="538"/>
      <c r="J217" s="538"/>
      <c r="K217" s="538"/>
      <c r="L217" s="533"/>
      <c r="M217" s="533"/>
      <c r="N217" s="533"/>
      <c r="O217" s="533"/>
      <c r="P217" s="533"/>
      <c r="Q217" s="533"/>
      <c r="R217" s="533"/>
      <c r="S217" s="533"/>
      <c r="T217" s="533"/>
      <c r="U217" s="533"/>
      <c r="V217" s="535"/>
      <c r="W217" s="535"/>
      <c r="X217" s="535"/>
      <c r="Y217" s="535"/>
      <c r="Z217" s="535"/>
      <c r="AA217" s="535"/>
      <c r="AB217" s="535"/>
      <c r="AC217" s="535"/>
      <c r="AE217" s="616"/>
    </row>
    <row r="218" spans="2:31" s="303" customFormat="1" x14ac:dyDescent="0.25">
      <c r="D218" s="604"/>
      <c r="E218" s="638"/>
      <c r="F218" s="638"/>
      <c r="G218" s="638"/>
      <c r="H218" s="638"/>
      <c r="I218" s="638"/>
      <c r="J218" s="638"/>
      <c r="K218" s="638"/>
      <c r="L218" s="525"/>
      <c r="M218" s="525"/>
      <c r="N218" s="525"/>
      <c r="O218" s="525"/>
      <c r="P218" s="525"/>
      <c r="Q218" s="525"/>
      <c r="R218" s="525"/>
      <c r="S218" s="525"/>
      <c r="T218" s="525"/>
      <c r="U218" s="525"/>
      <c r="V218" s="535"/>
      <c r="W218" s="535"/>
      <c r="X218" s="535"/>
      <c r="Y218" s="535"/>
      <c r="Z218" s="535"/>
      <c r="AA218" s="535"/>
      <c r="AB218" s="535"/>
      <c r="AC218" s="535"/>
      <c r="AE218" s="616"/>
    </row>
    <row r="219" spans="2:31" s="303" customFormat="1" x14ac:dyDescent="0.25">
      <c r="D219" s="604"/>
      <c r="L219" s="605"/>
      <c r="M219" s="605"/>
      <c r="N219" s="605"/>
      <c r="O219" s="605"/>
      <c r="P219" s="605"/>
      <c r="Q219" s="605"/>
      <c r="R219" s="605"/>
      <c r="S219" s="534"/>
      <c r="T219" s="534"/>
      <c r="U219" s="534"/>
      <c r="V219" s="535"/>
      <c r="W219" s="535"/>
      <c r="X219" s="535"/>
      <c r="Y219" s="535"/>
      <c r="Z219" s="535"/>
      <c r="AA219" s="535"/>
      <c r="AB219" s="535"/>
      <c r="AC219" s="535"/>
      <c r="AE219" s="616"/>
    </row>
    <row r="220" spans="2:31" s="303" customFormat="1" x14ac:dyDescent="0.25">
      <c r="B220" s="2249"/>
      <c r="C220" s="2249"/>
      <c r="D220" s="2249"/>
      <c r="L220" s="605"/>
      <c r="M220" s="605"/>
      <c r="N220" s="605"/>
      <c r="O220" s="605"/>
      <c r="P220" s="605"/>
      <c r="Q220" s="605"/>
      <c r="R220" s="605"/>
      <c r="S220" s="534"/>
      <c r="T220" s="534"/>
      <c r="U220" s="534"/>
      <c r="V220" s="535"/>
      <c r="W220" s="535"/>
      <c r="X220" s="535"/>
      <c r="Y220" s="535"/>
      <c r="Z220" s="535"/>
      <c r="AA220" s="535"/>
      <c r="AB220" s="535"/>
      <c r="AC220" s="535"/>
      <c r="AE220" s="616"/>
    </row>
    <row r="221" spans="2:31" s="622" customFormat="1" x14ac:dyDescent="0.25">
      <c r="B221" s="619"/>
      <c r="C221" s="619"/>
      <c r="D221" s="620"/>
      <c r="L221" s="621"/>
      <c r="M221" s="621"/>
      <c r="N221" s="621"/>
      <c r="O221" s="621"/>
      <c r="P221" s="621"/>
      <c r="Q221" s="621"/>
      <c r="R221" s="621"/>
      <c r="S221" s="539"/>
      <c r="T221" s="539"/>
      <c r="U221" s="539"/>
      <c r="V221" s="540"/>
      <c r="W221" s="540"/>
      <c r="X221" s="540"/>
      <c r="Y221" s="540"/>
      <c r="Z221" s="540"/>
      <c r="AA221" s="540"/>
      <c r="AB221" s="540"/>
      <c r="AC221" s="540"/>
      <c r="AE221" s="623"/>
    </row>
    <row r="222" spans="2:31" s="303" customFormat="1" x14ac:dyDescent="0.25">
      <c r="D222" s="624"/>
      <c r="L222" s="605"/>
      <c r="M222" s="605"/>
      <c r="N222" s="605"/>
      <c r="O222" s="605"/>
      <c r="P222" s="605"/>
      <c r="Q222" s="605"/>
      <c r="R222" s="605"/>
      <c r="S222" s="534"/>
      <c r="T222" s="534"/>
      <c r="U222" s="534"/>
      <c r="V222" s="535"/>
      <c r="W222" s="535"/>
      <c r="X222" s="535"/>
      <c r="Y222" s="535"/>
      <c r="Z222" s="535"/>
      <c r="AA222" s="535"/>
      <c r="AB222" s="535"/>
      <c r="AC222" s="535"/>
      <c r="AE222" s="616"/>
    </row>
    <row r="223" spans="2:31" s="303" customFormat="1" x14ac:dyDescent="0.25">
      <c r="B223" s="129"/>
      <c r="C223" s="129"/>
      <c r="D223" s="625"/>
      <c r="L223" s="605"/>
      <c r="M223" s="605"/>
      <c r="N223" s="605"/>
      <c r="O223" s="605"/>
      <c r="P223" s="605"/>
      <c r="Q223" s="605"/>
      <c r="R223" s="605"/>
      <c r="S223" s="534"/>
      <c r="T223" s="534"/>
      <c r="U223" s="534"/>
      <c r="V223" s="535"/>
      <c r="W223" s="535"/>
      <c r="X223" s="535"/>
      <c r="Y223" s="535"/>
      <c r="Z223" s="535"/>
      <c r="AA223" s="535"/>
      <c r="AB223" s="535"/>
      <c r="AC223" s="535"/>
      <c r="AE223" s="616"/>
    </row>
    <row r="224" spans="2:31" s="303" customFormat="1" x14ac:dyDescent="0.25">
      <c r="B224" s="129"/>
      <c r="C224" s="129"/>
      <c r="D224" s="625"/>
      <c r="L224" s="605"/>
      <c r="M224" s="605"/>
      <c r="N224" s="605"/>
      <c r="O224" s="605"/>
      <c r="P224" s="605"/>
      <c r="Q224" s="605"/>
      <c r="R224" s="605"/>
      <c r="S224" s="534"/>
      <c r="T224" s="534"/>
      <c r="U224" s="534"/>
      <c r="V224" s="535"/>
      <c r="W224" s="535"/>
      <c r="X224" s="535"/>
      <c r="Y224" s="535"/>
      <c r="Z224" s="535"/>
      <c r="AA224" s="535"/>
      <c r="AB224" s="535"/>
      <c r="AC224" s="535"/>
      <c r="AE224" s="616"/>
    </row>
    <row r="225" spans="1:31" s="303" customFormat="1" x14ac:dyDescent="0.25">
      <c r="B225" s="129"/>
      <c r="C225" s="129"/>
      <c r="D225" s="625"/>
      <c r="L225" s="605"/>
      <c r="M225" s="605"/>
      <c r="N225" s="605"/>
      <c r="O225" s="605"/>
      <c r="P225" s="605"/>
      <c r="Q225" s="605"/>
      <c r="R225" s="605"/>
      <c r="S225" s="534"/>
      <c r="T225" s="534"/>
      <c r="U225" s="534"/>
      <c r="V225" s="535"/>
      <c r="W225" s="535"/>
      <c r="X225" s="535"/>
      <c r="Y225" s="535"/>
      <c r="Z225" s="535"/>
      <c r="AA225" s="535"/>
      <c r="AB225" s="535"/>
      <c r="AC225" s="535"/>
      <c r="AE225" s="616"/>
    </row>
    <row r="226" spans="1:31" s="303" customFormat="1" x14ac:dyDescent="0.25">
      <c r="B226" s="129"/>
      <c r="C226" s="129"/>
      <c r="D226" s="625"/>
      <c r="L226" s="605"/>
      <c r="M226" s="605"/>
      <c r="N226" s="605"/>
      <c r="O226" s="605"/>
      <c r="P226" s="605"/>
      <c r="Q226" s="605"/>
      <c r="R226" s="605"/>
      <c r="S226" s="534"/>
      <c r="T226" s="534"/>
      <c r="U226" s="534"/>
      <c r="V226" s="535"/>
      <c r="W226" s="535"/>
      <c r="X226" s="535"/>
      <c r="Y226" s="535"/>
      <c r="Z226" s="535"/>
      <c r="AA226" s="535"/>
      <c r="AB226" s="535"/>
      <c r="AC226" s="535"/>
      <c r="AE226" s="616"/>
    </row>
    <row r="227" spans="1:31" s="303" customFormat="1" x14ac:dyDescent="0.25">
      <c r="B227" s="129"/>
      <c r="C227" s="129"/>
      <c r="D227" s="625"/>
      <c r="L227" s="605"/>
      <c r="M227" s="605"/>
      <c r="N227" s="605"/>
      <c r="O227" s="605"/>
      <c r="P227" s="605"/>
      <c r="Q227" s="605"/>
      <c r="R227" s="605"/>
      <c r="S227" s="534"/>
      <c r="T227" s="534"/>
      <c r="U227" s="534"/>
      <c r="V227" s="535"/>
      <c r="W227" s="535"/>
      <c r="X227" s="535"/>
      <c r="Y227" s="535"/>
      <c r="Z227" s="535"/>
      <c r="AA227" s="535"/>
      <c r="AB227" s="535"/>
      <c r="AC227" s="535"/>
      <c r="AE227" s="616"/>
    </row>
    <row r="228" spans="1:31" s="303" customFormat="1" x14ac:dyDescent="0.25">
      <c r="B228" s="129"/>
      <c r="C228" s="129"/>
      <c r="D228" s="625"/>
      <c r="L228" s="605"/>
      <c r="M228" s="605"/>
      <c r="N228" s="605"/>
      <c r="O228" s="605"/>
      <c r="P228" s="605"/>
      <c r="Q228" s="605"/>
      <c r="R228" s="605"/>
      <c r="S228" s="534"/>
      <c r="T228" s="534"/>
      <c r="U228" s="534"/>
      <c r="V228" s="535"/>
      <c r="W228" s="535"/>
      <c r="X228" s="535"/>
      <c r="Y228" s="535"/>
      <c r="Z228" s="535"/>
      <c r="AA228" s="535"/>
      <c r="AB228" s="535"/>
      <c r="AC228" s="535"/>
      <c r="AE228" s="616"/>
    </row>
    <row r="229" spans="1:31" s="303" customFormat="1" x14ac:dyDescent="0.25">
      <c r="D229" s="602"/>
      <c r="L229" s="605"/>
      <c r="M229" s="605"/>
      <c r="N229" s="605"/>
      <c r="O229" s="605"/>
      <c r="P229" s="605"/>
      <c r="Q229" s="605"/>
      <c r="R229" s="605"/>
      <c r="S229" s="534"/>
      <c r="T229" s="534"/>
      <c r="U229" s="534"/>
      <c r="V229" s="535"/>
      <c r="W229" s="535"/>
      <c r="X229" s="535"/>
      <c r="Y229" s="535"/>
      <c r="Z229" s="535"/>
      <c r="AA229" s="535"/>
      <c r="AB229" s="535"/>
      <c r="AC229" s="535"/>
      <c r="AE229" s="616"/>
    </row>
    <row r="230" spans="1:31" s="303" customFormat="1" x14ac:dyDescent="0.25">
      <c r="B230" s="129"/>
      <c r="C230" s="129"/>
      <c r="D230" s="624"/>
      <c r="L230" s="605"/>
      <c r="M230" s="605"/>
      <c r="N230" s="605"/>
      <c r="O230" s="605"/>
      <c r="P230" s="605"/>
      <c r="Q230" s="605"/>
      <c r="R230" s="605"/>
      <c r="S230" s="534"/>
      <c r="T230" s="534"/>
      <c r="U230" s="534"/>
      <c r="V230" s="535"/>
      <c r="W230" s="535"/>
      <c r="X230" s="535"/>
      <c r="Y230" s="535"/>
      <c r="Z230" s="535"/>
      <c r="AA230" s="535"/>
      <c r="AB230" s="535"/>
      <c r="AC230" s="535"/>
      <c r="AE230" s="616"/>
    </row>
    <row r="231" spans="1:31" s="303" customFormat="1" x14ac:dyDescent="0.25">
      <c r="D231" s="604"/>
      <c r="L231" s="605"/>
      <c r="M231" s="605"/>
      <c r="N231" s="605"/>
      <c r="O231" s="605"/>
      <c r="P231" s="605"/>
      <c r="Q231" s="605"/>
      <c r="R231" s="605"/>
      <c r="S231" s="534"/>
      <c r="T231" s="534"/>
      <c r="U231" s="534"/>
      <c r="V231" s="535"/>
      <c r="W231" s="535"/>
      <c r="X231" s="535"/>
      <c r="Y231" s="535"/>
      <c r="Z231" s="535"/>
      <c r="AA231" s="535"/>
      <c r="AB231" s="535"/>
      <c r="AC231" s="535"/>
      <c r="AE231" s="616"/>
    </row>
    <row r="232" spans="1:31" s="303" customFormat="1" x14ac:dyDescent="0.25">
      <c r="D232" s="604"/>
      <c r="L232" s="605"/>
      <c r="M232" s="605"/>
      <c r="N232" s="605"/>
      <c r="O232" s="605"/>
      <c r="P232" s="605"/>
      <c r="Q232" s="605"/>
      <c r="R232" s="605"/>
      <c r="S232" s="534"/>
      <c r="T232" s="534"/>
      <c r="U232" s="534"/>
      <c r="V232" s="535"/>
      <c r="W232" s="535"/>
      <c r="X232" s="535"/>
      <c r="Y232" s="535"/>
      <c r="Z232" s="535"/>
      <c r="AA232" s="535"/>
      <c r="AB232" s="535"/>
      <c r="AC232" s="535"/>
      <c r="AE232" s="616"/>
    </row>
    <row r="233" spans="1:31" s="303" customFormat="1" x14ac:dyDescent="0.25">
      <c r="B233" s="129"/>
      <c r="C233" s="129"/>
      <c r="D233" s="625"/>
      <c r="L233" s="605"/>
      <c r="M233" s="605"/>
      <c r="N233" s="605"/>
      <c r="O233" s="605"/>
      <c r="P233" s="605"/>
      <c r="Q233" s="605"/>
      <c r="R233" s="605"/>
      <c r="S233" s="534"/>
      <c r="T233" s="534"/>
      <c r="U233" s="534"/>
      <c r="V233" s="535"/>
      <c r="W233" s="535"/>
      <c r="X233" s="535"/>
      <c r="Y233" s="535"/>
      <c r="Z233" s="535"/>
      <c r="AA233" s="535"/>
      <c r="AB233" s="535"/>
      <c r="AC233" s="535"/>
      <c r="AE233" s="616"/>
    </row>
    <row r="234" spans="1:31" s="303" customFormat="1" x14ac:dyDescent="0.25">
      <c r="D234" s="604"/>
      <c r="L234" s="605"/>
      <c r="M234" s="605"/>
      <c r="N234" s="605"/>
      <c r="O234" s="605"/>
      <c r="P234" s="605"/>
      <c r="Q234" s="605"/>
      <c r="R234" s="605"/>
      <c r="S234" s="534"/>
      <c r="T234" s="534"/>
      <c r="U234" s="534"/>
      <c r="V234" s="535"/>
      <c r="W234" s="535"/>
      <c r="X234" s="535"/>
      <c r="Y234" s="535"/>
      <c r="Z234" s="535"/>
      <c r="AA234" s="535"/>
      <c r="AB234" s="535"/>
      <c r="AC234" s="535"/>
      <c r="AE234" s="616"/>
    </row>
    <row r="235" spans="1:31" s="303" customFormat="1" x14ac:dyDescent="0.25">
      <c r="B235" s="2249"/>
      <c r="C235" s="2249"/>
      <c r="D235" s="2249"/>
      <c r="L235" s="605"/>
      <c r="M235" s="605"/>
      <c r="N235" s="605"/>
      <c r="O235" s="605"/>
      <c r="P235" s="605"/>
      <c r="Q235" s="605"/>
      <c r="R235" s="605"/>
      <c r="S235" s="534"/>
      <c r="T235" s="534"/>
      <c r="U235" s="534"/>
      <c r="V235" s="535"/>
      <c r="W235" s="535"/>
      <c r="X235" s="535"/>
      <c r="Y235" s="535"/>
      <c r="Z235" s="535"/>
      <c r="AA235" s="535"/>
      <c r="AB235" s="535"/>
      <c r="AC235" s="535"/>
      <c r="AE235" s="616"/>
    </row>
    <row r="236" spans="1:31" s="129" customFormat="1" x14ac:dyDescent="0.25">
      <c r="A236" s="303"/>
      <c r="D236" s="602"/>
      <c r="L236" s="603"/>
      <c r="M236" s="603"/>
      <c r="N236" s="603"/>
      <c r="O236" s="603"/>
      <c r="P236" s="603"/>
      <c r="Q236" s="603"/>
      <c r="R236" s="521"/>
      <c r="S236" s="522"/>
      <c r="T236" s="521"/>
      <c r="U236" s="521"/>
      <c r="V236" s="307"/>
      <c r="W236" s="307"/>
      <c r="X236" s="307"/>
      <c r="Y236" s="307"/>
      <c r="Z236" s="307"/>
      <c r="AA236" s="307"/>
      <c r="AB236" s="307"/>
      <c r="AE236" s="626"/>
    </row>
    <row r="237" spans="1:31" s="129" customFormat="1" x14ac:dyDescent="0.25">
      <c r="A237" s="303"/>
      <c r="D237" s="602"/>
      <c r="L237" s="603"/>
      <c r="M237" s="603"/>
      <c r="N237" s="603"/>
      <c r="O237" s="603"/>
      <c r="P237" s="603"/>
      <c r="Q237" s="603"/>
      <c r="R237" s="521"/>
      <c r="S237" s="522"/>
      <c r="T237" s="521"/>
      <c r="U237" s="521"/>
      <c r="V237" s="307"/>
      <c r="W237" s="307"/>
      <c r="X237" s="307"/>
      <c r="Y237" s="307"/>
      <c r="Z237" s="307"/>
      <c r="AA237" s="307"/>
      <c r="AB237" s="307"/>
    </row>
    <row r="238" spans="1:31" s="129" customFormat="1" x14ac:dyDescent="0.25">
      <c r="A238" s="303"/>
      <c r="B238" s="303"/>
      <c r="C238" s="303"/>
      <c r="D238" s="549"/>
      <c r="E238" s="541"/>
      <c r="F238" s="541"/>
      <c r="G238" s="541"/>
      <c r="H238" s="541"/>
      <c r="I238" s="541"/>
      <c r="J238" s="541"/>
      <c r="K238" s="541"/>
      <c r="L238" s="542"/>
      <c r="M238" s="542"/>
      <c r="N238" s="542"/>
      <c r="O238" s="542"/>
      <c r="P238" s="542"/>
      <c r="Q238" s="542"/>
      <c r="R238" s="542"/>
      <c r="S238" s="542"/>
      <c r="T238" s="542"/>
      <c r="U238" s="542"/>
      <c r="V238" s="307"/>
      <c r="W238" s="307"/>
      <c r="X238" s="307"/>
      <c r="Y238" s="307"/>
      <c r="Z238" s="307"/>
      <c r="AA238" s="307"/>
      <c r="AB238" s="307"/>
    </row>
    <row r="239" spans="1:31" s="129" customFormat="1" x14ac:dyDescent="0.25">
      <c r="A239" s="303"/>
      <c r="B239" s="303"/>
      <c r="C239" s="303"/>
      <c r="D239" s="604"/>
      <c r="E239" s="303"/>
      <c r="F239" s="303"/>
      <c r="G239" s="303"/>
      <c r="H239" s="303"/>
      <c r="I239" s="303"/>
      <c r="J239" s="303"/>
      <c r="K239" s="303"/>
      <c r="L239" s="605"/>
      <c r="M239" s="605"/>
      <c r="N239" s="605"/>
      <c r="O239" s="605"/>
      <c r="P239" s="605"/>
      <c r="Q239" s="605"/>
      <c r="R239" s="605"/>
      <c r="S239" s="605"/>
      <c r="T239" s="605"/>
      <c r="U239" s="605"/>
      <c r="V239" s="307"/>
      <c r="W239" s="307"/>
      <c r="X239" s="307"/>
      <c r="Y239" s="307"/>
      <c r="Z239" s="307"/>
      <c r="AA239" s="307"/>
      <c r="AB239" s="307"/>
    </row>
    <row r="240" spans="1:31" s="129" customFormat="1" x14ac:dyDescent="0.25">
      <c r="A240" s="303"/>
      <c r="B240" s="303"/>
      <c r="C240" s="303"/>
      <c r="D240" s="549"/>
      <c r="E240" s="543"/>
      <c r="F240" s="543"/>
      <c r="G240" s="543"/>
      <c r="H240" s="543"/>
      <c r="I240" s="543"/>
      <c r="J240" s="543"/>
      <c r="K240" s="543"/>
      <c r="L240" s="522"/>
      <c r="M240" s="522"/>
      <c r="N240" s="522"/>
      <c r="O240" s="522"/>
      <c r="P240" s="522"/>
      <c r="Q240" s="522"/>
      <c r="R240" s="522"/>
      <c r="S240" s="522"/>
      <c r="T240" s="522"/>
      <c r="U240" s="522"/>
      <c r="V240" s="307"/>
      <c r="W240" s="307"/>
      <c r="X240" s="307"/>
      <c r="Y240" s="307"/>
      <c r="Z240" s="307"/>
      <c r="AA240" s="307"/>
      <c r="AB240" s="307"/>
    </row>
    <row r="241" spans="1:28" s="129" customFormat="1" x14ac:dyDescent="0.25">
      <c r="A241" s="303"/>
      <c r="B241" s="305"/>
      <c r="C241" s="305"/>
      <c r="D241" s="550"/>
      <c r="E241" s="544"/>
      <c r="F241" s="544"/>
      <c r="G241" s="544"/>
      <c r="H241" s="544"/>
      <c r="I241" s="544"/>
      <c r="J241" s="544"/>
      <c r="K241" s="544"/>
      <c r="L241" s="545"/>
      <c r="M241" s="545"/>
      <c r="N241" s="545"/>
      <c r="O241" s="545"/>
      <c r="P241" s="545"/>
      <c r="Q241" s="545"/>
      <c r="R241" s="545"/>
      <c r="S241" s="545"/>
      <c r="T241" s="545"/>
      <c r="U241" s="545"/>
      <c r="V241" s="307"/>
      <c r="W241" s="307"/>
      <c r="X241" s="307"/>
      <c r="Y241" s="307"/>
      <c r="Z241" s="307"/>
      <c r="AA241" s="307"/>
      <c r="AB241" s="307"/>
    </row>
    <row r="242" spans="1:28" s="129" customFormat="1" x14ac:dyDescent="0.25">
      <c r="A242" s="303"/>
      <c r="B242" s="305"/>
      <c r="C242" s="305"/>
      <c r="D242" s="550"/>
      <c r="E242" s="544"/>
      <c r="F242" s="544"/>
      <c r="G242" s="544"/>
      <c r="H242" s="544"/>
      <c r="I242" s="544"/>
      <c r="J242" s="544"/>
      <c r="K242" s="544"/>
      <c r="L242" s="545"/>
      <c r="M242" s="545"/>
      <c r="N242" s="545"/>
      <c r="O242" s="545"/>
      <c r="P242" s="545"/>
      <c r="Q242" s="545"/>
      <c r="R242" s="545"/>
      <c r="S242" s="545"/>
      <c r="T242" s="545"/>
      <c r="U242" s="545"/>
      <c r="V242" s="307"/>
      <c r="W242" s="307"/>
      <c r="X242" s="307"/>
      <c r="Y242" s="307"/>
      <c r="Z242" s="307"/>
      <c r="AA242" s="307"/>
      <c r="AB242" s="307"/>
    </row>
    <row r="243" spans="1:28" s="129" customFormat="1" x14ac:dyDescent="0.25">
      <c r="A243" s="303"/>
      <c r="B243" s="305"/>
      <c r="C243" s="305"/>
      <c r="D243" s="550"/>
      <c r="E243" s="544"/>
      <c r="F243" s="544"/>
      <c r="G243" s="544"/>
      <c r="H243" s="544"/>
      <c r="I243" s="544"/>
      <c r="J243" s="544"/>
      <c r="K243" s="544"/>
      <c r="L243" s="545"/>
      <c r="M243" s="545"/>
      <c r="N243" s="545"/>
      <c r="O243" s="545"/>
      <c r="P243" s="545"/>
      <c r="Q243" s="545"/>
      <c r="R243" s="545"/>
      <c r="S243" s="545"/>
      <c r="T243" s="545"/>
      <c r="U243" s="545"/>
      <c r="V243" s="307"/>
      <c r="W243" s="307"/>
      <c r="X243" s="307"/>
      <c r="Y243" s="307"/>
      <c r="Z243" s="307"/>
      <c r="AA243" s="307"/>
      <c r="AB243" s="307"/>
    </row>
    <row r="244" spans="1:28" s="129" customFormat="1" x14ac:dyDescent="0.25">
      <c r="A244" s="303"/>
      <c r="B244" s="386"/>
      <c r="C244" s="386"/>
      <c r="D244" s="550"/>
      <c r="E244" s="544"/>
      <c r="F244" s="544"/>
      <c r="G244" s="544"/>
      <c r="H244" s="544"/>
      <c r="I244" s="544"/>
      <c r="J244" s="544"/>
      <c r="K244" s="544"/>
      <c r="L244" s="545"/>
      <c r="M244" s="545"/>
      <c r="N244" s="545"/>
      <c r="O244" s="545"/>
      <c r="P244" s="545"/>
      <c r="Q244" s="545"/>
      <c r="R244" s="545"/>
      <c r="S244" s="545"/>
      <c r="T244" s="545"/>
      <c r="U244" s="545"/>
      <c r="V244" s="307"/>
      <c r="W244" s="307"/>
      <c r="X244" s="307"/>
      <c r="Y244" s="307"/>
      <c r="Z244" s="307"/>
      <c r="AA244" s="307"/>
      <c r="AB244" s="307"/>
    </row>
    <row r="245" spans="1:28" s="129" customFormat="1" x14ac:dyDescent="0.25">
      <c r="A245" s="303"/>
      <c r="D245" s="550"/>
      <c r="E245" s="543"/>
      <c r="F245" s="543"/>
      <c r="G245" s="543"/>
      <c r="H245" s="543"/>
      <c r="I245" s="543"/>
      <c r="J245" s="543"/>
      <c r="K245" s="543"/>
      <c r="L245" s="522"/>
      <c r="M245" s="522"/>
      <c r="N245" s="522"/>
      <c r="O245" s="522"/>
      <c r="P245" s="522"/>
      <c r="Q245" s="522"/>
      <c r="R245" s="522"/>
      <c r="S245" s="522"/>
      <c r="T245" s="522"/>
      <c r="U245" s="522"/>
      <c r="V245" s="307"/>
      <c r="W245" s="307"/>
      <c r="X245" s="307"/>
      <c r="Y245" s="307"/>
      <c r="Z245" s="307"/>
      <c r="AA245" s="307"/>
      <c r="AB245" s="307"/>
    </row>
    <row r="246" spans="1:28" s="129" customFormat="1" x14ac:dyDescent="0.25">
      <c r="A246" s="303"/>
      <c r="D246" s="550"/>
      <c r="E246" s="543"/>
      <c r="F246" s="543"/>
      <c r="G246" s="543"/>
      <c r="H246" s="543"/>
      <c r="I246" s="543"/>
      <c r="J246" s="543"/>
      <c r="K246" s="543"/>
      <c r="L246" s="522"/>
      <c r="M246" s="522"/>
      <c r="N246" s="522"/>
      <c r="O246" s="522"/>
      <c r="P246" s="522"/>
      <c r="Q246" s="522"/>
      <c r="R246" s="522"/>
      <c r="S246" s="522"/>
      <c r="T246" s="522"/>
      <c r="U246" s="522"/>
      <c r="V246" s="307"/>
      <c r="W246" s="307"/>
      <c r="X246" s="307"/>
      <c r="Y246" s="307"/>
      <c r="Z246" s="307"/>
      <c r="AA246" s="307"/>
      <c r="AB246" s="307"/>
    </row>
    <row r="247" spans="1:28" s="129" customFormat="1" x14ac:dyDescent="0.25">
      <c r="A247" s="303"/>
      <c r="D247" s="550"/>
      <c r="E247" s="543"/>
      <c r="F247" s="543"/>
      <c r="G247" s="543"/>
      <c r="H247" s="543"/>
      <c r="I247" s="543"/>
      <c r="J247" s="543"/>
      <c r="K247" s="543"/>
      <c r="L247" s="522"/>
      <c r="M247" s="522"/>
      <c r="N247" s="522"/>
      <c r="O247" s="522"/>
      <c r="P247" s="522"/>
      <c r="Q247" s="522"/>
      <c r="R247" s="522"/>
      <c r="S247" s="522"/>
      <c r="T247" s="522"/>
      <c r="U247" s="522"/>
      <c r="V247" s="307"/>
      <c r="W247" s="307"/>
      <c r="X247" s="307"/>
      <c r="Y247" s="307"/>
      <c r="Z247" s="307"/>
      <c r="AA247" s="307"/>
      <c r="AB247" s="307"/>
    </row>
    <row r="248" spans="1:28" s="129" customFormat="1" x14ac:dyDescent="0.25">
      <c r="A248" s="303"/>
      <c r="D248" s="550"/>
      <c r="E248" s="543"/>
      <c r="F248" s="543"/>
      <c r="G248" s="543"/>
      <c r="H248" s="543"/>
      <c r="I248" s="543"/>
      <c r="J248" s="543"/>
      <c r="K248" s="543"/>
      <c r="L248" s="522"/>
      <c r="M248" s="522"/>
      <c r="N248" s="522"/>
      <c r="O248" s="522"/>
      <c r="P248" s="522"/>
      <c r="Q248" s="522"/>
      <c r="R248" s="522"/>
      <c r="S248" s="522"/>
      <c r="T248" s="522"/>
      <c r="U248" s="522"/>
      <c r="V248" s="307"/>
      <c r="W248" s="307"/>
      <c r="X248" s="307"/>
      <c r="Y248" s="307"/>
      <c r="Z248" s="307"/>
      <c r="AA248" s="307"/>
      <c r="AB248" s="307"/>
    </row>
    <row r="249" spans="1:28" s="129" customFormat="1" x14ac:dyDescent="0.25">
      <c r="A249" s="303"/>
      <c r="D249" s="550"/>
      <c r="E249" s="543"/>
      <c r="F249" s="543"/>
      <c r="G249" s="543"/>
      <c r="H249" s="543"/>
      <c r="I249" s="543"/>
      <c r="J249" s="543"/>
      <c r="K249" s="543"/>
      <c r="L249" s="522"/>
      <c r="M249" s="522"/>
      <c r="N249" s="522"/>
      <c r="O249" s="522"/>
      <c r="P249" s="522"/>
      <c r="Q249" s="522"/>
      <c r="R249" s="522"/>
      <c r="S249" s="522"/>
      <c r="T249" s="522"/>
      <c r="U249" s="522"/>
      <c r="V249" s="307"/>
      <c r="W249" s="307"/>
      <c r="X249" s="307"/>
      <c r="Y249" s="307"/>
      <c r="Z249" s="307"/>
      <c r="AA249" s="307"/>
      <c r="AB249" s="307"/>
    </row>
    <row r="250" spans="1:28" s="129" customFormat="1" x14ac:dyDescent="0.25">
      <c r="A250" s="303"/>
      <c r="D250" s="550"/>
      <c r="E250" s="543"/>
      <c r="F250" s="543"/>
      <c r="G250" s="543"/>
      <c r="H250" s="543"/>
      <c r="I250" s="543"/>
      <c r="J250" s="543"/>
      <c r="K250" s="543"/>
      <c r="L250" s="522"/>
      <c r="M250" s="522"/>
      <c r="N250" s="522"/>
      <c r="O250" s="522"/>
      <c r="P250" s="522"/>
      <c r="Q250" s="522"/>
      <c r="R250" s="522"/>
      <c r="S250" s="522"/>
      <c r="T250" s="522"/>
      <c r="U250" s="522"/>
      <c r="V250" s="307"/>
      <c r="W250" s="307"/>
      <c r="X250" s="307"/>
      <c r="Y250" s="307"/>
      <c r="Z250" s="307"/>
      <c r="AA250" s="307"/>
      <c r="AB250" s="307"/>
    </row>
    <row r="251" spans="1:28" s="129" customFormat="1" x14ac:dyDescent="0.25">
      <c r="A251" s="303"/>
      <c r="D251" s="550"/>
      <c r="E251" s="543"/>
      <c r="F251" s="543"/>
      <c r="G251" s="543"/>
      <c r="H251" s="543"/>
      <c r="I251" s="543"/>
      <c r="J251" s="543"/>
      <c r="K251" s="543"/>
      <c r="L251" s="522"/>
      <c r="M251" s="522"/>
      <c r="N251" s="522"/>
      <c r="O251" s="522"/>
      <c r="P251" s="522"/>
      <c r="Q251" s="522"/>
      <c r="R251" s="522"/>
      <c r="S251" s="522"/>
      <c r="T251" s="522"/>
      <c r="U251" s="522"/>
      <c r="V251" s="307"/>
      <c r="W251" s="307"/>
      <c r="X251" s="307"/>
      <c r="Y251" s="307"/>
      <c r="Z251" s="307"/>
      <c r="AA251" s="307"/>
      <c r="AB251" s="307"/>
    </row>
    <row r="252" spans="1:28" s="129" customFormat="1" x14ac:dyDescent="0.25">
      <c r="A252" s="303"/>
      <c r="B252" s="303"/>
      <c r="C252" s="303"/>
      <c r="D252" s="550"/>
      <c r="E252" s="543"/>
      <c r="F252" s="543"/>
      <c r="G252" s="543"/>
      <c r="H252" s="543"/>
      <c r="I252" s="543"/>
      <c r="J252" s="543"/>
      <c r="K252" s="543"/>
      <c r="L252" s="521"/>
      <c r="M252" s="521"/>
      <c r="N252" s="521"/>
      <c r="O252" s="521"/>
      <c r="P252" s="521"/>
      <c r="Q252" s="521"/>
      <c r="R252" s="521"/>
      <c r="S252" s="521"/>
      <c r="T252" s="521"/>
      <c r="U252" s="521"/>
      <c r="V252" s="307"/>
      <c r="W252" s="307"/>
      <c r="X252" s="307"/>
      <c r="Y252" s="307"/>
      <c r="Z252" s="307"/>
      <c r="AA252" s="307"/>
      <c r="AB252" s="307"/>
    </row>
    <row r="253" spans="1:28" s="129" customFormat="1" x14ac:dyDescent="0.25">
      <c r="A253" s="303"/>
      <c r="D253" s="550"/>
      <c r="E253" s="543"/>
      <c r="F253" s="543"/>
      <c r="G253" s="543"/>
      <c r="H253" s="543"/>
      <c r="I253" s="543"/>
      <c r="J253" s="543"/>
      <c r="K253" s="543"/>
      <c r="L253" s="522"/>
      <c r="M253" s="522"/>
      <c r="N253" s="522"/>
      <c r="O253" s="522"/>
      <c r="P253" s="522"/>
      <c r="Q253" s="522"/>
      <c r="R253" s="522"/>
      <c r="S253" s="522"/>
      <c r="T253" s="522"/>
      <c r="U253" s="522"/>
      <c r="V253" s="307"/>
      <c r="W253" s="307"/>
      <c r="X253" s="307"/>
      <c r="Y253" s="307"/>
      <c r="Z253" s="307"/>
      <c r="AA253" s="307"/>
      <c r="AB253" s="307"/>
    </row>
    <row r="254" spans="1:28" s="129" customFormat="1" x14ac:dyDescent="0.25">
      <c r="A254" s="303"/>
      <c r="D254" s="550"/>
      <c r="E254" s="543"/>
      <c r="F254" s="543"/>
      <c r="G254" s="543"/>
      <c r="H254" s="543"/>
      <c r="I254" s="543"/>
      <c r="J254" s="543"/>
      <c r="K254" s="543"/>
      <c r="L254" s="522"/>
      <c r="M254" s="522"/>
      <c r="N254" s="522"/>
      <c r="O254" s="522"/>
      <c r="P254" s="522"/>
      <c r="Q254" s="522"/>
      <c r="R254" s="522"/>
      <c r="S254" s="522"/>
      <c r="T254" s="522"/>
      <c r="U254" s="522"/>
      <c r="V254" s="307"/>
      <c r="W254" s="307"/>
      <c r="X254" s="307"/>
      <c r="Y254" s="307"/>
      <c r="Z254" s="307"/>
      <c r="AA254" s="307"/>
      <c r="AB254" s="307"/>
    </row>
    <row r="255" spans="1:28" s="129" customFormat="1" hidden="1" x14ac:dyDescent="0.25">
      <c r="A255" s="303"/>
      <c r="D255" s="550"/>
      <c r="E255" s="543"/>
      <c r="F255" s="543"/>
      <c r="G255" s="543"/>
      <c r="H255" s="543"/>
      <c r="I255" s="543"/>
      <c r="J255" s="543"/>
      <c r="K255" s="543"/>
      <c r="L255" s="522"/>
      <c r="M255" s="522"/>
      <c r="N255" s="522"/>
      <c r="O255" s="522"/>
      <c r="P255" s="522"/>
      <c r="Q255" s="522"/>
      <c r="R255" s="522"/>
      <c r="S255" s="522"/>
      <c r="T255" s="522"/>
      <c r="U255" s="522"/>
      <c r="V255" s="307"/>
      <c r="W255" s="307"/>
      <c r="X255" s="307"/>
      <c r="Y255" s="307"/>
      <c r="Z255" s="307"/>
      <c r="AA255" s="307"/>
      <c r="AB255" s="307"/>
    </row>
    <row r="256" spans="1:28" s="129" customFormat="1" x14ac:dyDescent="0.25">
      <c r="A256" s="303"/>
      <c r="B256" s="303"/>
      <c r="C256" s="303"/>
      <c r="D256" s="550"/>
      <c r="E256" s="543"/>
      <c r="F256" s="543"/>
      <c r="G256" s="543"/>
      <c r="H256" s="543"/>
      <c r="I256" s="543"/>
      <c r="J256" s="543"/>
      <c r="K256" s="543"/>
      <c r="L256" s="522"/>
      <c r="M256" s="522"/>
      <c r="N256" s="522"/>
      <c r="O256" s="522"/>
      <c r="P256" s="522"/>
      <c r="Q256" s="522"/>
      <c r="R256" s="522"/>
      <c r="S256" s="522"/>
      <c r="T256" s="522"/>
      <c r="U256" s="522"/>
      <c r="V256" s="307"/>
      <c r="W256" s="307"/>
      <c r="X256" s="307"/>
      <c r="Y256" s="307"/>
      <c r="Z256" s="307"/>
      <c r="AA256" s="307"/>
      <c r="AB256" s="307"/>
    </row>
    <row r="257" spans="1:28" s="129" customFormat="1" x14ac:dyDescent="0.25">
      <c r="A257" s="303"/>
      <c r="D257" s="550"/>
      <c r="E257" s="543"/>
      <c r="F257" s="543"/>
      <c r="G257" s="543"/>
      <c r="H257" s="543"/>
      <c r="I257" s="543"/>
      <c r="J257" s="543"/>
      <c r="K257" s="543"/>
      <c r="L257" s="522"/>
      <c r="M257" s="522"/>
      <c r="N257" s="522"/>
      <c r="O257" s="522"/>
      <c r="P257" s="522"/>
      <c r="Q257" s="522"/>
      <c r="R257" s="522"/>
      <c r="S257" s="522"/>
      <c r="T257" s="522"/>
      <c r="U257" s="522"/>
      <c r="V257" s="307"/>
      <c r="W257" s="307"/>
      <c r="X257" s="307"/>
      <c r="Y257" s="307"/>
      <c r="Z257" s="307"/>
      <c r="AA257" s="307"/>
      <c r="AB257" s="307"/>
    </row>
    <row r="258" spans="1:28" s="129" customFormat="1" x14ac:dyDescent="0.25">
      <c r="A258" s="303"/>
      <c r="B258" s="303"/>
      <c r="C258" s="303"/>
      <c r="D258" s="550"/>
      <c r="E258" s="543"/>
      <c r="F258" s="543"/>
      <c r="G258" s="543"/>
      <c r="H258" s="543"/>
      <c r="I258" s="543"/>
      <c r="J258" s="543"/>
      <c r="K258" s="543"/>
      <c r="L258" s="521"/>
      <c r="M258" s="521"/>
      <c r="N258" s="521"/>
      <c r="O258" s="521"/>
      <c r="P258" s="521"/>
      <c r="Q258" s="521"/>
      <c r="R258" s="521"/>
      <c r="S258" s="521"/>
      <c r="T258" s="521"/>
      <c r="U258" s="521"/>
      <c r="V258" s="307"/>
      <c r="W258" s="307"/>
      <c r="X258" s="307"/>
      <c r="Y258" s="307"/>
      <c r="Z258" s="307"/>
      <c r="AA258" s="307"/>
      <c r="AB258" s="307"/>
    </row>
    <row r="259" spans="1:28" s="129" customFormat="1" x14ac:dyDescent="0.25">
      <c r="A259" s="303"/>
      <c r="D259" s="625"/>
      <c r="E259" s="543"/>
      <c r="F259" s="543"/>
      <c r="G259" s="543"/>
      <c r="H259" s="543"/>
      <c r="I259" s="543"/>
      <c r="J259" s="543"/>
      <c r="K259" s="543"/>
      <c r="L259" s="522"/>
      <c r="M259" s="522"/>
      <c r="N259" s="522"/>
      <c r="O259" s="522"/>
      <c r="P259" s="522"/>
      <c r="Q259" s="522"/>
      <c r="R259" s="522"/>
      <c r="S259" s="522"/>
      <c r="T259" s="522"/>
      <c r="U259" s="522"/>
      <c r="V259" s="307"/>
      <c r="W259" s="307"/>
      <c r="X259" s="307"/>
      <c r="Y259" s="307"/>
      <c r="Z259" s="307"/>
      <c r="AA259" s="307"/>
      <c r="AB259" s="307"/>
    </row>
    <row r="260" spans="1:28" s="129" customFormat="1" hidden="1" x14ac:dyDescent="0.25">
      <c r="A260" s="303"/>
      <c r="B260" s="303"/>
      <c r="C260" s="303"/>
      <c r="D260" s="550"/>
      <c r="E260" s="543"/>
      <c r="F260" s="543"/>
      <c r="G260" s="543"/>
      <c r="H260" s="543"/>
      <c r="I260" s="543"/>
      <c r="J260" s="543"/>
      <c r="K260" s="543"/>
      <c r="L260" s="521"/>
      <c r="M260" s="521"/>
      <c r="N260" s="521"/>
      <c r="O260" s="521"/>
      <c r="P260" s="521"/>
      <c r="Q260" s="521"/>
      <c r="R260" s="521"/>
      <c r="S260" s="521"/>
      <c r="T260" s="521"/>
      <c r="U260" s="521"/>
      <c r="V260" s="307"/>
      <c r="W260" s="307"/>
      <c r="X260" s="307"/>
      <c r="Y260" s="307"/>
      <c r="Z260" s="307"/>
      <c r="AA260" s="307"/>
      <c r="AB260" s="307"/>
    </row>
    <row r="261" spans="1:28" s="129" customFormat="1" hidden="1" x14ac:dyDescent="0.25">
      <c r="A261" s="303"/>
      <c r="D261" s="550"/>
      <c r="E261" s="543"/>
      <c r="F261" s="543"/>
      <c r="G261" s="543"/>
      <c r="H261" s="543"/>
      <c r="I261" s="543"/>
      <c r="J261" s="543"/>
      <c r="K261" s="543"/>
      <c r="L261" s="522"/>
      <c r="M261" s="522"/>
      <c r="N261" s="522"/>
      <c r="O261" s="522"/>
      <c r="P261" s="522"/>
      <c r="Q261" s="522"/>
      <c r="R261" s="522"/>
      <c r="S261" s="522"/>
      <c r="T261" s="522"/>
      <c r="U261" s="522"/>
      <c r="V261" s="306"/>
      <c r="W261" s="306"/>
      <c r="X261" s="306"/>
      <c r="Y261" s="306"/>
      <c r="Z261" s="306"/>
      <c r="AA261" s="306"/>
      <c r="AB261" s="306"/>
    </row>
    <row r="262" spans="1:28" s="129" customFormat="1" hidden="1" x14ac:dyDescent="0.25">
      <c r="A262" s="303"/>
      <c r="D262" s="550"/>
      <c r="E262" s="543"/>
      <c r="F262" s="543"/>
      <c r="G262" s="543"/>
      <c r="H262" s="543"/>
      <c r="I262" s="543"/>
      <c r="J262" s="543"/>
      <c r="K262" s="543"/>
      <c r="L262" s="522"/>
      <c r="M262" s="522"/>
      <c r="N262" s="522"/>
      <c r="O262" s="522"/>
      <c r="P262" s="522"/>
      <c r="Q262" s="522"/>
      <c r="R262" s="522"/>
      <c r="S262" s="522"/>
      <c r="T262" s="522"/>
      <c r="U262" s="522"/>
      <c r="V262" s="306"/>
      <c r="W262" s="306"/>
      <c r="X262" s="306"/>
      <c r="Y262" s="306"/>
      <c r="Z262" s="306"/>
      <c r="AA262" s="306"/>
      <c r="AB262" s="306"/>
    </row>
    <row r="263" spans="1:28" s="129" customFormat="1" hidden="1" x14ac:dyDescent="0.25">
      <c r="A263" s="303"/>
      <c r="D263" s="550"/>
      <c r="L263" s="603"/>
      <c r="M263" s="603"/>
      <c r="N263" s="603"/>
      <c r="O263" s="603"/>
      <c r="P263" s="603"/>
      <c r="Q263" s="603"/>
      <c r="R263" s="519"/>
      <c r="S263" s="520"/>
      <c r="T263" s="519"/>
      <c r="U263" s="519"/>
      <c r="V263" s="306"/>
      <c r="W263" s="306"/>
      <c r="X263" s="306"/>
      <c r="Y263" s="306"/>
      <c r="Z263" s="306"/>
      <c r="AA263" s="306"/>
      <c r="AB263" s="306"/>
    </row>
    <row r="264" spans="1:28" s="129" customFormat="1" x14ac:dyDescent="0.25">
      <c r="A264" s="303"/>
      <c r="D264" s="602"/>
      <c r="L264" s="603"/>
      <c r="M264" s="603"/>
      <c r="N264" s="603"/>
      <c r="O264" s="603"/>
      <c r="P264" s="603"/>
      <c r="Q264" s="603"/>
      <c r="R264" s="521"/>
      <c r="S264" s="522"/>
      <c r="T264" s="521"/>
      <c r="U264" s="521"/>
      <c r="V264" s="307"/>
      <c r="W264" s="307"/>
      <c r="X264" s="307"/>
      <c r="Y264" s="307"/>
      <c r="Z264" s="307"/>
      <c r="AA264" s="307"/>
      <c r="AB264" s="307"/>
    </row>
    <row r="265" spans="1:28" s="129" customFormat="1" x14ac:dyDescent="0.25">
      <c r="A265" s="303"/>
      <c r="D265" s="550"/>
      <c r="E265" s="307"/>
      <c r="F265" s="307"/>
      <c r="G265" s="307"/>
      <c r="H265" s="307"/>
      <c r="I265" s="307"/>
      <c r="J265" s="307"/>
      <c r="K265" s="307"/>
      <c r="L265" s="521"/>
      <c r="M265" s="603"/>
      <c r="N265" s="603"/>
      <c r="O265" s="603"/>
      <c r="P265" s="603"/>
      <c r="Q265" s="603"/>
      <c r="R265" s="521"/>
      <c r="S265" s="522"/>
      <c r="T265" s="521"/>
      <c r="U265" s="521"/>
      <c r="V265" s="307"/>
      <c r="W265" s="307"/>
      <c r="X265" s="307"/>
      <c r="Y265" s="307"/>
      <c r="Z265" s="307"/>
      <c r="AA265" s="307"/>
      <c r="AB265" s="307"/>
    </row>
    <row r="266" spans="1:28" s="129" customFormat="1" x14ac:dyDescent="0.25">
      <c r="A266" s="303"/>
      <c r="B266" s="303"/>
      <c r="C266" s="303"/>
      <c r="D266" s="550"/>
      <c r="E266" s="307"/>
      <c r="F266" s="307"/>
      <c r="G266" s="307"/>
      <c r="H266" s="307"/>
      <c r="I266" s="307"/>
      <c r="J266" s="307"/>
      <c r="K266" s="307"/>
      <c r="L266" s="603"/>
      <c r="M266" s="603"/>
      <c r="N266" s="603"/>
      <c r="O266" s="603"/>
      <c r="P266" s="603"/>
      <c r="Q266" s="603"/>
      <c r="R266" s="521"/>
      <c r="S266" s="522"/>
      <c r="T266" s="521"/>
      <c r="U266" s="521"/>
      <c r="V266" s="307"/>
      <c r="W266" s="307"/>
      <c r="X266" s="307"/>
      <c r="Y266" s="307"/>
      <c r="Z266" s="307"/>
      <c r="AA266" s="307"/>
      <c r="AB266" s="307"/>
    </row>
    <row r="267" spans="1:28" s="129" customFormat="1" x14ac:dyDescent="0.25">
      <c r="A267" s="303"/>
      <c r="D267" s="550"/>
      <c r="E267" s="307"/>
      <c r="F267" s="307"/>
      <c r="G267" s="307"/>
      <c r="H267" s="307"/>
      <c r="I267" s="307"/>
      <c r="J267" s="307"/>
      <c r="K267" s="307"/>
      <c r="L267" s="603"/>
      <c r="M267" s="603"/>
      <c r="N267" s="603"/>
      <c r="O267" s="603"/>
      <c r="P267" s="603"/>
      <c r="Q267" s="603"/>
      <c r="R267" s="521"/>
      <c r="S267" s="522"/>
      <c r="T267" s="521"/>
      <c r="U267" s="521"/>
      <c r="V267" s="307"/>
      <c r="W267" s="307"/>
      <c r="X267" s="307"/>
      <c r="Y267" s="307"/>
      <c r="Z267" s="307"/>
      <c r="AA267" s="307"/>
      <c r="AB267" s="307"/>
    </row>
    <row r="268" spans="1:28" s="129" customFormat="1" x14ac:dyDescent="0.25">
      <c r="A268" s="303"/>
      <c r="D268" s="550"/>
      <c r="E268" s="307"/>
      <c r="F268" s="307"/>
      <c r="G268" s="307"/>
      <c r="H268" s="307"/>
      <c r="I268" s="307"/>
      <c r="J268" s="307"/>
      <c r="K268" s="307"/>
      <c r="L268" s="603"/>
      <c r="M268" s="603"/>
      <c r="N268" s="603"/>
      <c r="O268" s="603"/>
      <c r="P268" s="603"/>
      <c r="Q268" s="603"/>
      <c r="R268" s="521"/>
      <c r="S268" s="522"/>
      <c r="T268" s="521"/>
      <c r="U268" s="521"/>
      <c r="V268" s="307"/>
      <c r="W268" s="307"/>
      <c r="X268" s="307"/>
      <c r="Y268" s="307"/>
      <c r="Z268" s="307"/>
      <c r="AA268" s="307"/>
      <c r="AB268" s="307"/>
    </row>
    <row r="269" spans="1:28" s="129" customFormat="1" x14ac:dyDescent="0.25">
      <c r="A269" s="303"/>
      <c r="D269" s="550"/>
      <c r="E269" s="307"/>
      <c r="F269" s="307"/>
      <c r="G269" s="307"/>
      <c r="H269" s="307"/>
      <c r="I269" s="307"/>
      <c r="J269" s="307"/>
      <c r="K269" s="307"/>
      <c r="L269" s="603"/>
      <c r="M269" s="603"/>
      <c r="N269" s="603"/>
      <c r="O269" s="603"/>
      <c r="P269" s="603"/>
      <c r="Q269" s="603"/>
      <c r="R269" s="521"/>
      <c r="S269" s="522"/>
      <c r="T269" s="521"/>
      <c r="U269" s="521"/>
      <c r="V269" s="307"/>
      <c r="W269" s="307"/>
      <c r="X269" s="307"/>
      <c r="Y269" s="307"/>
      <c r="Z269" s="307"/>
      <c r="AA269" s="307"/>
      <c r="AB269" s="307"/>
    </row>
    <row r="270" spans="1:28" s="129" customFormat="1" x14ac:dyDescent="0.25">
      <c r="A270" s="303"/>
      <c r="D270" s="550"/>
      <c r="E270" s="307"/>
      <c r="F270" s="307"/>
      <c r="G270" s="307"/>
      <c r="H270" s="307"/>
      <c r="I270" s="307"/>
      <c r="J270" s="307"/>
      <c r="K270" s="307"/>
      <c r="L270" s="603"/>
      <c r="M270" s="603"/>
      <c r="N270" s="603"/>
      <c r="O270" s="603"/>
      <c r="P270" s="603"/>
      <c r="Q270" s="603"/>
      <c r="R270" s="521"/>
      <c r="S270" s="522"/>
      <c r="T270" s="521"/>
      <c r="U270" s="521"/>
      <c r="V270" s="307"/>
      <c r="W270" s="307"/>
      <c r="X270" s="307"/>
      <c r="Y270" s="307"/>
      <c r="Z270" s="307"/>
      <c r="AA270" s="307"/>
      <c r="AB270" s="307"/>
    </row>
    <row r="271" spans="1:28" s="129" customFormat="1" x14ac:dyDescent="0.25">
      <c r="A271" s="303"/>
      <c r="B271" s="303"/>
      <c r="C271" s="303"/>
      <c r="D271" s="625"/>
      <c r="L271" s="603"/>
      <c r="M271" s="603"/>
      <c r="N271" s="603"/>
      <c r="O271" s="603"/>
      <c r="P271" s="603"/>
      <c r="Q271" s="603"/>
      <c r="R271" s="521"/>
      <c r="S271" s="522"/>
      <c r="T271" s="521"/>
      <c r="U271" s="521"/>
      <c r="V271" s="307"/>
      <c r="W271" s="307"/>
      <c r="X271" s="307"/>
      <c r="Y271" s="307"/>
      <c r="Z271" s="307"/>
      <c r="AA271" s="307"/>
      <c r="AB271" s="307"/>
    </row>
    <row r="272" spans="1:28" s="129" customFormat="1" x14ac:dyDescent="0.25">
      <c r="A272" s="303"/>
      <c r="D272" s="625"/>
      <c r="L272" s="603"/>
      <c r="M272" s="603"/>
      <c r="N272" s="603"/>
      <c r="O272" s="603"/>
      <c r="P272" s="603"/>
      <c r="Q272" s="603"/>
      <c r="R272" s="521"/>
      <c r="S272" s="522"/>
      <c r="T272" s="521"/>
      <c r="U272" s="521"/>
      <c r="V272" s="307"/>
      <c r="W272" s="307"/>
      <c r="X272" s="307"/>
      <c r="Y272" s="307"/>
      <c r="Z272" s="307"/>
      <c r="AA272" s="307"/>
      <c r="AB272" s="307"/>
    </row>
    <row r="273" spans="1:28" s="129" customFormat="1" x14ac:dyDescent="0.25">
      <c r="A273" s="303"/>
      <c r="D273" s="625"/>
      <c r="L273" s="603"/>
      <c r="M273" s="603"/>
      <c r="N273" s="603"/>
      <c r="O273" s="603"/>
      <c r="P273" s="603"/>
      <c r="Q273" s="603"/>
      <c r="R273" s="521"/>
      <c r="S273" s="522"/>
      <c r="T273" s="521"/>
      <c r="U273" s="521"/>
      <c r="V273" s="307"/>
      <c r="W273" s="307"/>
      <c r="X273" s="307"/>
      <c r="Y273" s="307"/>
      <c r="Z273" s="307"/>
      <c r="AA273" s="307"/>
      <c r="AB273" s="307"/>
    </row>
    <row r="274" spans="1:28" s="129" customFormat="1" x14ac:dyDescent="0.25">
      <c r="A274" s="303"/>
      <c r="D274" s="625"/>
      <c r="L274" s="603"/>
      <c r="M274" s="603"/>
      <c r="N274" s="603"/>
      <c r="O274" s="603"/>
      <c r="P274" s="603"/>
      <c r="Q274" s="603"/>
      <c r="R274" s="521"/>
      <c r="S274" s="522"/>
      <c r="T274" s="521"/>
      <c r="U274" s="521"/>
      <c r="V274" s="307"/>
      <c r="W274" s="307"/>
      <c r="X274" s="307"/>
      <c r="Y274" s="307"/>
      <c r="Z274" s="307"/>
      <c r="AA274" s="307"/>
      <c r="AB274" s="307"/>
    </row>
    <row r="275" spans="1:28" s="129" customFormat="1" x14ac:dyDescent="0.25">
      <c r="A275" s="303"/>
      <c r="D275" s="602"/>
      <c r="L275" s="603"/>
      <c r="M275" s="603"/>
      <c r="N275" s="603"/>
      <c r="O275" s="603"/>
      <c r="P275" s="603"/>
      <c r="Q275" s="603"/>
      <c r="R275" s="521"/>
      <c r="S275" s="522"/>
      <c r="T275" s="521"/>
      <c r="U275" s="521"/>
      <c r="V275" s="307"/>
      <c r="W275" s="307"/>
      <c r="X275" s="307"/>
      <c r="Y275" s="307"/>
      <c r="Z275" s="307"/>
      <c r="AA275" s="307"/>
      <c r="AB275" s="307"/>
    </row>
    <row r="276" spans="1:28" s="129" customFormat="1" x14ac:dyDescent="0.25">
      <c r="A276" s="303"/>
      <c r="D276" s="602"/>
      <c r="L276" s="603"/>
      <c r="M276" s="603"/>
      <c r="N276" s="603"/>
      <c r="O276" s="603"/>
      <c r="P276" s="603"/>
      <c r="Q276" s="603"/>
      <c r="R276" s="521"/>
      <c r="S276" s="522"/>
      <c r="T276" s="521"/>
      <c r="U276" s="521"/>
      <c r="V276" s="307"/>
      <c r="W276" s="307"/>
      <c r="X276" s="307"/>
      <c r="Y276" s="307"/>
      <c r="Z276" s="307"/>
      <c r="AA276" s="307"/>
      <c r="AB276" s="307"/>
    </row>
    <row r="277" spans="1:28" s="129" customFormat="1" x14ac:dyDescent="0.25">
      <c r="A277" s="303"/>
      <c r="D277" s="602"/>
      <c r="L277" s="603"/>
      <c r="M277" s="603"/>
      <c r="N277" s="603"/>
      <c r="O277" s="603"/>
      <c r="P277" s="603"/>
      <c r="Q277" s="603"/>
      <c r="R277" s="521"/>
      <c r="S277" s="522"/>
      <c r="T277" s="521"/>
      <c r="U277" s="521"/>
      <c r="V277" s="307"/>
      <c r="W277" s="307"/>
      <c r="X277" s="307"/>
      <c r="Y277" s="307"/>
      <c r="Z277" s="307"/>
      <c r="AA277" s="307"/>
      <c r="AB277" s="307"/>
    </row>
    <row r="278" spans="1:28" s="129" customFormat="1" x14ac:dyDescent="0.25">
      <c r="A278" s="303"/>
      <c r="D278" s="602"/>
      <c r="L278" s="603"/>
      <c r="M278" s="603"/>
      <c r="N278" s="603"/>
      <c r="O278" s="603"/>
      <c r="P278" s="603"/>
      <c r="Q278" s="603"/>
      <c r="R278" s="521"/>
      <c r="S278" s="522"/>
      <c r="T278" s="521"/>
      <c r="U278" s="521"/>
      <c r="V278" s="307"/>
      <c r="W278" s="307"/>
      <c r="X278" s="307"/>
      <c r="Y278" s="307"/>
      <c r="Z278" s="307"/>
      <c r="AA278" s="307"/>
      <c r="AB278" s="307"/>
    </row>
    <row r="279" spans="1:28" s="129" customFormat="1" x14ac:dyDescent="0.25">
      <c r="A279" s="303"/>
      <c r="D279" s="602"/>
      <c r="L279" s="603"/>
      <c r="M279" s="603"/>
      <c r="N279" s="603"/>
      <c r="O279" s="603"/>
      <c r="P279" s="603"/>
      <c r="Q279" s="603"/>
      <c r="R279" s="521"/>
      <c r="S279" s="522"/>
      <c r="T279" s="521"/>
      <c r="U279" s="521"/>
      <c r="V279" s="307"/>
      <c r="W279" s="307"/>
      <c r="X279" s="307"/>
      <c r="Y279" s="307"/>
      <c r="Z279" s="307"/>
      <c r="AA279" s="307"/>
      <c r="AB279" s="307"/>
    </row>
    <row r="280" spans="1:28" s="129" customFormat="1" x14ac:dyDescent="0.25">
      <c r="A280" s="303"/>
      <c r="D280" s="602"/>
      <c r="L280" s="603"/>
      <c r="M280" s="603"/>
      <c r="N280" s="603"/>
      <c r="O280" s="603"/>
      <c r="P280" s="603"/>
      <c r="Q280" s="603"/>
      <c r="R280" s="521"/>
      <c r="S280" s="522"/>
      <c r="T280" s="521"/>
      <c r="U280" s="521"/>
      <c r="V280" s="307"/>
      <c r="W280" s="307"/>
      <c r="X280" s="307"/>
      <c r="Y280" s="307"/>
      <c r="Z280" s="307"/>
      <c r="AA280" s="307"/>
      <c r="AB280" s="307"/>
    </row>
    <row r="281" spans="1:28" s="129" customFormat="1" x14ac:dyDescent="0.25">
      <c r="A281" s="303"/>
      <c r="D281" s="602"/>
      <c r="L281" s="603"/>
      <c r="M281" s="603"/>
      <c r="N281" s="603"/>
      <c r="O281" s="603"/>
      <c r="P281" s="603"/>
      <c r="Q281" s="603"/>
      <c r="R281" s="521"/>
      <c r="S281" s="522"/>
      <c r="T281" s="521"/>
      <c r="U281" s="521"/>
      <c r="V281" s="307"/>
      <c r="W281" s="307"/>
      <c r="X281" s="307"/>
      <c r="Y281" s="307"/>
      <c r="Z281" s="307"/>
      <c r="AA281" s="307"/>
      <c r="AB281" s="307"/>
    </row>
    <row r="282" spans="1:28" s="129" customFormat="1" x14ac:dyDescent="0.25">
      <c r="A282" s="303"/>
      <c r="D282" s="602"/>
      <c r="L282" s="603"/>
      <c r="M282" s="603"/>
      <c r="N282" s="603"/>
      <c r="O282" s="603"/>
      <c r="P282" s="603"/>
      <c r="Q282" s="603"/>
      <c r="R282" s="521"/>
      <c r="S282" s="522"/>
      <c r="T282" s="521"/>
      <c r="U282" s="521"/>
      <c r="V282" s="307"/>
      <c r="W282" s="307"/>
      <c r="X282" s="307"/>
      <c r="Y282" s="307"/>
      <c r="Z282" s="307"/>
      <c r="AA282" s="307"/>
      <c r="AB282" s="307"/>
    </row>
    <row r="284" spans="1:28" x14ac:dyDescent="0.25">
      <c r="B284" t="s">
        <v>738</v>
      </c>
    </row>
  </sheetData>
  <mergeCells count="2">
    <mergeCell ref="B220:D220"/>
    <mergeCell ref="B235:D235"/>
  </mergeCells>
  <phoneticPr fontId="6" type="noConversion"/>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0F905-9752-4057-A0A3-D38F7D911B58}">
  <sheetPr>
    <tabColor rgb="FF0070C0"/>
  </sheetPr>
  <dimension ref="A1:Z203"/>
  <sheetViews>
    <sheetView showGridLines="0" zoomScale="70" zoomScaleNormal="70" workbookViewId="0">
      <pane xSplit="2" ySplit="6" topLeftCell="C7" activePane="bottomRight" state="frozen"/>
      <selection pane="topRight" activeCell="C1" sqref="C1"/>
      <selection pane="bottomLeft" activeCell="A7" sqref="A7"/>
      <selection pane="bottomRight" activeCell="A55" sqref="A55"/>
    </sheetView>
  </sheetViews>
  <sheetFormatPr defaultColWidth="8.7109375" defaultRowHeight="15" x14ac:dyDescent="0.25"/>
  <cols>
    <col min="1" max="1" width="8.7109375" style="1"/>
    <col min="2" max="2" width="40.85546875" customWidth="1"/>
    <col min="3" max="3" width="10.5703125" bestFit="1" customWidth="1"/>
    <col min="4" max="6" width="11.85546875" style="547" customWidth="1"/>
    <col min="7" max="7" width="13.140625" style="546" customWidth="1"/>
    <col min="8" max="12" width="11.140625" style="546" bestFit="1" customWidth="1"/>
    <col min="13" max="13" width="11.140625" style="517" bestFit="1" customWidth="1"/>
    <col min="14" max="14" width="11.140625" style="518" bestFit="1" customWidth="1"/>
    <col min="15" max="16" width="11.140625" style="517" bestFit="1" customWidth="1"/>
    <col min="17" max="23" width="12.28515625" style="156" bestFit="1" customWidth="1"/>
    <col min="24" max="24" width="12.28515625" bestFit="1" customWidth="1"/>
    <col min="26" max="26" width="13.28515625" bestFit="1" customWidth="1"/>
  </cols>
  <sheetData>
    <row r="1" spans="1:23" x14ac:dyDescent="0.25">
      <c r="D1"/>
      <c r="E1"/>
      <c r="F1"/>
    </row>
    <row r="2" spans="1:23" s="1" customFormat="1" x14ac:dyDescent="0.25">
      <c r="B2" s="585" t="s">
        <v>653</v>
      </c>
      <c r="C2" s="585"/>
      <c r="D2" s="585"/>
      <c r="E2" s="585"/>
      <c r="F2" s="585"/>
      <c r="G2" s="586"/>
      <c r="H2" s="586"/>
      <c r="I2" s="586"/>
      <c r="J2" s="586"/>
      <c r="K2" s="586"/>
      <c r="L2" s="586"/>
      <c r="M2" s="563"/>
      <c r="N2" s="564"/>
      <c r="O2" s="563"/>
      <c r="P2" s="563"/>
      <c r="Q2" s="116"/>
      <c r="R2" s="116"/>
      <c r="S2" s="116"/>
      <c r="T2" s="116"/>
      <c r="U2" s="116"/>
      <c r="V2" s="116"/>
      <c r="W2" s="116"/>
    </row>
    <row r="3" spans="1:23" x14ac:dyDescent="0.25">
      <c r="D3"/>
      <c r="E3"/>
      <c r="F3"/>
    </row>
    <row r="4" spans="1:23" x14ac:dyDescent="0.25">
      <c r="A4" s="1">
        <v>1</v>
      </c>
      <c r="B4" s="587" t="s">
        <v>826</v>
      </c>
      <c r="C4" s="316"/>
      <c r="D4" s="588"/>
      <c r="E4" s="588"/>
      <c r="F4" s="588"/>
      <c r="G4" s="589"/>
      <c r="H4" s="589"/>
      <c r="I4" s="589"/>
      <c r="J4" s="589"/>
      <c r="K4" s="589"/>
      <c r="L4" s="589"/>
      <c r="M4" s="553"/>
      <c r="N4" s="554"/>
      <c r="O4" s="553"/>
      <c r="P4" s="553"/>
    </row>
    <row r="5" spans="1:23" x14ac:dyDescent="0.25">
      <c r="B5" s="1"/>
      <c r="C5" s="1"/>
      <c r="G5" s="590"/>
      <c r="H5" s="590"/>
      <c r="I5" s="590"/>
      <c r="J5" s="590"/>
      <c r="K5" s="590"/>
      <c r="L5" s="590"/>
      <c r="M5" s="590"/>
      <c r="N5" s="590"/>
      <c r="O5" s="590"/>
      <c r="P5" s="590"/>
    </row>
    <row r="6" spans="1:23" s="560" customFormat="1" ht="22.9" customHeight="1" x14ac:dyDescent="0.25">
      <c r="B6" s="570" t="s">
        <v>641</v>
      </c>
      <c r="C6" s="570" t="s">
        <v>642</v>
      </c>
      <c r="D6" s="591">
        <v>2021</v>
      </c>
      <c r="E6" s="591">
        <v>2022</v>
      </c>
      <c r="F6" s="591">
        <v>2023</v>
      </c>
      <c r="G6" s="1468">
        <v>2024</v>
      </c>
      <c r="H6" s="1468">
        <v>2025</v>
      </c>
      <c r="I6" s="1468">
        <v>2026</v>
      </c>
      <c r="J6" s="1468">
        <v>2027</v>
      </c>
      <c r="K6" s="1468">
        <v>2028</v>
      </c>
      <c r="L6" s="1468">
        <v>2029</v>
      </c>
      <c r="M6" s="1468">
        <v>2030</v>
      </c>
      <c r="N6" s="1468">
        <v>2031</v>
      </c>
      <c r="O6" s="1468">
        <v>2032</v>
      </c>
      <c r="P6" s="1468">
        <v>2033</v>
      </c>
      <c r="Q6" s="516"/>
      <c r="R6" s="516"/>
      <c r="S6" s="516"/>
      <c r="T6" s="516"/>
      <c r="U6" s="516"/>
      <c r="V6" s="516"/>
      <c r="W6" s="516"/>
    </row>
    <row r="7" spans="1:23" s="560" customFormat="1" x14ac:dyDescent="0.25">
      <c r="B7" s="587" t="s">
        <v>873</v>
      </c>
      <c r="C7" s="587"/>
      <c r="D7" s="593"/>
      <c r="E7" s="593"/>
      <c r="F7" s="593"/>
      <c r="G7" s="594"/>
      <c r="H7" s="594"/>
      <c r="I7" s="594"/>
      <c r="J7" s="594"/>
      <c r="K7" s="594"/>
      <c r="L7" s="594"/>
      <c r="M7" s="594"/>
      <c r="N7" s="594"/>
      <c r="O7" s="594"/>
      <c r="P7" s="594"/>
      <c r="Q7" s="516"/>
      <c r="R7" s="516"/>
      <c r="S7" s="516"/>
      <c r="T7" s="516"/>
      <c r="U7" s="516"/>
      <c r="V7" s="516"/>
      <c r="W7" s="516"/>
    </row>
    <row r="8" spans="1:23" s="492" customFormat="1" x14ac:dyDescent="0.25">
      <c r="B8" s="1289" t="s">
        <v>826</v>
      </c>
      <c r="C8" s="1289"/>
      <c r="D8" s="2139"/>
      <c r="E8" s="2139"/>
      <c r="F8" s="2139"/>
      <c r="G8" s="2140">
        <f>'2. Input'!C11</f>
        <v>0.8</v>
      </c>
      <c r="H8" s="2140">
        <f>G8</f>
        <v>0.8</v>
      </c>
      <c r="I8" s="2140">
        <f t="shared" ref="I8:P8" si="0">H8</f>
        <v>0.8</v>
      </c>
      <c r="J8" s="2140">
        <f t="shared" si="0"/>
        <v>0.8</v>
      </c>
      <c r="K8" s="2140">
        <f t="shared" si="0"/>
        <v>0.8</v>
      </c>
      <c r="L8" s="2140">
        <f t="shared" si="0"/>
        <v>0.8</v>
      </c>
      <c r="M8" s="2140">
        <f t="shared" si="0"/>
        <v>0.8</v>
      </c>
      <c r="N8" s="2140">
        <f t="shared" si="0"/>
        <v>0.8</v>
      </c>
      <c r="O8" s="2140">
        <f t="shared" si="0"/>
        <v>0.8</v>
      </c>
      <c r="P8" s="2140">
        <f t="shared" si="0"/>
        <v>0.8</v>
      </c>
      <c r="Q8" s="558"/>
      <c r="R8" s="558"/>
      <c r="S8" s="558"/>
      <c r="T8" s="558"/>
      <c r="U8" s="558"/>
      <c r="V8" s="558"/>
      <c r="W8" s="558"/>
    </row>
    <row r="9" spans="1:23" s="492" customFormat="1" x14ac:dyDescent="0.25">
      <c r="B9" s="1289" t="s">
        <v>875</v>
      </c>
      <c r="C9" s="1289"/>
      <c r="D9" s="2139"/>
      <c r="E9" s="2139"/>
      <c r="F9" s="2139"/>
      <c r="G9" s="2140">
        <f>'2. Input'!C12</f>
        <v>0.13</v>
      </c>
      <c r="H9" s="2140">
        <f t="shared" ref="H9:P10" si="1">G9</f>
        <v>0.13</v>
      </c>
      <c r="I9" s="2140">
        <f t="shared" si="1"/>
        <v>0.13</v>
      </c>
      <c r="J9" s="2140">
        <f t="shared" si="1"/>
        <v>0.13</v>
      </c>
      <c r="K9" s="2140">
        <f t="shared" si="1"/>
        <v>0.13</v>
      </c>
      <c r="L9" s="2140">
        <f t="shared" si="1"/>
        <v>0.13</v>
      </c>
      <c r="M9" s="2140">
        <f t="shared" si="1"/>
        <v>0.13</v>
      </c>
      <c r="N9" s="2140">
        <f t="shared" si="1"/>
        <v>0.13</v>
      </c>
      <c r="O9" s="2140">
        <f t="shared" si="1"/>
        <v>0.13</v>
      </c>
      <c r="P9" s="2140">
        <f t="shared" si="1"/>
        <v>0.13</v>
      </c>
      <c r="Q9" s="558"/>
      <c r="R9" s="558"/>
      <c r="S9" s="558"/>
      <c r="T9" s="558"/>
      <c r="U9" s="558"/>
      <c r="V9" s="558"/>
      <c r="W9" s="558"/>
    </row>
    <row r="10" spans="1:23" s="492" customFormat="1" x14ac:dyDescent="0.25">
      <c r="B10" s="1289" t="s">
        <v>876</v>
      </c>
      <c r="C10" s="1289"/>
      <c r="D10" s="2139"/>
      <c r="E10" s="2139"/>
      <c r="F10" s="2139"/>
      <c r="G10" s="2140">
        <f>'2. Input'!C13</f>
        <v>7.0000000000000007E-2</v>
      </c>
      <c r="H10" s="2140">
        <f t="shared" si="1"/>
        <v>7.0000000000000007E-2</v>
      </c>
      <c r="I10" s="2140">
        <f t="shared" si="1"/>
        <v>7.0000000000000007E-2</v>
      </c>
      <c r="J10" s="2140">
        <f t="shared" si="1"/>
        <v>7.0000000000000007E-2</v>
      </c>
      <c r="K10" s="2140">
        <f t="shared" si="1"/>
        <v>7.0000000000000007E-2</v>
      </c>
      <c r="L10" s="2140">
        <f t="shared" si="1"/>
        <v>7.0000000000000007E-2</v>
      </c>
      <c r="M10" s="2140">
        <f t="shared" si="1"/>
        <v>7.0000000000000007E-2</v>
      </c>
      <c r="N10" s="2140">
        <f t="shared" si="1"/>
        <v>7.0000000000000007E-2</v>
      </c>
      <c r="O10" s="2140">
        <f t="shared" si="1"/>
        <v>7.0000000000000007E-2</v>
      </c>
      <c r="P10" s="2140">
        <f t="shared" si="1"/>
        <v>7.0000000000000007E-2</v>
      </c>
      <c r="Q10" s="558"/>
      <c r="R10" s="558"/>
      <c r="S10" s="558"/>
      <c r="T10" s="558"/>
      <c r="U10" s="558"/>
      <c r="V10" s="558"/>
      <c r="W10" s="558"/>
    </row>
    <row r="11" spans="1:23" s="560" customFormat="1" x14ac:dyDescent="0.25">
      <c r="B11" s="692"/>
      <c r="C11" s="692"/>
      <c r="D11" s="2141"/>
      <c r="E11" s="2141"/>
      <c r="F11" s="2141"/>
      <c r="G11" s="2142"/>
      <c r="H11" s="2142"/>
      <c r="I11" s="2142"/>
      <c r="J11" s="2142"/>
      <c r="K11" s="2142"/>
      <c r="L11" s="2142"/>
      <c r="M11" s="2142"/>
      <c r="N11" s="2142"/>
      <c r="O11" s="2142"/>
      <c r="P11" s="2142"/>
      <c r="Q11" s="516"/>
      <c r="R11" s="516"/>
      <c r="S11" s="516"/>
      <c r="T11" s="516"/>
      <c r="U11" s="516"/>
      <c r="V11" s="516"/>
      <c r="W11" s="516"/>
    </row>
    <row r="12" spans="1:23" s="560" customFormat="1" x14ac:dyDescent="0.25">
      <c r="B12" s="692"/>
      <c r="C12" s="692"/>
      <c r="D12" s="2141"/>
      <c r="E12" s="2141"/>
      <c r="F12" s="2141"/>
      <c r="G12" s="2142"/>
      <c r="H12" s="2142"/>
      <c r="I12" s="2142"/>
      <c r="J12" s="2142"/>
      <c r="K12" s="2142"/>
      <c r="L12" s="2142"/>
      <c r="M12" s="2142"/>
      <c r="N12" s="2142"/>
      <c r="O12" s="2142"/>
      <c r="P12" s="2142"/>
      <c r="Q12" s="516"/>
      <c r="R12" s="516"/>
      <c r="S12" s="516"/>
      <c r="T12" s="516"/>
      <c r="U12" s="516"/>
      <c r="V12" s="516"/>
      <c r="W12" s="516"/>
    </row>
    <row r="13" spans="1:23" s="560" customFormat="1" x14ac:dyDescent="0.25">
      <c r="B13" s="692"/>
      <c r="C13" s="692"/>
      <c r="D13" s="2141"/>
      <c r="E13" s="2141"/>
      <c r="F13" s="2141"/>
      <c r="G13" s="2143">
        <v>0.01</v>
      </c>
      <c r="H13" s="2143">
        <f>G13</f>
        <v>0.01</v>
      </c>
      <c r="I13" s="2143">
        <f t="shared" ref="I13:P13" si="2">H13</f>
        <v>0.01</v>
      </c>
      <c r="J13" s="2143">
        <f t="shared" si="2"/>
        <v>0.01</v>
      </c>
      <c r="K13" s="2143">
        <f t="shared" si="2"/>
        <v>0.01</v>
      </c>
      <c r="L13" s="2143">
        <f t="shared" si="2"/>
        <v>0.01</v>
      </c>
      <c r="M13" s="2143">
        <f t="shared" si="2"/>
        <v>0.01</v>
      </c>
      <c r="N13" s="2143">
        <f t="shared" si="2"/>
        <v>0.01</v>
      </c>
      <c r="O13" s="2143">
        <f t="shared" si="2"/>
        <v>0.01</v>
      </c>
      <c r="P13" s="2143">
        <f t="shared" si="2"/>
        <v>0.01</v>
      </c>
      <c r="Q13" s="516"/>
      <c r="R13" s="516"/>
      <c r="S13" s="516"/>
      <c r="T13" s="516"/>
      <c r="U13" s="516"/>
      <c r="V13" s="516"/>
      <c r="W13" s="516"/>
    </row>
    <row r="14" spans="1:23" s="560" customFormat="1" x14ac:dyDescent="0.25">
      <c r="B14" s="2144" t="s">
        <v>654</v>
      </c>
      <c r="C14" s="2144"/>
      <c r="D14" s="2145"/>
      <c r="E14" s="2145"/>
      <c r="F14" s="2145"/>
      <c r="G14" s="596">
        <f>SUM(G15:G20)</f>
        <v>74253.028499999986</v>
      </c>
      <c r="H14" s="596">
        <f t="shared" ref="H14:P14" si="3">SUM(H15:H20)</f>
        <v>74995.558784999972</v>
      </c>
      <c r="I14" s="596">
        <f t="shared" si="3"/>
        <v>75745.514372849968</v>
      </c>
      <c r="J14" s="596">
        <f t="shared" si="3"/>
        <v>76502.969516578494</v>
      </c>
      <c r="K14" s="596">
        <f t="shared" si="3"/>
        <v>77267.99921174426</v>
      </c>
      <c r="L14" s="596">
        <f t="shared" si="3"/>
        <v>78040.679203861713</v>
      </c>
      <c r="M14" s="596">
        <f t="shared" si="3"/>
        <v>78821.085995900328</v>
      </c>
      <c r="N14" s="596">
        <f t="shared" si="3"/>
        <v>79609.296855859313</v>
      </c>
      <c r="O14" s="596">
        <f t="shared" si="3"/>
        <v>80405.389824417914</v>
      </c>
      <c r="P14" s="596">
        <f t="shared" si="3"/>
        <v>81209.443722662108</v>
      </c>
      <c r="Q14" s="516"/>
      <c r="R14" s="516"/>
      <c r="S14" s="516"/>
      <c r="T14" s="516"/>
      <c r="U14" s="516"/>
      <c r="V14" s="516"/>
      <c r="W14" s="516"/>
    </row>
    <row r="15" spans="1:23" s="9" customFormat="1" x14ac:dyDescent="0.25">
      <c r="B15" s="474" t="s">
        <v>859</v>
      </c>
      <c r="C15" s="474" t="s">
        <v>704</v>
      </c>
      <c r="D15" s="2146">
        <v>16486.993999999999</v>
      </c>
      <c r="E15" s="2146">
        <v>18022.920000000013</v>
      </c>
      <c r="F15" s="2146">
        <v>55557.099999999977</v>
      </c>
      <c r="G15" s="2146">
        <f>F15*(1+G$13)</f>
        <v>56112.67099999998</v>
      </c>
      <c r="H15" s="2146">
        <f t="shared" ref="H15:P15" si="4">G15*(1+H$13)</f>
        <v>56673.797709999977</v>
      </c>
      <c r="I15" s="2146">
        <f t="shared" si="4"/>
        <v>57240.535687099975</v>
      </c>
      <c r="J15" s="2146">
        <f t="shared" si="4"/>
        <v>57812.941043970975</v>
      </c>
      <c r="K15" s="2146">
        <f t="shared" si="4"/>
        <v>58391.070454410685</v>
      </c>
      <c r="L15" s="2146">
        <f t="shared" si="4"/>
        <v>58974.98115895479</v>
      </c>
      <c r="M15" s="2146">
        <f t="shared" si="4"/>
        <v>59564.73097054434</v>
      </c>
      <c r="N15" s="2146">
        <f t="shared" si="4"/>
        <v>60160.378280249781</v>
      </c>
      <c r="O15" s="2146">
        <f t="shared" si="4"/>
        <v>60761.982063052281</v>
      </c>
      <c r="P15" s="2146">
        <f t="shared" si="4"/>
        <v>61369.601883682801</v>
      </c>
      <c r="Q15" s="556"/>
      <c r="R15" s="556"/>
      <c r="S15" s="556"/>
      <c r="T15" s="556"/>
      <c r="U15" s="556"/>
      <c r="V15" s="556"/>
      <c r="W15" s="556"/>
    </row>
    <row r="16" spans="1:23" s="9" customFormat="1" x14ac:dyDescent="0.25">
      <c r="B16" s="474" t="s">
        <v>860</v>
      </c>
      <c r="C16" s="474" t="s">
        <v>704</v>
      </c>
      <c r="D16" s="2147">
        <v>12729.9</v>
      </c>
      <c r="E16" s="2147">
        <v>9754.7499999999982</v>
      </c>
      <c r="F16" s="2147">
        <v>8556.9000000000015</v>
      </c>
      <c r="G16" s="2146">
        <f>F16*(1+G$13)</f>
        <v>8642.469000000001</v>
      </c>
      <c r="H16" s="2146">
        <f t="shared" ref="H16:P16" si="5">G16*(1+H$13)</f>
        <v>8728.8936900000008</v>
      </c>
      <c r="I16" s="2146">
        <f t="shared" si="5"/>
        <v>8816.1826269000012</v>
      </c>
      <c r="J16" s="2146">
        <f t="shared" si="5"/>
        <v>8904.344453169002</v>
      </c>
      <c r="K16" s="2146">
        <f t="shared" si="5"/>
        <v>8993.3878977006916</v>
      </c>
      <c r="L16" s="2146">
        <f t="shared" si="5"/>
        <v>9083.3217766776979</v>
      </c>
      <c r="M16" s="2146">
        <f t="shared" si="5"/>
        <v>9174.1549944444741</v>
      </c>
      <c r="N16" s="2146">
        <f t="shared" si="5"/>
        <v>9265.8965443889192</v>
      </c>
      <c r="O16" s="2146">
        <f t="shared" si="5"/>
        <v>9358.5555098328077</v>
      </c>
      <c r="P16" s="2146">
        <f t="shared" si="5"/>
        <v>9452.1410649311365</v>
      </c>
      <c r="Q16" s="556"/>
      <c r="R16" s="556"/>
      <c r="S16" s="556"/>
      <c r="T16" s="556"/>
      <c r="U16" s="556"/>
      <c r="V16" s="556"/>
      <c r="W16" s="556"/>
    </row>
    <row r="17" spans="2:23" s="9" customFormat="1" x14ac:dyDescent="0.25">
      <c r="B17" s="474" t="s">
        <v>861</v>
      </c>
      <c r="C17" s="474" t="s">
        <v>704</v>
      </c>
      <c r="D17" s="2147">
        <v>27276.85</v>
      </c>
      <c r="E17" s="2147">
        <v>15267.98</v>
      </c>
      <c r="F17" s="2147">
        <v>4886.9999999999991</v>
      </c>
      <c r="G17" s="2146">
        <f t="shared" ref="G17:P20" si="6">F17*(1+G$13)</f>
        <v>4935.869999999999</v>
      </c>
      <c r="H17" s="2146">
        <f t="shared" si="6"/>
        <v>4985.2286999999988</v>
      </c>
      <c r="I17" s="2146">
        <f t="shared" si="6"/>
        <v>5035.0809869999985</v>
      </c>
      <c r="J17" s="2146">
        <f t="shared" si="6"/>
        <v>5085.4317968699988</v>
      </c>
      <c r="K17" s="2146">
        <f t="shared" si="6"/>
        <v>5136.2861148386992</v>
      </c>
      <c r="L17" s="2146">
        <f t="shared" si="6"/>
        <v>5187.6489759870865</v>
      </c>
      <c r="M17" s="2146">
        <f t="shared" si="6"/>
        <v>5239.5254657469577</v>
      </c>
      <c r="N17" s="2146">
        <f t="shared" si="6"/>
        <v>5291.9207204044269</v>
      </c>
      <c r="O17" s="2146">
        <f t="shared" si="6"/>
        <v>5344.839927608471</v>
      </c>
      <c r="P17" s="2146">
        <f t="shared" si="6"/>
        <v>5398.2883268845562</v>
      </c>
      <c r="Q17" s="556"/>
      <c r="R17" s="556"/>
      <c r="S17" s="556"/>
      <c r="T17" s="556"/>
      <c r="U17" s="556"/>
      <c r="V17" s="556"/>
      <c r="W17" s="556"/>
    </row>
    <row r="18" spans="2:23" s="9" customFormat="1" x14ac:dyDescent="0.25">
      <c r="B18" s="474" t="s">
        <v>862</v>
      </c>
      <c r="C18" s="474" t="s">
        <v>704</v>
      </c>
      <c r="D18" s="2147">
        <v>13016.85</v>
      </c>
      <c r="E18" s="2147">
        <v>10864.4</v>
      </c>
      <c r="F18" s="2147">
        <v>3039.45</v>
      </c>
      <c r="G18" s="2146">
        <f t="shared" si="6"/>
        <v>3069.8444999999997</v>
      </c>
      <c r="H18" s="2146">
        <f t="shared" si="6"/>
        <v>3100.5429449999997</v>
      </c>
      <c r="I18" s="2146">
        <f t="shared" si="6"/>
        <v>3131.5483744499998</v>
      </c>
      <c r="J18" s="2146">
        <f t="shared" si="6"/>
        <v>3162.8638581944997</v>
      </c>
      <c r="K18" s="2146">
        <f t="shared" si="6"/>
        <v>3194.4924967764446</v>
      </c>
      <c r="L18" s="2146">
        <f t="shared" si="6"/>
        <v>3226.4374217442091</v>
      </c>
      <c r="M18" s="2146">
        <f t="shared" si="6"/>
        <v>3258.7017959616514</v>
      </c>
      <c r="N18" s="2146">
        <f t="shared" si="6"/>
        <v>3291.2888139212678</v>
      </c>
      <c r="O18" s="2146">
        <f t="shared" si="6"/>
        <v>3324.2017020604803</v>
      </c>
      <c r="P18" s="2146">
        <f t="shared" si="6"/>
        <v>3357.443719081085</v>
      </c>
      <c r="Q18" s="556"/>
      <c r="R18" s="556"/>
      <c r="S18" s="556"/>
      <c r="T18" s="556"/>
      <c r="U18" s="556"/>
      <c r="V18" s="556"/>
      <c r="W18" s="556"/>
    </row>
    <row r="19" spans="2:23" s="9" customFormat="1" x14ac:dyDescent="0.25">
      <c r="B19" s="474" t="s">
        <v>863</v>
      </c>
      <c r="C19" s="474" t="s">
        <v>704</v>
      </c>
      <c r="D19" s="2147">
        <v>0</v>
      </c>
      <c r="E19" s="2147">
        <v>0</v>
      </c>
      <c r="F19" s="2147">
        <v>1365.4500000000003</v>
      </c>
      <c r="G19" s="2146">
        <f t="shared" si="6"/>
        <v>1379.1045000000004</v>
      </c>
      <c r="H19" s="2146">
        <f t="shared" si="6"/>
        <v>1392.8955450000003</v>
      </c>
      <c r="I19" s="2146">
        <f t="shared" si="6"/>
        <v>1406.8245004500004</v>
      </c>
      <c r="J19" s="2146">
        <f t="shared" si="6"/>
        <v>1420.8927454545005</v>
      </c>
      <c r="K19" s="2146">
        <f t="shared" si="6"/>
        <v>1435.1016729090456</v>
      </c>
      <c r="L19" s="2146">
        <f t="shared" si="6"/>
        <v>1449.452689638136</v>
      </c>
      <c r="M19" s="2146">
        <f t="shared" si="6"/>
        <v>1463.9472165345173</v>
      </c>
      <c r="N19" s="2146">
        <f t="shared" si="6"/>
        <v>1478.5866886998626</v>
      </c>
      <c r="O19" s="2146">
        <f t="shared" si="6"/>
        <v>1493.3725555868614</v>
      </c>
      <c r="P19" s="2146">
        <f t="shared" si="6"/>
        <v>1508.3062811427301</v>
      </c>
      <c r="Q19" s="556"/>
      <c r="R19" s="556"/>
      <c r="S19" s="556"/>
      <c r="T19" s="556"/>
      <c r="U19" s="556"/>
      <c r="V19" s="556"/>
      <c r="W19" s="556"/>
    </row>
    <row r="20" spans="2:23" s="9" customFormat="1" x14ac:dyDescent="0.25">
      <c r="B20" s="474" t="s">
        <v>864</v>
      </c>
      <c r="C20" s="474" t="s">
        <v>704</v>
      </c>
      <c r="D20" s="2146">
        <v>3987.2</v>
      </c>
      <c r="E20" s="2146">
        <v>1987.5999999999997</v>
      </c>
      <c r="F20" s="2146">
        <v>111.95</v>
      </c>
      <c r="G20" s="2146">
        <f t="shared" si="6"/>
        <v>113.06950000000001</v>
      </c>
      <c r="H20" s="2146">
        <f t="shared" si="6"/>
        <v>114.20019500000001</v>
      </c>
      <c r="I20" s="2146">
        <f t="shared" si="6"/>
        <v>115.34219695000002</v>
      </c>
      <c r="J20" s="2146">
        <f t="shared" si="6"/>
        <v>116.49561891950002</v>
      </c>
      <c r="K20" s="2146">
        <f t="shared" si="6"/>
        <v>117.66057510869501</v>
      </c>
      <c r="L20" s="2146">
        <f t="shared" si="6"/>
        <v>118.83718085978197</v>
      </c>
      <c r="M20" s="2146">
        <f t="shared" si="6"/>
        <v>120.02555266837979</v>
      </c>
      <c r="N20" s="2146">
        <f t="shared" si="6"/>
        <v>121.22580819506359</v>
      </c>
      <c r="O20" s="2146">
        <f t="shared" si="6"/>
        <v>122.43806627701423</v>
      </c>
      <c r="P20" s="2146">
        <f t="shared" si="6"/>
        <v>123.66244693978437</v>
      </c>
      <c r="Q20" s="556"/>
      <c r="R20" s="556"/>
      <c r="S20" s="556"/>
      <c r="T20" s="556"/>
      <c r="U20" s="556"/>
      <c r="V20" s="556"/>
      <c r="W20" s="556"/>
    </row>
    <row r="21" spans="2:23" s="1" customFormat="1" x14ac:dyDescent="0.25">
      <c r="B21" s="474"/>
      <c r="C21" s="160"/>
      <c r="D21" s="2148"/>
      <c r="E21" s="2148"/>
      <c r="F21" s="2148"/>
      <c r="G21" s="2148"/>
      <c r="H21" s="2148"/>
      <c r="I21" s="2148"/>
      <c r="J21" s="2148"/>
      <c r="K21" s="2148"/>
      <c r="L21" s="2148"/>
      <c r="M21" s="2148"/>
      <c r="N21" s="2148"/>
      <c r="O21" s="2148"/>
      <c r="P21" s="2148"/>
      <c r="Q21" s="116"/>
      <c r="R21" s="116"/>
      <c r="S21" s="116"/>
      <c r="T21" s="116"/>
      <c r="U21" s="116"/>
      <c r="V21" s="116"/>
      <c r="W21" s="116"/>
    </row>
    <row r="22" spans="2:23" s="1" customFormat="1" x14ac:dyDescent="0.25">
      <c r="B22" s="474"/>
      <c r="C22" s="160"/>
      <c r="D22" s="2148"/>
      <c r="E22" s="2148"/>
      <c r="F22" s="2148"/>
      <c r="G22" s="2149">
        <v>0.01</v>
      </c>
      <c r="H22" s="2149">
        <f>G22</f>
        <v>0.01</v>
      </c>
      <c r="I22" s="2149">
        <f t="shared" ref="I22:P22" si="7">H22</f>
        <v>0.01</v>
      </c>
      <c r="J22" s="2149">
        <f t="shared" si="7"/>
        <v>0.01</v>
      </c>
      <c r="K22" s="2149">
        <f t="shared" si="7"/>
        <v>0.01</v>
      </c>
      <c r="L22" s="2149">
        <f t="shared" si="7"/>
        <v>0.01</v>
      </c>
      <c r="M22" s="2149">
        <f t="shared" si="7"/>
        <v>0.01</v>
      </c>
      <c r="N22" s="2149">
        <f t="shared" si="7"/>
        <v>0.01</v>
      </c>
      <c r="O22" s="2149">
        <f t="shared" si="7"/>
        <v>0.01</v>
      </c>
      <c r="P22" s="2149">
        <f t="shared" si="7"/>
        <v>0.01</v>
      </c>
      <c r="Q22" s="116"/>
      <c r="R22" s="116"/>
      <c r="S22" s="116"/>
      <c r="T22" s="116"/>
      <c r="U22" s="116"/>
      <c r="V22" s="116"/>
      <c r="W22" s="116"/>
    </row>
    <row r="23" spans="2:23" s="552" customFormat="1" x14ac:dyDescent="0.25">
      <c r="B23" s="2150" t="s">
        <v>865</v>
      </c>
      <c r="C23" s="2151"/>
      <c r="D23" s="2151"/>
      <c r="E23" s="2151"/>
      <c r="F23" s="2151"/>
      <c r="G23" s="2152">
        <f>SUM(G24:G29)</f>
        <v>5751166.1430399604</v>
      </c>
      <c r="H23" s="2152">
        <f t="shared" ref="H23:P23" si="8">SUM(H24:H29)</f>
        <v>5808677.8044703612</v>
      </c>
      <c r="I23" s="2152">
        <f t="shared" si="8"/>
        <v>5866764.5825150637</v>
      </c>
      <c r="J23" s="2152">
        <f t="shared" si="8"/>
        <v>5925432.2283402141</v>
      </c>
      <c r="K23" s="2152">
        <f t="shared" si="8"/>
        <v>5984686.5506236171</v>
      </c>
      <c r="L23" s="2152">
        <f t="shared" si="8"/>
        <v>6044533.4161298526</v>
      </c>
      <c r="M23" s="2152">
        <f t="shared" si="8"/>
        <v>6104978.750291151</v>
      </c>
      <c r="N23" s="2152">
        <f t="shared" si="8"/>
        <v>6166028.5377940629</v>
      </c>
      <c r="O23" s="2152">
        <f t="shared" si="8"/>
        <v>6227688.8231720049</v>
      </c>
      <c r="P23" s="2152">
        <f t="shared" si="8"/>
        <v>6289965.7114037247</v>
      </c>
      <c r="Q23" s="551"/>
      <c r="R23" s="551"/>
      <c r="S23" s="551"/>
      <c r="T23" s="551"/>
      <c r="U23" s="551"/>
      <c r="V23" s="551"/>
      <c r="W23" s="551"/>
    </row>
    <row r="24" spans="2:23" s="9" customFormat="1" x14ac:dyDescent="0.25">
      <c r="B24" s="2153" t="s">
        <v>866</v>
      </c>
      <c r="C24" s="2154" t="s">
        <v>643</v>
      </c>
      <c r="D24" s="2147">
        <v>6037326.3499999996</v>
      </c>
      <c r="E24" s="2147">
        <v>5038508.4399999762</v>
      </c>
      <c r="F24" s="2147">
        <v>5151767.1939999601</v>
      </c>
      <c r="G24" s="2146">
        <f>F24*(1+G$22)</f>
        <v>5203284.8659399599</v>
      </c>
      <c r="H24" s="2146">
        <f t="shared" ref="H24:P24" si="9">G24*(1+H$22)</f>
        <v>5255317.7145993598</v>
      </c>
      <c r="I24" s="2146">
        <f t="shared" si="9"/>
        <v>5307870.8917453531</v>
      </c>
      <c r="J24" s="2146">
        <f t="shared" si="9"/>
        <v>5360949.600662807</v>
      </c>
      <c r="K24" s="2146">
        <f t="shared" si="9"/>
        <v>5414559.0966694355</v>
      </c>
      <c r="L24" s="2146">
        <f t="shared" si="9"/>
        <v>5468704.6876361296</v>
      </c>
      <c r="M24" s="2146">
        <f t="shared" si="9"/>
        <v>5523391.7345124912</v>
      </c>
      <c r="N24" s="2146">
        <f t="shared" si="9"/>
        <v>5578625.6518576164</v>
      </c>
      <c r="O24" s="2146">
        <f t="shared" si="9"/>
        <v>5634411.9083761927</v>
      </c>
      <c r="P24" s="2146">
        <f t="shared" si="9"/>
        <v>5690756.0274599548</v>
      </c>
      <c r="Q24" s="556"/>
      <c r="R24" s="556"/>
      <c r="S24" s="556"/>
      <c r="T24" s="556"/>
      <c r="U24" s="556"/>
      <c r="V24" s="556"/>
      <c r="W24" s="556"/>
    </row>
    <row r="25" spans="2:23" s="9" customFormat="1" x14ac:dyDescent="0.25">
      <c r="B25" s="2153" t="s">
        <v>867</v>
      </c>
      <c r="C25" s="2154" t="s">
        <v>638</v>
      </c>
      <c r="D25" s="2147">
        <v>719890.3</v>
      </c>
      <c r="E25" s="2147">
        <v>912551.48000000068</v>
      </c>
      <c r="F25" s="2147">
        <v>513848.81000000052</v>
      </c>
      <c r="G25" s="2146">
        <f t="shared" ref="G25:P29" si="10">F25*(1+G$22)</f>
        <v>518987.29810000054</v>
      </c>
      <c r="H25" s="2146">
        <f t="shared" si="10"/>
        <v>524177.17108100053</v>
      </c>
      <c r="I25" s="2146">
        <f t="shared" si="10"/>
        <v>529418.94279181049</v>
      </c>
      <c r="J25" s="2146">
        <f t="shared" si="10"/>
        <v>534713.13221972855</v>
      </c>
      <c r="K25" s="2146">
        <f t="shared" si="10"/>
        <v>540060.26354192581</v>
      </c>
      <c r="L25" s="2146">
        <f t="shared" si="10"/>
        <v>545460.86617734504</v>
      </c>
      <c r="M25" s="2146">
        <f t="shared" si="10"/>
        <v>550915.47483911854</v>
      </c>
      <c r="N25" s="2146">
        <f t="shared" si="10"/>
        <v>556424.62958750979</v>
      </c>
      <c r="O25" s="2146">
        <f t="shared" si="10"/>
        <v>561988.87588338484</v>
      </c>
      <c r="P25" s="2146">
        <f t="shared" si="10"/>
        <v>567608.76464221871</v>
      </c>
      <c r="Q25" s="556"/>
      <c r="R25" s="556"/>
      <c r="S25" s="556"/>
      <c r="T25" s="556"/>
      <c r="U25" s="556"/>
      <c r="V25" s="556"/>
      <c r="W25" s="556"/>
    </row>
    <row r="26" spans="2:23" s="9" customFormat="1" x14ac:dyDescent="0.25">
      <c r="B26" s="2153" t="s">
        <v>868</v>
      </c>
      <c r="C26" s="2154" t="s">
        <v>638</v>
      </c>
      <c r="D26" s="2147">
        <v>38171.599999999999</v>
      </c>
      <c r="E26" s="2147">
        <v>25957.599999999999</v>
      </c>
      <c r="F26" s="2147">
        <v>22451.000000000004</v>
      </c>
      <c r="G26" s="2146">
        <f t="shared" si="10"/>
        <v>22675.510000000006</v>
      </c>
      <c r="H26" s="2146">
        <f t="shared" si="10"/>
        <v>22902.265100000004</v>
      </c>
      <c r="I26" s="2146">
        <f t="shared" si="10"/>
        <v>23131.287751000003</v>
      </c>
      <c r="J26" s="2146">
        <f t="shared" si="10"/>
        <v>23362.600628510005</v>
      </c>
      <c r="K26" s="2146">
        <f t="shared" si="10"/>
        <v>23596.226634795104</v>
      </c>
      <c r="L26" s="2146">
        <f t="shared" si="10"/>
        <v>23832.188901143054</v>
      </c>
      <c r="M26" s="2146">
        <f t="shared" si="10"/>
        <v>24070.510790154483</v>
      </c>
      <c r="N26" s="2146">
        <f t="shared" si="10"/>
        <v>24311.215898056027</v>
      </c>
      <c r="O26" s="2146">
        <f t="shared" si="10"/>
        <v>24554.328057036586</v>
      </c>
      <c r="P26" s="2146">
        <f t="shared" si="10"/>
        <v>24799.871337606954</v>
      </c>
      <c r="Q26" s="556"/>
      <c r="R26" s="556"/>
      <c r="S26" s="556"/>
      <c r="T26" s="556"/>
      <c r="U26" s="556"/>
      <c r="V26" s="556"/>
      <c r="W26" s="556"/>
    </row>
    <row r="27" spans="2:23" s="9" customFormat="1" x14ac:dyDescent="0.25">
      <c r="B27" s="2153" t="s">
        <v>869</v>
      </c>
      <c r="C27" s="2154" t="s">
        <v>638</v>
      </c>
      <c r="D27" s="2147">
        <v>570135.76</v>
      </c>
      <c r="E27" s="2147">
        <v>223.5</v>
      </c>
      <c r="F27" s="2147">
        <v>6128</v>
      </c>
      <c r="G27" s="2146">
        <f t="shared" si="10"/>
        <v>6189.28</v>
      </c>
      <c r="H27" s="2146">
        <f t="shared" si="10"/>
        <v>6251.1727999999994</v>
      </c>
      <c r="I27" s="2146">
        <f t="shared" si="10"/>
        <v>6313.6845279999998</v>
      </c>
      <c r="J27" s="2146">
        <f t="shared" si="10"/>
        <v>6376.8213732799995</v>
      </c>
      <c r="K27" s="2146">
        <f t="shared" si="10"/>
        <v>6440.5895870127997</v>
      </c>
      <c r="L27" s="2146">
        <f t="shared" si="10"/>
        <v>6504.9954828829277</v>
      </c>
      <c r="M27" s="2146">
        <f t="shared" si="10"/>
        <v>6570.0454377117567</v>
      </c>
      <c r="N27" s="2146">
        <f t="shared" si="10"/>
        <v>6635.7458920888739</v>
      </c>
      <c r="O27" s="2146">
        <f t="shared" si="10"/>
        <v>6702.1033510097623</v>
      </c>
      <c r="P27" s="2146">
        <f t="shared" si="10"/>
        <v>6769.1243845198596</v>
      </c>
      <c r="Q27" s="556"/>
      <c r="R27" s="556"/>
      <c r="S27" s="556"/>
      <c r="T27" s="556"/>
      <c r="U27" s="556"/>
      <c r="V27" s="556"/>
      <c r="W27" s="556"/>
    </row>
    <row r="28" spans="2:23" s="9" customFormat="1" x14ac:dyDescent="0.25">
      <c r="B28" s="2153" t="s">
        <v>870</v>
      </c>
      <c r="C28" s="2154" t="s">
        <v>638</v>
      </c>
      <c r="D28" s="2147">
        <v>952.49999999999989</v>
      </c>
      <c r="E28" s="2147">
        <v>291.8</v>
      </c>
      <c r="F28" s="2147">
        <v>28.9</v>
      </c>
      <c r="G28" s="2146">
        <f t="shared" si="10"/>
        <v>29.189</v>
      </c>
      <c r="H28" s="2146">
        <f t="shared" si="10"/>
        <v>29.480889999999999</v>
      </c>
      <c r="I28" s="2146">
        <f t="shared" si="10"/>
        <v>29.775698899999998</v>
      </c>
      <c r="J28" s="2146">
        <f t="shared" si="10"/>
        <v>30.073455888999998</v>
      </c>
      <c r="K28" s="2146">
        <f t="shared" si="10"/>
        <v>30.374190447889998</v>
      </c>
      <c r="L28" s="2146">
        <f t="shared" si="10"/>
        <v>30.677932352368899</v>
      </c>
      <c r="M28" s="2146">
        <f t="shared" si="10"/>
        <v>30.984711675892587</v>
      </c>
      <c r="N28" s="2146">
        <f t="shared" si="10"/>
        <v>31.294558792651515</v>
      </c>
      <c r="O28" s="2146">
        <f t="shared" si="10"/>
        <v>31.607504380578028</v>
      </c>
      <c r="P28" s="2146">
        <f t="shared" si="10"/>
        <v>31.92357942438381</v>
      </c>
      <c r="Q28" s="556"/>
      <c r="R28" s="556"/>
      <c r="S28" s="556"/>
      <c r="T28" s="556"/>
      <c r="U28" s="556"/>
      <c r="V28" s="556"/>
      <c r="W28" s="556"/>
    </row>
    <row r="29" spans="2:23" s="9" customFormat="1" x14ac:dyDescent="0.25">
      <c r="B29" s="2153" t="s">
        <v>871</v>
      </c>
      <c r="C29" s="2154" t="s">
        <v>638</v>
      </c>
      <c r="D29" s="2147">
        <v>6283.7999999999993</v>
      </c>
      <c r="E29" s="2147">
        <v>576.79999999999995</v>
      </c>
      <c r="F29" s="2147">
        <v>0</v>
      </c>
      <c r="G29" s="2146">
        <f t="shared" si="10"/>
        <v>0</v>
      </c>
      <c r="H29" s="2146">
        <f t="shared" si="10"/>
        <v>0</v>
      </c>
      <c r="I29" s="2146">
        <f t="shared" si="10"/>
        <v>0</v>
      </c>
      <c r="J29" s="2146">
        <f t="shared" si="10"/>
        <v>0</v>
      </c>
      <c r="K29" s="2146">
        <f t="shared" si="10"/>
        <v>0</v>
      </c>
      <c r="L29" s="2146">
        <f t="shared" si="10"/>
        <v>0</v>
      </c>
      <c r="M29" s="2146">
        <f t="shared" si="10"/>
        <v>0</v>
      </c>
      <c r="N29" s="2146">
        <f t="shared" si="10"/>
        <v>0</v>
      </c>
      <c r="O29" s="2146">
        <f t="shared" si="10"/>
        <v>0</v>
      </c>
      <c r="P29" s="2146">
        <f t="shared" si="10"/>
        <v>0</v>
      </c>
      <c r="Q29" s="556"/>
      <c r="R29" s="556"/>
      <c r="S29" s="556"/>
      <c r="T29" s="556"/>
      <c r="U29" s="556"/>
      <c r="V29" s="556"/>
      <c r="W29" s="556"/>
    </row>
    <row r="30" spans="2:23" s="1" customFormat="1" x14ac:dyDescent="0.25">
      <c r="B30" s="2155"/>
      <c r="C30" s="2155"/>
      <c r="D30" s="2155"/>
      <c r="E30" s="2155"/>
      <c r="F30" s="2155"/>
      <c r="G30" s="2155"/>
      <c r="H30" s="2155"/>
      <c r="I30" s="2155"/>
      <c r="J30" s="2155"/>
      <c r="K30" s="2155"/>
      <c r="L30" s="2155"/>
      <c r="M30" s="2155"/>
      <c r="N30" s="2155"/>
      <c r="O30" s="2155"/>
      <c r="P30" s="2155"/>
      <c r="Q30" s="116"/>
      <c r="R30" s="116"/>
      <c r="S30" s="116"/>
      <c r="T30" s="116"/>
      <c r="U30" s="116"/>
      <c r="V30" s="116"/>
      <c r="W30" s="116"/>
    </row>
    <row r="31" spans="2:23" s="1" customFormat="1" x14ac:dyDescent="0.25">
      <c r="B31" s="2155"/>
      <c r="C31" s="2155"/>
      <c r="D31" s="2155"/>
      <c r="E31" s="2155"/>
      <c r="F31" s="2155"/>
      <c r="G31" s="2155"/>
      <c r="H31" s="2155"/>
      <c r="I31" s="2155"/>
      <c r="J31" s="2155"/>
      <c r="K31" s="2155"/>
      <c r="L31" s="2155"/>
      <c r="M31" s="2155"/>
      <c r="N31" s="2155"/>
      <c r="O31" s="2155"/>
      <c r="P31" s="2155"/>
      <c r="Q31" s="116"/>
      <c r="R31" s="116"/>
      <c r="S31" s="116"/>
      <c r="T31" s="116"/>
      <c r="U31" s="116"/>
      <c r="V31" s="116"/>
      <c r="W31" s="116"/>
    </row>
    <row r="32" spans="2:23" s="1" customFormat="1" x14ac:dyDescent="0.25">
      <c r="B32" s="2155"/>
      <c r="C32" s="2155"/>
      <c r="D32" s="2155"/>
      <c r="E32" s="2155"/>
      <c r="F32" s="2155"/>
      <c r="G32" s="2155"/>
      <c r="H32" s="2155"/>
      <c r="I32" s="2155"/>
      <c r="J32" s="2155"/>
      <c r="K32" s="2155"/>
      <c r="L32" s="2155"/>
      <c r="M32" s="2155"/>
      <c r="N32" s="2155"/>
      <c r="O32" s="2155"/>
      <c r="P32" s="2155"/>
      <c r="Q32" s="116"/>
      <c r="R32" s="116"/>
      <c r="S32" s="116"/>
      <c r="T32" s="116"/>
      <c r="U32" s="116"/>
      <c r="V32" s="116"/>
      <c r="W32" s="116"/>
    </row>
    <row r="33" spans="2:23" s="1" customFormat="1" x14ac:dyDescent="0.25">
      <c r="B33" s="2144" t="s">
        <v>877</v>
      </c>
      <c r="C33" s="2156"/>
      <c r="D33" s="2157"/>
      <c r="E33" s="2157"/>
      <c r="F33" s="2158">
        <f>(F34-E34)/E34</f>
        <v>7.7017579866661724E-3</v>
      </c>
      <c r="G33" s="2159">
        <v>0.01</v>
      </c>
      <c r="H33" s="2159">
        <v>0.01</v>
      </c>
      <c r="I33" s="2159">
        <v>0.01</v>
      </c>
      <c r="J33" s="2159">
        <v>0.01</v>
      </c>
      <c r="K33" s="2159">
        <v>0.01</v>
      </c>
      <c r="L33" s="2159">
        <v>0.01</v>
      </c>
      <c r="M33" s="2159">
        <v>0.01</v>
      </c>
      <c r="N33" s="2159">
        <v>0.01</v>
      </c>
      <c r="O33" s="2159">
        <v>0.01</v>
      </c>
      <c r="P33" s="2159">
        <v>0.01</v>
      </c>
      <c r="Q33" s="116"/>
      <c r="R33" s="116"/>
      <c r="S33" s="116"/>
      <c r="T33" s="116"/>
      <c r="U33" s="116"/>
      <c r="V33" s="116"/>
      <c r="W33" s="116"/>
    </row>
    <row r="34" spans="2:23" s="1" customFormat="1" x14ac:dyDescent="0.25">
      <c r="B34" s="2160" t="s">
        <v>872</v>
      </c>
      <c r="C34" s="2160" t="s">
        <v>835</v>
      </c>
      <c r="D34" s="2161"/>
      <c r="E34" s="2161">
        <v>441142.14</v>
      </c>
      <c r="F34" s="2161">
        <v>444539.71</v>
      </c>
      <c r="G34" s="2162">
        <f>F34*(1+G33)</f>
        <v>448985.10710000002</v>
      </c>
      <c r="H34" s="2162">
        <f t="shared" ref="H34:P34" si="11">G34*(1+H33)</f>
        <v>453474.95817100001</v>
      </c>
      <c r="I34" s="2162">
        <f t="shared" si="11"/>
        <v>458009.70775271003</v>
      </c>
      <c r="J34" s="2162">
        <f t="shared" si="11"/>
        <v>462589.80483023712</v>
      </c>
      <c r="K34" s="2162">
        <f t="shared" si="11"/>
        <v>467215.70287853951</v>
      </c>
      <c r="L34" s="2162">
        <f t="shared" si="11"/>
        <v>471887.85990732489</v>
      </c>
      <c r="M34" s="2162">
        <f t="shared" si="11"/>
        <v>476606.73850639816</v>
      </c>
      <c r="N34" s="2162">
        <f t="shared" si="11"/>
        <v>481372.80589146214</v>
      </c>
      <c r="O34" s="2162">
        <f t="shared" si="11"/>
        <v>486186.53395037679</v>
      </c>
      <c r="P34" s="2162">
        <f t="shared" si="11"/>
        <v>491048.39928988059</v>
      </c>
      <c r="Q34" s="116"/>
      <c r="R34" s="116"/>
      <c r="S34" s="116"/>
      <c r="T34" s="116"/>
      <c r="U34" s="116"/>
      <c r="V34" s="116"/>
      <c r="W34" s="116"/>
    </row>
    <row r="35" spans="2:23" s="1" customFormat="1" x14ac:dyDescent="0.25">
      <c r="B35" s="552"/>
      <c r="C35" s="552"/>
      <c r="D35" s="599"/>
      <c r="E35" s="599"/>
      <c r="F35" s="599"/>
      <c r="G35" s="600"/>
      <c r="H35" s="600"/>
      <c r="I35" s="600"/>
      <c r="J35" s="600"/>
      <c r="K35" s="600"/>
      <c r="L35" s="600"/>
      <c r="M35" s="600"/>
      <c r="N35" s="600"/>
      <c r="O35" s="600"/>
      <c r="P35" s="600"/>
      <c r="Q35" s="116"/>
      <c r="R35" s="116"/>
      <c r="S35" s="116"/>
      <c r="T35" s="116"/>
      <c r="U35" s="116"/>
      <c r="V35" s="116"/>
      <c r="W35" s="116"/>
    </row>
    <row r="36" spans="2:23" x14ac:dyDescent="0.25">
      <c r="G36" s="601"/>
    </row>
    <row r="85" spans="1:23" s="129" customFormat="1" x14ac:dyDescent="0.25">
      <c r="A85" s="303"/>
      <c r="D85" s="602"/>
      <c r="E85" s="602"/>
      <c r="F85" s="602"/>
      <c r="G85" s="603"/>
      <c r="H85" s="603"/>
      <c r="I85" s="603"/>
      <c r="J85" s="603"/>
      <c r="K85" s="603"/>
      <c r="L85" s="603"/>
      <c r="M85" s="521"/>
      <c r="N85" s="522"/>
      <c r="O85" s="521"/>
      <c r="P85" s="521"/>
      <c r="Q85" s="307"/>
      <c r="R85" s="307"/>
      <c r="S85" s="307"/>
      <c r="T85" s="307"/>
      <c r="U85" s="307"/>
      <c r="V85" s="307"/>
      <c r="W85" s="307"/>
    </row>
    <row r="86" spans="1:23" s="129" customFormat="1" x14ac:dyDescent="0.25">
      <c r="A86" s="303"/>
      <c r="D86" s="602"/>
      <c r="E86" s="602"/>
      <c r="F86" s="602"/>
      <c r="G86" s="603"/>
      <c r="H86" s="603"/>
      <c r="I86" s="603"/>
      <c r="J86" s="603"/>
      <c r="K86" s="603"/>
      <c r="L86" s="603"/>
      <c r="M86" s="521"/>
      <c r="N86" s="522"/>
      <c r="O86" s="521"/>
      <c r="P86" s="521"/>
      <c r="Q86" s="307"/>
      <c r="R86" s="307"/>
      <c r="S86" s="307"/>
      <c r="T86" s="307"/>
      <c r="U86" s="307"/>
      <c r="V86" s="307"/>
      <c r="W86" s="307"/>
    </row>
    <row r="87" spans="1:23" s="129" customFormat="1" x14ac:dyDescent="0.25">
      <c r="A87" s="303"/>
      <c r="D87" s="602"/>
      <c r="E87" s="602"/>
      <c r="F87" s="602"/>
      <c r="G87" s="603"/>
      <c r="H87" s="603"/>
      <c r="I87" s="603"/>
      <c r="J87" s="603"/>
      <c r="K87" s="603"/>
      <c r="L87" s="603"/>
      <c r="M87" s="521"/>
      <c r="N87" s="522"/>
      <c r="O87" s="521"/>
      <c r="P87" s="521"/>
      <c r="Q87" s="307"/>
      <c r="R87" s="307"/>
      <c r="S87" s="307"/>
      <c r="T87" s="307"/>
      <c r="U87" s="307"/>
      <c r="V87" s="307"/>
      <c r="W87" s="307"/>
    </row>
    <row r="88" spans="1:23" s="129" customFormat="1" x14ac:dyDescent="0.25">
      <c r="A88" s="303"/>
      <c r="D88" s="602"/>
      <c r="E88" s="602"/>
      <c r="F88" s="602"/>
      <c r="G88" s="603"/>
      <c r="H88" s="603"/>
      <c r="I88" s="603"/>
      <c r="J88" s="603"/>
      <c r="K88" s="603"/>
      <c r="L88" s="603"/>
      <c r="M88" s="521"/>
      <c r="N88" s="522"/>
      <c r="O88" s="521"/>
      <c r="P88" s="521"/>
      <c r="Q88" s="307"/>
      <c r="R88" s="307"/>
      <c r="S88" s="307"/>
      <c r="T88" s="307"/>
      <c r="U88" s="307"/>
      <c r="V88" s="307"/>
      <c r="W88" s="307"/>
    </row>
    <row r="89" spans="1:23" s="129" customFormat="1" x14ac:dyDescent="0.25">
      <c r="A89" s="303"/>
      <c r="D89" s="602"/>
      <c r="E89" s="602"/>
      <c r="F89" s="602"/>
      <c r="G89" s="603"/>
      <c r="H89" s="603"/>
      <c r="I89" s="603"/>
      <c r="J89" s="603"/>
      <c r="K89" s="603"/>
      <c r="L89" s="603"/>
      <c r="M89" s="521"/>
      <c r="N89" s="522"/>
      <c r="O89" s="521"/>
      <c r="P89" s="521"/>
      <c r="Q89" s="307"/>
      <c r="R89" s="307"/>
      <c r="S89" s="307"/>
      <c r="T89" s="307"/>
      <c r="U89" s="307"/>
      <c r="V89" s="307"/>
      <c r="W89" s="307"/>
    </row>
    <row r="90" spans="1:23" s="129" customFormat="1" x14ac:dyDescent="0.25">
      <c r="A90" s="303"/>
      <c r="B90" s="303"/>
      <c r="C90" s="303"/>
      <c r="D90" s="602"/>
      <c r="E90" s="602"/>
      <c r="F90" s="602"/>
      <c r="G90" s="603"/>
      <c r="H90" s="603"/>
      <c r="I90" s="603"/>
      <c r="J90" s="603"/>
      <c r="K90" s="603"/>
      <c r="L90" s="603"/>
      <c r="M90" s="521"/>
      <c r="N90" s="522"/>
      <c r="O90" s="521"/>
      <c r="P90" s="521"/>
      <c r="Q90" s="307"/>
      <c r="R90" s="307"/>
      <c r="S90" s="307"/>
      <c r="T90" s="307"/>
      <c r="U90" s="307"/>
      <c r="V90" s="307"/>
      <c r="W90" s="307"/>
    </row>
    <row r="91" spans="1:23" s="129" customFormat="1" x14ac:dyDescent="0.25">
      <c r="A91" s="303"/>
      <c r="D91" s="602"/>
      <c r="E91" s="602"/>
      <c r="F91" s="602"/>
      <c r="G91" s="603"/>
      <c r="H91" s="603"/>
      <c r="I91" s="603"/>
      <c r="J91" s="603"/>
      <c r="K91" s="603"/>
      <c r="L91" s="603"/>
      <c r="M91" s="521"/>
      <c r="N91" s="522"/>
      <c r="O91" s="521"/>
      <c r="P91" s="521"/>
      <c r="Q91" s="307"/>
      <c r="R91" s="307"/>
      <c r="S91" s="307"/>
      <c r="T91" s="307"/>
      <c r="U91" s="307"/>
      <c r="V91" s="307"/>
      <c r="W91" s="307"/>
    </row>
    <row r="92" spans="1:23" s="303" customFormat="1" ht="18.600000000000001" customHeight="1" x14ac:dyDescent="0.25">
      <c r="D92" s="604"/>
      <c r="E92" s="604"/>
      <c r="F92" s="604"/>
      <c r="G92" s="605"/>
      <c r="H92" s="605"/>
      <c r="I92" s="605"/>
      <c r="J92" s="605"/>
      <c r="K92" s="605"/>
      <c r="L92" s="605"/>
      <c r="M92" s="605"/>
      <c r="N92" s="605"/>
      <c r="O92" s="605"/>
      <c r="P92" s="605"/>
    </row>
    <row r="93" spans="1:23" s="303" customFormat="1" x14ac:dyDescent="0.25">
      <c r="D93" s="604"/>
      <c r="E93" s="604"/>
      <c r="F93" s="604"/>
      <c r="G93" s="605"/>
      <c r="H93" s="605"/>
      <c r="I93" s="605"/>
      <c r="J93" s="605"/>
      <c r="K93" s="605"/>
      <c r="L93" s="605"/>
      <c r="M93" s="605"/>
      <c r="N93" s="605"/>
      <c r="O93" s="605"/>
      <c r="P93" s="605"/>
    </row>
    <row r="94" spans="1:23" s="129" customFormat="1" x14ac:dyDescent="0.25">
      <c r="A94" s="303"/>
      <c r="D94" s="602"/>
      <c r="E94" s="602"/>
      <c r="F94" s="602"/>
      <c r="G94" s="521"/>
      <c r="H94" s="522"/>
      <c r="I94" s="521"/>
      <c r="J94" s="603"/>
      <c r="K94" s="521"/>
      <c r="L94" s="606"/>
      <c r="M94" s="603"/>
      <c r="N94" s="606"/>
      <c r="O94" s="521"/>
      <c r="P94" s="521"/>
      <c r="Q94" s="307"/>
      <c r="R94" s="307"/>
      <c r="S94" s="307"/>
      <c r="T94" s="307"/>
      <c r="U94" s="307"/>
      <c r="V94" s="307"/>
      <c r="W94" s="307"/>
    </row>
    <row r="95" spans="1:23" s="129" customFormat="1" x14ac:dyDescent="0.25">
      <c r="A95" s="303"/>
      <c r="D95" s="602"/>
      <c r="E95" s="602"/>
      <c r="F95" s="602"/>
      <c r="G95" s="521"/>
      <c r="H95" s="522"/>
      <c r="I95" s="521"/>
      <c r="J95" s="603"/>
      <c r="K95" s="521"/>
      <c r="L95" s="606"/>
      <c r="M95" s="603"/>
      <c r="N95" s="606"/>
      <c r="O95" s="521"/>
      <c r="P95" s="521"/>
      <c r="Q95" s="307"/>
      <c r="R95" s="307"/>
      <c r="S95" s="307"/>
      <c r="T95" s="307"/>
      <c r="U95" s="307"/>
      <c r="V95" s="307"/>
      <c r="W95" s="307"/>
    </row>
    <row r="96" spans="1:23" s="129" customFormat="1" x14ac:dyDescent="0.25">
      <c r="A96" s="303"/>
      <c r="D96" s="602"/>
      <c r="E96" s="602"/>
      <c r="F96" s="602"/>
      <c r="G96" s="521"/>
      <c r="H96" s="522"/>
      <c r="I96" s="521"/>
      <c r="J96" s="603"/>
      <c r="K96" s="521"/>
      <c r="L96" s="606"/>
      <c r="M96" s="603"/>
      <c r="N96" s="606"/>
      <c r="O96" s="521"/>
      <c r="P96" s="521"/>
      <c r="Q96" s="307"/>
      <c r="R96" s="307"/>
      <c r="S96" s="307"/>
      <c r="T96" s="307"/>
      <c r="U96" s="307"/>
      <c r="V96" s="307"/>
      <c r="W96" s="307"/>
    </row>
    <row r="97" spans="1:23" s="129" customFormat="1" x14ac:dyDescent="0.25">
      <c r="A97" s="303"/>
      <c r="D97" s="602"/>
      <c r="E97" s="602"/>
      <c r="F97" s="602"/>
      <c r="G97" s="521"/>
      <c r="H97" s="522"/>
      <c r="I97" s="521"/>
      <c r="J97" s="603"/>
      <c r="K97" s="521"/>
      <c r="L97" s="606"/>
      <c r="M97" s="603"/>
      <c r="N97" s="606"/>
      <c r="O97" s="521"/>
      <c r="P97" s="521"/>
      <c r="Q97" s="307"/>
      <c r="R97" s="307"/>
      <c r="S97" s="307"/>
      <c r="T97" s="307"/>
      <c r="U97" s="307"/>
      <c r="V97" s="307"/>
      <c r="W97" s="307"/>
    </row>
    <row r="98" spans="1:23" s="129" customFormat="1" x14ac:dyDescent="0.25">
      <c r="A98" s="303"/>
      <c r="D98" s="602"/>
      <c r="E98" s="602"/>
      <c r="F98" s="602"/>
      <c r="G98" s="521"/>
      <c r="H98" s="522"/>
      <c r="I98" s="521"/>
      <c r="J98" s="603"/>
      <c r="K98" s="521"/>
      <c r="L98" s="606"/>
      <c r="M98" s="603"/>
      <c r="N98" s="606"/>
      <c r="O98" s="521"/>
      <c r="P98" s="521"/>
      <c r="Q98" s="307"/>
      <c r="R98" s="307"/>
      <c r="S98" s="307"/>
      <c r="T98" s="307"/>
      <c r="U98" s="307"/>
      <c r="V98" s="307"/>
      <c r="W98" s="307"/>
    </row>
    <row r="99" spans="1:23" s="129" customFormat="1" x14ac:dyDescent="0.25">
      <c r="A99" s="303"/>
      <c r="D99" s="602"/>
      <c r="E99" s="602"/>
      <c r="F99" s="602"/>
      <c r="G99" s="521"/>
      <c r="H99" s="522"/>
      <c r="I99" s="521"/>
      <c r="J99" s="603"/>
      <c r="K99" s="521"/>
      <c r="L99" s="606"/>
      <c r="M99" s="603"/>
      <c r="N99" s="606"/>
      <c r="O99" s="521"/>
      <c r="P99" s="521"/>
      <c r="Q99" s="307"/>
      <c r="R99" s="307"/>
      <c r="S99" s="307"/>
      <c r="T99" s="307"/>
      <c r="U99" s="307"/>
      <c r="V99" s="307"/>
      <c r="W99" s="307"/>
    </row>
    <row r="100" spans="1:23" s="303" customFormat="1" x14ac:dyDescent="0.25">
      <c r="D100" s="604"/>
      <c r="E100" s="604"/>
      <c r="F100" s="604"/>
      <c r="G100" s="524"/>
      <c r="H100" s="525"/>
      <c r="I100" s="524"/>
      <c r="J100" s="605"/>
      <c r="K100" s="605"/>
      <c r="L100" s="524"/>
      <c r="M100" s="605"/>
      <c r="N100" s="595"/>
      <c r="O100" s="524"/>
      <c r="P100" s="524"/>
      <c r="Q100" s="523"/>
      <c r="R100" s="523"/>
      <c r="S100" s="523"/>
      <c r="T100" s="523"/>
      <c r="U100" s="523"/>
      <c r="V100" s="523"/>
      <c r="W100" s="523"/>
    </row>
    <row r="101" spans="1:23" s="129" customFormat="1" x14ac:dyDescent="0.25">
      <c r="A101" s="303"/>
      <c r="B101" s="303"/>
      <c r="C101" s="303"/>
      <c r="D101" s="602"/>
      <c r="E101" s="602"/>
      <c r="F101" s="602"/>
      <c r="G101" s="603"/>
      <c r="H101" s="521"/>
      <c r="I101" s="603"/>
      <c r="J101" s="603"/>
      <c r="K101" s="521"/>
      <c r="L101" s="603"/>
      <c r="M101" s="603"/>
      <c r="N101" s="603"/>
      <c r="O101" s="521"/>
      <c r="P101" s="521"/>
      <c r="Q101" s="307"/>
      <c r="R101" s="307"/>
      <c r="S101" s="307"/>
      <c r="T101" s="307"/>
      <c r="U101" s="307"/>
      <c r="V101" s="307"/>
      <c r="W101" s="307"/>
    </row>
    <row r="102" spans="1:23" s="607" customFormat="1" x14ac:dyDescent="0.25">
      <c r="D102" s="608"/>
      <c r="E102" s="608"/>
      <c r="F102" s="608"/>
      <c r="G102" s="526"/>
      <c r="H102" s="527"/>
      <c r="I102" s="609"/>
      <c r="J102" s="526"/>
      <c r="K102" s="526"/>
      <c r="L102" s="609"/>
      <c r="M102" s="609"/>
      <c r="N102" s="526"/>
      <c r="O102" s="526"/>
      <c r="P102" s="526"/>
      <c r="Q102" s="528"/>
      <c r="R102" s="528"/>
      <c r="S102" s="528"/>
      <c r="T102" s="528"/>
      <c r="U102" s="528"/>
      <c r="V102" s="528"/>
      <c r="W102" s="528"/>
    </row>
    <row r="103" spans="1:23" s="610" customFormat="1" x14ac:dyDescent="0.25">
      <c r="A103" s="607"/>
      <c r="D103" s="611"/>
      <c r="E103" s="611"/>
      <c r="F103" s="611"/>
      <c r="G103" s="530"/>
      <c r="H103" s="531"/>
      <c r="I103" s="612"/>
      <c r="J103" s="530"/>
      <c r="K103" s="530"/>
      <c r="L103" s="612"/>
      <c r="M103" s="612"/>
      <c r="N103" s="530"/>
      <c r="O103" s="530"/>
      <c r="P103" s="530"/>
      <c r="Q103" s="529"/>
      <c r="R103" s="529"/>
      <c r="S103" s="529"/>
      <c r="T103" s="529"/>
      <c r="U103" s="529"/>
      <c r="V103" s="529"/>
      <c r="W103" s="529"/>
    </row>
    <row r="104" spans="1:23" s="610" customFormat="1" x14ac:dyDescent="0.25">
      <c r="A104" s="607"/>
      <c r="D104" s="611"/>
      <c r="E104" s="611"/>
      <c r="F104" s="611"/>
      <c r="G104" s="530"/>
      <c r="H104" s="531"/>
      <c r="I104" s="612"/>
      <c r="J104" s="530"/>
      <c r="K104" s="530"/>
      <c r="L104" s="612"/>
      <c r="M104" s="612"/>
      <c r="N104" s="530"/>
      <c r="O104" s="530"/>
      <c r="P104" s="530"/>
      <c r="Q104" s="529"/>
      <c r="R104" s="529"/>
      <c r="S104" s="529"/>
      <c r="T104" s="529"/>
      <c r="U104" s="529"/>
      <c r="V104" s="529"/>
      <c r="W104" s="529"/>
    </row>
    <row r="105" spans="1:23" s="607" customFormat="1" x14ac:dyDescent="0.25">
      <c r="D105" s="608"/>
      <c r="E105" s="608"/>
      <c r="F105" s="608"/>
      <c r="G105" s="526"/>
      <c r="H105" s="527"/>
      <c r="I105" s="609"/>
      <c r="J105" s="526"/>
      <c r="K105" s="526"/>
      <c r="L105" s="609"/>
      <c r="M105" s="609"/>
      <c r="N105" s="526"/>
      <c r="O105" s="532"/>
      <c r="P105" s="526"/>
      <c r="Q105" s="528"/>
      <c r="R105" s="528"/>
      <c r="S105" s="528"/>
      <c r="T105" s="528"/>
      <c r="U105" s="528"/>
      <c r="V105" s="528"/>
      <c r="W105" s="528"/>
    </row>
    <row r="106" spans="1:23" s="129" customFormat="1" x14ac:dyDescent="0.25">
      <c r="A106" s="303"/>
      <c r="B106" s="610"/>
      <c r="C106" s="610"/>
      <c r="D106" s="611"/>
      <c r="E106" s="611"/>
      <c r="F106" s="611"/>
      <c r="G106" s="530"/>
      <c r="H106" s="531"/>
      <c r="I106" s="603"/>
      <c r="J106" s="530"/>
      <c r="K106" s="530"/>
      <c r="L106" s="612"/>
      <c r="M106" s="612"/>
      <c r="N106" s="530"/>
      <c r="O106" s="521"/>
      <c r="P106" s="521"/>
      <c r="Q106" s="307"/>
      <c r="R106" s="307"/>
      <c r="S106" s="307"/>
      <c r="T106" s="307"/>
      <c r="U106" s="307"/>
      <c r="V106" s="307"/>
      <c r="W106" s="307"/>
    </row>
    <row r="107" spans="1:23" s="129" customFormat="1" x14ac:dyDescent="0.25">
      <c r="A107" s="303"/>
      <c r="B107" s="610"/>
      <c r="C107" s="610"/>
      <c r="D107" s="611"/>
      <c r="E107" s="611"/>
      <c r="F107" s="611"/>
      <c r="G107" s="530"/>
      <c r="H107" s="531"/>
      <c r="I107" s="603"/>
      <c r="J107" s="530"/>
      <c r="K107" s="530"/>
      <c r="L107" s="612"/>
      <c r="M107" s="612"/>
      <c r="N107" s="530"/>
      <c r="O107" s="521"/>
      <c r="P107" s="521"/>
      <c r="Q107" s="307"/>
      <c r="R107" s="307"/>
      <c r="S107" s="307"/>
      <c r="T107" s="307"/>
      <c r="U107" s="307"/>
      <c r="V107" s="307"/>
      <c r="W107" s="307"/>
    </row>
    <row r="108" spans="1:23" s="607" customFormat="1" hidden="1" x14ac:dyDescent="0.25">
      <c r="D108" s="608"/>
      <c r="E108" s="608"/>
      <c r="F108" s="608"/>
      <c r="G108" s="609"/>
      <c r="H108" s="527"/>
      <c r="I108" s="609"/>
      <c r="J108" s="526"/>
      <c r="K108" s="526"/>
      <c r="L108" s="609"/>
      <c r="M108" s="609"/>
      <c r="N108" s="526"/>
      <c r="O108" s="526"/>
      <c r="P108" s="526"/>
      <c r="Q108" s="528"/>
      <c r="R108" s="528"/>
      <c r="S108" s="528"/>
      <c r="T108" s="528"/>
      <c r="U108" s="528"/>
      <c r="V108" s="528"/>
      <c r="W108" s="528"/>
    </row>
    <row r="109" spans="1:23" s="129" customFormat="1" hidden="1" x14ac:dyDescent="0.25">
      <c r="A109" s="303"/>
      <c r="B109" s="610"/>
      <c r="C109" s="610"/>
      <c r="D109" s="611"/>
      <c r="E109" s="611"/>
      <c r="F109" s="611"/>
      <c r="G109" s="530"/>
      <c r="H109" s="531"/>
      <c r="I109" s="603"/>
      <c r="J109" s="530"/>
      <c r="K109" s="530"/>
      <c r="L109" s="612"/>
      <c r="M109" s="612"/>
      <c r="N109" s="530"/>
      <c r="O109" s="521"/>
      <c r="P109" s="521"/>
      <c r="Q109" s="307"/>
      <c r="R109" s="307"/>
      <c r="S109" s="307"/>
      <c r="T109" s="307"/>
      <c r="U109" s="307"/>
      <c r="V109" s="307"/>
      <c r="W109" s="307"/>
    </row>
    <row r="110" spans="1:23" s="129" customFormat="1" hidden="1" x14ac:dyDescent="0.25">
      <c r="A110" s="303"/>
      <c r="B110" s="610"/>
      <c r="C110" s="610"/>
      <c r="D110" s="611"/>
      <c r="E110" s="611"/>
      <c r="F110" s="611"/>
      <c r="G110" s="530"/>
      <c r="H110" s="531"/>
      <c r="I110" s="603"/>
      <c r="J110" s="530"/>
      <c r="K110" s="530"/>
      <c r="L110" s="612"/>
      <c r="M110" s="612"/>
      <c r="N110" s="530"/>
      <c r="O110" s="521"/>
      <c r="P110" s="521"/>
      <c r="Q110" s="307"/>
      <c r="R110" s="307"/>
      <c r="S110" s="307"/>
      <c r="T110" s="307"/>
      <c r="U110" s="307"/>
      <c r="V110" s="307"/>
      <c r="W110" s="307"/>
    </row>
    <row r="111" spans="1:23" s="129" customFormat="1" x14ac:dyDescent="0.25">
      <c r="A111" s="303"/>
      <c r="B111" s="303"/>
      <c r="C111" s="303"/>
      <c r="D111" s="602"/>
      <c r="E111" s="602"/>
      <c r="F111" s="602"/>
      <c r="G111" s="603"/>
      <c r="H111" s="521"/>
      <c r="I111" s="603"/>
      <c r="J111" s="603"/>
      <c r="K111" s="521"/>
      <c r="L111" s="603"/>
      <c r="M111" s="603"/>
      <c r="N111" s="603"/>
      <c r="O111" s="521"/>
      <c r="P111" s="521"/>
      <c r="Q111" s="307"/>
      <c r="R111" s="307"/>
      <c r="S111" s="307"/>
      <c r="T111" s="307"/>
      <c r="U111" s="307"/>
      <c r="V111" s="307"/>
      <c r="W111" s="307"/>
    </row>
    <row r="112" spans="1:23" s="129" customFormat="1" x14ac:dyDescent="0.25">
      <c r="A112" s="303"/>
      <c r="D112" s="602"/>
      <c r="E112" s="602"/>
      <c r="F112" s="602"/>
      <c r="G112" s="521"/>
      <c r="H112" s="522"/>
      <c r="I112" s="521"/>
      <c r="J112" s="603"/>
      <c r="K112" s="521"/>
      <c r="L112" s="524"/>
      <c r="M112" s="603"/>
      <c r="N112" s="606"/>
      <c r="O112" s="521"/>
      <c r="P112" s="521"/>
      <c r="Q112" s="307"/>
      <c r="R112" s="307"/>
      <c r="S112" s="307"/>
      <c r="T112" s="307"/>
      <c r="U112" s="307"/>
      <c r="V112" s="307"/>
      <c r="W112" s="307"/>
    </row>
    <row r="113" spans="1:26" s="129" customFormat="1" x14ac:dyDescent="0.25">
      <c r="A113" s="303"/>
      <c r="B113" s="303"/>
      <c r="C113" s="303"/>
      <c r="D113" s="602"/>
      <c r="E113" s="602"/>
      <c r="F113" s="602"/>
      <c r="G113" s="603"/>
      <c r="H113" s="521"/>
      <c r="I113" s="603"/>
      <c r="J113" s="603"/>
      <c r="K113" s="521"/>
      <c r="L113" s="603"/>
      <c r="M113" s="603"/>
      <c r="N113" s="522"/>
      <c r="O113" s="521"/>
      <c r="P113" s="521"/>
      <c r="Q113" s="307"/>
      <c r="R113" s="307"/>
      <c r="S113" s="307"/>
      <c r="T113" s="307"/>
      <c r="U113" s="307"/>
      <c r="V113" s="307"/>
      <c r="W113" s="307"/>
    </row>
    <row r="114" spans="1:26" s="129" customFormat="1" x14ac:dyDescent="0.25">
      <c r="A114" s="303"/>
      <c r="D114" s="602"/>
      <c r="E114" s="602"/>
      <c r="F114" s="602"/>
      <c r="G114" s="521"/>
      <c r="H114" s="521"/>
      <c r="I114" s="603"/>
      <c r="J114" s="603"/>
      <c r="K114" s="521"/>
      <c r="L114" s="603"/>
      <c r="M114" s="603"/>
      <c r="N114" s="522"/>
      <c r="O114" s="521"/>
      <c r="P114" s="521"/>
      <c r="Q114" s="307"/>
      <c r="R114" s="307"/>
      <c r="S114" s="307"/>
      <c r="T114" s="307"/>
      <c r="U114" s="307"/>
      <c r="V114" s="307"/>
      <c r="W114" s="307"/>
    </row>
    <row r="115" spans="1:26" s="303" customFormat="1" x14ac:dyDescent="0.25">
      <c r="B115" s="613"/>
      <c r="C115" s="613"/>
      <c r="D115" s="614"/>
      <c r="E115" s="614"/>
      <c r="F115" s="614"/>
      <c r="G115" s="615"/>
      <c r="H115" s="615"/>
      <c r="I115" s="615"/>
      <c r="J115" s="615"/>
      <c r="K115" s="615"/>
      <c r="L115" s="615"/>
      <c r="M115" s="615"/>
      <c r="N115" s="533"/>
      <c r="O115" s="605"/>
      <c r="P115" s="605"/>
      <c r="Z115" s="616"/>
    </row>
    <row r="116" spans="1:26" s="303" customFormat="1" x14ac:dyDescent="0.25">
      <c r="D116" s="604"/>
      <c r="E116" s="604"/>
      <c r="F116" s="604"/>
      <c r="G116" s="605"/>
      <c r="H116" s="605"/>
      <c r="I116" s="605"/>
      <c r="J116" s="605"/>
      <c r="K116" s="605"/>
      <c r="L116" s="605"/>
      <c r="M116" s="605"/>
      <c r="N116" s="534"/>
      <c r="O116" s="534"/>
      <c r="P116" s="534"/>
      <c r="Q116" s="535"/>
      <c r="R116" s="535"/>
      <c r="S116" s="535"/>
      <c r="T116" s="535"/>
      <c r="U116" s="535"/>
      <c r="V116" s="535"/>
      <c r="W116" s="535"/>
      <c r="X116" s="535"/>
      <c r="Z116" s="616"/>
    </row>
    <row r="117" spans="1:26" s="303" customFormat="1" x14ac:dyDescent="0.25">
      <c r="D117" s="602"/>
      <c r="E117" s="602"/>
      <c r="F117" s="602"/>
      <c r="G117" s="605"/>
      <c r="H117" s="605"/>
      <c r="I117" s="605"/>
      <c r="J117" s="605"/>
      <c r="K117" s="605"/>
      <c r="L117" s="605"/>
      <c r="M117" s="605"/>
      <c r="N117" s="534"/>
      <c r="O117" s="534"/>
      <c r="P117" s="534"/>
      <c r="Q117" s="535"/>
      <c r="R117" s="535"/>
      <c r="S117" s="535"/>
      <c r="T117" s="535"/>
      <c r="U117" s="535"/>
      <c r="V117" s="535"/>
      <c r="W117" s="535"/>
      <c r="X117" s="535"/>
      <c r="Z117" s="616"/>
    </row>
    <row r="118" spans="1:26" s="303" customFormat="1" x14ac:dyDescent="0.25">
      <c r="D118" s="604"/>
      <c r="E118" s="604"/>
      <c r="F118" s="604"/>
      <c r="G118" s="605"/>
      <c r="H118" s="605"/>
      <c r="I118" s="605"/>
      <c r="J118" s="605"/>
      <c r="K118" s="605"/>
      <c r="L118" s="605"/>
      <c r="M118" s="605"/>
      <c r="N118" s="534"/>
      <c r="O118" s="534"/>
      <c r="P118" s="534"/>
      <c r="Q118" s="535"/>
      <c r="R118" s="535"/>
      <c r="S118" s="535"/>
      <c r="T118" s="535"/>
      <c r="U118" s="535"/>
      <c r="V118" s="535"/>
      <c r="W118" s="535"/>
      <c r="X118" s="535"/>
      <c r="Z118" s="616"/>
    </row>
    <row r="119" spans="1:26" s="303" customFormat="1" x14ac:dyDescent="0.25">
      <c r="D119" s="548"/>
      <c r="E119" s="548"/>
      <c r="F119" s="548"/>
      <c r="G119" s="537"/>
      <c r="H119" s="537"/>
      <c r="I119" s="537"/>
      <c r="J119" s="537"/>
      <c r="K119" s="537"/>
      <c r="L119" s="537"/>
      <c r="M119" s="537"/>
      <c r="N119" s="537"/>
      <c r="O119" s="537"/>
      <c r="P119" s="537"/>
      <c r="Q119" s="535"/>
      <c r="R119" s="535"/>
      <c r="S119" s="535"/>
      <c r="T119" s="535"/>
      <c r="U119" s="535"/>
      <c r="V119" s="535"/>
      <c r="W119" s="535"/>
      <c r="X119" s="535"/>
      <c r="Z119" s="616"/>
    </row>
    <row r="120" spans="1:26" s="303" customFormat="1" x14ac:dyDescent="0.25">
      <c r="D120" s="617"/>
      <c r="E120" s="617"/>
      <c r="F120" s="617"/>
      <c r="G120" s="595"/>
      <c r="H120" s="595"/>
      <c r="I120" s="595"/>
      <c r="J120" s="595"/>
      <c r="K120" s="595"/>
      <c r="L120" s="595"/>
      <c r="M120" s="595"/>
      <c r="N120" s="595"/>
      <c r="O120" s="595"/>
      <c r="P120" s="595"/>
      <c r="Q120" s="535"/>
      <c r="R120" s="535"/>
      <c r="S120" s="535"/>
      <c r="T120" s="535"/>
      <c r="U120" s="535"/>
      <c r="V120" s="535"/>
      <c r="W120" s="535"/>
      <c r="X120" s="535"/>
      <c r="Z120" s="616"/>
    </row>
    <row r="121" spans="1:26" s="303" customFormat="1" x14ac:dyDescent="0.25">
      <c r="B121" s="129"/>
      <c r="C121" s="129"/>
      <c r="D121" s="617"/>
      <c r="E121" s="617"/>
      <c r="F121" s="617"/>
      <c r="G121" s="521"/>
      <c r="H121" s="521"/>
      <c r="I121" s="521"/>
      <c r="J121" s="521"/>
      <c r="K121" s="521"/>
      <c r="L121" s="521"/>
      <c r="M121" s="521"/>
      <c r="N121" s="521"/>
      <c r="O121" s="521"/>
      <c r="P121" s="521"/>
      <c r="Q121" s="535"/>
      <c r="R121" s="535"/>
      <c r="S121" s="535"/>
      <c r="T121" s="535"/>
      <c r="U121" s="535"/>
      <c r="V121" s="535"/>
      <c r="W121" s="535"/>
      <c r="X121" s="535"/>
      <c r="Z121" s="616"/>
    </row>
    <row r="122" spans="1:26" s="303" customFormat="1" x14ac:dyDescent="0.25">
      <c r="B122" s="129"/>
      <c r="C122" s="129"/>
      <c r="D122" s="617"/>
      <c r="E122" s="617"/>
      <c r="F122" s="617"/>
      <c r="G122" s="521"/>
      <c r="H122" s="521"/>
      <c r="I122" s="521"/>
      <c r="J122" s="521"/>
      <c r="K122" s="521"/>
      <c r="L122" s="521"/>
      <c r="M122" s="521"/>
      <c r="N122" s="521"/>
      <c r="O122" s="521"/>
      <c r="P122" s="521"/>
      <c r="Q122" s="535"/>
      <c r="R122" s="535"/>
      <c r="S122" s="535"/>
      <c r="T122" s="535"/>
      <c r="U122" s="535"/>
      <c r="V122" s="535"/>
      <c r="W122" s="535"/>
      <c r="X122" s="535"/>
      <c r="Z122" s="616"/>
    </row>
    <row r="123" spans="1:26" s="303" customFormat="1" x14ac:dyDescent="0.25">
      <c r="B123" s="129"/>
      <c r="C123" s="129"/>
      <c r="D123" s="617"/>
      <c r="E123" s="617"/>
      <c r="F123" s="617"/>
      <c r="G123" s="521"/>
      <c r="H123" s="521"/>
      <c r="I123" s="521"/>
      <c r="J123" s="521"/>
      <c r="K123" s="521"/>
      <c r="L123" s="521"/>
      <c r="M123" s="521"/>
      <c r="N123" s="521"/>
      <c r="O123" s="521"/>
      <c r="P123" s="521"/>
      <c r="Q123" s="535"/>
      <c r="R123" s="535"/>
      <c r="S123" s="535"/>
      <c r="T123" s="535"/>
      <c r="U123" s="535"/>
      <c r="V123" s="535"/>
      <c r="W123" s="535"/>
      <c r="X123" s="535"/>
      <c r="Z123" s="616"/>
    </row>
    <row r="124" spans="1:26" s="303" customFormat="1" x14ac:dyDescent="0.25">
      <c r="B124" s="129"/>
      <c r="C124" s="129"/>
      <c r="D124" s="617"/>
      <c r="E124" s="617"/>
      <c r="F124" s="617"/>
      <c r="G124" s="521"/>
      <c r="H124" s="521"/>
      <c r="I124" s="521"/>
      <c r="J124" s="521"/>
      <c r="K124" s="521"/>
      <c r="L124" s="521"/>
      <c r="M124" s="521"/>
      <c r="N124" s="521"/>
      <c r="O124" s="521"/>
      <c r="P124" s="521"/>
      <c r="Q124" s="535"/>
      <c r="R124" s="535"/>
      <c r="S124" s="535"/>
      <c r="T124" s="535"/>
      <c r="U124" s="535"/>
      <c r="V124" s="535"/>
      <c r="W124" s="535"/>
      <c r="X124" s="535"/>
      <c r="Z124" s="616"/>
    </row>
    <row r="125" spans="1:26" s="303" customFormat="1" x14ac:dyDescent="0.25">
      <c r="B125" s="129"/>
      <c r="C125" s="129"/>
      <c r="D125" s="617"/>
      <c r="E125" s="617"/>
      <c r="F125" s="617"/>
      <c r="G125" s="521"/>
      <c r="H125" s="521"/>
      <c r="I125" s="521"/>
      <c r="J125" s="521"/>
      <c r="K125" s="521"/>
      <c r="L125" s="521"/>
      <c r="M125" s="521"/>
      <c r="N125" s="521"/>
      <c r="O125" s="521"/>
      <c r="P125" s="521"/>
      <c r="Q125" s="535"/>
      <c r="R125" s="535"/>
      <c r="S125" s="535"/>
      <c r="T125" s="535"/>
      <c r="U125" s="535"/>
      <c r="V125" s="535"/>
      <c r="W125" s="535"/>
      <c r="X125" s="535"/>
      <c r="Z125" s="616"/>
    </row>
    <row r="126" spans="1:26" s="303" customFormat="1" x14ac:dyDescent="0.25">
      <c r="B126" s="129"/>
      <c r="C126" s="129"/>
      <c r="D126" s="617"/>
      <c r="E126" s="617"/>
      <c r="F126" s="617"/>
      <c r="G126" s="521"/>
      <c r="H126" s="521"/>
      <c r="I126" s="521"/>
      <c r="J126" s="521"/>
      <c r="K126" s="521"/>
      <c r="L126" s="521"/>
      <c r="M126" s="521"/>
      <c r="N126" s="521"/>
      <c r="O126" s="521"/>
      <c r="P126" s="521"/>
      <c r="Q126" s="535"/>
      <c r="R126" s="535"/>
      <c r="S126" s="535"/>
      <c r="T126" s="535"/>
      <c r="U126" s="535"/>
      <c r="V126" s="535"/>
      <c r="W126" s="535"/>
      <c r="X126" s="535"/>
      <c r="Z126" s="616"/>
    </row>
    <row r="127" spans="1:26" s="303" customFormat="1" x14ac:dyDescent="0.25">
      <c r="B127" s="129"/>
      <c r="C127" s="129"/>
      <c r="D127" s="617"/>
      <c r="E127" s="617"/>
      <c r="F127" s="617"/>
      <c r="G127" s="521"/>
      <c r="H127" s="521"/>
      <c r="I127" s="521"/>
      <c r="J127" s="521"/>
      <c r="K127" s="521"/>
      <c r="L127" s="521"/>
      <c r="M127" s="521"/>
      <c r="N127" s="521"/>
      <c r="O127" s="521"/>
      <c r="P127" s="521"/>
      <c r="Q127" s="535"/>
      <c r="R127" s="535"/>
      <c r="S127" s="535"/>
      <c r="T127" s="535"/>
      <c r="U127" s="535"/>
      <c r="V127" s="535"/>
      <c r="W127" s="535"/>
      <c r="X127" s="535"/>
      <c r="Z127" s="616"/>
    </row>
    <row r="128" spans="1:26" s="303" customFormat="1" x14ac:dyDescent="0.25">
      <c r="D128" s="617"/>
      <c r="E128" s="617"/>
      <c r="F128" s="617"/>
      <c r="G128" s="524"/>
      <c r="H128" s="524"/>
      <c r="I128" s="524"/>
      <c r="J128" s="524"/>
      <c r="K128" s="524"/>
      <c r="L128" s="524"/>
      <c r="M128" s="524"/>
      <c r="N128" s="524"/>
      <c r="O128" s="524"/>
      <c r="P128" s="524"/>
      <c r="Q128" s="535"/>
      <c r="R128" s="535"/>
      <c r="S128" s="535"/>
      <c r="T128" s="535"/>
      <c r="U128" s="535"/>
      <c r="V128" s="535"/>
      <c r="W128" s="535"/>
      <c r="X128" s="535"/>
      <c r="Z128" s="616"/>
    </row>
    <row r="129" spans="2:26" s="303" customFormat="1" x14ac:dyDescent="0.25">
      <c r="B129" s="129"/>
      <c r="C129" s="129"/>
      <c r="D129" s="617"/>
      <c r="E129" s="617"/>
      <c r="F129" s="617"/>
      <c r="G129" s="521"/>
      <c r="H129" s="521"/>
      <c r="I129" s="521"/>
      <c r="J129" s="521"/>
      <c r="K129" s="521"/>
      <c r="L129" s="521"/>
      <c r="M129" s="521"/>
      <c r="N129" s="521"/>
      <c r="O129" s="521"/>
      <c r="P129" s="521"/>
      <c r="Q129" s="535"/>
      <c r="R129" s="535"/>
      <c r="S129" s="535"/>
      <c r="T129" s="535"/>
      <c r="U129" s="535"/>
      <c r="V129" s="535"/>
      <c r="W129" s="535"/>
      <c r="X129" s="535"/>
      <c r="Z129" s="616"/>
    </row>
    <row r="130" spans="2:26" s="303" customFormat="1" x14ac:dyDescent="0.25">
      <c r="B130" s="129"/>
      <c r="C130" s="129"/>
      <c r="D130" s="617"/>
      <c r="E130" s="617"/>
      <c r="F130" s="617"/>
      <c r="G130" s="521"/>
      <c r="H130" s="521"/>
      <c r="I130" s="521"/>
      <c r="J130" s="521"/>
      <c r="K130" s="521"/>
      <c r="L130" s="521"/>
      <c r="M130" s="521"/>
      <c r="N130" s="521"/>
      <c r="O130" s="521"/>
      <c r="P130" s="521"/>
      <c r="Q130" s="535"/>
      <c r="R130" s="535"/>
      <c r="S130" s="535"/>
      <c r="T130" s="535"/>
      <c r="U130" s="535"/>
      <c r="V130" s="535"/>
      <c r="W130" s="535"/>
      <c r="X130" s="535"/>
      <c r="Z130" s="616"/>
    </row>
    <row r="131" spans="2:26" s="303" customFormat="1" x14ac:dyDescent="0.25">
      <c r="B131" s="129"/>
      <c r="C131" s="129"/>
      <c r="D131" s="617"/>
      <c r="E131" s="617"/>
      <c r="F131" s="617"/>
      <c r="G131" s="521"/>
      <c r="H131" s="521"/>
      <c r="I131" s="521"/>
      <c r="J131" s="521"/>
      <c r="K131" s="521"/>
      <c r="L131" s="521"/>
      <c r="M131" s="521"/>
      <c r="N131" s="521"/>
      <c r="O131" s="521"/>
      <c r="P131" s="521"/>
      <c r="Q131" s="535"/>
      <c r="R131" s="535"/>
      <c r="S131" s="535"/>
      <c r="T131" s="535"/>
      <c r="U131" s="535"/>
      <c r="V131" s="535"/>
      <c r="W131" s="535"/>
      <c r="X131" s="535"/>
      <c r="Z131" s="616"/>
    </row>
    <row r="132" spans="2:26" s="303" customFormat="1" x14ac:dyDescent="0.25">
      <c r="D132" s="617"/>
      <c r="E132" s="617"/>
      <c r="F132" s="617"/>
      <c r="G132" s="521"/>
      <c r="H132" s="521"/>
      <c r="I132" s="521"/>
      <c r="J132" s="521"/>
      <c r="K132" s="521"/>
      <c r="L132" s="521"/>
      <c r="M132" s="521"/>
      <c r="N132" s="521"/>
      <c r="O132" s="521"/>
      <c r="P132" s="521"/>
      <c r="Q132" s="535"/>
      <c r="R132" s="535"/>
      <c r="S132" s="535"/>
      <c r="T132" s="535"/>
      <c r="U132" s="535"/>
      <c r="V132" s="535"/>
      <c r="W132" s="535"/>
      <c r="X132" s="535"/>
      <c r="Z132" s="616"/>
    </row>
    <row r="133" spans="2:26" s="303" customFormat="1" x14ac:dyDescent="0.25">
      <c r="D133" s="617"/>
      <c r="E133" s="617"/>
      <c r="F133" s="617"/>
      <c r="G133" s="524"/>
      <c r="H133" s="524"/>
      <c r="I133" s="524"/>
      <c r="J133" s="524"/>
      <c r="K133" s="524"/>
      <c r="L133" s="524"/>
      <c r="M133" s="524"/>
      <c r="N133" s="524"/>
      <c r="O133" s="524"/>
      <c r="P133" s="524"/>
      <c r="Q133" s="535"/>
      <c r="R133" s="535"/>
      <c r="S133" s="535"/>
      <c r="T133" s="535"/>
      <c r="U133" s="535"/>
      <c r="V133" s="535"/>
      <c r="W133" s="535"/>
      <c r="X133" s="535"/>
      <c r="Z133" s="616"/>
    </row>
    <row r="134" spans="2:26" s="303" customFormat="1" x14ac:dyDescent="0.25">
      <c r="D134" s="617"/>
      <c r="E134" s="617"/>
      <c r="F134" s="617"/>
      <c r="G134" s="521"/>
      <c r="H134" s="521"/>
      <c r="I134" s="521"/>
      <c r="J134" s="521"/>
      <c r="K134" s="521"/>
      <c r="L134" s="521"/>
      <c r="M134" s="521"/>
      <c r="N134" s="521"/>
      <c r="O134" s="521"/>
      <c r="P134" s="521"/>
      <c r="Q134" s="535"/>
      <c r="R134" s="535"/>
      <c r="S134" s="535"/>
      <c r="T134" s="535"/>
      <c r="U134" s="535"/>
      <c r="V134" s="535"/>
      <c r="W134" s="535"/>
      <c r="X134" s="535"/>
      <c r="Z134" s="616"/>
    </row>
    <row r="135" spans="2:26" s="303" customFormat="1" x14ac:dyDescent="0.25">
      <c r="B135" s="129"/>
      <c r="C135" s="129"/>
      <c r="D135" s="604"/>
      <c r="E135" s="604"/>
      <c r="F135" s="604"/>
      <c r="G135" s="521"/>
      <c r="H135" s="521"/>
      <c r="I135" s="521"/>
      <c r="J135" s="521"/>
      <c r="K135" s="521"/>
      <c r="L135" s="521"/>
      <c r="M135" s="521"/>
      <c r="N135" s="521"/>
      <c r="O135" s="521"/>
      <c r="P135" s="521"/>
      <c r="Q135" s="535"/>
      <c r="R135" s="535"/>
      <c r="S135" s="535"/>
      <c r="T135" s="535"/>
      <c r="U135" s="535"/>
      <c r="V135" s="535"/>
      <c r="W135" s="535"/>
      <c r="X135" s="535"/>
      <c r="Z135" s="616"/>
    </row>
    <row r="136" spans="2:26" s="303" customFormat="1" x14ac:dyDescent="0.25">
      <c r="B136" s="613"/>
      <c r="C136" s="613"/>
      <c r="D136" s="604"/>
      <c r="E136" s="604"/>
      <c r="F136" s="604"/>
      <c r="G136" s="533"/>
      <c r="H136" s="533"/>
      <c r="I136" s="533"/>
      <c r="J136" s="533"/>
      <c r="K136" s="533"/>
      <c r="L136" s="533"/>
      <c r="M136" s="533"/>
      <c r="N136" s="533"/>
      <c r="O136" s="533"/>
      <c r="P136" s="533"/>
      <c r="Q136" s="535"/>
      <c r="R136" s="535"/>
      <c r="S136" s="535"/>
      <c r="T136" s="535"/>
      <c r="U136" s="535"/>
      <c r="V136" s="535"/>
      <c r="W136" s="535"/>
      <c r="X136" s="535"/>
      <c r="Z136" s="616"/>
    </row>
    <row r="137" spans="2:26" s="303" customFormat="1" x14ac:dyDescent="0.25">
      <c r="D137" s="604"/>
      <c r="E137" s="604"/>
      <c r="F137" s="604"/>
      <c r="G137" s="525"/>
      <c r="H137" s="525"/>
      <c r="I137" s="525"/>
      <c r="J137" s="525"/>
      <c r="K137" s="525"/>
      <c r="L137" s="525"/>
      <c r="M137" s="525"/>
      <c r="N137" s="525"/>
      <c r="O137" s="525"/>
      <c r="P137" s="525"/>
      <c r="Q137" s="535"/>
      <c r="R137" s="535"/>
      <c r="S137" s="535"/>
      <c r="T137" s="535"/>
      <c r="U137" s="535"/>
      <c r="V137" s="535"/>
      <c r="W137" s="535"/>
      <c r="X137" s="535"/>
      <c r="Z137" s="616"/>
    </row>
    <row r="138" spans="2:26" s="303" customFormat="1" x14ac:dyDescent="0.25">
      <c r="D138" s="604"/>
      <c r="E138" s="604"/>
      <c r="F138" s="604"/>
      <c r="G138" s="605"/>
      <c r="H138" s="605"/>
      <c r="I138" s="605"/>
      <c r="J138" s="605"/>
      <c r="K138" s="605"/>
      <c r="L138" s="605"/>
      <c r="M138" s="605"/>
      <c r="N138" s="534"/>
      <c r="O138" s="534"/>
      <c r="P138" s="534"/>
      <c r="Q138" s="535"/>
      <c r="R138" s="535"/>
      <c r="S138" s="535"/>
      <c r="T138" s="535"/>
      <c r="U138" s="535"/>
      <c r="V138" s="535"/>
      <c r="W138" s="535"/>
      <c r="X138" s="535"/>
      <c r="Z138" s="616"/>
    </row>
    <row r="139" spans="2:26" s="303" customFormat="1" x14ac:dyDescent="0.25">
      <c r="B139" s="2249"/>
      <c r="C139" s="2249"/>
      <c r="D139" s="618"/>
      <c r="E139" s="618"/>
      <c r="F139" s="618"/>
      <c r="G139" s="605"/>
      <c r="H139" s="605"/>
      <c r="I139" s="605"/>
      <c r="J139" s="605"/>
      <c r="K139" s="605"/>
      <c r="L139" s="605"/>
      <c r="M139" s="605"/>
      <c r="N139" s="534"/>
      <c r="O139" s="534"/>
      <c r="P139" s="534"/>
      <c r="Q139" s="535"/>
      <c r="R139" s="535"/>
      <c r="S139" s="535"/>
      <c r="T139" s="535"/>
      <c r="U139" s="535"/>
      <c r="V139" s="535"/>
      <c r="W139" s="535"/>
      <c r="X139" s="535"/>
      <c r="Z139" s="616"/>
    </row>
    <row r="140" spans="2:26" s="622" customFormat="1" x14ac:dyDescent="0.25">
      <c r="B140" s="619"/>
      <c r="C140" s="619"/>
      <c r="D140" s="620"/>
      <c r="E140" s="620"/>
      <c r="F140" s="620"/>
      <c r="G140" s="621"/>
      <c r="H140" s="621"/>
      <c r="I140" s="621"/>
      <c r="J140" s="621"/>
      <c r="K140" s="621"/>
      <c r="L140" s="621"/>
      <c r="M140" s="621"/>
      <c r="N140" s="539"/>
      <c r="O140" s="539"/>
      <c r="P140" s="539"/>
      <c r="Q140" s="540"/>
      <c r="R140" s="540"/>
      <c r="S140" s="540"/>
      <c r="T140" s="540"/>
      <c r="U140" s="540"/>
      <c r="V140" s="540"/>
      <c r="W140" s="540"/>
      <c r="X140" s="540"/>
      <c r="Z140" s="623"/>
    </row>
    <row r="141" spans="2:26" s="303" customFormat="1" x14ac:dyDescent="0.25">
      <c r="D141" s="624"/>
      <c r="E141" s="624"/>
      <c r="F141" s="624"/>
      <c r="G141" s="605"/>
      <c r="H141" s="605"/>
      <c r="I141" s="605"/>
      <c r="J141" s="605"/>
      <c r="K141" s="605"/>
      <c r="L141" s="605"/>
      <c r="M141" s="605"/>
      <c r="N141" s="534"/>
      <c r="O141" s="534"/>
      <c r="P141" s="534"/>
      <c r="Q141" s="535"/>
      <c r="R141" s="535"/>
      <c r="S141" s="535"/>
      <c r="T141" s="535"/>
      <c r="U141" s="535"/>
      <c r="V141" s="535"/>
      <c r="W141" s="535"/>
      <c r="X141" s="535"/>
      <c r="Z141" s="616"/>
    </row>
    <row r="142" spans="2:26" s="303" customFormat="1" x14ac:dyDescent="0.25">
      <c r="B142" s="129"/>
      <c r="C142" s="129"/>
      <c r="D142" s="625"/>
      <c r="E142" s="625"/>
      <c r="F142" s="625"/>
      <c r="G142" s="605"/>
      <c r="H142" s="605"/>
      <c r="I142" s="605"/>
      <c r="J142" s="605"/>
      <c r="K142" s="605"/>
      <c r="L142" s="605"/>
      <c r="M142" s="605"/>
      <c r="N142" s="534"/>
      <c r="O142" s="534"/>
      <c r="P142" s="534"/>
      <c r="Q142" s="535"/>
      <c r="R142" s="535"/>
      <c r="S142" s="535"/>
      <c r="T142" s="535"/>
      <c r="U142" s="535"/>
      <c r="V142" s="535"/>
      <c r="W142" s="535"/>
      <c r="X142" s="535"/>
      <c r="Z142" s="616"/>
    </row>
    <row r="143" spans="2:26" s="303" customFormat="1" x14ac:dyDescent="0.25">
      <c r="B143" s="129"/>
      <c r="C143" s="129"/>
      <c r="D143" s="625"/>
      <c r="E143" s="625"/>
      <c r="F143" s="625"/>
      <c r="G143" s="605"/>
      <c r="H143" s="605"/>
      <c r="I143" s="605"/>
      <c r="J143" s="605"/>
      <c r="K143" s="605"/>
      <c r="L143" s="605"/>
      <c r="M143" s="605"/>
      <c r="N143" s="534"/>
      <c r="O143" s="534"/>
      <c r="P143" s="534"/>
      <c r="Q143" s="535"/>
      <c r="R143" s="535"/>
      <c r="S143" s="535"/>
      <c r="T143" s="535"/>
      <c r="U143" s="535"/>
      <c r="V143" s="535"/>
      <c r="W143" s="535"/>
      <c r="X143" s="535"/>
      <c r="Z143" s="616"/>
    </row>
    <row r="144" spans="2:26" s="303" customFormat="1" x14ac:dyDescent="0.25">
      <c r="B144" s="129"/>
      <c r="C144" s="129"/>
      <c r="D144" s="625"/>
      <c r="E144" s="625"/>
      <c r="F144" s="625"/>
      <c r="G144" s="605"/>
      <c r="H144" s="605"/>
      <c r="I144" s="605"/>
      <c r="J144" s="605"/>
      <c r="K144" s="605"/>
      <c r="L144" s="605"/>
      <c r="M144" s="605"/>
      <c r="N144" s="534"/>
      <c r="O144" s="534"/>
      <c r="P144" s="534"/>
      <c r="Q144" s="535"/>
      <c r="R144" s="535"/>
      <c r="S144" s="535"/>
      <c r="T144" s="535"/>
      <c r="U144" s="535"/>
      <c r="V144" s="535"/>
      <c r="W144" s="535"/>
      <c r="X144" s="535"/>
      <c r="Z144" s="616"/>
    </row>
    <row r="145" spans="1:26" s="303" customFormat="1" x14ac:dyDescent="0.25">
      <c r="B145" s="129"/>
      <c r="C145" s="129"/>
      <c r="D145" s="625"/>
      <c r="E145" s="625"/>
      <c r="F145" s="625"/>
      <c r="G145" s="605"/>
      <c r="H145" s="605"/>
      <c r="I145" s="605"/>
      <c r="J145" s="605"/>
      <c r="K145" s="605"/>
      <c r="L145" s="605"/>
      <c r="M145" s="605"/>
      <c r="N145" s="534"/>
      <c r="O145" s="534"/>
      <c r="P145" s="534"/>
      <c r="Q145" s="535"/>
      <c r="R145" s="535"/>
      <c r="S145" s="535"/>
      <c r="T145" s="535"/>
      <c r="U145" s="535"/>
      <c r="V145" s="535"/>
      <c r="W145" s="535"/>
      <c r="X145" s="535"/>
      <c r="Z145" s="616"/>
    </row>
    <row r="146" spans="1:26" s="303" customFormat="1" x14ac:dyDescent="0.25">
      <c r="B146" s="129"/>
      <c r="C146" s="129"/>
      <c r="D146" s="625"/>
      <c r="E146" s="625"/>
      <c r="F146" s="625"/>
      <c r="G146" s="605"/>
      <c r="H146" s="605"/>
      <c r="I146" s="605"/>
      <c r="J146" s="605"/>
      <c r="K146" s="605"/>
      <c r="L146" s="605"/>
      <c r="M146" s="605"/>
      <c r="N146" s="534"/>
      <c r="O146" s="534"/>
      <c r="P146" s="534"/>
      <c r="Q146" s="535"/>
      <c r="R146" s="535"/>
      <c r="S146" s="535"/>
      <c r="T146" s="535"/>
      <c r="U146" s="535"/>
      <c r="V146" s="535"/>
      <c r="W146" s="535"/>
      <c r="X146" s="535"/>
      <c r="Z146" s="616"/>
    </row>
    <row r="147" spans="1:26" s="303" customFormat="1" x14ac:dyDescent="0.25">
      <c r="B147" s="129"/>
      <c r="C147" s="129"/>
      <c r="D147" s="625"/>
      <c r="E147" s="625"/>
      <c r="F147" s="625"/>
      <c r="G147" s="605"/>
      <c r="H147" s="605"/>
      <c r="I147" s="605"/>
      <c r="J147" s="605"/>
      <c r="K147" s="605"/>
      <c r="L147" s="605"/>
      <c r="M147" s="605"/>
      <c r="N147" s="534"/>
      <c r="O147" s="534"/>
      <c r="P147" s="534"/>
      <c r="Q147" s="535"/>
      <c r="R147" s="535"/>
      <c r="S147" s="535"/>
      <c r="T147" s="535"/>
      <c r="U147" s="535"/>
      <c r="V147" s="535"/>
      <c r="W147" s="535"/>
      <c r="X147" s="535"/>
      <c r="Z147" s="616"/>
    </row>
    <row r="148" spans="1:26" s="303" customFormat="1" x14ac:dyDescent="0.25">
      <c r="D148" s="602"/>
      <c r="E148" s="602"/>
      <c r="F148" s="602"/>
      <c r="G148" s="605"/>
      <c r="H148" s="605"/>
      <c r="I148" s="605"/>
      <c r="J148" s="605"/>
      <c r="K148" s="605"/>
      <c r="L148" s="605"/>
      <c r="M148" s="605"/>
      <c r="N148" s="534"/>
      <c r="O148" s="534"/>
      <c r="P148" s="534"/>
      <c r="Q148" s="535"/>
      <c r="R148" s="535"/>
      <c r="S148" s="535"/>
      <c r="T148" s="535"/>
      <c r="U148" s="535"/>
      <c r="V148" s="535"/>
      <c r="W148" s="535"/>
      <c r="X148" s="535"/>
      <c r="Z148" s="616"/>
    </row>
    <row r="149" spans="1:26" s="303" customFormat="1" x14ac:dyDescent="0.25">
      <c r="B149" s="129"/>
      <c r="C149" s="129"/>
      <c r="D149" s="624"/>
      <c r="E149" s="624"/>
      <c r="F149" s="624"/>
      <c r="G149" s="605"/>
      <c r="H149" s="605"/>
      <c r="I149" s="605"/>
      <c r="J149" s="605"/>
      <c r="K149" s="605"/>
      <c r="L149" s="605"/>
      <c r="M149" s="605"/>
      <c r="N149" s="534"/>
      <c r="O149" s="534"/>
      <c r="P149" s="534"/>
      <c r="Q149" s="535"/>
      <c r="R149" s="535"/>
      <c r="S149" s="535"/>
      <c r="T149" s="535"/>
      <c r="U149" s="535"/>
      <c r="V149" s="535"/>
      <c r="W149" s="535"/>
      <c r="X149" s="535"/>
      <c r="Z149" s="616"/>
    </row>
    <row r="150" spans="1:26" s="303" customFormat="1" x14ac:dyDescent="0.25">
      <c r="D150" s="604"/>
      <c r="E150" s="604"/>
      <c r="F150" s="604"/>
      <c r="G150" s="605"/>
      <c r="H150" s="605"/>
      <c r="I150" s="605"/>
      <c r="J150" s="605"/>
      <c r="K150" s="605"/>
      <c r="L150" s="605"/>
      <c r="M150" s="605"/>
      <c r="N150" s="534"/>
      <c r="O150" s="534"/>
      <c r="P150" s="534"/>
      <c r="Q150" s="535"/>
      <c r="R150" s="535"/>
      <c r="S150" s="535"/>
      <c r="T150" s="535"/>
      <c r="U150" s="535"/>
      <c r="V150" s="535"/>
      <c r="W150" s="535"/>
      <c r="X150" s="535"/>
      <c r="Z150" s="616"/>
    </row>
    <row r="151" spans="1:26" s="303" customFormat="1" x14ac:dyDescent="0.25">
      <c r="D151" s="604"/>
      <c r="E151" s="604"/>
      <c r="F151" s="604"/>
      <c r="G151" s="605"/>
      <c r="H151" s="605"/>
      <c r="I151" s="605"/>
      <c r="J151" s="605"/>
      <c r="K151" s="605"/>
      <c r="L151" s="605"/>
      <c r="M151" s="605"/>
      <c r="N151" s="534"/>
      <c r="O151" s="534"/>
      <c r="P151" s="534"/>
      <c r="Q151" s="535"/>
      <c r="R151" s="535"/>
      <c r="S151" s="535"/>
      <c r="T151" s="535"/>
      <c r="U151" s="535"/>
      <c r="V151" s="535"/>
      <c r="W151" s="535"/>
      <c r="X151" s="535"/>
      <c r="Z151" s="616"/>
    </row>
    <row r="152" spans="1:26" s="303" customFormat="1" x14ac:dyDescent="0.25">
      <c r="B152" s="129"/>
      <c r="C152" s="129"/>
      <c r="D152" s="625"/>
      <c r="E152" s="625"/>
      <c r="F152" s="625"/>
      <c r="G152" s="605"/>
      <c r="H152" s="605"/>
      <c r="I152" s="605"/>
      <c r="J152" s="605"/>
      <c r="K152" s="605"/>
      <c r="L152" s="605"/>
      <c r="M152" s="605"/>
      <c r="N152" s="534"/>
      <c r="O152" s="534"/>
      <c r="P152" s="534"/>
      <c r="Q152" s="535"/>
      <c r="R152" s="535"/>
      <c r="S152" s="535"/>
      <c r="T152" s="535"/>
      <c r="U152" s="535"/>
      <c r="V152" s="535"/>
      <c r="W152" s="535"/>
      <c r="X152" s="535"/>
      <c r="Z152" s="616"/>
    </row>
    <row r="153" spans="1:26" s="303" customFormat="1" x14ac:dyDescent="0.25">
      <c r="D153" s="604"/>
      <c r="E153" s="604"/>
      <c r="F153" s="604"/>
      <c r="G153" s="605"/>
      <c r="H153" s="605"/>
      <c r="I153" s="605"/>
      <c r="J153" s="605"/>
      <c r="K153" s="605"/>
      <c r="L153" s="605"/>
      <c r="M153" s="605"/>
      <c r="N153" s="534"/>
      <c r="O153" s="534"/>
      <c r="P153" s="534"/>
      <c r="Q153" s="535"/>
      <c r="R153" s="535"/>
      <c r="S153" s="535"/>
      <c r="T153" s="535"/>
      <c r="U153" s="535"/>
      <c r="V153" s="535"/>
      <c r="W153" s="535"/>
      <c r="X153" s="535"/>
      <c r="Z153" s="616"/>
    </row>
    <row r="154" spans="1:26" s="303" customFormat="1" x14ac:dyDescent="0.25">
      <c r="B154" s="2249"/>
      <c r="C154" s="2249"/>
      <c r="D154" s="618"/>
      <c r="E154" s="618"/>
      <c r="F154" s="618"/>
      <c r="G154" s="605"/>
      <c r="H154" s="605"/>
      <c r="I154" s="605"/>
      <c r="J154" s="605"/>
      <c r="K154" s="605"/>
      <c r="L154" s="605"/>
      <c r="M154" s="605"/>
      <c r="N154" s="534"/>
      <c r="O154" s="534"/>
      <c r="P154" s="534"/>
      <c r="Q154" s="535"/>
      <c r="R154" s="535"/>
      <c r="S154" s="535"/>
      <c r="T154" s="535"/>
      <c r="U154" s="535"/>
      <c r="V154" s="535"/>
      <c r="W154" s="535"/>
      <c r="X154" s="535"/>
      <c r="Z154" s="616"/>
    </row>
    <row r="155" spans="1:26" s="129" customFormat="1" x14ac:dyDescent="0.25">
      <c r="A155" s="303"/>
      <c r="D155" s="602"/>
      <c r="E155" s="602"/>
      <c r="F155" s="602"/>
      <c r="G155" s="603"/>
      <c r="H155" s="603"/>
      <c r="I155" s="603"/>
      <c r="J155" s="603"/>
      <c r="K155" s="603"/>
      <c r="L155" s="603"/>
      <c r="M155" s="521"/>
      <c r="N155" s="522"/>
      <c r="O155" s="521"/>
      <c r="P155" s="521"/>
      <c r="Q155" s="307"/>
      <c r="R155" s="307"/>
      <c r="S155" s="307"/>
      <c r="T155" s="307"/>
      <c r="U155" s="307"/>
      <c r="V155" s="307"/>
      <c r="W155" s="307"/>
      <c r="Z155" s="626"/>
    </row>
    <row r="156" spans="1:26" s="129" customFormat="1" x14ac:dyDescent="0.25">
      <c r="A156" s="303"/>
      <c r="D156" s="602"/>
      <c r="E156" s="602"/>
      <c r="F156" s="602"/>
      <c r="G156" s="603"/>
      <c r="H156" s="603"/>
      <c r="I156" s="603"/>
      <c r="J156" s="603"/>
      <c r="K156" s="603"/>
      <c r="L156" s="603"/>
      <c r="M156" s="521"/>
      <c r="N156" s="522"/>
      <c r="O156" s="521"/>
      <c r="P156" s="521"/>
      <c r="Q156" s="307"/>
      <c r="R156" s="307"/>
      <c r="S156" s="307"/>
      <c r="T156" s="307"/>
      <c r="U156" s="307"/>
      <c r="V156" s="307"/>
      <c r="W156" s="307"/>
    </row>
    <row r="157" spans="1:26" s="129" customFormat="1" x14ac:dyDescent="0.25">
      <c r="A157" s="303"/>
      <c r="B157" s="303"/>
      <c r="C157" s="303"/>
      <c r="D157" s="549"/>
      <c r="E157" s="549"/>
      <c r="F157" s="549"/>
      <c r="G157" s="542"/>
      <c r="H157" s="542"/>
      <c r="I157" s="542"/>
      <c r="J157" s="542"/>
      <c r="K157" s="542"/>
      <c r="L157" s="542"/>
      <c r="M157" s="542"/>
      <c r="N157" s="542"/>
      <c r="O157" s="542"/>
      <c r="P157" s="542"/>
      <c r="Q157" s="307"/>
      <c r="R157" s="307"/>
      <c r="S157" s="307"/>
      <c r="T157" s="307"/>
      <c r="U157" s="307"/>
      <c r="V157" s="307"/>
      <c r="W157" s="307"/>
    </row>
    <row r="158" spans="1:26" s="129" customFormat="1" x14ac:dyDescent="0.25">
      <c r="A158" s="303"/>
      <c r="B158" s="303"/>
      <c r="C158" s="303"/>
      <c r="D158" s="604"/>
      <c r="E158" s="604"/>
      <c r="F158" s="604"/>
      <c r="G158" s="605"/>
      <c r="H158" s="605"/>
      <c r="I158" s="605"/>
      <c r="J158" s="605"/>
      <c r="K158" s="605"/>
      <c r="L158" s="605"/>
      <c r="M158" s="605"/>
      <c r="N158" s="605"/>
      <c r="O158" s="605"/>
      <c r="P158" s="605"/>
      <c r="Q158" s="307"/>
      <c r="R158" s="307"/>
      <c r="S158" s="307"/>
      <c r="T158" s="307"/>
      <c r="U158" s="307"/>
      <c r="V158" s="307"/>
      <c r="W158" s="307"/>
    </row>
    <row r="159" spans="1:26" s="129" customFormat="1" x14ac:dyDescent="0.25">
      <c r="A159" s="303"/>
      <c r="B159" s="303"/>
      <c r="C159" s="303"/>
      <c r="D159" s="549"/>
      <c r="E159" s="549"/>
      <c r="F159" s="549"/>
      <c r="G159" s="522"/>
      <c r="H159" s="522"/>
      <c r="I159" s="522"/>
      <c r="J159" s="522"/>
      <c r="K159" s="522"/>
      <c r="L159" s="522"/>
      <c r="M159" s="522"/>
      <c r="N159" s="522"/>
      <c r="O159" s="522"/>
      <c r="P159" s="522"/>
      <c r="Q159" s="307"/>
      <c r="R159" s="307"/>
      <c r="S159" s="307"/>
      <c r="T159" s="307"/>
      <c r="U159" s="307"/>
      <c r="V159" s="307"/>
      <c r="W159" s="307"/>
    </row>
    <row r="160" spans="1:26" s="129" customFormat="1" x14ac:dyDescent="0.25">
      <c r="A160" s="303"/>
      <c r="B160" s="305"/>
      <c r="C160" s="305"/>
      <c r="D160" s="550"/>
      <c r="E160" s="550"/>
      <c r="F160" s="550"/>
      <c r="G160" s="545"/>
      <c r="H160" s="545"/>
      <c r="I160" s="545"/>
      <c r="J160" s="545"/>
      <c r="K160" s="545"/>
      <c r="L160" s="545"/>
      <c r="M160" s="545"/>
      <c r="N160" s="545"/>
      <c r="O160" s="545"/>
      <c r="P160" s="545"/>
      <c r="Q160" s="307"/>
      <c r="R160" s="307"/>
      <c r="S160" s="307"/>
      <c r="T160" s="307"/>
      <c r="U160" s="307"/>
      <c r="V160" s="307"/>
      <c r="W160" s="307"/>
    </row>
    <row r="161" spans="1:23" s="129" customFormat="1" x14ac:dyDescent="0.25">
      <c r="A161" s="303"/>
      <c r="B161" s="305"/>
      <c r="C161" s="305"/>
      <c r="D161" s="550"/>
      <c r="E161" s="550"/>
      <c r="F161" s="550"/>
      <c r="G161" s="545"/>
      <c r="H161" s="545"/>
      <c r="I161" s="545"/>
      <c r="J161" s="545"/>
      <c r="K161" s="545"/>
      <c r="L161" s="545"/>
      <c r="M161" s="545"/>
      <c r="N161" s="545"/>
      <c r="O161" s="545"/>
      <c r="P161" s="545"/>
      <c r="Q161" s="307"/>
      <c r="R161" s="307"/>
      <c r="S161" s="307"/>
      <c r="T161" s="307"/>
      <c r="U161" s="307"/>
      <c r="V161" s="307"/>
      <c r="W161" s="307"/>
    </row>
    <row r="162" spans="1:23" s="129" customFormat="1" x14ac:dyDescent="0.25">
      <c r="A162" s="303"/>
      <c r="B162" s="305"/>
      <c r="C162" s="305"/>
      <c r="D162" s="550"/>
      <c r="E162" s="550"/>
      <c r="F162" s="550"/>
      <c r="G162" s="545"/>
      <c r="H162" s="545"/>
      <c r="I162" s="545"/>
      <c r="J162" s="545"/>
      <c r="K162" s="545"/>
      <c r="L162" s="545"/>
      <c r="M162" s="545"/>
      <c r="N162" s="545"/>
      <c r="O162" s="545"/>
      <c r="P162" s="545"/>
      <c r="Q162" s="307"/>
      <c r="R162" s="307"/>
      <c r="S162" s="307"/>
      <c r="T162" s="307"/>
      <c r="U162" s="307"/>
      <c r="V162" s="307"/>
      <c r="W162" s="307"/>
    </row>
    <row r="163" spans="1:23" s="129" customFormat="1" x14ac:dyDescent="0.25">
      <c r="A163" s="303"/>
      <c r="B163" s="386"/>
      <c r="C163" s="386"/>
      <c r="D163" s="550"/>
      <c r="E163" s="550"/>
      <c r="F163" s="550"/>
      <c r="G163" s="545"/>
      <c r="H163" s="545"/>
      <c r="I163" s="545"/>
      <c r="J163" s="545"/>
      <c r="K163" s="545"/>
      <c r="L163" s="545"/>
      <c r="M163" s="545"/>
      <c r="N163" s="545"/>
      <c r="O163" s="545"/>
      <c r="P163" s="545"/>
      <c r="Q163" s="307"/>
      <c r="R163" s="307"/>
      <c r="S163" s="307"/>
      <c r="T163" s="307"/>
      <c r="U163" s="307"/>
      <c r="V163" s="307"/>
      <c r="W163" s="307"/>
    </row>
    <row r="164" spans="1:23" s="129" customFormat="1" x14ac:dyDescent="0.25">
      <c r="A164" s="303"/>
      <c r="D164" s="550"/>
      <c r="E164" s="550"/>
      <c r="F164" s="550"/>
      <c r="G164" s="522"/>
      <c r="H164" s="522"/>
      <c r="I164" s="522"/>
      <c r="J164" s="522"/>
      <c r="K164" s="522"/>
      <c r="L164" s="522"/>
      <c r="M164" s="522"/>
      <c r="N164" s="522"/>
      <c r="O164" s="522"/>
      <c r="P164" s="522"/>
      <c r="Q164" s="307"/>
      <c r="R164" s="307"/>
      <c r="S164" s="307"/>
      <c r="T164" s="307"/>
      <c r="U164" s="307"/>
      <c r="V164" s="307"/>
      <c r="W164" s="307"/>
    </row>
    <row r="165" spans="1:23" s="129" customFormat="1" x14ac:dyDescent="0.25">
      <c r="A165" s="303"/>
      <c r="D165" s="550"/>
      <c r="E165" s="550"/>
      <c r="F165" s="550"/>
      <c r="G165" s="522"/>
      <c r="H165" s="522"/>
      <c r="I165" s="522"/>
      <c r="J165" s="522"/>
      <c r="K165" s="522"/>
      <c r="L165" s="522"/>
      <c r="M165" s="522"/>
      <c r="N165" s="522"/>
      <c r="O165" s="522"/>
      <c r="P165" s="522"/>
      <c r="Q165" s="307"/>
      <c r="R165" s="307"/>
      <c r="S165" s="307"/>
      <c r="T165" s="307"/>
      <c r="U165" s="307"/>
      <c r="V165" s="307"/>
      <c r="W165" s="307"/>
    </row>
    <row r="166" spans="1:23" s="129" customFormat="1" x14ac:dyDescent="0.25">
      <c r="A166" s="303"/>
      <c r="D166" s="550"/>
      <c r="E166" s="550"/>
      <c r="F166" s="550"/>
      <c r="G166" s="522"/>
      <c r="H166" s="522"/>
      <c r="I166" s="522"/>
      <c r="J166" s="522"/>
      <c r="K166" s="522"/>
      <c r="L166" s="522"/>
      <c r="M166" s="522"/>
      <c r="N166" s="522"/>
      <c r="O166" s="522"/>
      <c r="P166" s="522"/>
      <c r="Q166" s="307"/>
      <c r="R166" s="307"/>
      <c r="S166" s="307"/>
      <c r="T166" s="307"/>
      <c r="U166" s="307"/>
      <c r="V166" s="307"/>
      <c r="W166" s="307"/>
    </row>
    <row r="167" spans="1:23" s="129" customFormat="1" x14ac:dyDescent="0.25">
      <c r="A167" s="303"/>
      <c r="D167" s="550"/>
      <c r="E167" s="550"/>
      <c r="F167" s="550"/>
      <c r="G167" s="522"/>
      <c r="H167" s="522"/>
      <c r="I167" s="522"/>
      <c r="J167" s="522"/>
      <c r="K167" s="522"/>
      <c r="L167" s="522"/>
      <c r="M167" s="522"/>
      <c r="N167" s="522"/>
      <c r="O167" s="522"/>
      <c r="P167" s="522"/>
      <c r="Q167" s="307"/>
      <c r="R167" s="307"/>
      <c r="S167" s="307"/>
      <c r="T167" s="307"/>
      <c r="U167" s="307"/>
      <c r="V167" s="307"/>
      <c r="W167" s="307"/>
    </row>
    <row r="168" spans="1:23" s="129" customFormat="1" x14ac:dyDescent="0.25">
      <c r="A168" s="303"/>
      <c r="D168" s="550"/>
      <c r="E168" s="550"/>
      <c r="F168" s="550"/>
      <c r="G168" s="522"/>
      <c r="H168" s="522"/>
      <c r="I168" s="522"/>
      <c r="J168" s="522"/>
      <c r="K168" s="522"/>
      <c r="L168" s="522"/>
      <c r="M168" s="522"/>
      <c r="N168" s="522"/>
      <c r="O168" s="522"/>
      <c r="P168" s="522"/>
      <c r="Q168" s="307"/>
      <c r="R168" s="307"/>
      <c r="S168" s="307"/>
      <c r="T168" s="307"/>
      <c r="U168" s="307"/>
      <c r="V168" s="307"/>
      <c r="W168" s="307"/>
    </row>
    <row r="169" spans="1:23" s="129" customFormat="1" x14ac:dyDescent="0.25">
      <c r="A169" s="303"/>
      <c r="D169" s="550"/>
      <c r="E169" s="550"/>
      <c r="F169" s="550"/>
      <c r="G169" s="522"/>
      <c r="H169" s="522"/>
      <c r="I169" s="522"/>
      <c r="J169" s="522"/>
      <c r="K169" s="522"/>
      <c r="L169" s="522"/>
      <c r="M169" s="522"/>
      <c r="N169" s="522"/>
      <c r="O169" s="522"/>
      <c r="P169" s="522"/>
      <c r="Q169" s="307"/>
      <c r="R169" s="307"/>
      <c r="S169" s="307"/>
      <c r="T169" s="307"/>
      <c r="U169" s="307"/>
      <c r="V169" s="307"/>
      <c r="W169" s="307"/>
    </row>
    <row r="170" spans="1:23" s="129" customFormat="1" x14ac:dyDescent="0.25">
      <c r="A170" s="303"/>
      <c r="D170" s="550"/>
      <c r="E170" s="550"/>
      <c r="F170" s="550"/>
      <c r="G170" s="522"/>
      <c r="H170" s="522"/>
      <c r="I170" s="522"/>
      <c r="J170" s="522"/>
      <c r="K170" s="522"/>
      <c r="L170" s="522"/>
      <c r="M170" s="522"/>
      <c r="N170" s="522"/>
      <c r="O170" s="522"/>
      <c r="P170" s="522"/>
      <c r="Q170" s="307"/>
      <c r="R170" s="307"/>
      <c r="S170" s="307"/>
      <c r="T170" s="307"/>
      <c r="U170" s="307"/>
      <c r="V170" s="307"/>
      <c r="W170" s="307"/>
    </row>
    <row r="171" spans="1:23" s="129" customFormat="1" x14ac:dyDescent="0.25">
      <c r="A171" s="303"/>
      <c r="B171" s="303"/>
      <c r="C171" s="303"/>
      <c r="D171" s="550"/>
      <c r="E171" s="550"/>
      <c r="F171" s="550"/>
      <c r="G171" s="521"/>
      <c r="H171" s="521"/>
      <c r="I171" s="521"/>
      <c r="J171" s="521"/>
      <c r="K171" s="521"/>
      <c r="L171" s="521"/>
      <c r="M171" s="521"/>
      <c r="N171" s="521"/>
      <c r="O171" s="521"/>
      <c r="P171" s="521"/>
      <c r="Q171" s="307"/>
      <c r="R171" s="307"/>
      <c r="S171" s="307"/>
      <c r="T171" s="307"/>
      <c r="U171" s="307"/>
      <c r="V171" s="307"/>
      <c r="W171" s="307"/>
    </row>
    <row r="172" spans="1:23" s="129" customFormat="1" x14ac:dyDescent="0.25">
      <c r="A172" s="303"/>
      <c r="D172" s="550"/>
      <c r="E172" s="550"/>
      <c r="F172" s="550"/>
      <c r="G172" s="522"/>
      <c r="H172" s="522"/>
      <c r="I172" s="522"/>
      <c r="J172" s="522"/>
      <c r="K172" s="522"/>
      <c r="L172" s="522"/>
      <c r="M172" s="522"/>
      <c r="N172" s="522"/>
      <c r="O172" s="522"/>
      <c r="P172" s="522"/>
      <c r="Q172" s="307"/>
      <c r="R172" s="307"/>
      <c r="S172" s="307"/>
      <c r="T172" s="307"/>
      <c r="U172" s="307"/>
      <c r="V172" s="307"/>
      <c r="W172" s="307"/>
    </row>
    <row r="173" spans="1:23" s="129" customFormat="1" x14ac:dyDescent="0.25">
      <c r="A173" s="303"/>
      <c r="D173" s="550"/>
      <c r="E173" s="550"/>
      <c r="F173" s="550"/>
      <c r="G173" s="522"/>
      <c r="H173" s="522"/>
      <c r="I173" s="522"/>
      <c r="J173" s="522"/>
      <c r="K173" s="522"/>
      <c r="L173" s="522"/>
      <c r="M173" s="522"/>
      <c r="N173" s="522"/>
      <c r="O173" s="522"/>
      <c r="P173" s="522"/>
      <c r="Q173" s="307"/>
      <c r="R173" s="307"/>
      <c r="S173" s="307"/>
      <c r="T173" s="307"/>
      <c r="U173" s="307"/>
      <c r="V173" s="307"/>
      <c r="W173" s="307"/>
    </row>
    <row r="174" spans="1:23" s="129" customFormat="1" hidden="1" x14ac:dyDescent="0.25">
      <c r="A174" s="303"/>
      <c r="D174" s="550"/>
      <c r="E174" s="550"/>
      <c r="F174" s="550"/>
      <c r="G174" s="522"/>
      <c r="H174" s="522"/>
      <c r="I174" s="522"/>
      <c r="J174" s="522"/>
      <c r="K174" s="522"/>
      <c r="L174" s="522"/>
      <c r="M174" s="522"/>
      <c r="N174" s="522"/>
      <c r="O174" s="522"/>
      <c r="P174" s="522"/>
      <c r="Q174" s="307"/>
      <c r="R174" s="307"/>
      <c r="S174" s="307"/>
      <c r="T174" s="307"/>
      <c r="U174" s="307"/>
      <c r="V174" s="307"/>
      <c r="W174" s="307"/>
    </row>
    <row r="175" spans="1:23" s="129" customFormat="1" x14ac:dyDescent="0.25">
      <c r="A175" s="303"/>
      <c r="B175" s="303"/>
      <c r="C175" s="303"/>
      <c r="D175" s="550"/>
      <c r="E175" s="550"/>
      <c r="F175" s="550"/>
      <c r="G175" s="522"/>
      <c r="H175" s="522"/>
      <c r="I175" s="522"/>
      <c r="J175" s="522"/>
      <c r="K175" s="522"/>
      <c r="L175" s="522"/>
      <c r="M175" s="522"/>
      <c r="N175" s="522"/>
      <c r="O175" s="522"/>
      <c r="P175" s="522"/>
      <c r="Q175" s="307"/>
      <c r="R175" s="307"/>
      <c r="S175" s="307"/>
      <c r="T175" s="307"/>
      <c r="U175" s="307"/>
      <c r="V175" s="307"/>
      <c r="W175" s="307"/>
    </row>
    <row r="176" spans="1:23" s="129" customFormat="1" x14ac:dyDescent="0.25">
      <c r="A176" s="303"/>
      <c r="D176" s="550"/>
      <c r="E176" s="550"/>
      <c r="F176" s="550"/>
      <c r="G176" s="522"/>
      <c r="H176" s="522"/>
      <c r="I176" s="522"/>
      <c r="J176" s="522"/>
      <c r="K176" s="522"/>
      <c r="L176" s="522"/>
      <c r="M176" s="522"/>
      <c r="N176" s="522"/>
      <c r="O176" s="522"/>
      <c r="P176" s="522"/>
      <c r="Q176" s="307"/>
      <c r="R176" s="307"/>
      <c r="S176" s="307"/>
      <c r="T176" s="307"/>
      <c r="U176" s="307"/>
      <c r="V176" s="307"/>
      <c r="W176" s="307"/>
    </row>
    <row r="177" spans="1:23" s="129" customFormat="1" x14ac:dyDescent="0.25">
      <c r="A177" s="303"/>
      <c r="B177" s="303"/>
      <c r="C177" s="303"/>
      <c r="D177" s="550"/>
      <c r="E177" s="550"/>
      <c r="F177" s="550"/>
      <c r="G177" s="521"/>
      <c r="H177" s="521"/>
      <c r="I177" s="521"/>
      <c r="J177" s="521"/>
      <c r="K177" s="521"/>
      <c r="L177" s="521"/>
      <c r="M177" s="521"/>
      <c r="N177" s="521"/>
      <c r="O177" s="521"/>
      <c r="P177" s="521"/>
      <c r="Q177" s="307"/>
      <c r="R177" s="307"/>
      <c r="S177" s="307"/>
      <c r="T177" s="307"/>
      <c r="U177" s="307"/>
      <c r="V177" s="307"/>
      <c r="W177" s="307"/>
    </row>
    <row r="178" spans="1:23" s="129" customFormat="1" x14ac:dyDescent="0.25">
      <c r="A178" s="303"/>
      <c r="D178" s="625"/>
      <c r="E178" s="625"/>
      <c r="F178" s="625"/>
      <c r="G178" s="522"/>
      <c r="H178" s="522"/>
      <c r="I178" s="522"/>
      <c r="J178" s="522"/>
      <c r="K178" s="522"/>
      <c r="L178" s="522"/>
      <c r="M178" s="522"/>
      <c r="N178" s="522"/>
      <c r="O178" s="522"/>
      <c r="P178" s="522"/>
      <c r="Q178" s="307"/>
      <c r="R178" s="307"/>
      <c r="S178" s="307"/>
      <c r="T178" s="307"/>
      <c r="U178" s="307"/>
      <c r="V178" s="307"/>
      <c r="W178" s="307"/>
    </row>
    <row r="179" spans="1:23" s="129" customFormat="1" hidden="1" x14ac:dyDescent="0.25">
      <c r="A179" s="303"/>
      <c r="B179" s="303"/>
      <c r="C179" s="303"/>
      <c r="D179" s="550"/>
      <c r="E179" s="550"/>
      <c r="F179" s="550"/>
      <c r="G179" s="521"/>
      <c r="H179" s="521"/>
      <c r="I179" s="521"/>
      <c r="J179" s="521"/>
      <c r="K179" s="521"/>
      <c r="L179" s="521"/>
      <c r="M179" s="521"/>
      <c r="N179" s="521"/>
      <c r="O179" s="521"/>
      <c r="P179" s="521"/>
      <c r="Q179" s="307"/>
      <c r="R179" s="307"/>
      <c r="S179" s="307"/>
      <c r="T179" s="307"/>
      <c r="U179" s="307"/>
      <c r="V179" s="307"/>
      <c r="W179" s="307"/>
    </row>
    <row r="180" spans="1:23" s="129" customFormat="1" hidden="1" x14ac:dyDescent="0.25">
      <c r="A180" s="303"/>
      <c r="D180" s="550"/>
      <c r="E180" s="550"/>
      <c r="F180" s="550"/>
      <c r="G180" s="522"/>
      <c r="H180" s="522"/>
      <c r="I180" s="522"/>
      <c r="J180" s="522"/>
      <c r="K180" s="522"/>
      <c r="L180" s="522"/>
      <c r="M180" s="522"/>
      <c r="N180" s="522"/>
      <c r="O180" s="522"/>
      <c r="P180" s="522"/>
      <c r="Q180" s="306"/>
      <c r="R180" s="306"/>
      <c r="S180" s="306"/>
      <c r="T180" s="306"/>
      <c r="U180" s="306"/>
      <c r="V180" s="306"/>
      <c r="W180" s="306"/>
    </row>
    <row r="181" spans="1:23" s="129" customFormat="1" hidden="1" x14ac:dyDescent="0.25">
      <c r="A181" s="303"/>
      <c r="D181" s="550"/>
      <c r="E181" s="550"/>
      <c r="F181" s="550"/>
      <c r="G181" s="522"/>
      <c r="H181" s="522"/>
      <c r="I181" s="522"/>
      <c r="J181" s="522"/>
      <c r="K181" s="522"/>
      <c r="L181" s="522"/>
      <c r="M181" s="522"/>
      <c r="N181" s="522"/>
      <c r="O181" s="522"/>
      <c r="P181" s="522"/>
      <c r="Q181" s="306"/>
      <c r="R181" s="306"/>
      <c r="S181" s="306"/>
      <c r="T181" s="306"/>
      <c r="U181" s="306"/>
      <c r="V181" s="306"/>
      <c r="W181" s="306"/>
    </row>
    <row r="182" spans="1:23" s="129" customFormat="1" hidden="1" x14ac:dyDescent="0.25">
      <c r="A182" s="303"/>
      <c r="D182" s="550"/>
      <c r="E182" s="550"/>
      <c r="F182" s="550"/>
      <c r="G182" s="603"/>
      <c r="H182" s="603"/>
      <c r="I182" s="603"/>
      <c r="J182" s="603"/>
      <c r="K182" s="603"/>
      <c r="L182" s="603"/>
      <c r="M182" s="519"/>
      <c r="N182" s="520"/>
      <c r="O182" s="519"/>
      <c r="P182" s="519"/>
      <c r="Q182" s="306"/>
      <c r="R182" s="306"/>
      <c r="S182" s="306"/>
      <c r="T182" s="306"/>
      <c r="U182" s="306"/>
      <c r="V182" s="306"/>
      <c r="W182" s="306"/>
    </row>
    <row r="183" spans="1:23" s="129" customFormat="1" x14ac:dyDescent="0.25">
      <c r="A183" s="303"/>
      <c r="D183" s="602"/>
      <c r="E183" s="602"/>
      <c r="F183" s="602"/>
      <c r="G183" s="603"/>
      <c r="H183" s="603"/>
      <c r="I183" s="603"/>
      <c r="J183" s="603"/>
      <c r="K183" s="603"/>
      <c r="L183" s="603"/>
      <c r="M183" s="521"/>
      <c r="N183" s="522"/>
      <c r="O183" s="521"/>
      <c r="P183" s="521"/>
      <c r="Q183" s="307"/>
      <c r="R183" s="307"/>
      <c r="S183" s="307"/>
      <c r="T183" s="307"/>
      <c r="U183" s="307"/>
      <c r="V183" s="307"/>
      <c r="W183" s="307"/>
    </row>
    <row r="184" spans="1:23" s="129" customFormat="1" x14ac:dyDescent="0.25">
      <c r="A184" s="303"/>
      <c r="D184" s="550"/>
      <c r="E184" s="550"/>
      <c r="F184" s="550"/>
      <c r="G184" s="521"/>
      <c r="H184" s="603"/>
      <c r="I184" s="603"/>
      <c r="J184" s="603"/>
      <c r="K184" s="603"/>
      <c r="L184" s="603"/>
      <c r="M184" s="521"/>
      <c r="N184" s="522"/>
      <c r="O184" s="521"/>
      <c r="P184" s="521"/>
      <c r="Q184" s="307"/>
      <c r="R184" s="307"/>
      <c r="S184" s="307"/>
      <c r="T184" s="307"/>
      <c r="U184" s="307"/>
      <c r="V184" s="307"/>
      <c r="W184" s="307"/>
    </row>
    <row r="185" spans="1:23" s="129" customFormat="1" x14ac:dyDescent="0.25">
      <c r="A185" s="303"/>
      <c r="B185" s="303"/>
      <c r="C185" s="303"/>
      <c r="D185" s="550"/>
      <c r="E185" s="550"/>
      <c r="F185" s="550"/>
      <c r="G185" s="603"/>
      <c r="H185" s="603"/>
      <c r="I185" s="603"/>
      <c r="J185" s="603"/>
      <c r="K185" s="603"/>
      <c r="L185" s="603"/>
      <c r="M185" s="521"/>
      <c r="N185" s="522"/>
      <c r="O185" s="521"/>
      <c r="P185" s="521"/>
      <c r="Q185" s="307"/>
      <c r="R185" s="307"/>
      <c r="S185" s="307"/>
      <c r="T185" s="307"/>
      <c r="U185" s="307"/>
      <c r="V185" s="307"/>
      <c r="W185" s="307"/>
    </row>
    <row r="186" spans="1:23" s="129" customFormat="1" x14ac:dyDescent="0.25">
      <c r="A186" s="303"/>
      <c r="D186" s="550"/>
      <c r="E186" s="550"/>
      <c r="F186" s="550"/>
      <c r="G186" s="603"/>
      <c r="H186" s="603"/>
      <c r="I186" s="603"/>
      <c r="J186" s="603"/>
      <c r="K186" s="603"/>
      <c r="L186" s="603"/>
      <c r="M186" s="521"/>
      <c r="N186" s="522"/>
      <c r="O186" s="521"/>
      <c r="P186" s="521"/>
      <c r="Q186" s="307"/>
      <c r="R186" s="307"/>
      <c r="S186" s="307"/>
      <c r="T186" s="307"/>
      <c r="U186" s="307"/>
      <c r="V186" s="307"/>
      <c r="W186" s="307"/>
    </row>
    <row r="187" spans="1:23" s="129" customFormat="1" x14ac:dyDescent="0.25">
      <c r="A187" s="303"/>
      <c r="D187" s="550"/>
      <c r="E187" s="550"/>
      <c r="F187" s="550"/>
      <c r="G187" s="603"/>
      <c r="H187" s="603"/>
      <c r="I187" s="603"/>
      <c r="J187" s="603"/>
      <c r="K187" s="603"/>
      <c r="L187" s="603"/>
      <c r="M187" s="521"/>
      <c r="N187" s="522"/>
      <c r="O187" s="521"/>
      <c r="P187" s="521"/>
      <c r="Q187" s="307"/>
      <c r="R187" s="307"/>
      <c r="S187" s="307"/>
      <c r="T187" s="307"/>
      <c r="U187" s="307"/>
      <c r="V187" s="307"/>
      <c r="W187" s="307"/>
    </row>
    <row r="188" spans="1:23" s="129" customFormat="1" x14ac:dyDescent="0.25">
      <c r="A188" s="303"/>
      <c r="D188" s="550"/>
      <c r="E188" s="550"/>
      <c r="F188" s="550"/>
      <c r="G188" s="603"/>
      <c r="H188" s="603"/>
      <c r="I188" s="603"/>
      <c r="J188" s="603"/>
      <c r="K188" s="603"/>
      <c r="L188" s="603"/>
      <c r="M188" s="521"/>
      <c r="N188" s="522"/>
      <c r="O188" s="521"/>
      <c r="P188" s="521"/>
      <c r="Q188" s="307"/>
      <c r="R188" s="307"/>
      <c r="S188" s="307"/>
      <c r="T188" s="307"/>
      <c r="U188" s="307"/>
      <c r="V188" s="307"/>
      <c r="W188" s="307"/>
    </row>
    <row r="189" spans="1:23" s="129" customFormat="1" x14ac:dyDescent="0.25">
      <c r="A189" s="303"/>
      <c r="D189" s="550"/>
      <c r="E189" s="550"/>
      <c r="F189" s="550"/>
      <c r="G189" s="603"/>
      <c r="H189" s="603"/>
      <c r="I189" s="603"/>
      <c r="J189" s="603"/>
      <c r="K189" s="603"/>
      <c r="L189" s="603"/>
      <c r="M189" s="521"/>
      <c r="N189" s="522"/>
      <c r="O189" s="521"/>
      <c r="P189" s="521"/>
      <c r="Q189" s="307"/>
      <c r="R189" s="307"/>
      <c r="S189" s="307"/>
      <c r="T189" s="307"/>
      <c r="U189" s="307"/>
      <c r="V189" s="307"/>
      <c r="W189" s="307"/>
    </row>
    <row r="190" spans="1:23" s="129" customFormat="1" x14ac:dyDescent="0.25">
      <c r="A190" s="303"/>
      <c r="B190" s="303"/>
      <c r="C190" s="303"/>
      <c r="D190" s="625"/>
      <c r="E190" s="625"/>
      <c r="F190" s="625"/>
      <c r="G190" s="603"/>
      <c r="H190" s="603"/>
      <c r="I190" s="603"/>
      <c r="J190" s="603"/>
      <c r="K190" s="603"/>
      <c r="L190" s="603"/>
      <c r="M190" s="521"/>
      <c r="N190" s="522"/>
      <c r="O190" s="521"/>
      <c r="P190" s="521"/>
      <c r="Q190" s="307"/>
      <c r="R190" s="307"/>
      <c r="S190" s="307"/>
      <c r="T190" s="307"/>
      <c r="U190" s="307"/>
      <c r="V190" s="307"/>
      <c r="W190" s="307"/>
    </row>
    <row r="191" spans="1:23" s="129" customFormat="1" x14ac:dyDescent="0.25">
      <c r="A191" s="303"/>
      <c r="D191" s="625"/>
      <c r="E191" s="625"/>
      <c r="F191" s="625"/>
      <c r="G191" s="603"/>
      <c r="H191" s="603"/>
      <c r="I191" s="603"/>
      <c r="J191" s="603"/>
      <c r="K191" s="603"/>
      <c r="L191" s="603"/>
      <c r="M191" s="521"/>
      <c r="N191" s="522"/>
      <c r="O191" s="521"/>
      <c r="P191" s="521"/>
      <c r="Q191" s="307"/>
      <c r="R191" s="307"/>
      <c r="S191" s="307"/>
      <c r="T191" s="307"/>
      <c r="U191" s="307"/>
      <c r="V191" s="307"/>
      <c r="W191" s="307"/>
    </row>
    <row r="192" spans="1:23" s="129" customFormat="1" x14ac:dyDescent="0.25">
      <c r="A192" s="303"/>
      <c r="D192" s="625"/>
      <c r="E192" s="625"/>
      <c r="F192" s="625"/>
      <c r="G192" s="603"/>
      <c r="H192" s="603"/>
      <c r="I192" s="603"/>
      <c r="J192" s="603"/>
      <c r="K192" s="603"/>
      <c r="L192" s="603"/>
      <c r="M192" s="521"/>
      <c r="N192" s="522"/>
      <c r="O192" s="521"/>
      <c r="P192" s="521"/>
      <c r="Q192" s="307"/>
      <c r="R192" s="307"/>
      <c r="S192" s="307"/>
      <c r="T192" s="307"/>
      <c r="U192" s="307"/>
      <c r="V192" s="307"/>
      <c r="W192" s="307"/>
    </row>
    <row r="193" spans="1:23" s="129" customFormat="1" x14ac:dyDescent="0.25">
      <c r="A193" s="303"/>
      <c r="D193" s="625"/>
      <c r="E193" s="625"/>
      <c r="F193" s="625"/>
      <c r="G193" s="603"/>
      <c r="H193" s="603"/>
      <c r="I193" s="603"/>
      <c r="J193" s="603"/>
      <c r="K193" s="603"/>
      <c r="L193" s="603"/>
      <c r="M193" s="521"/>
      <c r="N193" s="522"/>
      <c r="O193" s="521"/>
      <c r="P193" s="521"/>
      <c r="Q193" s="307"/>
      <c r="R193" s="307"/>
      <c r="S193" s="307"/>
      <c r="T193" s="307"/>
      <c r="U193" s="307"/>
      <c r="V193" s="307"/>
      <c r="W193" s="307"/>
    </row>
    <row r="194" spans="1:23" s="129" customFormat="1" x14ac:dyDescent="0.25">
      <c r="A194" s="303"/>
      <c r="D194" s="602"/>
      <c r="E194" s="602"/>
      <c r="F194" s="602"/>
      <c r="G194" s="603"/>
      <c r="H194" s="603"/>
      <c r="I194" s="603"/>
      <c r="J194" s="603"/>
      <c r="K194" s="603"/>
      <c r="L194" s="603"/>
      <c r="M194" s="521"/>
      <c r="N194" s="522"/>
      <c r="O194" s="521"/>
      <c r="P194" s="521"/>
      <c r="Q194" s="307"/>
      <c r="R194" s="307"/>
      <c r="S194" s="307"/>
      <c r="T194" s="307"/>
      <c r="U194" s="307"/>
      <c r="V194" s="307"/>
      <c r="W194" s="307"/>
    </row>
    <row r="195" spans="1:23" s="129" customFormat="1" x14ac:dyDescent="0.25">
      <c r="A195" s="303"/>
      <c r="D195" s="602"/>
      <c r="E195" s="602"/>
      <c r="F195" s="602"/>
      <c r="G195" s="603"/>
      <c r="H195" s="603"/>
      <c r="I195" s="603"/>
      <c r="J195" s="603"/>
      <c r="K195" s="603"/>
      <c r="L195" s="603"/>
      <c r="M195" s="521"/>
      <c r="N195" s="522"/>
      <c r="O195" s="521"/>
      <c r="P195" s="521"/>
      <c r="Q195" s="307"/>
      <c r="R195" s="307"/>
      <c r="S195" s="307"/>
      <c r="T195" s="307"/>
      <c r="U195" s="307"/>
      <c r="V195" s="307"/>
      <c r="W195" s="307"/>
    </row>
    <row r="196" spans="1:23" s="129" customFormat="1" x14ac:dyDescent="0.25">
      <c r="A196" s="303"/>
      <c r="D196" s="602"/>
      <c r="E196" s="602"/>
      <c r="F196" s="602"/>
      <c r="G196" s="603"/>
      <c r="H196" s="603"/>
      <c r="I196" s="603"/>
      <c r="J196" s="603"/>
      <c r="K196" s="603"/>
      <c r="L196" s="603"/>
      <c r="M196" s="521"/>
      <c r="N196" s="522"/>
      <c r="O196" s="521"/>
      <c r="P196" s="521"/>
      <c r="Q196" s="307"/>
      <c r="R196" s="307"/>
      <c r="S196" s="307"/>
      <c r="T196" s="307"/>
      <c r="U196" s="307"/>
      <c r="V196" s="307"/>
      <c r="W196" s="307"/>
    </row>
    <row r="197" spans="1:23" s="129" customFormat="1" x14ac:dyDescent="0.25">
      <c r="A197" s="303"/>
      <c r="D197" s="602"/>
      <c r="E197" s="602"/>
      <c r="F197" s="602"/>
      <c r="G197" s="603"/>
      <c r="H197" s="603"/>
      <c r="I197" s="603"/>
      <c r="J197" s="603"/>
      <c r="K197" s="603"/>
      <c r="L197" s="603"/>
      <c r="M197" s="521"/>
      <c r="N197" s="522"/>
      <c r="O197" s="521"/>
      <c r="P197" s="521"/>
      <c r="Q197" s="307"/>
      <c r="R197" s="307"/>
      <c r="S197" s="307"/>
      <c r="T197" s="307"/>
      <c r="U197" s="307"/>
      <c r="V197" s="307"/>
      <c r="W197" s="307"/>
    </row>
    <row r="198" spans="1:23" s="129" customFormat="1" x14ac:dyDescent="0.25">
      <c r="A198" s="303"/>
      <c r="D198" s="602"/>
      <c r="E198" s="602"/>
      <c r="F198" s="602"/>
      <c r="G198" s="603"/>
      <c r="H198" s="603"/>
      <c r="I198" s="603"/>
      <c r="J198" s="603"/>
      <c r="K198" s="603"/>
      <c r="L198" s="603"/>
      <c r="M198" s="521"/>
      <c r="N198" s="522"/>
      <c r="O198" s="521"/>
      <c r="P198" s="521"/>
      <c r="Q198" s="307"/>
      <c r="R198" s="307"/>
      <c r="S198" s="307"/>
      <c r="T198" s="307"/>
      <c r="U198" s="307"/>
      <c r="V198" s="307"/>
      <c r="W198" s="307"/>
    </row>
    <row r="199" spans="1:23" s="129" customFormat="1" x14ac:dyDescent="0.25">
      <c r="A199" s="303"/>
      <c r="D199" s="602"/>
      <c r="E199" s="602"/>
      <c r="F199" s="602"/>
      <c r="G199" s="603"/>
      <c r="H199" s="603"/>
      <c r="I199" s="603"/>
      <c r="J199" s="603"/>
      <c r="K199" s="603"/>
      <c r="L199" s="603"/>
      <c r="M199" s="521"/>
      <c r="N199" s="522"/>
      <c r="O199" s="521"/>
      <c r="P199" s="521"/>
      <c r="Q199" s="307"/>
      <c r="R199" s="307"/>
      <c r="S199" s="307"/>
      <c r="T199" s="307"/>
      <c r="U199" s="307"/>
      <c r="V199" s="307"/>
      <c r="W199" s="307"/>
    </row>
    <row r="200" spans="1:23" s="129" customFormat="1" x14ac:dyDescent="0.25">
      <c r="A200" s="303"/>
      <c r="D200" s="602"/>
      <c r="E200" s="602"/>
      <c r="F200" s="602"/>
      <c r="G200" s="603"/>
      <c r="H200" s="603"/>
      <c r="I200" s="603"/>
      <c r="J200" s="603"/>
      <c r="K200" s="603"/>
      <c r="L200" s="603"/>
      <c r="M200" s="521"/>
      <c r="N200" s="522"/>
      <c r="O200" s="521"/>
      <c r="P200" s="521"/>
      <c r="Q200" s="307"/>
      <c r="R200" s="307"/>
      <c r="S200" s="307"/>
      <c r="T200" s="307"/>
      <c r="U200" s="307"/>
      <c r="V200" s="307"/>
      <c r="W200" s="307"/>
    </row>
    <row r="201" spans="1:23" s="129" customFormat="1" x14ac:dyDescent="0.25">
      <c r="A201" s="303"/>
      <c r="D201" s="602"/>
      <c r="E201" s="602"/>
      <c r="F201" s="602"/>
      <c r="G201" s="603"/>
      <c r="H201" s="603"/>
      <c r="I201" s="603"/>
      <c r="J201" s="603"/>
      <c r="K201" s="603"/>
      <c r="L201" s="603"/>
      <c r="M201" s="521"/>
      <c r="N201" s="522"/>
      <c r="O201" s="521"/>
      <c r="P201" s="521"/>
      <c r="Q201" s="307"/>
      <c r="R201" s="307"/>
      <c r="S201" s="307"/>
      <c r="T201" s="307"/>
      <c r="U201" s="307"/>
      <c r="V201" s="307"/>
      <c r="W201" s="307"/>
    </row>
    <row r="203" spans="1:23" x14ac:dyDescent="0.25">
      <c r="B203" t="s">
        <v>738</v>
      </c>
    </row>
  </sheetData>
  <mergeCells count="2">
    <mergeCell ref="B139:C139"/>
    <mergeCell ref="B154:C154"/>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1BCED-7909-4C1E-A90C-712B352FEFFD}">
  <sheetPr>
    <tabColor theme="8" tint="0.39997558519241921"/>
  </sheetPr>
  <dimension ref="B3:W66"/>
  <sheetViews>
    <sheetView showGridLines="0" zoomScale="70" zoomScaleNormal="70" workbookViewId="0">
      <pane xSplit="2" ySplit="4" topLeftCell="C5" activePane="bottomRight" state="frozen"/>
      <selection pane="topRight" activeCell="C1" sqref="C1"/>
      <selection pane="bottomLeft" activeCell="A5" sqref="A5"/>
      <selection pane="bottomRight" activeCell="F7" sqref="F7"/>
    </sheetView>
  </sheetViews>
  <sheetFormatPr defaultColWidth="8.7109375" defaultRowHeight="15" x14ac:dyDescent="0.25"/>
  <cols>
    <col min="1" max="1" width="6.5703125" style="562" customWidth="1"/>
    <col min="2" max="2" width="19.7109375" style="562" bestFit="1" customWidth="1"/>
    <col min="3" max="3" width="9.7109375" style="562" bestFit="1" customWidth="1"/>
    <col min="4" max="5" width="13.7109375" style="562" bestFit="1" customWidth="1"/>
    <col min="6" max="6" width="13.42578125" style="561" bestFit="1" customWidth="1"/>
    <col min="7" max="7" width="12.28515625" style="546" bestFit="1" customWidth="1"/>
    <col min="8" max="12" width="11.140625" style="546" bestFit="1" customWidth="1"/>
    <col min="13" max="13" width="11.140625" style="517" bestFit="1" customWidth="1"/>
    <col min="14" max="14" width="11.140625" style="518" bestFit="1" customWidth="1"/>
    <col min="15" max="16" width="11.140625" style="517" bestFit="1" customWidth="1"/>
    <col min="17" max="23" width="12.28515625" style="559" bestFit="1" customWidth="1"/>
    <col min="24" max="24" width="12.28515625" style="562" bestFit="1" customWidth="1"/>
    <col min="25" max="25" width="8.7109375" style="562"/>
    <col min="26" max="26" width="13.28515625" style="562" bestFit="1" customWidth="1"/>
    <col min="27" max="16384" width="8.7109375" style="562"/>
  </cols>
  <sheetData>
    <row r="3" spans="2:23" ht="25.15" customHeight="1" x14ac:dyDescent="0.25">
      <c r="B3" s="570" t="s">
        <v>830</v>
      </c>
      <c r="C3" s="570" t="s">
        <v>244</v>
      </c>
      <c r="D3" s="570">
        <v>2021</v>
      </c>
      <c r="E3" s="570">
        <v>2022</v>
      </c>
      <c r="F3" s="570">
        <v>2023</v>
      </c>
      <c r="G3" s="570">
        <v>2024</v>
      </c>
      <c r="H3" s="570">
        <v>2025</v>
      </c>
      <c r="I3" s="570">
        <v>2026</v>
      </c>
      <c r="J3" s="570">
        <v>2027</v>
      </c>
      <c r="K3" s="570">
        <v>2028</v>
      </c>
      <c r="L3" s="570">
        <v>2029</v>
      </c>
      <c r="M3" s="570">
        <v>2030</v>
      </c>
      <c r="N3" s="570">
        <v>2031</v>
      </c>
      <c r="O3" s="570">
        <v>2032</v>
      </c>
      <c r="P3" s="570">
        <v>2033</v>
      </c>
    </row>
    <row r="4" spans="2:23" x14ac:dyDescent="0.25">
      <c r="B4" s="560"/>
      <c r="C4" s="560"/>
      <c r="D4" s="560"/>
      <c r="E4" s="560"/>
    </row>
    <row r="5" spans="2:23" x14ac:dyDescent="0.25">
      <c r="B5" s="571" t="s">
        <v>732</v>
      </c>
      <c r="C5" s="571"/>
      <c r="D5" s="571"/>
      <c r="E5" s="571"/>
      <c r="F5" s="572"/>
      <c r="G5" s="573"/>
      <c r="H5" s="573"/>
      <c r="I5" s="573"/>
      <c r="J5" s="573"/>
      <c r="K5" s="573"/>
      <c r="L5" s="573"/>
      <c r="M5" s="573"/>
      <c r="N5" s="573"/>
      <c r="O5" s="573"/>
      <c r="P5" s="573"/>
    </row>
    <row r="6" spans="2:23" x14ac:dyDescent="0.25">
      <c r="B6" s="560"/>
      <c r="C6" s="560"/>
      <c r="D6" s="560"/>
      <c r="E6" s="560"/>
      <c r="G6" s="574">
        <f>'2. Input'!C23</f>
        <v>0.01</v>
      </c>
      <c r="H6" s="574">
        <f>G6</f>
        <v>0.01</v>
      </c>
      <c r="I6" s="574">
        <f t="shared" ref="I6:P6" si="0">H6</f>
        <v>0.01</v>
      </c>
      <c r="J6" s="574">
        <f t="shared" si="0"/>
        <v>0.01</v>
      </c>
      <c r="K6" s="574">
        <f t="shared" si="0"/>
        <v>0.01</v>
      </c>
      <c r="L6" s="574">
        <f t="shared" si="0"/>
        <v>0.01</v>
      </c>
      <c r="M6" s="574">
        <f t="shared" si="0"/>
        <v>0.01</v>
      </c>
      <c r="N6" s="574">
        <f t="shared" si="0"/>
        <v>0.01</v>
      </c>
      <c r="O6" s="574">
        <f t="shared" si="0"/>
        <v>0.01</v>
      </c>
      <c r="P6" s="574">
        <f t="shared" si="0"/>
        <v>0.01</v>
      </c>
    </row>
    <row r="7" spans="2:23" s="492" customFormat="1" x14ac:dyDescent="0.25">
      <c r="B7" s="492" t="s">
        <v>809</v>
      </c>
      <c r="C7" s="492" t="s">
        <v>832</v>
      </c>
      <c r="D7" s="558">
        <v>905241.78688524594</v>
      </c>
      <c r="E7" s="558">
        <v>947812.93903896597</v>
      </c>
      <c r="F7" s="654">
        <v>1204353.783159158</v>
      </c>
      <c r="G7" s="655">
        <f>F7*(1+G$6)</f>
        <v>1216397.3209907496</v>
      </c>
      <c r="H7" s="655">
        <f t="shared" ref="H7:P7" si="1">G7*(1+H$6)</f>
        <v>1228561.2942006572</v>
      </c>
      <c r="I7" s="655">
        <f t="shared" si="1"/>
        <v>1240846.9071426638</v>
      </c>
      <c r="J7" s="655">
        <f t="shared" si="1"/>
        <v>1253255.3762140905</v>
      </c>
      <c r="K7" s="655">
        <f t="shared" si="1"/>
        <v>1265787.9299762314</v>
      </c>
      <c r="L7" s="655">
        <f t="shared" si="1"/>
        <v>1278445.8092759938</v>
      </c>
      <c r="M7" s="655">
        <f t="shared" si="1"/>
        <v>1291230.2673687539</v>
      </c>
      <c r="N7" s="655">
        <f t="shared" si="1"/>
        <v>1304142.5700424414</v>
      </c>
      <c r="O7" s="655">
        <f t="shared" si="1"/>
        <v>1317183.9957428658</v>
      </c>
      <c r="P7" s="655">
        <f t="shared" si="1"/>
        <v>1330355.8357002945</v>
      </c>
      <c r="Q7" s="558"/>
      <c r="R7" s="558"/>
      <c r="S7" s="558"/>
      <c r="T7" s="558"/>
      <c r="U7" s="558"/>
      <c r="V7" s="558"/>
      <c r="W7" s="558"/>
    </row>
    <row r="8" spans="2:23" s="492" customFormat="1" x14ac:dyDescent="0.25">
      <c r="B8" s="492" t="s">
        <v>814</v>
      </c>
      <c r="C8" s="492" t="s">
        <v>833</v>
      </c>
      <c r="D8" s="558">
        <v>1463</v>
      </c>
      <c r="E8" s="558">
        <v>1461</v>
      </c>
      <c r="F8" s="654">
        <v>1349</v>
      </c>
      <c r="G8" s="655">
        <f>F8*(1+G$6)</f>
        <v>1362.49</v>
      </c>
      <c r="H8" s="655">
        <f t="shared" ref="H8:P8" si="2">G8*(1+H$6)</f>
        <v>1376.1149</v>
      </c>
      <c r="I8" s="655">
        <f t="shared" si="2"/>
        <v>1389.876049</v>
      </c>
      <c r="J8" s="655">
        <f t="shared" si="2"/>
        <v>1403.7748094900001</v>
      </c>
      <c r="K8" s="655">
        <f t="shared" si="2"/>
        <v>1417.8125575849001</v>
      </c>
      <c r="L8" s="655">
        <f t="shared" si="2"/>
        <v>1431.9906831607491</v>
      </c>
      <c r="M8" s="655">
        <f t="shared" si="2"/>
        <v>1446.3105899923567</v>
      </c>
      <c r="N8" s="655">
        <f t="shared" si="2"/>
        <v>1460.7736958922803</v>
      </c>
      <c r="O8" s="655">
        <f t="shared" si="2"/>
        <v>1475.381432851203</v>
      </c>
      <c r="P8" s="655">
        <f t="shared" si="2"/>
        <v>1490.1352471797152</v>
      </c>
      <c r="Q8" s="558"/>
      <c r="R8" s="558"/>
      <c r="S8" s="558"/>
      <c r="T8" s="558"/>
      <c r="U8" s="558"/>
      <c r="V8" s="558"/>
      <c r="W8" s="558"/>
    </row>
    <row r="10" spans="2:23" x14ac:dyDescent="0.25">
      <c r="B10" s="571" t="s">
        <v>243</v>
      </c>
      <c r="C10" s="577"/>
      <c r="D10" s="577"/>
      <c r="E10" s="577"/>
      <c r="F10" s="572"/>
      <c r="G10" s="578"/>
      <c r="H10" s="578"/>
      <c r="I10" s="578"/>
      <c r="J10" s="578"/>
      <c r="K10" s="578"/>
      <c r="L10" s="578"/>
      <c r="M10" s="579"/>
      <c r="N10" s="580"/>
      <c r="O10" s="579"/>
      <c r="P10" s="579"/>
    </row>
    <row r="11" spans="2:23" x14ac:dyDescent="0.25">
      <c r="B11" s="560"/>
    </row>
    <row r="12" spans="2:23" x14ac:dyDescent="0.25">
      <c r="B12" s="560" t="s">
        <v>654</v>
      </c>
      <c r="E12" s="581"/>
      <c r="F12" s="581"/>
      <c r="G12" s="582">
        <f>'2. Input'!C25</f>
        <v>0.01</v>
      </c>
      <c r="H12" s="582">
        <f>G12</f>
        <v>0.01</v>
      </c>
      <c r="I12" s="582">
        <f t="shared" ref="I12:P12" si="3">H12</f>
        <v>0.01</v>
      </c>
      <c r="J12" s="582">
        <f t="shared" si="3"/>
        <v>0.01</v>
      </c>
      <c r="K12" s="582">
        <f t="shared" si="3"/>
        <v>0.01</v>
      </c>
      <c r="L12" s="582">
        <f t="shared" si="3"/>
        <v>0.01</v>
      </c>
      <c r="M12" s="582">
        <f t="shared" si="3"/>
        <v>0.01</v>
      </c>
      <c r="N12" s="582">
        <f t="shared" si="3"/>
        <v>0.01</v>
      </c>
      <c r="O12" s="582">
        <f t="shared" si="3"/>
        <v>0.01</v>
      </c>
      <c r="P12" s="582">
        <f t="shared" si="3"/>
        <v>0.01</v>
      </c>
    </row>
    <row r="13" spans="2:23" s="492" customFormat="1" x14ac:dyDescent="0.25">
      <c r="B13" s="492" t="s">
        <v>859</v>
      </c>
      <c r="C13" s="492" t="s">
        <v>879</v>
      </c>
      <c r="D13" s="558">
        <v>1179231.5733333332</v>
      </c>
      <c r="E13" s="558">
        <v>1434897.0345963757</v>
      </c>
      <c r="F13" s="654">
        <v>1203020.7336355259</v>
      </c>
      <c r="G13" s="655">
        <f t="shared" ref="G13:G18" si="4">F13*(1+G$12)</f>
        <v>1215050.9409718812</v>
      </c>
      <c r="H13" s="655">
        <f t="shared" ref="H13:P13" si="5">G13*(1+H$12)</f>
        <v>1227201.4503816001</v>
      </c>
      <c r="I13" s="655">
        <f t="shared" si="5"/>
        <v>1239473.464885416</v>
      </c>
      <c r="J13" s="655">
        <f t="shared" si="5"/>
        <v>1251868.1995342702</v>
      </c>
      <c r="K13" s="655">
        <f t="shared" si="5"/>
        <v>1264386.8815296129</v>
      </c>
      <c r="L13" s="655">
        <f t="shared" si="5"/>
        <v>1277030.750344909</v>
      </c>
      <c r="M13" s="655">
        <f t="shared" si="5"/>
        <v>1289801.0578483581</v>
      </c>
      <c r="N13" s="655">
        <f t="shared" si="5"/>
        <v>1302699.0684268416</v>
      </c>
      <c r="O13" s="655">
        <f t="shared" si="5"/>
        <v>1315726.0591111102</v>
      </c>
      <c r="P13" s="655">
        <f t="shared" si="5"/>
        <v>1328883.3197022213</v>
      </c>
      <c r="Q13" s="558"/>
      <c r="R13" s="558"/>
      <c r="S13" s="558"/>
      <c r="T13" s="558"/>
      <c r="U13" s="558"/>
      <c r="V13" s="558"/>
      <c r="W13" s="558"/>
    </row>
    <row r="14" spans="2:23" s="492" customFormat="1" x14ac:dyDescent="0.25">
      <c r="B14" s="492" t="s">
        <v>860</v>
      </c>
      <c r="C14" s="492" t="s">
        <v>879</v>
      </c>
      <c r="D14" s="558">
        <v>1377356.1439999999</v>
      </c>
      <c r="E14" s="558">
        <v>1637091.4454277286</v>
      </c>
      <c r="F14" s="654">
        <v>1667680.2860061286</v>
      </c>
      <c r="G14" s="655">
        <f t="shared" si="4"/>
        <v>1684357.0888661901</v>
      </c>
      <c r="H14" s="655">
        <f t="shared" ref="H14:P14" si="6">G14*(1+H$12)</f>
        <v>1701200.6597548521</v>
      </c>
      <c r="I14" s="655">
        <f t="shared" si="6"/>
        <v>1718212.6663524006</v>
      </c>
      <c r="J14" s="655">
        <f t="shared" si="6"/>
        <v>1735394.7930159245</v>
      </c>
      <c r="K14" s="655">
        <f t="shared" si="6"/>
        <v>1752748.7409460838</v>
      </c>
      <c r="L14" s="655">
        <f t="shared" si="6"/>
        <v>1770276.2283555446</v>
      </c>
      <c r="M14" s="655">
        <f t="shared" si="6"/>
        <v>1787978.9906391001</v>
      </c>
      <c r="N14" s="655">
        <f t="shared" si="6"/>
        <v>1805858.780545491</v>
      </c>
      <c r="O14" s="655">
        <f t="shared" si="6"/>
        <v>1823917.3683509459</v>
      </c>
      <c r="P14" s="655">
        <f t="shared" si="6"/>
        <v>1842156.5420344553</v>
      </c>
      <c r="Q14" s="558"/>
      <c r="R14" s="558"/>
      <c r="S14" s="558"/>
      <c r="T14" s="558"/>
      <c r="U14" s="558"/>
      <c r="V14" s="558"/>
      <c r="W14" s="558"/>
    </row>
    <row r="15" spans="2:23" s="492" customFormat="1" x14ac:dyDescent="0.25">
      <c r="B15" s="492" t="s">
        <v>861</v>
      </c>
      <c r="C15" s="492" t="s">
        <v>879</v>
      </c>
      <c r="D15" s="558">
        <v>1077399.1600000001</v>
      </c>
      <c r="E15" s="558">
        <v>1339315.8411552347</v>
      </c>
      <c r="F15" s="654">
        <v>1381054.7819947044</v>
      </c>
      <c r="G15" s="655">
        <f t="shared" si="4"/>
        <v>1394865.3298146515</v>
      </c>
      <c r="H15" s="655">
        <f t="shared" ref="H15:P15" si="7">G15*(1+H$12)</f>
        <v>1408813.9831127981</v>
      </c>
      <c r="I15" s="655">
        <f t="shared" si="7"/>
        <v>1422902.1229439261</v>
      </c>
      <c r="J15" s="655">
        <f t="shared" si="7"/>
        <v>1437131.1441733653</v>
      </c>
      <c r="K15" s="655">
        <f t="shared" si="7"/>
        <v>1451502.4556150991</v>
      </c>
      <c r="L15" s="655">
        <f t="shared" si="7"/>
        <v>1466017.4801712499</v>
      </c>
      <c r="M15" s="655">
        <f t="shared" si="7"/>
        <v>1480677.6549729626</v>
      </c>
      <c r="N15" s="655">
        <f t="shared" si="7"/>
        <v>1495484.4315226923</v>
      </c>
      <c r="O15" s="655">
        <f t="shared" si="7"/>
        <v>1510439.2758379192</v>
      </c>
      <c r="P15" s="655">
        <f t="shared" si="7"/>
        <v>1525543.6685962984</v>
      </c>
      <c r="Q15" s="558"/>
      <c r="R15" s="558"/>
      <c r="S15" s="558"/>
      <c r="T15" s="558"/>
      <c r="U15" s="558"/>
      <c r="V15" s="558"/>
      <c r="W15" s="558"/>
    </row>
    <row r="16" spans="2:23" s="492" customFormat="1" x14ac:dyDescent="0.25">
      <c r="B16" s="492" t="s">
        <v>862</v>
      </c>
      <c r="C16" s="492" t="s">
        <v>879</v>
      </c>
      <c r="D16" s="558">
        <v>1054694.95</v>
      </c>
      <c r="E16" s="558">
        <v>827098.88356786198</v>
      </c>
      <c r="F16" s="654">
        <v>1241112.099644128</v>
      </c>
      <c r="G16" s="655">
        <f t="shared" si="4"/>
        <v>1253523.2206405692</v>
      </c>
      <c r="H16" s="655">
        <f t="shared" ref="H16:P16" si="8">G16*(1+H$12)</f>
        <v>1266058.4528469748</v>
      </c>
      <c r="I16" s="655">
        <f t="shared" si="8"/>
        <v>1278719.0373754445</v>
      </c>
      <c r="J16" s="655">
        <f t="shared" si="8"/>
        <v>1291506.2277491989</v>
      </c>
      <c r="K16" s="655">
        <f t="shared" si="8"/>
        <v>1304421.2900266908</v>
      </c>
      <c r="L16" s="655">
        <f t="shared" si="8"/>
        <v>1317465.5029269578</v>
      </c>
      <c r="M16" s="655">
        <f t="shared" si="8"/>
        <v>1330640.1579562274</v>
      </c>
      <c r="N16" s="655">
        <f t="shared" si="8"/>
        <v>1343946.5595357898</v>
      </c>
      <c r="O16" s="655">
        <f t="shared" si="8"/>
        <v>1357386.0251311476</v>
      </c>
      <c r="P16" s="655">
        <f t="shared" si="8"/>
        <v>1370959.885382459</v>
      </c>
      <c r="Q16" s="558"/>
      <c r="R16" s="558"/>
      <c r="S16" s="558"/>
      <c r="T16" s="558"/>
      <c r="U16" s="558"/>
      <c r="V16" s="558"/>
      <c r="W16" s="558"/>
    </row>
    <row r="17" spans="2:23" s="492" customFormat="1" x14ac:dyDescent="0.25">
      <c r="B17" s="492" t="s">
        <v>863</v>
      </c>
      <c r="C17" s="492" t="s">
        <v>879</v>
      </c>
      <c r="D17" s="558"/>
      <c r="E17" s="492">
        <v>0</v>
      </c>
      <c r="F17" s="654">
        <v>1094625.6038647343</v>
      </c>
      <c r="G17" s="655">
        <f t="shared" si="4"/>
        <v>1105571.8599033817</v>
      </c>
      <c r="H17" s="655">
        <f t="shared" ref="H17:P17" si="9">G17*(1+H$12)</f>
        <v>1116627.5785024154</v>
      </c>
      <c r="I17" s="655">
        <f t="shared" si="9"/>
        <v>1127793.8542874397</v>
      </c>
      <c r="J17" s="655">
        <f t="shared" si="9"/>
        <v>1139071.792830314</v>
      </c>
      <c r="K17" s="655">
        <f t="shared" si="9"/>
        <v>1150462.5107586172</v>
      </c>
      <c r="L17" s="655">
        <f t="shared" si="9"/>
        <v>1161967.1358662033</v>
      </c>
      <c r="M17" s="655">
        <f t="shared" si="9"/>
        <v>1173586.8072248653</v>
      </c>
      <c r="N17" s="655">
        <f t="shared" si="9"/>
        <v>1185322.6752971141</v>
      </c>
      <c r="O17" s="655">
        <f t="shared" si="9"/>
        <v>1197175.9020500851</v>
      </c>
      <c r="P17" s="655">
        <f t="shared" si="9"/>
        <v>1209147.6610705859</v>
      </c>
      <c r="Q17" s="558"/>
      <c r="R17" s="558"/>
      <c r="S17" s="558"/>
      <c r="T17" s="558"/>
      <c r="U17" s="558"/>
      <c r="V17" s="558"/>
      <c r="W17" s="558"/>
    </row>
    <row r="18" spans="2:23" s="492" customFormat="1" x14ac:dyDescent="0.25">
      <c r="B18" s="492" t="s">
        <v>864</v>
      </c>
      <c r="C18" s="492" t="s">
        <v>879</v>
      </c>
      <c r="D18" s="558">
        <v>1097000</v>
      </c>
      <c r="E18" s="558">
        <v>1300363.2478632478</v>
      </c>
      <c r="F18" s="654">
        <v>1324615.3846153845</v>
      </c>
      <c r="G18" s="655">
        <f t="shared" si="4"/>
        <v>1337861.5384615383</v>
      </c>
      <c r="H18" s="655">
        <f t="shared" ref="H18:P18" si="10">G18*(1+H$12)</f>
        <v>1351240.1538461538</v>
      </c>
      <c r="I18" s="655">
        <f t="shared" si="10"/>
        <v>1364752.5553846152</v>
      </c>
      <c r="J18" s="655">
        <f t="shared" si="10"/>
        <v>1378400.0809384615</v>
      </c>
      <c r="K18" s="655">
        <f t="shared" si="10"/>
        <v>1392184.0817478462</v>
      </c>
      <c r="L18" s="655">
        <f t="shared" si="10"/>
        <v>1406105.9225653247</v>
      </c>
      <c r="M18" s="655">
        <f t="shared" si="10"/>
        <v>1420166.981790978</v>
      </c>
      <c r="N18" s="655">
        <f t="shared" si="10"/>
        <v>1434368.6516088878</v>
      </c>
      <c r="O18" s="655">
        <f t="shared" si="10"/>
        <v>1448712.3381249767</v>
      </c>
      <c r="P18" s="655">
        <f t="shared" si="10"/>
        <v>1463199.4615062266</v>
      </c>
      <c r="Q18" s="558"/>
      <c r="R18" s="558"/>
      <c r="S18" s="558"/>
      <c r="T18" s="558"/>
      <c r="U18" s="558"/>
      <c r="V18" s="558"/>
      <c r="W18" s="558"/>
    </row>
    <row r="19" spans="2:23" x14ac:dyDescent="0.25">
      <c r="B19" s="492"/>
    </row>
    <row r="20" spans="2:23" s="560" customFormat="1" x14ac:dyDescent="0.25">
      <c r="B20" s="560" t="s">
        <v>878</v>
      </c>
      <c r="F20" s="583"/>
      <c r="G20" s="582">
        <f>'2. Input'!C26</f>
        <v>0.01</v>
      </c>
      <c r="H20" s="582">
        <f>G20</f>
        <v>0.01</v>
      </c>
      <c r="I20" s="582">
        <f t="shared" ref="I20:P20" si="11">H20</f>
        <v>0.01</v>
      </c>
      <c r="J20" s="582">
        <f t="shared" si="11"/>
        <v>0.01</v>
      </c>
      <c r="K20" s="582">
        <f t="shared" si="11"/>
        <v>0.01</v>
      </c>
      <c r="L20" s="582">
        <f t="shared" si="11"/>
        <v>0.01</v>
      </c>
      <c r="M20" s="582">
        <f t="shared" si="11"/>
        <v>0.01</v>
      </c>
      <c r="N20" s="582">
        <f t="shared" si="11"/>
        <v>0.01</v>
      </c>
      <c r="O20" s="582">
        <f t="shared" si="11"/>
        <v>0.01</v>
      </c>
      <c r="P20" s="582">
        <f t="shared" si="11"/>
        <v>0.01</v>
      </c>
      <c r="Q20" s="516"/>
      <c r="R20" s="516"/>
      <c r="S20" s="516"/>
      <c r="T20" s="516"/>
      <c r="U20" s="516"/>
      <c r="V20" s="516"/>
      <c r="W20" s="516"/>
    </row>
    <row r="21" spans="2:23" s="492" customFormat="1" x14ac:dyDescent="0.25">
      <c r="B21" s="584" t="s">
        <v>866</v>
      </c>
      <c r="C21" s="492" t="s">
        <v>880</v>
      </c>
      <c r="D21" s="558">
        <v>17269.03090909091</v>
      </c>
      <c r="E21" s="558">
        <v>14982.818237784</v>
      </c>
      <c r="F21" s="654">
        <v>15853.355254810742</v>
      </c>
      <c r="G21" s="655">
        <f>F21*(1+G$20)</f>
        <v>16011.88880735885</v>
      </c>
      <c r="H21" s="655">
        <f t="shared" ref="H21:P21" si="12">G21*(1+H$20)</f>
        <v>16172.007695432438</v>
      </c>
      <c r="I21" s="655">
        <f t="shared" si="12"/>
        <v>16333.727772386763</v>
      </c>
      <c r="J21" s="655">
        <f t="shared" si="12"/>
        <v>16497.065050110632</v>
      </c>
      <c r="K21" s="655">
        <f t="shared" si="12"/>
        <v>16662.035700611737</v>
      </c>
      <c r="L21" s="655">
        <f t="shared" si="12"/>
        <v>16828.656057617856</v>
      </c>
      <c r="M21" s="655">
        <f t="shared" si="12"/>
        <v>16996.942618194036</v>
      </c>
      <c r="N21" s="655">
        <f t="shared" si="12"/>
        <v>17166.912044375978</v>
      </c>
      <c r="O21" s="655">
        <f t="shared" si="12"/>
        <v>17338.581164819738</v>
      </c>
      <c r="P21" s="655">
        <f t="shared" si="12"/>
        <v>17511.966976467935</v>
      </c>
      <c r="Q21" s="558"/>
      <c r="R21" s="558"/>
      <c r="S21" s="558"/>
      <c r="T21" s="558"/>
      <c r="U21" s="558"/>
      <c r="V21" s="558"/>
      <c r="W21" s="558"/>
    </row>
    <row r="22" spans="2:23" s="492" customFormat="1" x14ac:dyDescent="0.25">
      <c r="B22" s="584" t="s">
        <v>867</v>
      </c>
      <c r="C22" s="492" t="s">
        <v>880</v>
      </c>
      <c r="D22" s="558">
        <v>18313.958181818183</v>
      </c>
      <c r="E22" s="558">
        <v>15939.735110607</v>
      </c>
      <c r="F22" s="654">
        <v>16094.196265822784</v>
      </c>
      <c r="G22" s="655">
        <f t="shared" ref="G22:P26" si="13">F22*(1+G$20)</f>
        <v>16255.138228481012</v>
      </c>
      <c r="H22" s="655">
        <f t="shared" si="13"/>
        <v>16417.689610765821</v>
      </c>
      <c r="I22" s="655">
        <f t="shared" si="13"/>
        <v>16581.866506873481</v>
      </c>
      <c r="J22" s="655">
        <f t="shared" si="13"/>
        <v>16747.685171942216</v>
      </c>
      <c r="K22" s="655">
        <f t="shared" si="13"/>
        <v>16915.162023661636</v>
      </c>
      <c r="L22" s="655">
        <f t="shared" si="13"/>
        <v>17084.313643898255</v>
      </c>
      <c r="M22" s="655">
        <f t="shared" si="13"/>
        <v>17255.156780337238</v>
      </c>
      <c r="N22" s="655">
        <f t="shared" si="13"/>
        <v>17427.708348140612</v>
      </c>
      <c r="O22" s="655">
        <f t="shared" si="13"/>
        <v>17601.985431622019</v>
      </c>
      <c r="P22" s="655">
        <f t="shared" si="13"/>
        <v>17778.005285938238</v>
      </c>
      <c r="Q22" s="558"/>
      <c r="R22" s="558"/>
      <c r="S22" s="558"/>
      <c r="T22" s="558"/>
      <c r="U22" s="558"/>
      <c r="V22" s="558"/>
      <c r="W22" s="558"/>
    </row>
    <row r="23" spans="2:23" s="492" customFormat="1" x14ac:dyDescent="0.25">
      <c r="B23" s="584" t="s">
        <v>868</v>
      </c>
      <c r="C23" s="492" t="s">
        <v>880</v>
      </c>
      <c r="D23" s="558">
        <v>24976.671999999999</v>
      </c>
      <c r="E23" s="558">
        <v>24804.653937947493</v>
      </c>
      <c r="F23" s="654">
        <v>22699.382716049382</v>
      </c>
      <c r="G23" s="655">
        <f t="shared" si="13"/>
        <v>22926.376543209877</v>
      </c>
      <c r="H23" s="655">
        <f t="shared" si="13"/>
        <v>23155.640308641978</v>
      </c>
      <c r="I23" s="655">
        <f t="shared" si="13"/>
        <v>23387.196711728397</v>
      </c>
      <c r="J23" s="655">
        <f t="shared" si="13"/>
        <v>23621.068678845681</v>
      </c>
      <c r="K23" s="655">
        <f t="shared" si="13"/>
        <v>23857.279365634138</v>
      </c>
      <c r="L23" s="655">
        <f t="shared" si="13"/>
        <v>24095.85215929048</v>
      </c>
      <c r="M23" s="655">
        <f t="shared" si="13"/>
        <v>24336.810680883384</v>
      </c>
      <c r="N23" s="655">
        <f t="shared" si="13"/>
        <v>24580.178787692217</v>
      </c>
      <c r="O23" s="655">
        <f t="shared" si="13"/>
        <v>24825.980575569141</v>
      </c>
      <c r="P23" s="655">
        <f t="shared" si="13"/>
        <v>25074.240381324835</v>
      </c>
      <c r="Q23" s="558"/>
      <c r="R23" s="558"/>
      <c r="S23" s="558"/>
      <c r="T23" s="558"/>
      <c r="U23" s="558"/>
      <c r="V23" s="558"/>
      <c r="W23" s="558"/>
    </row>
    <row r="24" spans="2:23" s="492" customFormat="1" x14ac:dyDescent="0.25">
      <c r="B24" s="584" t="s">
        <v>869</v>
      </c>
      <c r="C24" s="492" t="s">
        <v>880</v>
      </c>
      <c r="D24" s="558">
        <v>16862.750999999997</v>
      </c>
      <c r="E24" s="558">
        <v>17308</v>
      </c>
      <c r="F24" s="654">
        <v>13331</v>
      </c>
      <c r="G24" s="655">
        <f t="shared" si="13"/>
        <v>13464.31</v>
      </c>
      <c r="H24" s="655">
        <f t="shared" si="13"/>
        <v>13598.953099999999</v>
      </c>
      <c r="I24" s="655">
        <f t="shared" si="13"/>
        <v>13734.942630999998</v>
      </c>
      <c r="J24" s="655">
        <f t="shared" si="13"/>
        <v>13872.292057309998</v>
      </c>
      <c r="K24" s="655">
        <f t="shared" si="13"/>
        <v>14011.014977883098</v>
      </c>
      <c r="L24" s="655">
        <f t="shared" si="13"/>
        <v>14151.12512766193</v>
      </c>
      <c r="M24" s="655">
        <f t="shared" si="13"/>
        <v>14292.636378938549</v>
      </c>
      <c r="N24" s="655">
        <f t="shared" si="13"/>
        <v>14435.562742727934</v>
      </c>
      <c r="O24" s="655">
        <f t="shared" si="13"/>
        <v>14579.918370155214</v>
      </c>
      <c r="P24" s="655">
        <f t="shared" si="13"/>
        <v>14725.717553856766</v>
      </c>
      <c r="Q24" s="558"/>
      <c r="R24" s="558"/>
      <c r="S24" s="558"/>
      <c r="T24" s="558"/>
      <c r="U24" s="558"/>
      <c r="V24" s="558"/>
      <c r="W24" s="558"/>
    </row>
    <row r="25" spans="2:23" s="492" customFormat="1" x14ac:dyDescent="0.25">
      <c r="B25" s="584" t="s">
        <v>870</v>
      </c>
      <c r="C25" s="492" t="s">
        <v>880</v>
      </c>
      <c r="D25" s="558">
        <v>19383</v>
      </c>
      <c r="E25" s="558">
        <v>15608</v>
      </c>
      <c r="F25" s="654">
        <v>16435.986159169552</v>
      </c>
      <c r="G25" s="655">
        <f t="shared" si="13"/>
        <v>16600.346020761248</v>
      </c>
      <c r="H25" s="655">
        <f t="shared" si="13"/>
        <v>16766.34948096886</v>
      </c>
      <c r="I25" s="655">
        <f t="shared" si="13"/>
        <v>16934.012975778547</v>
      </c>
      <c r="J25" s="655">
        <f t="shared" si="13"/>
        <v>17103.353105536331</v>
      </c>
      <c r="K25" s="655">
        <f t="shared" si="13"/>
        <v>17274.386636591695</v>
      </c>
      <c r="L25" s="655">
        <f t="shared" si="13"/>
        <v>17447.130502957611</v>
      </c>
      <c r="M25" s="655">
        <f t="shared" si="13"/>
        <v>17621.601807987186</v>
      </c>
      <c r="N25" s="655">
        <f t="shared" si="13"/>
        <v>17797.817826067057</v>
      </c>
      <c r="O25" s="655">
        <f t="shared" si="13"/>
        <v>17975.796004327727</v>
      </c>
      <c r="P25" s="655">
        <f t="shared" si="13"/>
        <v>18155.553964371004</v>
      </c>
      <c r="Q25" s="558"/>
      <c r="R25" s="558"/>
      <c r="S25" s="558"/>
      <c r="T25" s="558"/>
      <c r="U25" s="558"/>
      <c r="V25" s="558"/>
      <c r="W25" s="558"/>
    </row>
    <row r="26" spans="2:23" s="492" customFormat="1" x14ac:dyDescent="0.25">
      <c r="B26" s="584" t="s">
        <v>871</v>
      </c>
      <c r="C26" s="492" t="s">
        <v>880</v>
      </c>
      <c r="D26" s="558">
        <v>15227.989675939203</v>
      </c>
      <c r="E26" s="558">
        <v>13953.488372093025</v>
      </c>
      <c r="F26" s="558">
        <v>13953.488372093025</v>
      </c>
      <c r="G26" s="655">
        <f t="shared" si="13"/>
        <v>14093.023255813956</v>
      </c>
      <c r="H26" s="655">
        <f t="shared" si="13"/>
        <v>14233.953488372095</v>
      </c>
      <c r="I26" s="655">
        <f t="shared" si="13"/>
        <v>14376.293023255816</v>
      </c>
      <c r="J26" s="655">
        <f t="shared" si="13"/>
        <v>14520.055953488374</v>
      </c>
      <c r="K26" s="655">
        <f t="shared" si="13"/>
        <v>14665.256513023258</v>
      </c>
      <c r="L26" s="655">
        <f t="shared" si="13"/>
        <v>14811.909078153491</v>
      </c>
      <c r="M26" s="655">
        <f t="shared" si="13"/>
        <v>14960.028168935025</v>
      </c>
      <c r="N26" s="655">
        <f t="shared" si="13"/>
        <v>15109.628450624376</v>
      </c>
      <c r="O26" s="655">
        <f t="shared" si="13"/>
        <v>15260.72473513062</v>
      </c>
      <c r="P26" s="655">
        <f t="shared" si="13"/>
        <v>15413.331982481926</v>
      </c>
      <c r="Q26" s="558"/>
      <c r="R26" s="558"/>
      <c r="S26" s="558"/>
      <c r="T26" s="558"/>
      <c r="U26" s="558"/>
      <c r="V26" s="558"/>
      <c r="W26" s="558"/>
    </row>
    <row r="28" spans="2:23" x14ac:dyDescent="0.25">
      <c r="B28" s="560" t="s">
        <v>872</v>
      </c>
      <c r="G28" s="582">
        <f>'2. Input'!C27</f>
        <v>0.01</v>
      </c>
      <c r="H28" s="582">
        <f>G28</f>
        <v>0.01</v>
      </c>
      <c r="I28" s="582">
        <f t="shared" ref="I28:P28" si="14">H28</f>
        <v>0.01</v>
      </c>
      <c r="J28" s="582">
        <f t="shared" si="14"/>
        <v>0.01</v>
      </c>
      <c r="K28" s="582">
        <f t="shared" si="14"/>
        <v>0.01</v>
      </c>
      <c r="L28" s="582">
        <f t="shared" si="14"/>
        <v>0.01</v>
      </c>
      <c r="M28" s="582">
        <f t="shared" si="14"/>
        <v>0.01</v>
      </c>
      <c r="N28" s="582">
        <f t="shared" si="14"/>
        <v>0.01</v>
      </c>
      <c r="O28" s="582">
        <f t="shared" si="14"/>
        <v>0.01</v>
      </c>
      <c r="P28" s="582">
        <f t="shared" si="14"/>
        <v>0.01</v>
      </c>
    </row>
    <row r="29" spans="2:23" x14ac:dyDescent="0.25">
      <c r="B29" s="560" t="s">
        <v>872</v>
      </c>
      <c r="C29" s="562" t="s">
        <v>881</v>
      </c>
      <c r="E29" s="559">
        <v>25617.676044776119</v>
      </c>
      <c r="F29" s="575">
        <v>22548.905472636816</v>
      </c>
      <c r="G29" s="576">
        <f>F29*(1+G$28)</f>
        <v>22774.394527363183</v>
      </c>
      <c r="H29" s="576">
        <f t="shared" ref="H29:P29" si="15">G29*(1+H$28)</f>
        <v>23002.138472636816</v>
      </c>
      <c r="I29" s="576">
        <f t="shared" si="15"/>
        <v>23232.159857363185</v>
      </c>
      <c r="J29" s="576">
        <f t="shared" si="15"/>
        <v>23464.481455936817</v>
      </c>
      <c r="K29" s="576">
        <f t="shared" si="15"/>
        <v>23699.126270496185</v>
      </c>
      <c r="L29" s="576">
        <f t="shared" si="15"/>
        <v>23936.117533201148</v>
      </c>
      <c r="M29" s="576">
        <f t="shared" si="15"/>
        <v>24175.478708533159</v>
      </c>
      <c r="N29" s="576">
        <f t="shared" si="15"/>
        <v>24417.23349561849</v>
      </c>
      <c r="O29" s="576">
        <f t="shared" si="15"/>
        <v>24661.405830574673</v>
      </c>
      <c r="P29" s="576">
        <f t="shared" si="15"/>
        <v>24908.019888880419</v>
      </c>
    </row>
    <row r="30" spans="2:23" x14ac:dyDescent="0.25">
      <c r="B30" s="560"/>
    </row>
    <row r="55" spans="2:16" x14ac:dyDescent="0.25">
      <c r="B55" s="560"/>
      <c r="C55" s="560"/>
      <c r="D55" s="560"/>
      <c r="E55" s="560"/>
      <c r="F55" s="583"/>
      <c r="G55" s="582"/>
      <c r="H55" s="582"/>
      <c r="I55" s="582"/>
      <c r="J55" s="582"/>
      <c r="K55" s="582"/>
      <c r="L55" s="582"/>
      <c r="M55" s="582"/>
      <c r="N55" s="582"/>
      <c r="O55" s="582"/>
      <c r="P55" s="582"/>
    </row>
    <row r="56" spans="2:16" x14ac:dyDescent="0.25">
      <c r="F56" s="517"/>
      <c r="G56" s="576"/>
      <c r="H56" s="576"/>
      <c r="I56" s="576"/>
      <c r="J56" s="576"/>
      <c r="K56" s="576"/>
      <c r="L56" s="576"/>
      <c r="M56" s="576"/>
      <c r="N56" s="576"/>
      <c r="O56" s="576"/>
      <c r="P56" s="576"/>
    </row>
    <row r="57" spans="2:16" x14ac:dyDescent="0.25">
      <c r="F57" s="517"/>
      <c r="G57" s="576"/>
      <c r="H57" s="576"/>
      <c r="I57" s="576"/>
      <c r="J57" s="576"/>
      <c r="K57" s="576"/>
      <c r="L57" s="576"/>
      <c r="M57" s="576"/>
      <c r="N57" s="576"/>
      <c r="O57" s="576"/>
      <c r="P57" s="576"/>
    </row>
    <row r="58" spans="2:16" x14ac:dyDescent="0.25">
      <c r="F58" s="517"/>
      <c r="G58" s="576"/>
      <c r="H58" s="576"/>
      <c r="I58" s="576"/>
      <c r="J58" s="576"/>
      <c r="K58" s="576"/>
      <c r="L58" s="576"/>
      <c r="M58" s="576"/>
      <c r="N58" s="576"/>
      <c r="O58" s="576"/>
      <c r="P58" s="576"/>
    </row>
    <row r="59" spans="2:16" x14ac:dyDescent="0.25">
      <c r="F59" s="517"/>
      <c r="G59" s="576"/>
      <c r="H59" s="576"/>
      <c r="I59" s="576"/>
      <c r="J59" s="576"/>
      <c r="K59" s="576"/>
      <c r="L59" s="576"/>
      <c r="M59" s="576"/>
      <c r="N59" s="576"/>
      <c r="O59" s="576"/>
      <c r="P59" s="576"/>
    </row>
    <row r="60" spans="2:16" x14ac:dyDescent="0.25">
      <c r="F60" s="559"/>
      <c r="G60" s="576"/>
      <c r="H60" s="576"/>
      <c r="I60" s="576"/>
      <c r="J60" s="576"/>
      <c r="K60" s="576"/>
      <c r="L60" s="576"/>
      <c r="M60" s="576"/>
      <c r="N60" s="576"/>
      <c r="O60" s="576"/>
      <c r="P60" s="576"/>
    </row>
    <row r="61" spans="2:16" x14ac:dyDescent="0.25">
      <c r="F61" s="546"/>
    </row>
    <row r="62" spans="2:16" x14ac:dyDescent="0.25">
      <c r="B62" s="560"/>
      <c r="F62" s="546"/>
    </row>
    <row r="63" spans="2:16" x14ac:dyDescent="0.25">
      <c r="F63" s="517"/>
      <c r="G63" s="576"/>
      <c r="H63" s="576"/>
      <c r="I63" s="576"/>
      <c r="J63" s="576"/>
      <c r="K63" s="576"/>
      <c r="L63" s="576"/>
      <c r="M63" s="576"/>
      <c r="N63" s="576"/>
      <c r="O63" s="576"/>
      <c r="P63" s="576"/>
    </row>
    <row r="64" spans="2:16" x14ac:dyDescent="0.25">
      <c r="F64" s="517"/>
      <c r="G64" s="576"/>
      <c r="H64" s="576"/>
      <c r="I64" s="576"/>
      <c r="J64" s="576"/>
      <c r="K64" s="576"/>
      <c r="L64" s="576"/>
      <c r="M64" s="576"/>
      <c r="N64" s="576"/>
      <c r="O64" s="576"/>
      <c r="P64" s="576"/>
    </row>
    <row r="65" spans="6:16" x14ac:dyDescent="0.25">
      <c r="F65" s="517"/>
      <c r="G65" s="576"/>
      <c r="H65" s="576"/>
      <c r="I65" s="576"/>
      <c r="J65" s="576"/>
      <c r="K65" s="576"/>
      <c r="L65" s="576"/>
      <c r="M65" s="576"/>
      <c r="N65" s="576"/>
      <c r="O65" s="576"/>
      <c r="P65" s="576"/>
    </row>
    <row r="66" spans="6:16" x14ac:dyDescent="0.25">
      <c r="F66" s="517"/>
      <c r="G66" s="576"/>
      <c r="H66" s="576"/>
      <c r="I66" s="576"/>
      <c r="J66" s="576"/>
      <c r="K66" s="576"/>
      <c r="L66" s="576"/>
      <c r="M66" s="576"/>
      <c r="N66" s="576"/>
      <c r="O66" s="576"/>
      <c r="P66" s="576"/>
    </row>
  </sheetData>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0AE41-813F-4313-B1D6-DAFE3325BC1B}">
  <sheetPr codeName="Sheet16">
    <tabColor theme="8" tint="0.39997558519241921"/>
  </sheetPr>
  <dimension ref="A1:P137"/>
  <sheetViews>
    <sheetView showGridLines="0" topLeftCell="A10" zoomScale="70" zoomScaleNormal="70" workbookViewId="0">
      <selection activeCell="B37" sqref="B37"/>
    </sheetView>
  </sheetViews>
  <sheetFormatPr defaultColWidth="8.85546875" defaultRowHeight="15" x14ac:dyDescent="0.25"/>
  <cols>
    <col min="1" max="1" width="5.140625" customWidth="1"/>
    <col min="2" max="2" width="69.42578125" bestFit="1" customWidth="1"/>
    <col min="3" max="3" width="9.42578125" customWidth="1"/>
    <col min="4" max="4" width="9.5703125" bestFit="1" customWidth="1"/>
    <col min="5" max="5" width="22.85546875" bestFit="1" customWidth="1"/>
    <col min="6" max="14" width="11.5703125" bestFit="1" customWidth="1"/>
  </cols>
  <sheetData>
    <row r="1" spans="2:14" hidden="1" x14ac:dyDescent="0.25"/>
    <row r="2" spans="2:14" hidden="1" x14ac:dyDescent="0.25">
      <c r="B2" t="s">
        <v>886</v>
      </c>
      <c r="E2" s="653" t="e">
        <f>SUMIFS(E$19:E$121,#REF!,#REF!)</f>
        <v>#REF!</v>
      </c>
      <c r="F2" s="653" t="e">
        <f>SUMIFS(F$19:F$121,#REF!,#REF!)</f>
        <v>#REF!</v>
      </c>
      <c r="G2" s="653" t="e">
        <f>SUMIFS(G$19:G$121,#REF!,#REF!)</f>
        <v>#REF!</v>
      </c>
      <c r="H2" s="653" t="e">
        <f>SUMIFS(H$19:H$121,#REF!,#REF!)</f>
        <v>#REF!</v>
      </c>
      <c r="I2" s="653" t="e">
        <f>SUMIFS(I$19:I$121,#REF!,#REF!)</f>
        <v>#REF!</v>
      </c>
      <c r="J2" s="653" t="e">
        <f>SUMIFS(J$19:J$121,#REF!,#REF!)</f>
        <v>#REF!</v>
      </c>
      <c r="K2" s="653" t="e">
        <f>SUMIFS(K$19:K$121,#REF!,#REF!)</f>
        <v>#REF!</v>
      </c>
      <c r="L2" s="653" t="e">
        <f>SUMIFS(L$19:L$121,#REF!,#REF!)</f>
        <v>#REF!</v>
      </c>
      <c r="M2" s="653" t="e">
        <f>SUMIFS(M$19:M$121,#REF!,#REF!)</f>
        <v>#REF!</v>
      </c>
      <c r="N2" s="653" t="e">
        <f>SUMIFS(N$19:N$121,#REF!,#REF!)</f>
        <v>#REF!</v>
      </c>
    </row>
    <row r="3" spans="2:14" hidden="1" x14ac:dyDescent="0.25">
      <c r="B3" t="s">
        <v>887</v>
      </c>
      <c r="E3" s="653" t="e">
        <f>SUMIFS(E$19:E$121,#REF!,#REF!)</f>
        <v>#REF!</v>
      </c>
      <c r="F3" s="653" t="e">
        <f>SUMIFS(F$19:F$121,#REF!,#REF!)</f>
        <v>#REF!</v>
      </c>
      <c r="G3" s="653" t="e">
        <f>SUMIFS(G$19:G$121,#REF!,#REF!)</f>
        <v>#REF!</v>
      </c>
      <c r="H3" s="653" t="e">
        <f>SUMIFS(H$19:H$121,#REF!,#REF!)</f>
        <v>#REF!</v>
      </c>
      <c r="I3" s="653" t="e">
        <f>SUMIFS(I$19:I$121,#REF!,#REF!)</f>
        <v>#REF!</v>
      </c>
      <c r="J3" s="653" t="e">
        <f>SUMIFS(J$19:J$121,#REF!,#REF!)</f>
        <v>#REF!</v>
      </c>
      <c r="K3" s="653" t="e">
        <f>SUMIFS(K$19:K$121,#REF!,#REF!)</f>
        <v>#REF!</v>
      </c>
      <c r="L3" s="653" t="e">
        <f>SUMIFS(L$19:L$121,#REF!,#REF!)</f>
        <v>#REF!</v>
      </c>
      <c r="M3" s="653" t="e">
        <f>SUMIFS(M$19:M$121,#REF!,#REF!)</f>
        <v>#REF!</v>
      </c>
      <c r="N3" s="653" t="e">
        <f>SUMIFS(N$19:N$121,#REF!,#REF!)</f>
        <v>#REF!</v>
      </c>
    </row>
    <row r="4" spans="2:14" hidden="1" x14ac:dyDescent="0.25">
      <c r="B4" t="s">
        <v>888</v>
      </c>
      <c r="E4" s="653" t="e">
        <f>SUMIFS(E$19:E$121,#REF!,#REF!)</f>
        <v>#REF!</v>
      </c>
      <c r="F4" s="653" t="e">
        <f>SUMIFS(F$19:F$121,#REF!,#REF!)</f>
        <v>#REF!</v>
      </c>
      <c r="G4" s="653" t="e">
        <f>SUMIFS(G$19:G$121,#REF!,#REF!)</f>
        <v>#REF!</v>
      </c>
      <c r="H4" s="653" t="e">
        <f>SUMIFS(H$19:H$121,#REF!,#REF!)</f>
        <v>#REF!</v>
      </c>
      <c r="I4" s="653" t="e">
        <f>SUMIFS(I$19:I$121,#REF!,#REF!)</f>
        <v>#REF!</v>
      </c>
      <c r="J4" s="653" t="e">
        <f>SUMIFS(J$19:J$121,#REF!,#REF!)</f>
        <v>#REF!</v>
      </c>
      <c r="K4" s="653" t="e">
        <f>SUMIFS(K$19:K$121,#REF!,#REF!)</f>
        <v>#REF!</v>
      </c>
      <c r="L4" s="653" t="e">
        <f>SUMIFS(L$19:L$121,#REF!,#REF!)</f>
        <v>#REF!</v>
      </c>
      <c r="M4" s="653" t="e">
        <f>SUMIFS(M$19:M$121,#REF!,#REF!)</f>
        <v>#REF!</v>
      </c>
      <c r="N4" s="653" t="e">
        <f>SUMIFS(N$19:N$121,#REF!,#REF!)</f>
        <v>#REF!</v>
      </c>
    </row>
    <row r="5" spans="2:14" hidden="1" x14ac:dyDescent="0.25">
      <c r="B5" t="s">
        <v>889</v>
      </c>
      <c r="E5" s="653" t="e">
        <f>SUMIFS(E$19:E$121,#REF!,#REF!)</f>
        <v>#REF!</v>
      </c>
      <c r="F5" s="653" t="e">
        <f>SUMIFS(F$19:F$121,#REF!,#REF!)</f>
        <v>#REF!</v>
      </c>
      <c r="G5" s="653" t="e">
        <f>SUMIFS(G$19:G$121,#REF!,#REF!)</f>
        <v>#REF!</v>
      </c>
      <c r="H5" s="653" t="e">
        <f>SUMIFS(H$19:H$121,#REF!,#REF!)</f>
        <v>#REF!</v>
      </c>
      <c r="I5" s="653" t="e">
        <f>SUMIFS(I$19:I$121,#REF!,#REF!)</f>
        <v>#REF!</v>
      </c>
      <c r="J5" s="653" t="e">
        <f>SUMIFS(J$19:J$121,#REF!,#REF!)</f>
        <v>#REF!</v>
      </c>
      <c r="K5" s="653" t="e">
        <f>SUMIFS(K$19:K$121,#REF!,#REF!)</f>
        <v>#REF!</v>
      </c>
      <c r="L5" s="653" t="e">
        <f>SUMIFS(L$19:L$121,#REF!,#REF!)</f>
        <v>#REF!</v>
      </c>
      <c r="M5" s="653" t="e">
        <f>SUMIFS(M$19:M$121,#REF!,#REF!)</f>
        <v>#REF!</v>
      </c>
      <c r="N5" s="653" t="e">
        <f>SUMIFS(N$19:N$121,#REF!,#REF!)</f>
        <v>#REF!</v>
      </c>
    </row>
    <row r="6" spans="2:14" hidden="1" x14ac:dyDescent="0.25"/>
    <row r="7" spans="2:14" hidden="1" x14ac:dyDescent="0.25">
      <c r="B7" s="1413" t="s">
        <v>694</v>
      </c>
    </row>
    <row r="8" spans="2:14" hidden="1" x14ac:dyDescent="0.25"/>
    <row r="9" spans="2:14" hidden="1" x14ac:dyDescent="0.25"/>
    <row r="10" spans="2:14" x14ac:dyDescent="0.25">
      <c r="B10" s="1" t="s">
        <v>761</v>
      </c>
      <c r="C10" s="1"/>
    </row>
    <row r="14" spans="2:14" x14ac:dyDescent="0.25">
      <c r="E14" s="565"/>
      <c r="F14" s="565"/>
      <c r="G14" s="565"/>
      <c r="H14" s="565"/>
      <c r="I14" s="565"/>
      <c r="J14" s="565"/>
      <c r="K14" s="565"/>
      <c r="L14" s="565"/>
      <c r="M14" s="565"/>
      <c r="N14" s="565"/>
    </row>
    <row r="15" spans="2:14" s="1" customFormat="1" x14ac:dyDescent="0.25">
      <c r="B15" s="160" t="s">
        <v>246</v>
      </c>
      <c r="C15" s="160"/>
      <c r="D15" s="160"/>
      <c r="E15" s="160">
        <f>'3.Bo gia'!G3</f>
        <v>2024</v>
      </c>
      <c r="F15" s="160">
        <f>'3.Bo gia'!H3</f>
        <v>2025</v>
      </c>
      <c r="G15" s="160">
        <f>'3.Bo gia'!I3</f>
        <v>2026</v>
      </c>
      <c r="H15" s="160">
        <f>'3.Bo gia'!J3</f>
        <v>2027</v>
      </c>
      <c r="I15" s="160">
        <f>'3.Bo gia'!K3</f>
        <v>2028</v>
      </c>
      <c r="J15" s="160">
        <f>'3.Bo gia'!L3</f>
        <v>2029</v>
      </c>
      <c r="K15" s="160">
        <f>'3.Bo gia'!M3</f>
        <v>2030</v>
      </c>
      <c r="L15" s="160">
        <f>'3.Bo gia'!N3</f>
        <v>2031</v>
      </c>
      <c r="M15" s="160">
        <f>'3.Bo gia'!O3</f>
        <v>2032</v>
      </c>
      <c r="N15" s="160">
        <f>'3.Bo gia'!P3</f>
        <v>2033</v>
      </c>
    </row>
    <row r="16" spans="2:14" x14ac:dyDescent="0.25">
      <c r="B16" s="474" t="s">
        <v>882</v>
      </c>
      <c r="C16" s="474"/>
      <c r="D16" s="60"/>
      <c r="E16" s="494">
        <f>'2.IP- SX  '!L11</f>
        <v>0.15</v>
      </c>
      <c r="F16" s="494">
        <f>'2.IP- SX  '!M11</f>
        <v>0.15</v>
      </c>
      <c r="G16" s="494">
        <f>'2.IP- SX  '!N11</f>
        <v>0.15</v>
      </c>
      <c r="H16" s="494">
        <f>'2.IP- SX  '!O11</f>
        <v>0.15</v>
      </c>
      <c r="I16" s="494">
        <f>'2.IP- SX  '!P11</f>
        <v>0.15</v>
      </c>
      <c r="J16" s="494">
        <f>'2.IP- SX  '!Q11</f>
        <v>0.15</v>
      </c>
      <c r="K16" s="494">
        <f>'2.IP- SX  '!R11</f>
        <v>0.15</v>
      </c>
      <c r="L16" s="494">
        <f>'2.IP- SX  '!S11</f>
        <v>0.15</v>
      </c>
      <c r="M16" s="494">
        <f>'2.IP- SX  '!T11</f>
        <v>0.15</v>
      </c>
      <c r="N16" s="494">
        <f>'2.IP- SX  '!U11</f>
        <v>0.15</v>
      </c>
    </row>
    <row r="17" spans="2:14" x14ac:dyDescent="0.25">
      <c r="B17" s="9" t="s">
        <v>883</v>
      </c>
      <c r="C17" s="9"/>
      <c r="D17" s="9"/>
      <c r="E17" s="158">
        <f>'2.IP- SX  '!L30</f>
        <v>0.4</v>
      </c>
      <c r="F17" s="158">
        <f>'2.IP- SX  '!M30</f>
        <v>0.4</v>
      </c>
      <c r="G17" s="158">
        <f>'2.IP- SX  '!N30</f>
        <v>0.4</v>
      </c>
      <c r="H17" s="158">
        <f>'2.IP- SX  '!O30</f>
        <v>0.4</v>
      </c>
      <c r="I17" s="158">
        <f>'2.IP- SX  '!P30</f>
        <v>0.4</v>
      </c>
      <c r="J17" s="158">
        <f>'2.IP- SX  '!Q30</f>
        <v>0.4</v>
      </c>
      <c r="K17" s="158">
        <f>'2.IP- SX  '!R30</f>
        <v>0.4</v>
      </c>
      <c r="L17" s="158">
        <f>'2.IP- SX  '!S30</f>
        <v>0.4</v>
      </c>
      <c r="M17" s="158">
        <f>'2.IP- SX  '!T30</f>
        <v>0.4</v>
      </c>
      <c r="N17" s="158">
        <f>'2.IP- SX  '!U30</f>
        <v>0.4</v>
      </c>
    </row>
    <row r="18" spans="2:14" x14ac:dyDescent="0.25">
      <c r="B18" s="9"/>
      <c r="C18" s="9"/>
      <c r="D18" s="9"/>
      <c r="E18" s="158"/>
      <c r="F18" s="158"/>
      <c r="G18" s="158"/>
      <c r="H18" s="158"/>
      <c r="I18" s="158"/>
      <c r="J18" s="158"/>
      <c r="K18" s="158"/>
      <c r="L18" s="158"/>
      <c r="M18" s="158"/>
      <c r="N18" s="158"/>
    </row>
    <row r="19" spans="2:14" x14ac:dyDescent="0.25">
      <c r="B19" s="585" t="s">
        <v>694</v>
      </c>
      <c r="C19" s="585"/>
      <c r="D19" s="643" t="s">
        <v>884</v>
      </c>
      <c r="E19" s="647">
        <f>E50+E74+E97+E117</f>
        <v>472.69443724311299</v>
      </c>
      <c r="F19" s="647">
        <f t="shared" ref="F19:N19" si="0">F50+F74+F97+F117</f>
        <v>477.52465779160082</v>
      </c>
      <c r="G19" s="647">
        <f t="shared" si="0"/>
        <v>482.40525639671222</v>
      </c>
      <c r="H19" s="647">
        <f t="shared" si="0"/>
        <v>487.33677856362141</v>
      </c>
      <c r="I19" s="647">
        <f t="shared" si="0"/>
        <v>492.31977609121873</v>
      </c>
      <c r="J19" s="647">
        <f t="shared" si="0"/>
        <v>497.3548071519055</v>
      </c>
      <c r="K19" s="647">
        <f t="shared" si="0"/>
        <v>502.44243637252464</v>
      </c>
      <c r="L19" s="647">
        <f t="shared" si="0"/>
        <v>507.58323491644688</v>
      </c>
      <c r="M19" s="647">
        <f t="shared" si="0"/>
        <v>512.7777805668303</v>
      </c>
      <c r="N19" s="647">
        <f t="shared" si="0"/>
        <v>518.02665781107203</v>
      </c>
    </row>
    <row r="20" spans="2:14" s="129" customFormat="1" x14ac:dyDescent="0.25">
      <c r="B20" s="613"/>
      <c r="C20" s="613"/>
      <c r="D20" s="1409"/>
      <c r="E20" s="1410"/>
      <c r="F20" s="1410"/>
      <c r="G20" s="1410"/>
      <c r="H20" s="1410"/>
      <c r="I20" s="1410"/>
      <c r="J20" s="1410"/>
      <c r="K20" s="1410"/>
      <c r="L20" s="1410"/>
      <c r="M20" s="1410"/>
      <c r="N20" s="1410"/>
    </row>
    <row r="21" spans="2:14" s="506" customFormat="1" x14ac:dyDescent="0.25">
      <c r="B21" s="693" t="s">
        <v>1773</v>
      </c>
      <c r="C21" s="693"/>
      <c r="D21" s="607" t="s">
        <v>884</v>
      </c>
      <c r="E21" s="1411"/>
      <c r="F21" s="1411"/>
      <c r="G21" s="1411"/>
      <c r="H21" s="1411"/>
      <c r="I21" s="1411"/>
      <c r="J21" s="1411"/>
      <c r="K21" s="1411"/>
      <c r="L21" s="1411"/>
      <c r="M21" s="1411"/>
      <c r="N21" s="1411"/>
    </row>
    <row r="22" spans="2:14" s="506" customFormat="1" x14ac:dyDescent="0.25">
      <c r="B22" s="506" t="s">
        <v>886</v>
      </c>
      <c r="D22" s="507"/>
      <c r="E22" s="1412">
        <f>E50</f>
        <v>349.83798795437713</v>
      </c>
      <c r="F22" s="1412">
        <f t="shared" ref="F22:N22" si="1">F50</f>
        <v>353.33636783392092</v>
      </c>
      <c r="G22" s="1412">
        <f t="shared" si="1"/>
        <v>356.86973151226016</v>
      </c>
      <c r="H22" s="1412">
        <f t="shared" si="1"/>
        <v>360.43842882738278</v>
      </c>
      <c r="I22" s="1412">
        <f t="shared" si="1"/>
        <v>364.0428131156566</v>
      </c>
      <c r="J22" s="1412">
        <f t="shared" si="1"/>
        <v>367.68324124681317</v>
      </c>
      <c r="K22" s="1412">
        <f t="shared" si="1"/>
        <v>371.36007365928128</v>
      </c>
      <c r="L22" s="1412">
        <f t="shared" si="1"/>
        <v>375.07367439587415</v>
      </c>
      <c r="M22" s="1412">
        <f t="shared" si="1"/>
        <v>378.82441113983288</v>
      </c>
      <c r="N22" s="1412">
        <f t="shared" si="1"/>
        <v>382.61265525123127</v>
      </c>
    </row>
    <row r="23" spans="2:14" s="506" customFormat="1" x14ac:dyDescent="0.25">
      <c r="B23" s="506" t="s">
        <v>887</v>
      </c>
      <c r="D23" s="507"/>
      <c r="E23" s="1412">
        <f>E74</f>
        <v>99.869508176654264</v>
      </c>
      <c r="F23" s="1412">
        <f t="shared" ref="F23:M23" si="2">F74</f>
        <v>100.86820325842081</v>
      </c>
      <c r="G23" s="1412">
        <f t="shared" si="2"/>
        <v>101.87688529100501</v>
      </c>
      <c r="H23" s="1412">
        <f t="shared" si="2"/>
        <v>102.89565414391507</v>
      </c>
      <c r="I23" s="1412">
        <f t="shared" si="2"/>
        <v>103.92461068535422</v>
      </c>
      <c r="J23" s="1412">
        <f t="shared" si="2"/>
        <v>104.96385679220776</v>
      </c>
      <c r="K23" s="1412">
        <f t="shared" si="2"/>
        <v>106.01349536012984</v>
      </c>
      <c r="L23" s="1412">
        <f t="shared" si="2"/>
        <v>107.07363031373116</v>
      </c>
      <c r="M23" s="1412">
        <f t="shared" si="2"/>
        <v>108.14436661686847</v>
      </c>
      <c r="N23" s="1412">
        <f>N74</f>
        <v>109.22581028303716</v>
      </c>
    </row>
    <row r="24" spans="2:14" s="506" customFormat="1" x14ac:dyDescent="0.25">
      <c r="B24" s="506" t="s">
        <v>888</v>
      </c>
      <c r="D24" s="507"/>
      <c r="E24" s="1412">
        <f>E97</f>
        <v>12.761577146075775</v>
      </c>
      <c r="F24" s="1412">
        <f t="shared" ref="F24:N24" si="3">F97</f>
        <v>12.889192917536532</v>
      </c>
      <c r="G24" s="1412">
        <f t="shared" si="3"/>
        <v>13.018084846711897</v>
      </c>
      <c r="H24" s="1412">
        <f t="shared" si="3"/>
        <v>13.148265695179017</v>
      </c>
      <c r="I24" s="1412">
        <f t="shared" si="3"/>
        <v>13.279748352130806</v>
      </c>
      <c r="J24" s="1412">
        <f t="shared" si="3"/>
        <v>13.412545835652114</v>
      </c>
      <c r="K24" s="1412">
        <f t="shared" si="3"/>
        <v>13.546671294008636</v>
      </c>
      <c r="L24" s="1412">
        <f t="shared" si="3"/>
        <v>13.682138006948723</v>
      </c>
      <c r="M24" s="1412">
        <f t="shared" si="3"/>
        <v>13.818959387018211</v>
      </c>
      <c r="N24" s="1412">
        <f t="shared" si="3"/>
        <v>13.957148980888393</v>
      </c>
    </row>
    <row r="25" spans="2:14" s="506" customFormat="1" x14ac:dyDescent="0.25">
      <c r="B25" s="506" t="s">
        <v>889</v>
      </c>
      <c r="D25" s="507"/>
      <c r="E25" s="1412">
        <f>E117</f>
        <v>10.225363966005814</v>
      </c>
      <c r="F25" s="1412">
        <f t="shared" ref="F25:N25" si="4">F117</f>
        <v>10.43089378172253</v>
      </c>
      <c r="G25" s="1412">
        <f t="shared" si="4"/>
        <v>10.640554746735155</v>
      </c>
      <c r="H25" s="1412">
        <f t="shared" si="4"/>
        <v>10.854429897144529</v>
      </c>
      <c r="I25" s="1412">
        <f t="shared" si="4"/>
        <v>11.072603938077135</v>
      </c>
      <c r="J25" s="1412">
        <f t="shared" si="4"/>
        <v>11.295163277232486</v>
      </c>
      <c r="K25" s="1412">
        <f t="shared" si="4"/>
        <v>11.522196059104861</v>
      </c>
      <c r="L25" s="1412">
        <f t="shared" si="4"/>
        <v>11.753792199892866</v>
      </c>
      <c r="M25" s="1412">
        <f t="shared" si="4"/>
        <v>11.990043423110714</v>
      </c>
      <c r="N25" s="1412">
        <f t="shared" si="4"/>
        <v>12.231043295915239</v>
      </c>
    </row>
    <row r="26" spans="2:14" s="506" customFormat="1" x14ac:dyDescent="0.25">
      <c r="B26" s="693"/>
      <c r="C26" s="693"/>
      <c r="D26" s="1272"/>
      <c r="E26" s="1411"/>
      <c r="F26" s="1411"/>
      <c r="G26" s="1411"/>
      <c r="H26" s="1411"/>
      <c r="I26" s="1411"/>
      <c r="J26" s="1411"/>
      <c r="K26" s="1411"/>
      <c r="L26" s="1411"/>
      <c r="M26" s="1411"/>
      <c r="N26" s="1411"/>
    </row>
    <row r="27" spans="2:14" s="506" customFormat="1" x14ac:dyDescent="0.25">
      <c r="B27" s="693" t="s">
        <v>1785</v>
      </c>
      <c r="C27" s="693"/>
      <c r="D27" s="607" t="s">
        <v>884</v>
      </c>
      <c r="E27" s="1411"/>
      <c r="F27" s="1411"/>
      <c r="G27" s="1411"/>
      <c r="H27" s="1411"/>
      <c r="I27" s="1411"/>
      <c r="J27" s="1411"/>
      <c r="K27" s="1411"/>
      <c r="L27" s="1411"/>
      <c r="M27" s="1411"/>
      <c r="N27" s="1411"/>
    </row>
    <row r="28" spans="2:14" s="506" customFormat="1" x14ac:dyDescent="0.25">
      <c r="B28" s="693"/>
      <c r="C28" s="693"/>
      <c r="D28" s="1272"/>
      <c r="E28" s="1411"/>
      <c r="F28" s="1411"/>
      <c r="G28" s="1411"/>
      <c r="H28" s="1411"/>
      <c r="I28" s="1411"/>
      <c r="J28" s="1411"/>
      <c r="K28" s="1411"/>
      <c r="L28" s="1411"/>
      <c r="M28" s="1411"/>
      <c r="N28" s="1411"/>
    </row>
    <row r="29" spans="2:14" s="506" customFormat="1" x14ac:dyDescent="0.25">
      <c r="B29" s="693" t="s">
        <v>902</v>
      </c>
      <c r="C29" s="693"/>
      <c r="D29" s="1272"/>
      <c r="E29" s="1411">
        <f t="shared" ref="E29:N31" si="5">SUMIFS(E$50:E$121,$B$50:$B$121,$B29)</f>
        <v>268.52214140334996</v>
      </c>
      <c r="F29" s="1411">
        <f t="shared" si="5"/>
        <v>271.20736281738345</v>
      </c>
      <c r="G29" s="1411">
        <f t="shared" si="5"/>
        <v>273.91943644555732</v>
      </c>
      <c r="H29" s="1411">
        <f t="shared" si="5"/>
        <v>276.65863081001294</v>
      </c>
      <c r="I29" s="1411">
        <f t="shared" si="5"/>
        <v>279.42521711811304</v>
      </c>
      <c r="J29" s="1411">
        <f t="shared" si="5"/>
        <v>282.21946928929418</v>
      </c>
      <c r="K29" s="1411">
        <f t="shared" si="5"/>
        <v>285.04166398218717</v>
      </c>
      <c r="L29" s="1411">
        <f t="shared" si="5"/>
        <v>287.89208062200902</v>
      </c>
      <c r="M29" s="1411">
        <f t="shared" si="5"/>
        <v>290.77100142822911</v>
      </c>
      <c r="N29" s="1411">
        <f t="shared" si="5"/>
        <v>293.67871144251143</v>
      </c>
    </row>
    <row r="30" spans="2:14" s="506" customFormat="1" x14ac:dyDescent="0.25">
      <c r="B30" s="693" t="s">
        <v>901</v>
      </c>
      <c r="C30" s="693"/>
      <c r="D30" s="1272"/>
      <c r="E30" s="1411">
        <f t="shared" si="5"/>
        <v>11.638686929817602</v>
      </c>
      <c r="F30" s="1411">
        <f t="shared" si="5"/>
        <v>11.755073799115777</v>
      </c>
      <c r="G30" s="1411">
        <f t="shared" si="5"/>
        <v>11.872624537106937</v>
      </c>
      <c r="H30" s="1411">
        <f t="shared" si="5"/>
        <v>11.991350782478005</v>
      </c>
      <c r="I30" s="1411">
        <f t="shared" si="5"/>
        <v>12.111264290302787</v>
      </c>
      <c r="J30" s="1411">
        <f t="shared" si="5"/>
        <v>12.232376933205813</v>
      </c>
      <c r="K30" s="1411">
        <f t="shared" si="5"/>
        <v>12.354700702537873</v>
      </c>
      <c r="L30" s="1411">
        <f t="shared" si="5"/>
        <v>12.478247709563252</v>
      </c>
      <c r="M30" s="1411">
        <f t="shared" si="5"/>
        <v>12.603030186658884</v>
      </c>
      <c r="N30" s="1411">
        <f t="shared" si="5"/>
        <v>12.729060488525473</v>
      </c>
    </row>
    <row r="31" spans="2:14" s="506" customFormat="1" x14ac:dyDescent="0.25">
      <c r="B31" s="693" t="s">
        <v>654</v>
      </c>
      <c r="C31" s="693"/>
      <c r="D31" s="1272"/>
      <c r="E31" s="1411">
        <f t="shared" si="5"/>
        <v>90.221212148936871</v>
      </c>
      <c r="F31" s="1411">
        <f t="shared" si="5"/>
        <v>91.123424270426256</v>
      </c>
      <c r="G31" s="1411">
        <f t="shared" si="5"/>
        <v>92.034658513130509</v>
      </c>
      <c r="H31" s="1411">
        <f t="shared" si="5"/>
        <v>92.955005098261822</v>
      </c>
      <c r="I31" s="1411">
        <f t="shared" si="5"/>
        <v>93.884555149244449</v>
      </c>
      <c r="J31" s="1411">
        <f t="shared" si="5"/>
        <v>94.823400700736883</v>
      </c>
      <c r="K31" s="1411">
        <f t="shared" si="5"/>
        <v>95.771634707744269</v>
      </c>
      <c r="L31" s="1411">
        <f t="shared" si="5"/>
        <v>96.729351054821691</v>
      </c>
      <c r="M31" s="1411">
        <f t="shared" si="5"/>
        <v>97.696644565369922</v>
      </c>
      <c r="N31" s="1411">
        <f t="shared" si="5"/>
        <v>98.673611011023652</v>
      </c>
    </row>
    <row r="32" spans="2:14" s="507" customFormat="1" x14ac:dyDescent="0.25">
      <c r="B32" s="507" t="s">
        <v>1774</v>
      </c>
      <c r="E32" s="1412">
        <f>SUMIFS(E$50:E$119,$C$50:$C$119,$B32)</f>
        <v>68.179753698995555</v>
      </c>
      <c r="F32" s="1412">
        <f t="shared" ref="F32:N32" si="6">SUMIFS(F$50:F$119,$C$50:$C$119,$B32)</f>
        <v>68.86155123598553</v>
      </c>
      <c r="G32" s="1412">
        <f t="shared" si="6"/>
        <v>69.550166748345376</v>
      </c>
      <c r="H32" s="1412">
        <f t="shared" si="6"/>
        <v>70.245668415828831</v>
      </c>
      <c r="I32" s="1412">
        <f t="shared" si="6"/>
        <v>70.948125099987138</v>
      </c>
      <c r="J32" s="1412">
        <f t="shared" si="6"/>
        <v>71.657606350986995</v>
      </c>
      <c r="K32" s="1412">
        <f t="shared" si="6"/>
        <v>72.374182414496858</v>
      </c>
      <c r="L32" s="1412">
        <f t="shared" si="6"/>
        <v>73.097924238641838</v>
      </c>
      <c r="M32" s="1412">
        <f t="shared" si="6"/>
        <v>73.828903481028263</v>
      </c>
      <c r="N32" s="1412">
        <f t="shared" si="6"/>
        <v>74.567192515838542</v>
      </c>
    </row>
    <row r="33" spans="2:14" s="507" customFormat="1" x14ac:dyDescent="0.25">
      <c r="B33" s="507" t="s">
        <v>1775</v>
      </c>
      <c r="E33" s="1412">
        <f t="shared" ref="E33:N37" si="7">SUMIFS(E$50:E$119,$C$50:$C$119,$B33)</f>
        <v>10.501040090770314</v>
      </c>
      <c r="F33" s="1412">
        <f t="shared" si="7"/>
        <v>10.606050491678017</v>
      </c>
      <c r="G33" s="1412">
        <f t="shared" si="7"/>
        <v>10.712110996594799</v>
      </c>
      <c r="H33" s="1412">
        <f t="shared" si="7"/>
        <v>10.819232106560747</v>
      </c>
      <c r="I33" s="1412">
        <f t="shared" si="7"/>
        <v>10.927424427626356</v>
      </c>
      <c r="J33" s="1412">
        <f t="shared" si="7"/>
        <v>11.036698671902617</v>
      </c>
      <c r="K33" s="1412">
        <f t="shared" si="7"/>
        <v>11.147065658621642</v>
      </c>
      <c r="L33" s="1412">
        <f t="shared" si="7"/>
        <v>11.258536315207859</v>
      </c>
      <c r="M33" s="1412">
        <f t="shared" si="7"/>
        <v>11.371121678359938</v>
      </c>
      <c r="N33" s="1412">
        <f t="shared" si="7"/>
        <v>11.484832895143537</v>
      </c>
    </row>
    <row r="34" spans="2:14" s="507" customFormat="1" x14ac:dyDescent="0.25">
      <c r="B34" s="507" t="s">
        <v>1776</v>
      </c>
      <c r="E34" s="1412">
        <f t="shared" si="7"/>
        <v>5.9973334880148776</v>
      </c>
      <c r="F34" s="1412">
        <f t="shared" si="7"/>
        <v>6.0573068228950273</v>
      </c>
      <c r="G34" s="1412">
        <f t="shared" si="7"/>
        <v>6.1178798911239776</v>
      </c>
      <c r="H34" s="1412">
        <f t="shared" si="7"/>
        <v>6.1790586900352187</v>
      </c>
      <c r="I34" s="1412">
        <f t="shared" si="7"/>
        <v>6.2408492769355703</v>
      </c>
      <c r="J34" s="1412">
        <f t="shared" si="7"/>
        <v>6.3032577697049259</v>
      </c>
      <c r="K34" s="1412">
        <f t="shared" si="7"/>
        <v>6.3662903474019732</v>
      </c>
      <c r="L34" s="1412">
        <f t="shared" si="7"/>
        <v>6.429953250875994</v>
      </c>
      <c r="M34" s="1412">
        <f t="shared" si="7"/>
        <v>6.4942527833847548</v>
      </c>
      <c r="N34" s="1412">
        <f t="shared" si="7"/>
        <v>6.5591953112186028</v>
      </c>
    </row>
    <row r="35" spans="2:14" s="507" customFormat="1" x14ac:dyDescent="0.25">
      <c r="B35" s="507" t="s">
        <v>1777</v>
      </c>
      <c r="E35" s="1412">
        <f t="shared" si="7"/>
        <v>3.7300174483623536</v>
      </c>
      <c r="F35" s="1412">
        <f t="shared" si="7"/>
        <v>3.7673176228459777</v>
      </c>
      <c r="G35" s="1412">
        <f t="shared" si="7"/>
        <v>3.8049907990744369</v>
      </c>
      <c r="H35" s="1412">
        <f t="shared" si="7"/>
        <v>3.8430407070651817</v>
      </c>
      <c r="I35" s="1412">
        <f t="shared" si="7"/>
        <v>3.8814711141358336</v>
      </c>
      <c r="J35" s="1412">
        <f t="shared" si="7"/>
        <v>3.9202858252771922</v>
      </c>
      <c r="K35" s="1412">
        <f t="shared" si="7"/>
        <v>3.9594886835299632</v>
      </c>
      <c r="L35" s="1412">
        <f t="shared" si="7"/>
        <v>3.9990835703652636</v>
      </c>
      <c r="M35" s="1412">
        <f t="shared" si="7"/>
        <v>4.0390744060689165</v>
      </c>
      <c r="N35" s="1412">
        <f t="shared" si="7"/>
        <v>4.0794651501296055</v>
      </c>
    </row>
    <row r="36" spans="2:14" s="507" customFormat="1" x14ac:dyDescent="0.25">
      <c r="B36" s="507" t="s">
        <v>1778</v>
      </c>
      <c r="E36" s="1412">
        <f t="shared" si="7"/>
        <v>1.6756822204235564</v>
      </c>
      <c r="F36" s="1412">
        <f t="shared" si="7"/>
        <v>1.692439042627792</v>
      </c>
      <c r="G36" s="1412">
        <f t="shared" si="7"/>
        <v>1.7093634330540699</v>
      </c>
      <c r="H36" s="1412">
        <f t="shared" si="7"/>
        <v>1.7264570673846107</v>
      </c>
      <c r="I36" s="1412">
        <f t="shared" si="7"/>
        <v>1.7437216380584568</v>
      </c>
      <c r="J36" s="1412">
        <f t="shared" si="7"/>
        <v>1.7611588544390413</v>
      </c>
      <c r="K36" s="1412">
        <f t="shared" si="7"/>
        <v>1.7787704429834312</v>
      </c>
      <c r="L36" s="1412">
        <f t="shared" si="7"/>
        <v>1.7965581474132661</v>
      </c>
      <c r="M36" s="1412">
        <f t="shared" si="7"/>
        <v>1.8145237288873988</v>
      </c>
      <c r="N36" s="1412">
        <f t="shared" si="7"/>
        <v>1.8326689661762727</v>
      </c>
    </row>
    <row r="37" spans="2:14" s="507" customFormat="1" x14ac:dyDescent="0.25">
      <c r="B37" s="507" t="s">
        <v>1779</v>
      </c>
      <c r="E37" s="1412">
        <f t="shared" si="7"/>
        <v>0.13738520237022012</v>
      </c>
      <c r="F37" s="1412">
        <f t="shared" si="7"/>
        <v>0.13875905439392236</v>
      </c>
      <c r="G37" s="1412">
        <f t="shared" si="7"/>
        <v>0.14014664493786155</v>
      </c>
      <c r="H37" s="1412">
        <f t="shared" si="7"/>
        <v>0.14154811138724016</v>
      </c>
      <c r="I37" s="1412">
        <f t="shared" si="7"/>
        <v>0.14296359250111257</v>
      </c>
      <c r="J37" s="1412">
        <f t="shared" si="7"/>
        <v>0.1443932284261237</v>
      </c>
      <c r="K37" s="1412">
        <f t="shared" si="7"/>
        <v>0.14583716071038494</v>
      </c>
      <c r="L37" s="1412">
        <f t="shared" si="7"/>
        <v>0.14729553231748876</v>
      </c>
      <c r="M37" s="1412">
        <f t="shared" si="7"/>
        <v>0.14876848764066369</v>
      </c>
      <c r="N37" s="1412">
        <f t="shared" si="7"/>
        <v>0.15025617251707032</v>
      </c>
    </row>
    <row r="38" spans="2:14" s="506" customFormat="1" x14ac:dyDescent="0.25">
      <c r="B38" s="693" t="s">
        <v>865</v>
      </c>
      <c r="C38" s="693"/>
      <c r="D38" s="1272"/>
      <c r="E38" s="1411">
        <f t="shared" ref="E38:N38" si="8">SUMIFS(E$50:E$121,$B$50:$B$121,$B38)</f>
        <v>92.087032795002699</v>
      </c>
      <c r="F38" s="1411">
        <f t="shared" si="8"/>
        <v>93.007903122952726</v>
      </c>
      <c r="G38" s="1411">
        <f t="shared" si="8"/>
        <v>93.937982154182251</v>
      </c>
      <c r="H38" s="1411">
        <f t="shared" si="8"/>
        <v>94.877361975724099</v>
      </c>
      <c r="I38" s="1411">
        <f t="shared" si="8"/>
        <v>95.826135595481347</v>
      </c>
      <c r="J38" s="1411">
        <f t="shared" si="8"/>
        <v>96.784396951436165</v>
      </c>
      <c r="K38" s="1411">
        <f t="shared" si="8"/>
        <v>97.752240920950513</v>
      </c>
      <c r="L38" s="1411">
        <f t="shared" si="8"/>
        <v>98.72976333016004</v>
      </c>
      <c r="M38" s="1411">
        <f t="shared" si="8"/>
        <v>99.717060963461634</v>
      </c>
      <c r="N38" s="1411">
        <f t="shared" si="8"/>
        <v>100.71423157309627</v>
      </c>
    </row>
    <row r="39" spans="2:14" s="507" customFormat="1" x14ac:dyDescent="0.25">
      <c r="B39" s="507" t="s">
        <v>1780</v>
      </c>
      <c r="E39" s="1412">
        <f>SUMIFS(E$50:E$119,$C$50:$C$119,$B39)</f>
        <v>83.314418706443746</v>
      </c>
      <c r="F39" s="1412">
        <f t="shared" ref="F39:N39" si="9">SUMIFS(F$50:F$119,$C$50:$C$119,$B39)</f>
        <v>84.14756289350818</v>
      </c>
      <c r="G39" s="1412">
        <f t="shared" si="9"/>
        <v>84.989038522443252</v>
      </c>
      <c r="H39" s="1412">
        <f t="shared" si="9"/>
        <v>85.838928907667707</v>
      </c>
      <c r="I39" s="1412">
        <f t="shared" si="9"/>
        <v>86.697318196744376</v>
      </c>
      <c r="J39" s="1412">
        <f t="shared" si="9"/>
        <v>87.564291378711815</v>
      </c>
      <c r="K39" s="1412">
        <f t="shared" si="9"/>
        <v>88.439934292498947</v>
      </c>
      <c r="L39" s="1412">
        <f t="shared" si="9"/>
        <v>89.32433363542394</v>
      </c>
      <c r="M39" s="1412">
        <f t="shared" si="9"/>
        <v>90.217576971778186</v>
      </c>
      <c r="N39" s="1412">
        <f t="shared" si="9"/>
        <v>91.119752741495972</v>
      </c>
    </row>
    <row r="40" spans="2:14" s="507" customFormat="1" x14ac:dyDescent="0.25">
      <c r="B40" s="507" t="s">
        <v>1781</v>
      </c>
      <c r="E40" s="1412">
        <f t="shared" ref="E40:N44" si="10">SUMIFS(E$50:E$119,$C$50:$C$119,$B40)</f>
        <v>8.3099669096088107</v>
      </c>
      <c r="F40" s="1412">
        <f t="shared" si="10"/>
        <v>8.3930665787048966</v>
      </c>
      <c r="G40" s="1412">
        <f t="shared" si="10"/>
        <v>8.4769972444919475</v>
      </c>
      <c r="H40" s="1412">
        <f t="shared" si="10"/>
        <v>8.5617672169368682</v>
      </c>
      <c r="I40" s="1412">
        <f t="shared" si="10"/>
        <v>8.6473848891062364</v>
      </c>
      <c r="J40" s="1412">
        <f t="shared" si="10"/>
        <v>8.7338587379972985</v>
      </c>
      <c r="K40" s="1412">
        <f t="shared" si="10"/>
        <v>8.8211973253772733</v>
      </c>
      <c r="L40" s="1412">
        <f t="shared" si="10"/>
        <v>8.9094092986310471</v>
      </c>
      <c r="M40" s="1412">
        <f t="shared" si="10"/>
        <v>8.9985033916173567</v>
      </c>
      <c r="N40" s="1412">
        <f t="shared" si="10"/>
        <v>9.0884884255335283</v>
      </c>
    </row>
    <row r="41" spans="2:14" s="507" customFormat="1" x14ac:dyDescent="0.25">
      <c r="B41" s="507" t="s">
        <v>1782</v>
      </c>
      <c r="E41" s="1412">
        <f t="shared" si="10"/>
        <v>0.36307774477015387</v>
      </c>
      <c r="F41" s="1412">
        <f t="shared" si="10"/>
        <v>0.36670852221785533</v>
      </c>
      <c r="G41" s="1412">
        <f t="shared" si="10"/>
        <v>0.37037560744003389</v>
      </c>
      <c r="H41" s="1412">
        <f t="shared" si="10"/>
        <v>0.37407936351443427</v>
      </c>
      <c r="I41" s="1412">
        <f t="shared" si="10"/>
        <v>0.37782015714957862</v>
      </c>
      <c r="J41" s="1412">
        <f t="shared" si="10"/>
        <v>0.38159835872107439</v>
      </c>
      <c r="K41" s="1412">
        <f t="shared" si="10"/>
        <v>0.3854143423082852</v>
      </c>
      <c r="L41" s="1412">
        <f t="shared" si="10"/>
        <v>0.38926848573136813</v>
      </c>
      <c r="M41" s="1412">
        <f t="shared" si="10"/>
        <v>0.39316117058868177</v>
      </c>
      <c r="N41" s="1412">
        <f t="shared" si="10"/>
        <v>0.39709278229456857</v>
      </c>
    </row>
    <row r="42" spans="2:14" s="507" customFormat="1" x14ac:dyDescent="0.25">
      <c r="B42" s="507" t="s">
        <v>1783</v>
      </c>
      <c r="E42" s="1412">
        <f t="shared" si="10"/>
        <v>9.9102063157609985E-2</v>
      </c>
      <c r="F42" s="1412">
        <f t="shared" si="10"/>
        <v>0.10009308378918608</v>
      </c>
      <c r="G42" s="1412">
        <f t="shared" si="10"/>
        <v>0.10109401462707794</v>
      </c>
      <c r="H42" s="1412">
        <f t="shared" si="10"/>
        <v>0.10210495477334873</v>
      </c>
      <c r="I42" s="1412">
        <f t="shared" si="10"/>
        <v>0.10312600432108222</v>
      </c>
      <c r="J42" s="1412">
        <f t="shared" si="10"/>
        <v>0.10415726436429305</v>
      </c>
      <c r="K42" s="1412">
        <f t="shared" si="10"/>
        <v>0.10519883700793597</v>
      </c>
      <c r="L42" s="1412">
        <f t="shared" si="10"/>
        <v>0.10625082537801535</v>
      </c>
      <c r="M42" s="1412">
        <f t="shared" si="10"/>
        <v>0.10731333363179552</v>
      </c>
      <c r="N42" s="1412">
        <f t="shared" si="10"/>
        <v>0.10838646696811347</v>
      </c>
    </row>
    <row r="43" spans="2:14" s="507" customFormat="1" x14ac:dyDescent="0.25">
      <c r="B43" s="507" t="s">
        <v>1784</v>
      </c>
      <c r="E43" s="1412">
        <f t="shared" si="10"/>
        <v>4.6737102239799747E-4</v>
      </c>
      <c r="F43" s="1412">
        <f t="shared" si="10"/>
        <v>4.7204473262197748E-4</v>
      </c>
      <c r="G43" s="1412">
        <f t="shared" si="10"/>
        <v>4.7676517994819727E-4</v>
      </c>
      <c r="H43" s="1412">
        <f t="shared" si="10"/>
        <v>4.8153283174767931E-4</v>
      </c>
      <c r="I43" s="1412">
        <f t="shared" si="10"/>
        <v>4.8634816006515601E-4</v>
      </c>
      <c r="J43" s="1412">
        <f t="shared" si="10"/>
        <v>4.9121164166580759E-4</v>
      </c>
      <c r="K43" s="1412">
        <f t="shared" si="10"/>
        <v>4.9612375808246584E-4</v>
      </c>
      <c r="L43" s="1412">
        <f t="shared" si="10"/>
        <v>5.0108499566329048E-4</v>
      </c>
      <c r="M43" s="1412">
        <f t="shared" si="10"/>
        <v>5.0609584561992339E-4</v>
      </c>
      <c r="N43" s="1412">
        <f t="shared" si="10"/>
        <v>5.1115680407612266E-4</v>
      </c>
    </row>
    <row r="44" spans="2:14" s="507" customFormat="1" x14ac:dyDescent="0.25">
      <c r="B44" s="507" t="s">
        <v>1800</v>
      </c>
      <c r="E44" s="1412">
        <f t="shared" si="10"/>
        <v>0</v>
      </c>
      <c r="F44" s="1412">
        <f t="shared" si="10"/>
        <v>0</v>
      </c>
      <c r="G44" s="1412">
        <f t="shared" si="10"/>
        <v>0</v>
      </c>
      <c r="H44" s="1412">
        <f t="shared" si="10"/>
        <v>0</v>
      </c>
      <c r="I44" s="1412">
        <f t="shared" si="10"/>
        <v>0</v>
      </c>
      <c r="J44" s="1412">
        <f t="shared" si="10"/>
        <v>0</v>
      </c>
      <c r="K44" s="1412">
        <f t="shared" si="10"/>
        <v>0</v>
      </c>
      <c r="L44" s="1412">
        <f t="shared" si="10"/>
        <v>0</v>
      </c>
      <c r="M44" s="1412">
        <f t="shared" si="10"/>
        <v>0</v>
      </c>
      <c r="N44" s="1412">
        <f t="shared" si="10"/>
        <v>0</v>
      </c>
    </row>
    <row r="45" spans="2:14" s="506" customFormat="1" x14ac:dyDescent="0.25">
      <c r="B45" s="693" t="s">
        <v>915</v>
      </c>
      <c r="C45" s="693"/>
      <c r="D45" s="1272"/>
      <c r="E45" s="1411">
        <f t="shared" ref="E45:N45" si="11">SUMIFS(E$50:E$121,$B$50:$B$121,$B45)</f>
        <v>10.225363966005814</v>
      </c>
      <c r="F45" s="1411">
        <f t="shared" si="11"/>
        <v>10.43089378172253</v>
      </c>
      <c r="G45" s="1411">
        <f t="shared" si="11"/>
        <v>10.640554746735155</v>
      </c>
      <c r="H45" s="1411">
        <f t="shared" si="11"/>
        <v>10.854429897144529</v>
      </c>
      <c r="I45" s="1411">
        <f t="shared" si="11"/>
        <v>11.072603938077135</v>
      </c>
      <c r="J45" s="1411">
        <f t="shared" si="11"/>
        <v>11.295163277232486</v>
      </c>
      <c r="K45" s="1411">
        <f t="shared" si="11"/>
        <v>11.522196059104861</v>
      </c>
      <c r="L45" s="1411">
        <f t="shared" si="11"/>
        <v>11.753792199892866</v>
      </c>
      <c r="M45" s="1411">
        <f t="shared" si="11"/>
        <v>11.990043423110714</v>
      </c>
      <c r="N45" s="1411">
        <f t="shared" si="11"/>
        <v>12.231043295915239</v>
      </c>
    </row>
    <row r="46" spans="2:14" s="506" customFormat="1" x14ac:dyDescent="0.25">
      <c r="B46" s="693"/>
      <c r="C46" s="693"/>
      <c r="D46" s="1272"/>
      <c r="E46" s="1411"/>
      <c r="F46" s="1411"/>
      <c r="G46" s="1411"/>
      <c r="H46" s="1411"/>
      <c r="I46" s="1411"/>
      <c r="J46" s="1411"/>
      <c r="K46" s="1411"/>
      <c r="L46" s="1411"/>
      <c r="M46" s="1411"/>
      <c r="N46" s="1411"/>
    </row>
    <row r="47" spans="2:14" s="506" customFormat="1" x14ac:dyDescent="0.25">
      <c r="B47" s="693"/>
      <c r="C47" s="693"/>
      <c r="D47" s="1272"/>
      <c r="E47" s="1411"/>
      <c r="F47" s="1411"/>
      <c r="G47" s="1411"/>
      <c r="H47" s="1411"/>
      <c r="I47" s="1411"/>
      <c r="J47" s="1411"/>
      <c r="K47" s="1411"/>
      <c r="L47" s="1411"/>
      <c r="M47" s="1411"/>
      <c r="N47" s="1411"/>
    </row>
    <row r="48" spans="2:14" s="506" customFormat="1" x14ac:dyDescent="0.25">
      <c r="B48" s="693"/>
      <c r="C48" s="693"/>
      <c r="D48" s="1272"/>
      <c r="E48" s="1411"/>
      <c r="F48" s="1411"/>
      <c r="G48" s="1411"/>
      <c r="H48" s="1411"/>
      <c r="I48" s="1411"/>
      <c r="J48" s="1411"/>
      <c r="K48" s="1411"/>
      <c r="L48" s="1411"/>
      <c r="M48" s="1411"/>
      <c r="N48" s="1411"/>
    </row>
    <row r="49" spans="1:14" s="129" customFormat="1" x14ac:dyDescent="0.25">
      <c r="B49" s="613"/>
      <c r="C49" s="613"/>
      <c r="D49" s="1409"/>
      <c r="E49" s="1410"/>
      <c r="F49" s="1410"/>
      <c r="G49" s="1410"/>
      <c r="H49" s="1410"/>
      <c r="I49" s="1410"/>
      <c r="J49" s="1410"/>
      <c r="K49" s="1410"/>
      <c r="L49" s="1410"/>
      <c r="M49" s="1410"/>
      <c r="N49" s="1410"/>
    </row>
    <row r="50" spans="1:14" x14ac:dyDescent="0.25">
      <c r="A50" s="1"/>
      <c r="B50" s="1414" t="s">
        <v>886</v>
      </c>
      <c r="C50" s="1414"/>
      <c r="D50" s="644" t="s">
        <v>884</v>
      </c>
      <c r="E50" s="662">
        <f>E51+E56</f>
        <v>349.83798795437713</v>
      </c>
      <c r="F50" s="662">
        <f t="shared" ref="F50:N50" si="12">F51+F56</f>
        <v>353.33636783392092</v>
      </c>
      <c r="G50" s="662">
        <f t="shared" si="12"/>
        <v>356.86973151226016</v>
      </c>
      <c r="H50" s="662">
        <f t="shared" si="12"/>
        <v>360.43842882738278</v>
      </c>
      <c r="I50" s="662">
        <f t="shared" si="12"/>
        <v>364.0428131156566</v>
      </c>
      <c r="J50" s="662">
        <f t="shared" si="12"/>
        <v>367.68324124681317</v>
      </c>
      <c r="K50" s="662">
        <f t="shared" si="12"/>
        <v>371.36007365928128</v>
      </c>
      <c r="L50" s="662">
        <f t="shared" si="12"/>
        <v>375.07367439587415</v>
      </c>
      <c r="M50" s="662">
        <f t="shared" si="12"/>
        <v>378.82441113983288</v>
      </c>
      <c r="N50" s="662">
        <f t="shared" si="12"/>
        <v>382.61265525123127</v>
      </c>
    </row>
    <row r="51" spans="1:14" s="1" customFormat="1" ht="16.5" customHeight="1" x14ac:dyDescent="0.25">
      <c r="B51" s="639" t="s">
        <v>732</v>
      </c>
      <c r="C51" s="639"/>
      <c r="D51" s="628" t="s">
        <v>884</v>
      </c>
      <c r="E51" s="648">
        <f>E53+E54</f>
        <v>203.99139199922547</v>
      </c>
      <c r="F51" s="648">
        <f t="shared" ref="F51:N51" si="13">F53+F54</f>
        <v>206.03130591921771</v>
      </c>
      <c r="G51" s="648">
        <f t="shared" si="13"/>
        <v>208.09161897840991</v>
      </c>
      <c r="H51" s="648">
        <f t="shared" si="13"/>
        <v>210.17253516819403</v>
      </c>
      <c r="I51" s="648">
        <f t="shared" si="13"/>
        <v>212.27426051987595</v>
      </c>
      <c r="J51" s="648">
        <f t="shared" si="13"/>
        <v>214.39700312507472</v>
      </c>
      <c r="K51" s="648">
        <f t="shared" si="13"/>
        <v>216.54097315632549</v>
      </c>
      <c r="L51" s="648">
        <f t="shared" si="13"/>
        <v>218.70638288788876</v>
      </c>
      <c r="M51" s="648">
        <f t="shared" si="13"/>
        <v>220.89344671676764</v>
      </c>
      <c r="N51" s="648">
        <f t="shared" si="13"/>
        <v>223.10238118393534</v>
      </c>
    </row>
    <row r="52" spans="1:14" s="1" customFormat="1" ht="16.5" customHeight="1" x14ac:dyDescent="0.25">
      <c r="B52" s="568"/>
      <c r="C52" s="568"/>
      <c r="D52" s="9"/>
      <c r="E52" s="649"/>
      <c r="F52" s="649"/>
      <c r="G52" s="649"/>
      <c r="H52" s="649"/>
      <c r="I52" s="649"/>
      <c r="J52" s="649"/>
      <c r="K52" s="649"/>
      <c r="L52" s="649"/>
      <c r="M52" s="649"/>
      <c r="N52" s="649"/>
    </row>
    <row r="53" spans="1:14" ht="16.5" customHeight="1" x14ac:dyDescent="0.25">
      <c r="B53" s="569" t="s">
        <v>902</v>
      </c>
      <c r="C53" s="569" t="s">
        <v>951</v>
      </c>
      <c r="D53" s="9" t="s">
        <v>884</v>
      </c>
      <c r="E53" s="650">
        <f>'2.IP- SX  '!L6*'3.Bo gia'!G7/10^9</f>
        <v>198.63281692850546</v>
      </c>
      <c r="F53" s="650">
        <f>'2.IP- SX  '!M6*'3.Bo gia'!H7/10^9</f>
        <v>200.61914509779052</v>
      </c>
      <c r="G53" s="650">
        <f>'2.IP- SX  '!N6*'3.Bo gia'!I7/10^9</f>
        <v>202.62533654876844</v>
      </c>
      <c r="H53" s="650">
        <f>'2.IP- SX  '!O6*'3.Bo gia'!J7/10^9</f>
        <v>204.65158991425614</v>
      </c>
      <c r="I53" s="650">
        <f>'2.IP- SX  '!P6*'3.Bo gia'!K7/10^9</f>
        <v>206.69810581339868</v>
      </c>
      <c r="J53" s="650">
        <f>'2.IP- SX  '!Q6*'3.Bo gia'!L7/10^9</f>
        <v>208.76508687153267</v>
      </c>
      <c r="K53" s="650">
        <f>'2.IP- SX  '!R6*'3.Bo gia'!M7/10^9</f>
        <v>210.85273774024805</v>
      </c>
      <c r="L53" s="650">
        <f>'2.IP- SX  '!S6*'3.Bo gia'!N7/10^9</f>
        <v>212.96126511765053</v>
      </c>
      <c r="M53" s="650">
        <f>'2.IP- SX  '!T6*'3.Bo gia'!O7/10^9</f>
        <v>215.09087776882703</v>
      </c>
      <c r="N53" s="650">
        <f>'2.IP- SX  '!U6*'3.Bo gia'!P7/10^9</f>
        <v>217.2417865465153</v>
      </c>
    </row>
    <row r="54" spans="1:14" ht="16.5" customHeight="1" x14ac:dyDescent="0.25">
      <c r="B54" s="569" t="s">
        <v>901</v>
      </c>
      <c r="C54" s="569" t="s">
        <v>952</v>
      </c>
      <c r="D54" s="9" t="s">
        <v>884</v>
      </c>
      <c r="E54" s="650">
        <f>'2.IP- SX  '!L29*'3.Bo gia'!G8/10^9</f>
        <v>5.3585750707200006</v>
      </c>
      <c r="F54" s="650">
        <f>'2.IP- SX  '!M29*'3.Bo gia'!H8/10^9</f>
        <v>5.4121608214272001</v>
      </c>
      <c r="G54" s="650">
        <f>'2.IP- SX  '!N29*'3.Bo gia'!I8/10^9</f>
        <v>5.4662824296414723</v>
      </c>
      <c r="H54" s="650">
        <f>'2.IP- SX  '!O29*'3.Bo gia'!J8/10^9</f>
        <v>5.5209452539378869</v>
      </c>
      <c r="I54" s="650">
        <f>'2.IP- SX  '!P29*'3.Bo gia'!K8/10^9</f>
        <v>5.5761547064772667</v>
      </c>
      <c r="J54" s="650">
        <f>'2.IP- SX  '!Q29*'3.Bo gia'!L8/10^9</f>
        <v>5.6319162535420393</v>
      </c>
      <c r="K54" s="650">
        <f>'2.IP- SX  '!R29*'3.Bo gia'!M8/10^9</f>
        <v>5.6882354160774593</v>
      </c>
      <c r="L54" s="650">
        <f>'2.IP- SX  '!S29*'3.Bo gia'!N8/10^9</f>
        <v>5.7451177702382346</v>
      </c>
      <c r="M54" s="650">
        <f>'2.IP- SX  '!T29*'3.Bo gia'!O8/10^9</f>
        <v>5.8025689479406166</v>
      </c>
      <c r="N54" s="650">
        <f>'2.IP- SX  '!U29*'3.Bo gia'!P8/10^9</f>
        <v>5.8605946374200233</v>
      </c>
    </row>
    <row r="55" spans="1:14" x14ac:dyDescent="0.25">
      <c r="B55" s="569"/>
      <c r="C55" s="569"/>
      <c r="D55" s="9"/>
      <c r="E55" s="650"/>
      <c r="F55" s="650"/>
      <c r="G55" s="650"/>
      <c r="H55" s="650"/>
      <c r="I55" s="650"/>
      <c r="J55" s="650"/>
      <c r="K55" s="650"/>
      <c r="L55" s="650"/>
      <c r="M55" s="650"/>
      <c r="N55" s="650"/>
    </row>
    <row r="56" spans="1:14" s="1" customFormat="1" ht="16.5" customHeight="1" x14ac:dyDescent="0.25">
      <c r="B56" s="639" t="s">
        <v>243</v>
      </c>
      <c r="C56" s="639"/>
      <c r="D56" s="628" t="s">
        <v>884</v>
      </c>
      <c r="E56" s="648">
        <f>E58+E66</f>
        <v>145.84659595515166</v>
      </c>
      <c r="F56" s="648">
        <f t="shared" ref="F56:N56" si="14">F58+F66</f>
        <v>147.30506191470317</v>
      </c>
      <c r="G56" s="648">
        <f t="shared" si="14"/>
        <v>148.77811253385022</v>
      </c>
      <c r="H56" s="648">
        <f t="shared" si="14"/>
        <v>150.26589365918875</v>
      </c>
      <c r="I56" s="648">
        <f t="shared" si="14"/>
        <v>151.76855259578065</v>
      </c>
      <c r="J56" s="648">
        <f t="shared" si="14"/>
        <v>153.28623812173845</v>
      </c>
      <c r="K56" s="648">
        <f t="shared" si="14"/>
        <v>154.81910050295582</v>
      </c>
      <c r="L56" s="648">
        <f t="shared" si="14"/>
        <v>156.36729150798539</v>
      </c>
      <c r="M56" s="648">
        <f t="shared" si="14"/>
        <v>157.93096442306523</v>
      </c>
      <c r="N56" s="648">
        <f t="shared" si="14"/>
        <v>159.51027406729594</v>
      </c>
    </row>
    <row r="57" spans="1:14" x14ac:dyDescent="0.25">
      <c r="B57" s="566"/>
      <c r="C57" s="566"/>
      <c r="D57" s="9"/>
      <c r="E57" s="650"/>
      <c r="F57" s="650"/>
      <c r="G57" s="650"/>
      <c r="H57" s="650"/>
      <c r="I57" s="650"/>
      <c r="J57" s="650"/>
      <c r="K57" s="650"/>
      <c r="L57" s="650"/>
      <c r="M57" s="650"/>
      <c r="N57" s="650"/>
    </row>
    <row r="58" spans="1:14" s="1" customFormat="1" ht="16.5" customHeight="1" x14ac:dyDescent="0.25">
      <c r="B58" s="640" t="s">
        <v>654</v>
      </c>
      <c r="C58" s="640" t="s">
        <v>953</v>
      </c>
      <c r="D58" s="607" t="s">
        <v>884</v>
      </c>
      <c r="E58" s="651">
        <f>SUM(E59:E64)</f>
        <v>72.176969719149497</v>
      </c>
      <c r="F58" s="651">
        <f t="shared" ref="F58:N58" si="15">SUM(F59:F64)</f>
        <v>72.898739416341002</v>
      </c>
      <c r="G58" s="651">
        <f t="shared" si="15"/>
        <v>73.627726810504413</v>
      </c>
      <c r="H58" s="651">
        <f t="shared" si="15"/>
        <v>74.364004078609454</v>
      </c>
      <c r="I58" s="651">
        <f t="shared" si="15"/>
        <v>75.107644119395559</v>
      </c>
      <c r="J58" s="651">
        <f t="shared" si="15"/>
        <v>75.858720560589504</v>
      </c>
      <c r="K58" s="651">
        <f t="shared" si="15"/>
        <v>76.61730776619541</v>
      </c>
      <c r="L58" s="651">
        <f t="shared" si="15"/>
        <v>77.383480843857356</v>
      </c>
      <c r="M58" s="651">
        <f t="shared" si="15"/>
        <v>78.157315652295935</v>
      </c>
      <c r="N58" s="651">
        <f t="shared" si="15"/>
        <v>78.938888808818916</v>
      </c>
    </row>
    <row r="59" spans="1:14" ht="16.5" customHeight="1" x14ac:dyDescent="0.25">
      <c r="B59" s="492" t="s">
        <v>903</v>
      </c>
      <c r="C59" s="507" t="s">
        <v>1774</v>
      </c>
      <c r="D59" s="9" t="s">
        <v>884</v>
      </c>
      <c r="E59" s="650">
        <f>'2.IP- TM'!G$8*'2.IP- TM'!$G15*'3.Bo gia'!G$13/10^9</f>
        <v>54.543802959196448</v>
      </c>
      <c r="F59" s="650">
        <f>'2.IP- TM'!H$8*'2.IP- TM'!$G15*'3.Bo gia'!H$13/10^9</f>
        <v>55.089240988788418</v>
      </c>
      <c r="G59" s="650">
        <f>'2.IP- TM'!I$8*'2.IP- TM'!$G15*'3.Bo gia'!I$13/10^9</f>
        <v>55.640133398676298</v>
      </c>
      <c r="H59" s="650">
        <f>'2.IP- TM'!J$8*'2.IP- TM'!$G15*'3.Bo gia'!J$13/10^9</f>
        <v>56.196534732663068</v>
      </c>
      <c r="I59" s="650">
        <f>'2.IP- TM'!K$8*'2.IP- TM'!$G15*'3.Bo gia'!K$13/10^9</f>
        <v>56.758500079989702</v>
      </c>
      <c r="J59" s="650">
        <f>'2.IP- TM'!L$8*'2.IP- TM'!$G15*'3.Bo gia'!L$13/10^9</f>
        <v>57.326085080789596</v>
      </c>
      <c r="K59" s="650">
        <f>'2.IP- TM'!M$8*'2.IP- TM'!$G15*'3.Bo gia'!M$13/10^9</f>
        <v>57.899345931597487</v>
      </c>
      <c r="L59" s="650">
        <f>'2.IP- TM'!N$8*'2.IP- TM'!$G15*'3.Bo gia'!N$13/10^9</f>
        <v>58.478339390913462</v>
      </c>
      <c r="M59" s="650">
        <f>'2.IP- TM'!O$8*'2.IP- TM'!$G15*'3.Bo gia'!O$13/10^9</f>
        <v>59.063122784822603</v>
      </c>
      <c r="N59" s="650">
        <f>'2.IP- TM'!P$8*'2.IP- TM'!$G15*'3.Bo gia'!P$13/10^9</f>
        <v>59.653754012670831</v>
      </c>
    </row>
    <row r="60" spans="1:14" ht="16.5" customHeight="1" x14ac:dyDescent="0.25">
      <c r="B60" s="492" t="s">
        <v>904</v>
      </c>
      <c r="C60" s="507" t="s">
        <v>1775</v>
      </c>
      <c r="D60" s="9" t="s">
        <v>884</v>
      </c>
      <c r="E60" s="650">
        <f>'2.IP- TM'!G$8*'2.IP- TM'!$G16*'3.Bo gia'!G$13/10^9</f>
        <v>8.4008320726162502</v>
      </c>
      <c r="F60" s="650">
        <f>'2.IP- TM'!H$8*'2.IP- TM'!$G16*'3.Bo gia'!H$13/10^9</f>
        <v>8.484840393342413</v>
      </c>
      <c r="G60" s="650">
        <f>'2.IP- TM'!I$8*'2.IP- TM'!$G16*'3.Bo gia'!I$13/10^9</f>
        <v>8.5696887972758375</v>
      </c>
      <c r="H60" s="650">
        <f>'2.IP- TM'!J$8*'2.IP- TM'!$G16*'3.Bo gia'!J$13/10^9</f>
        <v>8.6553856852485964</v>
      </c>
      <c r="I60" s="650">
        <f>'2.IP- TM'!K$8*'2.IP- TM'!$G16*'3.Bo gia'!K$13/10^9</f>
        <v>8.7419395421010844</v>
      </c>
      <c r="J60" s="650">
        <f>'2.IP- TM'!L$8*'2.IP- TM'!$G16*'3.Bo gia'!L$13/10^9</f>
        <v>8.8293589375220929</v>
      </c>
      <c r="K60" s="650">
        <f>'2.IP- TM'!M$8*'2.IP- TM'!$G16*'3.Bo gia'!M$13/10^9</f>
        <v>8.9176525268973137</v>
      </c>
      <c r="L60" s="650">
        <f>'2.IP- TM'!N$8*'2.IP- TM'!$G16*'3.Bo gia'!N$13/10^9</f>
        <v>9.006829052166287</v>
      </c>
      <c r="M60" s="650">
        <f>'2.IP- TM'!O$8*'2.IP- TM'!$G16*'3.Bo gia'!O$13/10^9</f>
        <v>9.0968973426879494</v>
      </c>
      <c r="N60" s="650">
        <f>'2.IP- TM'!P$8*'2.IP- TM'!$G16*'3.Bo gia'!P$13/10^9</f>
        <v>9.18786631611483</v>
      </c>
    </row>
    <row r="61" spans="1:14" ht="16.5" customHeight="1" x14ac:dyDescent="0.25">
      <c r="B61" s="492" t="s">
        <v>905</v>
      </c>
      <c r="C61" s="507" t="s">
        <v>1776</v>
      </c>
      <c r="D61" s="9" t="s">
        <v>884</v>
      </c>
      <c r="E61" s="650">
        <f>'2.IP- TM'!G$8*'2.IP- TM'!$G17*'3.Bo gia'!G$13/10^9</f>
        <v>4.7978667904119021</v>
      </c>
      <c r="F61" s="650">
        <f>'2.IP- TM'!H$8*'2.IP- TM'!$G17*'3.Bo gia'!H$13/10^9</f>
        <v>4.8458454583160222</v>
      </c>
      <c r="G61" s="650">
        <f>'2.IP- TM'!I$8*'2.IP- TM'!$G17*'3.Bo gia'!I$13/10^9</f>
        <v>4.8943039128991828</v>
      </c>
      <c r="H61" s="650">
        <f>'2.IP- TM'!J$8*'2.IP- TM'!$G17*'3.Bo gia'!J$13/10^9</f>
        <v>4.9432469520281748</v>
      </c>
      <c r="I61" s="650">
        <f>'2.IP- TM'!K$8*'2.IP- TM'!$G17*'3.Bo gia'!K$13/10^9</f>
        <v>4.9926794215484565</v>
      </c>
      <c r="J61" s="650">
        <f>'2.IP- TM'!L$8*'2.IP- TM'!$G17*'3.Bo gia'!L$13/10^9</f>
        <v>5.0426062157639402</v>
      </c>
      <c r="K61" s="650">
        <f>'2.IP- TM'!M$8*'2.IP- TM'!$G17*'3.Bo gia'!M$13/10^9</f>
        <v>5.0930322779215791</v>
      </c>
      <c r="L61" s="650">
        <f>'2.IP- TM'!N$8*'2.IP- TM'!$G17*'3.Bo gia'!N$13/10^9</f>
        <v>5.143962600700795</v>
      </c>
      <c r="M61" s="650">
        <f>'2.IP- TM'!O$8*'2.IP- TM'!$G17*'3.Bo gia'!O$13/10^9</f>
        <v>5.1954022267078042</v>
      </c>
      <c r="N61" s="650">
        <f>'2.IP- TM'!P$8*'2.IP- TM'!$G17*'3.Bo gia'!P$13/10^9</f>
        <v>5.2473562489748824</v>
      </c>
    </row>
    <row r="62" spans="1:14" ht="16.5" customHeight="1" x14ac:dyDescent="0.25">
      <c r="B62" s="492" t="s">
        <v>906</v>
      </c>
      <c r="C62" s="507" t="s">
        <v>1777</v>
      </c>
      <c r="D62" s="9" t="s">
        <v>884</v>
      </c>
      <c r="E62" s="650">
        <f>'2.IP- TM'!G$8*'2.IP- TM'!$G18*'3.Bo gia'!G$13/10^9</f>
        <v>2.9840139586898831</v>
      </c>
      <c r="F62" s="650">
        <f>'2.IP- TM'!H$8*'2.IP- TM'!$G18*'3.Bo gia'!H$13/10^9</f>
        <v>3.0138540982767821</v>
      </c>
      <c r="G62" s="650">
        <f>'2.IP- TM'!I$8*'2.IP- TM'!$G18*'3.Bo gia'!I$13/10^9</f>
        <v>3.0439926392595495</v>
      </c>
      <c r="H62" s="650">
        <f>'2.IP- TM'!J$8*'2.IP- TM'!$G18*'3.Bo gia'!J$13/10^9</f>
        <v>3.0744325656521454</v>
      </c>
      <c r="I62" s="650">
        <f>'2.IP- TM'!K$8*'2.IP- TM'!$G18*'3.Bo gia'!K$13/10^9</f>
        <v>3.1051768913086666</v>
      </c>
      <c r="J62" s="650">
        <f>'2.IP- TM'!L$8*'2.IP- TM'!$G18*'3.Bo gia'!L$13/10^9</f>
        <v>3.1362286602217537</v>
      </c>
      <c r="K62" s="650">
        <f>'2.IP- TM'!M$8*'2.IP- TM'!$G18*'3.Bo gia'!M$13/10^9</f>
        <v>3.1675909468239709</v>
      </c>
      <c r="L62" s="650">
        <f>'2.IP- TM'!N$8*'2.IP- TM'!$G18*'3.Bo gia'!N$13/10^9</f>
        <v>3.1992668562922106</v>
      </c>
      <c r="M62" s="650">
        <f>'2.IP- TM'!O$8*'2.IP- TM'!$G18*'3.Bo gia'!O$13/10^9</f>
        <v>3.2312595248551332</v>
      </c>
      <c r="N62" s="650">
        <f>'2.IP- TM'!P$8*'2.IP- TM'!$G18*'3.Bo gia'!P$13/10^9</f>
        <v>3.2635721201036842</v>
      </c>
    </row>
    <row r="63" spans="1:14" ht="16.5" customHeight="1" x14ac:dyDescent="0.25">
      <c r="B63" s="492" t="s">
        <v>907</v>
      </c>
      <c r="C63" s="507" t="s">
        <v>1778</v>
      </c>
      <c r="D63" s="9" t="s">
        <v>884</v>
      </c>
      <c r="E63" s="650">
        <f>'2.IP- TM'!G$8*'2.IP- TM'!$G19*'3.Bo gia'!G$13/10^9</f>
        <v>1.3405457763388451</v>
      </c>
      <c r="F63" s="650">
        <f>'2.IP- TM'!H$8*'2.IP- TM'!$G19*'3.Bo gia'!H$13/10^9</f>
        <v>1.3539512341022337</v>
      </c>
      <c r="G63" s="650">
        <f>'2.IP- TM'!I$8*'2.IP- TM'!$G19*'3.Bo gia'!I$13/10^9</f>
        <v>1.367490746443256</v>
      </c>
      <c r="H63" s="650">
        <f>'2.IP- TM'!J$8*'2.IP- TM'!$G19*'3.Bo gia'!J$13/10^9</f>
        <v>1.3811656539076886</v>
      </c>
      <c r="I63" s="650">
        <f>'2.IP- TM'!K$8*'2.IP- TM'!$G19*'3.Bo gia'!K$13/10^9</f>
        <v>1.3949773104467653</v>
      </c>
      <c r="J63" s="650">
        <f>'2.IP- TM'!L$8*'2.IP- TM'!$G19*'3.Bo gia'!L$13/10^9</f>
        <v>1.4089270835512331</v>
      </c>
      <c r="K63" s="650">
        <f>'2.IP- TM'!M$8*'2.IP- TM'!$G19*'3.Bo gia'!M$13/10^9</f>
        <v>1.4230163543867451</v>
      </c>
      <c r="L63" s="650">
        <f>'2.IP- TM'!N$8*'2.IP- TM'!$G19*'3.Bo gia'!N$13/10^9</f>
        <v>1.4372465179306129</v>
      </c>
      <c r="M63" s="650">
        <f>'2.IP- TM'!O$8*'2.IP- TM'!$G19*'3.Bo gia'!O$13/10^9</f>
        <v>1.4516189831099191</v>
      </c>
      <c r="N63" s="650">
        <f>'2.IP- TM'!P$8*'2.IP- TM'!$G19*'3.Bo gia'!P$13/10^9</f>
        <v>1.4661351729410184</v>
      </c>
    </row>
    <row r="64" spans="1:14" ht="16.5" customHeight="1" x14ac:dyDescent="0.25">
      <c r="B64" s="492" t="s">
        <v>908</v>
      </c>
      <c r="C64" s="507" t="s">
        <v>1779</v>
      </c>
      <c r="D64" s="9" t="s">
        <v>884</v>
      </c>
      <c r="E64" s="650">
        <f>'2.IP- TM'!G$8*'2.IP- TM'!$G20*'3.Bo gia'!G$13/10^9</f>
        <v>0.1099081618961761</v>
      </c>
      <c r="F64" s="650">
        <f>'2.IP- TM'!H$8*'2.IP- TM'!$G20*'3.Bo gia'!H$13/10^9</f>
        <v>0.11100724351513787</v>
      </c>
      <c r="G64" s="650">
        <f>'2.IP- TM'!I$8*'2.IP- TM'!$G20*'3.Bo gia'!I$13/10^9</f>
        <v>0.11211731595028923</v>
      </c>
      <c r="H64" s="650">
        <f>'2.IP- TM'!J$8*'2.IP- TM'!$G20*'3.Bo gia'!J$13/10^9</f>
        <v>0.11323848910979215</v>
      </c>
      <c r="I64" s="650">
        <f>'2.IP- TM'!K$8*'2.IP- TM'!$G20*'3.Bo gia'!K$13/10^9</f>
        <v>0.11437087400089006</v>
      </c>
      <c r="J64" s="650">
        <f>'2.IP- TM'!L$8*'2.IP- TM'!$G20*'3.Bo gia'!L$13/10^9</f>
        <v>0.11551458274089896</v>
      </c>
      <c r="K64" s="650">
        <f>'2.IP- TM'!M$8*'2.IP- TM'!$G20*'3.Bo gia'!M$13/10^9</f>
        <v>0.11666972856830794</v>
      </c>
      <c r="L64" s="650">
        <f>'2.IP- TM'!N$8*'2.IP- TM'!$G20*'3.Bo gia'!N$13/10^9</f>
        <v>0.11783642585399101</v>
      </c>
      <c r="M64" s="650">
        <f>'2.IP- TM'!O$8*'2.IP- TM'!$G20*'3.Bo gia'!O$13/10^9</f>
        <v>0.11901479011253095</v>
      </c>
      <c r="N64" s="650">
        <f>'2.IP- TM'!P$8*'2.IP- TM'!$G20*'3.Bo gia'!P$13/10^9</f>
        <v>0.12020493801365625</v>
      </c>
    </row>
    <row r="65" spans="2:14" ht="16.5" customHeight="1" x14ac:dyDescent="0.25">
      <c r="B65" s="492"/>
      <c r="C65" s="492"/>
      <c r="D65" s="9"/>
      <c r="E65" s="650"/>
      <c r="F65" s="650"/>
      <c r="G65" s="650"/>
      <c r="H65" s="650"/>
      <c r="I65" s="650"/>
      <c r="J65" s="650"/>
      <c r="K65" s="650"/>
      <c r="L65" s="650"/>
      <c r="M65" s="650"/>
      <c r="N65" s="650"/>
    </row>
    <row r="66" spans="2:14" s="552" customFormat="1" ht="16.5" customHeight="1" x14ac:dyDescent="0.25">
      <c r="B66" s="1415" t="s">
        <v>865</v>
      </c>
      <c r="C66" s="640" t="s">
        <v>955</v>
      </c>
      <c r="D66" s="608"/>
      <c r="E66" s="651">
        <f>SUM(E67:E72)</f>
        <v>73.669626236002159</v>
      </c>
      <c r="F66" s="651">
        <f t="shared" ref="F66:N66" si="16">SUM(F67:F72)</f>
        <v>74.406322498362186</v>
      </c>
      <c r="G66" s="651">
        <f t="shared" si="16"/>
        <v>75.150385723345806</v>
      </c>
      <c r="H66" s="651">
        <f t="shared" si="16"/>
        <v>75.901889580579279</v>
      </c>
      <c r="I66" s="651">
        <f t="shared" si="16"/>
        <v>76.660908476385075</v>
      </c>
      <c r="J66" s="651">
        <f t="shared" si="16"/>
        <v>77.427517561148932</v>
      </c>
      <c r="K66" s="651">
        <f t="shared" si="16"/>
        <v>78.20179273676041</v>
      </c>
      <c r="L66" s="651">
        <f t="shared" si="16"/>
        <v>78.983810664128029</v>
      </c>
      <c r="M66" s="651">
        <f t="shared" si="16"/>
        <v>79.773648770769313</v>
      </c>
      <c r="N66" s="651">
        <f t="shared" si="16"/>
        <v>80.571385258477008</v>
      </c>
    </row>
    <row r="67" spans="2:14" ht="16.5" customHeight="1" x14ac:dyDescent="0.25">
      <c r="B67" s="1416" t="s">
        <v>909</v>
      </c>
      <c r="C67" s="507" t="s">
        <v>1780</v>
      </c>
      <c r="D67" s="9" t="s">
        <v>884</v>
      </c>
      <c r="E67" s="650">
        <f>'2.IP- TM'!G$8*'2.IP- TM'!$G24*'3.Bo gia'!G$21/10^9</f>
        <v>66.651534965154994</v>
      </c>
      <c r="F67" s="650">
        <f>'2.IP- TM'!H$8*'2.IP- TM'!$G24*'3.Bo gia'!H$21/10^9</f>
        <v>67.318050314806541</v>
      </c>
      <c r="G67" s="650">
        <f>'2.IP- TM'!I$8*'2.IP- TM'!$G24*'3.Bo gia'!I$21/10^9</f>
        <v>67.991230817954602</v>
      </c>
      <c r="H67" s="650">
        <f>'2.IP- TM'!J$8*'2.IP- TM'!$G24*'3.Bo gia'!J$21/10^9</f>
        <v>68.671143126134169</v>
      </c>
      <c r="I67" s="650">
        <f>'2.IP- TM'!K$8*'2.IP- TM'!$G24*'3.Bo gia'!K$21/10^9</f>
        <v>69.357854557395498</v>
      </c>
      <c r="J67" s="650">
        <f>'2.IP- TM'!L$8*'2.IP- TM'!$G24*'3.Bo gia'!L$21/10^9</f>
        <v>70.051433102969455</v>
      </c>
      <c r="K67" s="650">
        <f>'2.IP- TM'!M$8*'2.IP- TM'!$G24*'3.Bo gia'!M$21/10^9</f>
        <v>70.751947433999163</v>
      </c>
      <c r="L67" s="650">
        <f>'2.IP- TM'!N$8*'2.IP- TM'!$G24*'3.Bo gia'!N$21/10^9</f>
        <v>71.459466908339152</v>
      </c>
      <c r="M67" s="650">
        <f>'2.IP- TM'!O$8*'2.IP- TM'!$G24*'3.Bo gia'!O$21/10^9</f>
        <v>72.174061577422549</v>
      </c>
      <c r="N67" s="650">
        <f>'2.IP- TM'!P$8*'2.IP- TM'!$G24*'3.Bo gia'!P$21/10^9</f>
        <v>72.895802193196772</v>
      </c>
    </row>
    <row r="68" spans="2:14" ht="16.5" customHeight="1" x14ac:dyDescent="0.25">
      <c r="B68" s="1416" t="s">
        <v>910</v>
      </c>
      <c r="C68" s="507" t="s">
        <v>1781</v>
      </c>
      <c r="D68" s="9" t="s">
        <v>884</v>
      </c>
      <c r="E68" s="650">
        <f>'2.IP- TM'!G$8*'2.IP- TM'!$G25*'3.Bo gia'!G$21/10^9</f>
        <v>6.6479735276870482</v>
      </c>
      <c r="F68" s="650">
        <f>'2.IP- TM'!H$8*'2.IP- TM'!$G25*'3.Bo gia'!H$21/10^9</f>
        <v>6.714453262963918</v>
      </c>
      <c r="G68" s="650">
        <f>'2.IP- TM'!I$8*'2.IP- TM'!$G25*'3.Bo gia'!I$21/10^9</f>
        <v>6.7815977955935578</v>
      </c>
      <c r="H68" s="650">
        <f>'2.IP- TM'!J$8*'2.IP- TM'!$G25*'3.Bo gia'!J$21/10^9</f>
        <v>6.849413773549494</v>
      </c>
      <c r="I68" s="650">
        <f>'2.IP- TM'!K$8*'2.IP- TM'!$G25*'3.Bo gia'!K$21/10^9</f>
        <v>6.9179079112849884</v>
      </c>
      <c r="J68" s="650">
        <f>'2.IP- TM'!L$8*'2.IP- TM'!$G25*'3.Bo gia'!L$21/10^9</f>
        <v>6.987086990397839</v>
      </c>
      <c r="K68" s="650">
        <f>'2.IP- TM'!M$8*'2.IP- TM'!$G25*'3.Bo gia'!M$21/10^9</f>
        <v>7.0569578603018179</v>
      </c>
      <c r="L68" s="650">
        <f>'2.IP- TM'!N$8*'2.IP- TM'!$G25*'3.Bo gia'!N$21/10^9</f>
        <v>7.1275274389048366</v>
      </c>
      <c r="M68" s="650">
        <f>'2.IP- TM'!O$8*'2.IP- TM'!$G25*'3.Bo gia'!O$21/10^9</f>
        <v>7.198802713293885</v>
      </c>
      <c r="N68" s="650">
        <f>'2.IP- TM'!P$8*'2.IP- TM'!$G25*'3.Bo gia'!P$21/10^9</f>
        <v>7.2707907404268237</v>
      </c>
    </row>
    <row r="69" spans="2:14" ht="16.5" customHeight="1" x14ac:dyDescent="0.25">
      <c r="B69" s="1416" t="s">
        <v>911</v>
      </c>
      <c r="C69" s="507" t="s">
        <v>1782</v>
      </c>
      <c r="D69" s="9" t="s">
        <v>884</v>
      </c>
      <c r="E69" s="650">
        <f>'2.IP- TM'!G$8*'2.IP- TM'!$G26*'3.Bo gia'!G$21/10^9</f>
        <v>0.29046219581612309</v>
      </c>
      <c r="F69" s="650">
        <f>'2.IP- TM'!H$8*'2.IP- TM'!$G26*'3.Bo gia'!H$21/10^9</f>
        <v>0.29336681777428425</v>
      </c>
      <c r="G69" s="650">
        <f>'2.IP- TM'!I$8*'2.IP- TM'!$G26*'3.Bo gia'!I$21/10^9</f>
        <v>0.29630048595202713</v>
      </c>
      <c r="H69" s="650">
        <f>'2.IP- TM'!J$8*'2.IP- TM'!$G26*'3.Bo gia'!J$21/10^9</f>
        <v>0.29926349081154741</v>
      </c>
      <c r="I69" s="650">
        <f>'2.IP- TM'!K$8*'2.IP- TM'!$G26*'3.Bo gia'!K$21/10^9</f>
        <v>0.30225612571966293</v>
      </c>
      <c r="J69" s="650">
        <f>'2.IP- TM'!L$8*'2.IP- TM'!$G26*'3.Bo gia'!L$21/10^9</f>
        <v>0.3052786869768595</v>
      </c>
      <c r="K69" s="650">
        <f>'2.IP- TM'!M$8*'2.IP- TM'!$G26*'3.Bo gia'!M$21/10^9</f>
        <v>0.30833147384662812</v>
      </c>
      <c r="L69" s="650">
        <f>'2.IP- TM'!N$8*'2.IP- TM'!$G26*'3.Bo gia'!N$21/10^9</f>
        <v>0.31141478858509447</v>
      </c>
      <c r="M69" s="650">
        <f>'2.IP- TM'!O$8*'2.IP- TM'!$G26*'3.Bo gia'!O$21/10^9</f>
        <v>0.31452893647094543</v>
      </c>
      <c r="N69" s="650">
        <f>'2.IP- TM'!P$8*'2.IP- TM'!$G26*'3.Bo gia'!P$21/10^9</f>
        <v>0.31767422583565486</v>
      </c>
    </row>
    <row r="70" spans="2:14" ht="16.5" customHeight="1" x14ac:dyDescent="0.25">
      <c r="B70" s="1416" t="s">
        <v>912</v>
      </c>
      <c r="C70" s="507" t="s">
        <v>1783</v>
      </c>
      <c r="D70" s="9" t="s">
        <v>884</v>
      </c>
      <c r="E70" s="650">
        <f>'2.IP- TM'!G$8*'2.IP- TM'!$G27*'3.Bo gia'!G$21/10^9</f>
        <v>7.9281650526087988E-2</v>
      </c>
      <c r="F70" s="650">
        <f>'2.IP- TM'!H$8*'2.IP- TM'!$G27*'3.Bo gia'!H$21/10^9</f>
        <v>8.0074467031348864E-2</v>
      </c>
      <c r="G70" s="650">
        <f>'2.IP- TM'!I$8*'2.IP- TM'!$G27*'3.Bo gia'!I$21/10^9</f>
        <v>8.0875211701662356E-2</v>
      </c>
      <c r="H70" s="650">
        <f>'2.IP- TM'!J$8*'2.IP- TM'!$G27*'3.Bo gia'!J$21/10^9</f>
        <v>8.1683963818678984E-2</v>
      </c>
      <c r="I70" s="650">
        <f>'2.IP- TM'!K$8*'2.IP- TM'!$G27*'3.Bo gia'!K$21/10^9</f>
        <v>8.2500803456865779E-2</v>
      </c>
      <c r="J70" s="650">
        <f>'2.IP- TM'!L$8*'2.IP- TM'!$G27*'3.Bo gia'!L$21/10^9</f>
        <v>8.3325811491434434E-2</v>
      </c>
      <c r="K70" s="650">
        <f>'2.IP- TM'!M$8*'2.IP- TM'!$G27*'3.Bo gia'!M$21/10^9</f>
        <v>8.415906960634878E-2</v>
      </c>
      <c r="L70" s="650">
        <f>'2.IP- TM'!N$8*'2.IP- TM'!$G27*'3.Bo gia'!N$21/10^9</f>
        <v>8.5000660302412281E-2</v>
      </c>
      <c r="M70" s="650">
        <f>'2.IP- TM'!O$8*'2.IP- TM'!$G27*'3.Bo gia'!O$21/10^9</f>
        <v>8.5850666905436412E-2</v>
      </c>
      <c r="N70" s="650">
        <f>'2.IP- TM'!P$8*'2.IP- TM'!$G27*'3.Bo gia'!P$21/10^9</f>
        <v>8.6709173574490775E-2</v>
      </c>
    </row>
    <row r="71" spans="2:14" ht="16.5" customHeight="1" x14ac:dyDescent="0.25">
      <c r="B71" s="1416" t="s">
        <v>913</v>
      </c>
      <c r="C71" s="507" t="s">
        <v>1784</v>
      </c>
      <c r="D71" s="9" t="s">
        <v>884</v>
      </c>
      <c r="E71" s="650">
        <f>'2.IP- TM'!G$8*'2.IP- TM'!$G28*'3.Bo gia'!G$21/10^9</f>
        <v>3.7389681791839802E-4</v>
      </c>
      <c r="F71" s="650">
        <f>'2.IP- TM'!H$8*'2.IP- TM'!$G28*'3.Bo gia'!H$21/10^9</f>
        <v>3.7763578609758197E-4</v>
      </c>
      <c r="G71" s="650">
        <f>'2.IP- TM'!I$8*'2.IP- TM'!$G28*'3.Bo gia'!I$21/10^9</f>
        <v>3.8141214395855783E-4</v>
      </c>
      <c r="H71" s="650">
        <f>'2.IP- TM'!J$8*'2.IP- TM'!$G28*'3.Bo gia'!J$21/10^9</f>
        <v>3.8522626539814342E-4</v>
      </c>
      <c r="I71" s="650">
        <f>'2.IP- TM'!K$8*'2.IP- TM'!$G28*'3.Bo gia'!K$21/10^9</f>
        <v>3.8907852805212482E-4</v>
      </c>
      <c r="J71" s="650">
        <f>'2.IP- TM'!L$8*'2.IP- TM'!$G28*'3.Bo gia'!L$21/10^9</f>
        <v>3.9296931333264608E-4</v>
      </c>
      <c r="K71" s="650">
        <f>'2.IP- TM'!M$8*'2.IP- TM'!$G28*'3.Bo gia'!M$21/10^9</f>
        <v>3.9689900646597265E-4</v>
      </c>
      <c r="L71" s="650">
        <f>'2.IP- TM'!N$8*'2.IP- TM'!$G28*'3.Bo gia'!N$21/10^9</f>
        <v>4.0086799653063238E-4</v>
      </c>
      <c r="M71" s="650">
        <f>'2.IP- TM'!O$8*'2.IP- TM'!$G28*'3.Bo gia'!O$21/10^9</f>
        <v>4.0487667649593867E-4</v>
      </c>
      <c r="N71" s="650">
        <f>'2.IP- TM'!P$8*'2.IP- TM'!$G28*'3.Bo gia'!P$21/10^9</f>
        <v>4.0892544326089807E-4</v>
      </c>
    </row>
    <row r="72" spans="2:14" ht="16.5" customHeight="1" x14ac:dyDescent="0.25">
      <c r="B72" s="1416" t="s">
        <v>914</v>
      </c>
      <c r="C72" s="507" t="s">
        <v>1800</v>
      </c>
      <c r="D72" s="9" t="s">
        <v>884</v>
      </c>
      <c r="E72" s="650">
        <f>'2.IP- TM'!G$8*'2.IP- TM'!$G29*'3.Bo gia'!G$21/10^9</f>
        <v>0</v>
      </c>
      <c r="F72" s="650">
        <f>'2.IP- TM'!H$8*'2.IP- TM'!$G29*'3.Bo gia'!H$21/10^9</f>
        <v>0</v>
      </c>
      <c r="G72" s="650">
        <f>'2.IP- TM'!I$8*'2.IP- TM'!$G29*'3.Bo gia'!I$21/10^9</f>
        <v>0</v>
      </c>
      <c r="H72" s="650">
        <f>'2.IP- TM'!J$8*'2.IP- TM'!$G29*'3.Bo gia'!J$21/10^9</f>
        <v>0</v>
      </c>
      <c r="I72" s="650">
        <f>'2.IP- TM'!K$8*'2.IP- TM'!$G29*'3.Bo gia'!K$21/10^9</f>
        <v>0</v>
      </c>
      <c r="J72" s="650">
        <f>'2.IP- TM'!L$8*'2.IP- TM'!$G29*'3.Bo gia'!L$21/10^9</f>
        <v>0</v>
      </c>
      <c r="K72" s="650">
        <f>'2.IP- TM'!M$8*'2.IP- TM'!$G29*'3.Bo gia'!M$21/10^9</f>
        <v>0</v>
      </c>
      <c r="L72" s="650">
        <f>'2.IP- TM'!N$8*'2.IP- TM'!$G29*'3.Bo gia'!N$21/10^9</f>
        <v>0</v>
      </c>
      <c r="M72" s="650">
        <f>'2.IP- TM'!O$8*'2.IP- TM'!$G29*'3.Bo gia'!O$21/10^9</f>
        <v>0</v>
      </c>
      <c r="N72" s="650">
        <f>'2.IP- TM'!P$8*'2.IP- TM'!$G29*'3.Bo gia'!P$21/10^9</f>
        <v>0</v>
      </c>
    </row>
    <row r="73" spans="2:14" ht="16.5" customHeight="1" x14ac:dyDescent="0.25">
      <c r="B73" s="492"/>
      <c r="C73" s="492"/>
      <c r="D73" s="9"/>
      <c r="E73" s="650"/>
      <c r="F73" s="650"/>
      <c r="G73" s="650"/>
      <c r="H73" s="650"/>
      <c r="I73" s="650"/>
      <c r="J73" s="650"/>
      <c r="K73" s="650"/>
      <c r="L73" s="650"/>
      <c r="M73" s="650"/>
      <c r="N73" s="650"/>
    </row>
    <row r="74" spans="2:14" x14ac:dyDescent="0.25">
      <c r="B74" s="1414" t="s">
        <v>887</v>
      </c>
      <c r="C74" s="1414"/>
      <c r="D74" s="644" t="s">
        <v>884</v>
      </c>
      <c r="E74" s="662">
        <f>E75+E79</f>
        <v>99.869508176654264</v>
      </c>
      <c r="F74" s="662">
        <f t="shared" ref="F74:N74" si="17">F75+F79</f>
        <v>100.86820325842081</v>
      </c>
      <c r="G74" s="662">
        <f t="shared" si="17"/>
        <v>101.87688529100501</v>
      </c>
      <c r="H74" s="662">
        <f t="shared" si="17"/>
        <v>102.89565414391507</v>
      </c>
      <c r="I74" s="662">
        <f t="shared" si="17"/>
        <v>103.92461068535422</v>
      </c>
      <c r="J74" s="662">
        <f t="shared" si="17"/>
        <v>104.96385679220776</v>
      </c>
      <c r="K74" s="662">
        <f t="shared" si="17"/>
        <v>106.01349536012984</v>
      </c>
      <c r="L74" s="662">
        <f t="shared" si="17"/>
        <v>107.07363031373116</v>
      </c>
      <c r="M74" s="662">
        <f t="shared" si="17"/>
        <v>108.14436661686847</v>
      </c>
      <c r="N74" s="662">
        <f t="shared" si="17"/>
        <v>109.22581028303716</v>
      </c>
    </row>
    <row r="75" spans="2:14" s="1" customFormat="1" ht="16.5" customHeight="1" x14ac:dyDescent="0.25">
      <c r="B75" s="639" t="s">
        <v>732</v>
      </c>
      <c r="C75" s="639"/>
      <c r="D75" s="628" t="s">
        <v>884</v>
      </c>
      <c r="E75" s="648">
        <f>E76+E77</f>
        <v>76.169436333942116</v>
      </c>
      <c r="F75" s="648">
        <f t="shared" ref="F75" si="18">F76+F77</f>
        <v>76.931130697281532</v>
      </c>
      <c r="G75" s="648">
        <f t="shared" ref="G75" si="19">G76+G77</f>
        <v>77.700442004254356</v>
      </c>
      <c r="H75" s="648">
        <f t="shared" ref="H75" si="20">H76+H77</f>
        <v>78.4774464242969</v>
      </c>
      <c r="I75" s="648">
        <f t="shared" ref="I75" si="21">I76+I77</f>
        <v>79.262220888539872</v>
      </c>
      <c r="J75" s="648">
        <f t="shared" ref="J75" si="22">J76+J77</f>
        <v>80.054843097425277</v>
      </c>
      <c r="K75" s="648">
        <f t="shared" ref="K75" si="23">K76+K77</f>
        <v>80.855391528399522</v>
      </c>
      <c r="L75" s="648">
        <f t="shared" ref="L75" si="24">L76+L77</f>
        <v>81.663945443683531</v>
      </c>
      <c r="M75" s="648">
        <f t="shared" ref="M75" si="25">M76+M77</f>
        <v>82.48058489812037</v>
      </c>
      <c r="N75" s="648">
        <f t="shared" ref="N75" si="26">N76+N77</f>
        <v>83.305390747101583</v>
      </c>
    </row>
    <row r="76" spans="2:14" ht="16.5" customHeight="1" x14ac:dyDescent="0.25">
      <c r="B76" s="569" t="s">
        <v>902</v>
      </c>
      <c r="C76" s="569" t="s">
        <v>951</v>
      </c>
      <c r="D76" s="9" t="s">
        <v>884</v>
      </c>
      <c r="E76" s="650">
        <f>'2.IP- SX  '!L18*'3.Bo gia'!G7/10^9</f>
        <v>69.889324474844514</v>
      </c>
      <c r="F76" s="650">
        <f>'2.IP- SX  '!M18*'3.Bo gia'!H7/10^9</f>
        <v>70.588217719592961</v>
      </c>
      <c r="G76" s="650">
        <f>'2.IP- SX  '!N18*'3.Bo gia'!I7/10^9</f>
        <v>71.294099896788893</v>
      </c>
      <c r="H76" s="650">
        <f>'2.IP- SX  '!O18*'3.Bo gia'!J7/10^9</f>
        <v>72.007040895756788</v>
      </c>
      <c r="I76" s="650">
        <f>'2.IP- SX  '!P18*'3.Bo gia'!K7/10^9</f>
        <v>72.727111304714356</v>
      </c>
      <c r="J76" s="650">
        <f>'2.IP- SX  '!Q18*'3.Bo gia'!L7/10^9</f>
        <v>73.454382417761508</v>
      </c>
      <c r="K76" s="650">
        <f>'2.IP- SX  '!R18*'3.Bo gia'!M7/10^9</f>
        <v>74.188926241939114</v>
      </c>
      <c r="L76" s="650">
        <f>'2.IP- SX  '!S18*'3.Bo gia'!N7/10^9</f>
        <v>74.930815504358506</v>
      </c>
      <c r="M76" s="650">
        <f>'2.IP- SX  '!T18*'3.Bo gia'!O7/10^9</f>
        <v>75.680123659402099</v>
      </c>
      <c r="N76" s="650">
        <f>'2.IP- SX  '!U18*'3.Bo gia'!P7/10^9</f>
        <v>76.436924895996128</v>
      </c>
    </row>
    <row r="77" spans="2:14" ht="16.5" customHeight="1" x14ac:dyDescent="0.25">
      <c r="B77" s="569" t="s">
        <v>901</v>
      </c>
      <c r="C77" s="569" t="s">
        <v>952</v>
      </c>
      <c r="D77" s="9" t="s">
        <v>884</v>
      </c>
      <c r="E77" s="650">
        <f>'2.IP- SX  '!L50*'3.Bo gia'!G8/10^9</f>
        <v>6.2801118590976017</v>
      </c>
      <c r="F77" s="650">
        <f>'2.IP- SX  '!M50*'3.Bo gia'!H8/10^9</f>
        <v>6.3429129776885773</v>
      </c>
      <c r="G77" s="650">
        <f>'2.IP- SX  '!N50*'3.Bo gia'!I8/10^9</f>
        <v>6.4063421074654636</v>
      </c>
      <c r="H77" s="650">
        <f>'2.IP- SX  '!O50*'3.Bo gia'!J8/10^9</f>
        <v>6.4704055285401179</v>
      </c>
      <c r="I77" s="650">
        <f>'2.IP- SX  '!P50*'3.Bo gia'!K8/10^9</f>
        <v>6.5351095838255198</v>
      </c>
      <c r="J77" s="650">
        <f>'2.IP- SX  '!Q50*'3.Bo gia'!L8/10^9</f>
        <v>6.6004606796637741</v>
      </c>
      <c r="K77" s="650">
        <f>'2.IP- SX  '!R50*'3.Bo gia'!M8/10^9</f>
        <v>6.6664652864604133</v>
      </c>
      <c r="L77" s="650">
        <f>'2.IP- SX  '!S50*'3.Bo gia'!N8/10^9</f>
        <v>6.7331299393250177</v>
      </c>
      <c r="M77" s="650">
        <f>'2.IP- SX  '!T50*'3.Bo gia'!O8/10^9</f>
        <v>6.8004612387182677</v>
      </c>
      <c r="N77" s="650">
        <f>'2.IP- SX  '!U50*'3.Bo gia'!P8/10^9</f>
        <v>6.8684658511054506</v>
      </c>
    </row>
    <row r="78" spans="2:14" ht="16.5" customHeight="1" x14ac:dyDescent="0.25">
      <c r="B78" s="567"/>
      <c r="C78" s="567"/>
      <c r="D78" s="9"/>
      <c r="E78" s="650"/>
      <c r="F78" s="650"/>
      <c r="G78" s="650"/>
      <c r="H78" s="650"/>
      <c r="I78" s="650"/>
      <c r="J78" s="650"/>
      <c r="K78" s="650"/>
      <c r="L78" s="650"/>
      <c r="M78" s="650"/>
      <c r="N78" s="650"/>
    </row>
    <row r="79" spans="2:14" s="1" customFormat="1" ht="16.5" customHeight="1" x14ac:dyDescent="0.25">
      <c r="B79" s="639" t="s">
        <v>243</v>
      </c>
      <c r="C79" s="639"/>
      <c r="D79" s="628" t="s">
        <v>884</v>
      </c>
      <c r="E79" s="648">
        <f>E81+E89</f>
        <v>23.700071842712148</v>
      </c>
      <c r="F79" s="648">
        <f t="shared" ref="F79:N79" si="27">F81+F89</f>
        <v>23.937072561139271</v>
      </c>
      <c r="G79" s="648">
        <f t="shared" si="27"/>
        <v>24.176443286750661</v>
      </c>
      <c r="H79" s="648">
        <f t="shared" si="27"/>
        <v>24.41820771961817</v>
      </c>
      <c r="I79" s="648">
        <f t="shared" si="27"/>
        <v>24.662389796814352</v>
      </c>
      <c r="J79" s="648">
        <f t="shared" si="27"/>
        <v>24.909013694782494</v>
      </c>
      <c r="K79" s="648">
        <f t="shared" si="27"/>
        <v>25.158103831730322</v>
      </c>
      <c r="L79" s="648">
        <f t="shared" si="27"/>
        <v>25.409684870047627</v>
      </c>
      <c r="M79" s="648">
        <f t="shared" si="27"/>
        <v>25.663781718748098</v>
      </c>
      <c r="N79" s="648">
        <f t="shared" si="27"/>
        <v>25.920419535935586</v>
      </c>
    </row>
    <row r="80" spans="2:14" ht="16.5" customHeight="1" x14ac:dyDescent="0.25">
      <c r="B80" s="567"/>
      <c r="C80" s="567"/>
      <c r="D80" s="9"/>
      <c r="E80" s="650"/>
      <c r="F80" s="650"/>
      <c r="G80" s="650"/>
      <c r="H80" s="650"/>
      <c r="I80" s="650"/>
      <c r="J80" s="650"/>
      <c r="K80" s="650"/>
      <c r="L80" s="650"/>
      <c r="M80" s="650"/>
      <c r="N80" s="650"/>
    </row>
    <row r="81" spans="2:14" ht="16.5" customHeight="1" x14ac:dyDescent="0.25">
      <c r="B81" s="640" t="s">
        <v>654</v>
      </c>
      <c r="C81" s="640" t="s">
        <v>953</v>
      </c>
      <c r="D81" s="552" t="s">
        <v>884</v>
      </c>
      <c r="E81" s="649">
        <f>SUM(E82:E87)</f>
        <v>11.728757579361794</v>
      </c>
      <c r="F81" s="649">
        <f t="shared" ref="F81:N81" si="28">SUM(F82:F87)</f>
        <v>11.846045155155414</v>
      </c>
      <c r="G81" s="649">
        <f t="shared" si="28"/>
        <v>11.96450560670697</v>
      </c>
      <c r="H81" s="649">
        <f t="shared" si="28"/>
        <v>12.084150662774039</v>
      </c>
      <c r="I81" s="649">
        <f t="shared" si="28"/>
        <v>12.20499216940178</v>
      </c>
      <c r="J81" s="649">
        <f t="shared" si="28"/>
        <v>12.327042091095796</v>
      </c>
      <c r="K81" s="649">
        <f t="shared" si="28"/>
        <v>12.450312512006755</v>
      </c>
      <c r="L81" s="649">
        <f t="shared" si="28"/>
        <v>12.574815637126822</v>
      </c>
      <c r="M81" s="649">
        <f t="shared" si="28"/>
        <v>12.700563793498088</v>
      </c>
      <c r="N81" s="649">
        <f t="shared" si="28"/>
        <v>12.827569431433071</v>
      </c>
    </row>
    <row r="82" spans="2:14" ht="16.5" customHeight="1" x14ac:dyDescent="0.25">
      <c r="B82" s="492" t="s">
        <v>903</v>
      </c>
      <c r="C82" s="507" t="s">
        <v>1774</v>
      </c>
      <c r="D82" s="9" t="s">
        <v>884</v>
      </c>
      <c r="E82" s="650">
        <f>'2.IP- TM'!G$9*'2.IP- TM'!$G15*'3.Bo gia'!G$13/10^9</f>
        <v>8.8633679808694232</v>
      </c>
      <c r="F82" s="650">
        <f>'2.IP- TM'!H$9*'2.IP- TM'!$G15*'3.Bo gia'!H$13/10^9</f>
        <v>8.9520016606781176</v>
      </c>
      <c r="G82" s="650">
        <f>'2.IP- TM'!I$9*'2.IP- TM'!$G15*'3.Bo gia'!I$13/10^9</f>
        <v>9.0415216772848996</v>
      </c>
      <c r="H82" s="650">
        <f>'2.IP- TM'!J$9*'2.IP- TM'!$G15*'3.Bo gia'!J$13/10^9</f>
        <v>9.1319368940577483</v>
      </c>
      <c r="I82" s="650">
        <f>'2.IP- TM'!K$9*'2.IP- TM'!$G15*'3.Bo gia'!K$13/10^9</f>
        <v>9.2232562629983281</v>
      </c>
      <c r="J82" s="650">
        <f>'2.IP- TM'!L$9*'2.IP- TM'!$G15*'3.Bo gia'!L$13/10^9</f>
        <v>9.315488825628309</v>
      </c>
      <c r="K82" s="650">
        <f>'2.IP- TM'!M$9*'2.IP- TM'!$G15*'3.Bo gia'!M$13/10^9</f>
        <v>9.408643713884592</v>
      </c>
      <c r="L82" s="650">
        <f>'2.IP- TM'!N$9*'2.IP- TM'!$G15*'3.Bo gia'!N$13/10^9</f>
        <v>9.502730151023437</v>
      </c>
      <c r="M82" s="650">
        <f>'2.IP- TM'!O$9*'2.IP- TM'!$G15*'3.Bo gia'!O$13/10^9</f>
        <v>9.5977574525336724</v>
      </c>
      <c r="N82" s="650">
        <f>'2.IP- TM'!P$9*'2.IP- TM'!$G15*'3.Bo gia'!P$13/10^9</f>
        <v>9.6937350270590095</v>
      </c>
    </row>
    <row r="83" spans="2:14" ht="16.5" customHeight="1" x14ac:dyDescent="0.25">
      <c r="B83" s="492" t="s">
        <v>904</v>
      </c>
      <c r="C83" s="507" t="s">
        <v>1775</v>
      </c>
      <c r="D83" s="9" t="s">
        <v>884</v>
      </c>
      <c r="E83" s="650">
        <f>'2.IP- TM'!G$9*'2.IP- TM'!$G16*'3.Bo gia'!G$13/10^9</f>
        <v>1.365135211800141</v>
      </c>
      <c r="F83" s="650">
        <f>'2.IP- TM'!H$9*'2.IP- TM'!$G16*'3.Bo gia'!H$13/10^9</f>
        <v>1.3787865639181425</v>
      </c>
      <c r="G83" s="650">
        <f>'2.IP- TM'!I$9*'2.IP- TM'!$G16*'3.Bo gia'!I$13/10^9</f>
        <v>1.3925744295573239</v>
      </c>
      <c r="H83" s="650">
        <f>'2.IP- TM'!J$9*'2.IP- TM'!$G16*'3.Bo gia'!J$13/10^9</f>
        <v>1.4065001738528973</v>
      </c>
      <c r="I83" s="650">
        <f>'2.IP- TM'!K$9*'2.IP- TM'!$G16*'3.Bo gia'!K$13/10^9</f>
        <v>1.4205651755914261</v>
      </c>
      <c r="J83" s="650">
        <f>'2.IP- TM'!L$9*'2.IP- TM'!$G16*'3.Bo gia'!L$13/10^9</f>
        <v>1.4347708273473403</v>
      </c>
      <c r="K83" s="650">
        <f>'2.IP- TM'!M$9*'2.IP- TM'!$G16*'3.Bo gia'!M$13/10^9</f>
        <v>1.4491185356208136</v>
      </c>
      <c r="L83" s="650">
        <f>'2.IP- TM'!N$9*'2.IP- TM'!$G16*'3.Bo gia'!N$13/10^9</f>
        <v>1.463609720977022</v>
      </c>
      <c r="M83" s="650">
        <f>'2.IP- TM'!O$9*'2.IP- TM'!$G16*'3.Bo gia'!O$13/10^9</f>
        <v>1.4782458181867921</v>
      </c>
      <c r="N83" s="650">
        <f>'2.IP- TM'!P$9*'2.IP- TM'!$G16*'3.Bo gia'!P$13/10^9</f>
        <v>1.4930282763686602</v>
      </c>
    </row>
    <row r="84" spans="2:14" ht="16.5" customHeight="1" x14ac:dyDescent="0.25">
      <c r="B84" s="492" t="s">
        <v>905</v>
      </c>
      <c r="C84" s="507" t="s">
        <v>1776</v>
      </c>
      <c r="D84" s="9" t="s">
        <v>884</v>
      </c>
      <c r="E84" s="650">
        <f>'2.IP- TM'!G$9*'2.IP- TM'!$G17*'3.Bo gia'!G$13/10^9</f>
        <v>0.77965335344193409</v>
      </c>
      <c r="F84" s="650">
        <f>'2.IP- TM'!H$9*'2.IP- TM'!$G17*'3.Bo gia'!H$13/10^9</f>
        <v>0.78744988697635354</v>
      </c>
      <c r="G84" s="650">
        <f>'2.IP- TM'!I$9*'2.IP- TM'!$G17*'3.Bo gia'!I$13/10^9</f>
        <v>0.79532438584611698</v>
      </c>
      <c r="H84" s="650">
        <f>'2.IP- TM'!J$9*'2.IP- TM'!$G17*'3.Bo gia'!J$13/10^9</f>
        <v>0.80327762970457828</v>
      </c>
      <c r="I84" s="650">
        <f>'2.IP- TM'!K$9*'2.IP- TM'!$G17*'3.Bo gia'!K$13/10^9</f>
        <v>0.81131040600162396</v>
      </c>
      <c r="J84" s="650">
        <f>'2.IP- TM'!L$9*'2.IP- TM'!$G17*'3.Bo gia'!L$13/10^9</f>
        <v>0.81942351006164027</v>
      </c>
      <c r="K84" s="650">
        <f>'2.IP- TM'!M$9*'2.IP- TM'!$G17*'3.Bo gia'!M$13/10^9</f>
        <v>0.82761774516225661</v>
      </c>
      <c r="L84" s="650">
        <f>'2.IP- TM'!N$9*'2.IP- TM'!$G17*'3.Bo gia'!N$13/10^9</f>
        <v>0.83589392261387918</v>
      </c>
      <c r="M84" s="650">
        <f>'2.IP- TM'!O$9*'2.IP- TM'!$G17*'3.Bo gia'!O$13/10^9</f>
        <v>0.84425286184001802</v>
      </c>
      <c r="N84" s="650">
        <f>'2.IP- TM'!P$9*'2.IP- TM'!$G17*'3.Bo gia'!P$13/10^9</f>
        <v>0.85269539045841825</v>
      </c>
    </row>
    <row r="85" spans="2:14" ht="16.5" customHeight="1" x14ac:dyDescent="0.25">
      <c r="B85" s="492" t="s">
        <v>906</v>
      </c>
      <c r="C85" s="507" t="s">
        <v>1777</v>
      </c>
      <c r="D85" s="9" t="s">
        <v>884</v>
      </c>
      <c r="E85" s="650">
        <f>'2.IP- TM'!G$9*'2.IP- TM'!$G18*'3.Bo gia'!G$13/10^9</f>
        <v>0.48490226828710598</v>
      </c>
      <c r="F85" s="650">
        <f>'2.IP- TM'!H$9*'2.IP- TM'!$G18*'3.Bo gia'!H$13/10^9</f>
        <v>0.4897512909699771</v>
      </c>
      <c r="G85" s="650">
        <f>'2.IP- TM'!I$9*'2.IP- TM'!$G18*'3.Bo gia'!I$13/10^9</f>
        <v>0.4946488038796768</v>
      </c>
      <c r="H85" s="650">
        <f>'2.IP- TM'!J$9*'2.IP- TM'!$G18*'3.Bo gia'!J$13/10^9</f>
        <v>0.49959529191847363</v>
      </c>
      <c r="I85" s="650">
        <f>'2.IP- TM'!K$9*'2.IP- TM'!$G18*'3.Bo gia'!K$13/10^9</f>
        <v>0.50459124483765838</v>
      </c>
      <c r="J85" s="650">
        <f>'2.IP- TM'!L$9*'2.IP- TM'!$G18*'3.Bo gia'!L$13/10^9</f>
        <v>0.50963715728603498</v>
      </c>
      <c r="K85" s="650">
        <f>'2.IP- TM'!M$9*'2.IP- TM'!$G18*'3.Bo gia'!M$13/10^9</f>
        <v>0.51473352885889523</v>
      </c>
      <c r="L85" s="650">
        <f>'2.IP- TM'!N$9*'2.IP- TM'!$G18*'3.Bo gia'!N$13/10^9</f>
        <v>0.51988086414748413</v>
      </c>
      <c r="M85" s="650">
        <f>'2.IP- TM'!O$9*'2.IP- TM'!$G18*'3.Bo gia'!O$13/10^9</f>
        <v>0.52507967278895906</v>
      </c>
      <c r="N85" s="650">
        <f>'2.IP- TM'!P$9*'2.IP- TM'!$G18*'3.Bo gia'!P$13/10^9</f>
        <v>0.5303304695168487</v>
      </c>
    </row>
    <row r="86" spans="2:14" ht="16.5" customHeight="1" x14ac:dyDescent="0.25">
      <c r="B86" s="492" t="s">
        <v>907</v>
      </c>
      <c r="C86" s="507" t="s">
        <v>1778</v>
      </c>
      <c r="D86" s="9" t="s">
        <v>884</v>
      </c>
      <c r="E86" s="650">
        <f>'2.IP- TM'!G$9*'2.IP- TM'!$G19*'3.Bo gia'!G$13/10^9</f>
        <v>0.21783868865506228</v>
      </c>
      <c r="F86" s="650">
        <f>'2.IP- TM'!H$9*'2.IP- TM'!$G19*'3.Bo gia'!H$13/10^9</f>
        <v>0.22001707554161293</v>
      </c>
      <c r="G86" s="650">
        <f>'2.IP- TM'!I$9*'2.IP- TM'!$G19*'3.Bo gia'!I$13/10^9</f>
        <v>0.22221724629702905</v>
      </c>
      <c r="H86" s="650">
        <f>'2.IP- TM'!J$9*'2.IP- TM'!$G19*'3.Bo gia'!J$13/10^9</f>
        <v>0.22443941875999937</v>
      </c>
      <c r="I86" s="650">
        <f>'2.IP- TM'!K$9*'2.IP- TM'!$G19*'3.Bo gia'!K$13/10^9</f>
        <v>0.22668381294759934</v>
      </c>
      <c r="J86" s="650">
        <f>'2.IP- TM'!L$9*'2.IP- TM'!$G19*'3.Bo gia'!L$13/10^9</f>
        <v>0.22895065107707532</v>
      </c>
      <c r="K86" s="650">
        <f>'2.IP- TM'!M$9*'2.IP- TM'!$G19*'3.Bo gia'!M$13/10^9</f>
        <v>0.23124015758784608</v>
      </c>
      <c r="L86" s="650">
        <f>'2.IP- TM'!N$9*'2.IP- TM'!$G19*'3.Bo gia'!N$13/10^9</f>
        <v>0.23355255916372455</v>
      </c>
      <c r="M86" s="650">
        <f>'2.IP- TM'!O$9*'2.IP- TM'!$G19*'3.Bo gia'!O$13/10^9</f>
        <v>0.2358880847553618</v>
      </c>
      <c r="N86" s="650">
        <f>'2.IP- TM'!P$9*'2.IP- TM'!$G19*'3.Bo gia'!P$13/10^9</f>
        <v>0.23824696560291544</v>
      </c>
    </row>
    <row r="87" spans="2:14" ht="16.5" customHeight="1" x14ac:dyDescent="0.25">
      <c r="B87" s="492" t="s">
        <v>908</v>
      </c>
      <c r="C87" s="507" t="s">
        <v>1779</v>
      </c>
      <c r="D87" s="9" t="s">
        <v>884</v>
      </c>
      <c r="E87" s="650">
        <f>'2.IP- TM'!G$9*'2.IP- TM'!$G20*'3.Bo gia'!G$13/10^9</f>
        <v>1.7860076308128615E-2</v>
      </c>
      <c r="F87" s="650">
        <f>'2.IP- TM'!H$9*'2.IP- TM'!$G20*'3.Bo gia'!H$13/10^9</f>
        <v>1.8038677071209906E-2</v>
      </c>
      <c r="G87" s="650">
        <f>'2.IP- TM'!I$9*'2.IP- TM'!$G20*'3.Bo gia'!I$13/10^9</f>
        <v>1.8219063841922001E-2</v>
      </c>
      <c r="H87" s="650">
        <f>'2.IP- TM'!J$9*'2.IP- TM'!$G20*'3.Bo gia'!J$13/10^9</f>
        <v>1.840125448034122E-2</v>
      </c>
      <c r="I87" s="650">
        <f>'2.IP- TM'!K$9*'2.IP- TM'!$G20*'3.Bo gia'!K$13/10^9</f>
        <v>1.8585267025144632E-2</v>
      </c>
      <c r="J87" s="650">
        <f>'2.IP- TM'!L$9*'2.IP- TM'!$G20*'3.Bo gia'!L$13/10^9</f>
        <v>1.877111969539608E-2</v>
      </c>
      <c r="K87" s="650">
        <f>'2.IP- TM'!M$9*'2.IP- TM'!$G20*'3.Bo gia'!M$13/10^9</f>
        <v>1.8958830892350041E-2</v>
      </c>
      <c r="L87" s="650">
        <f>'2.IP- TM'!N$9*'2.IP- TM'!$G20*'3.Bo gia'!N$13/10^9</f>
        <v>1.9148419201273543E-2</v>
      </c>
      <c r="M87" s="650">
        <f>'2.IP- TM'!O$9*'2.IP- TM'!$G20*'3.Bo gia'!O$13/10^9</f>
        <v>1.9339903393286277E-2</v>
      </c>
      <c r="N87" s="650">
        <f>'2.IP- TM'!P$9*'2.IP- TM'!$G20*'3.Bo gia'!P$13/10^9</f>
        <v>1.9533302427219141E-2</v>
      </c>
    </row>
    <row r="88" spans="2:14" ht="16.5" customHeight="1" x14ac:dyDescent="0.25">
      <c r="B88" s="492"/>
      <c r="C88" s="492"/>
      <c r="D88" s="9"/>
      <c r="E88" s="650"/>
      <c r="F88" s="650"/>
      <c r="G88" s="650"/>
      <c r="H88" s="650"/>
      <c r="I88" s="650"/>
      <c r="J88" s="650"/>
      <c r="K88" s="650"/>
      <c r="L88" s="650"/>
      <c r="M88" s="650"/>
      <c r="N88" s="650"/>
    </row>
    <row r="89" spans="2:14" ht="16.5" customHeight="1" x14ac:dyDescent="0.25">
      <c r="B89" s="1415" t="s">
        <v>865</v>
      </c>
      <c r="C89" s="640" t="s">
        <v>955</v>
      </c>
      <c r="D89" s="552" t="s">
        <v>884</v>
      </c>
      <c r="E89" s="651">
        <f>SUM(E90:E95)</f>
        <v>11.971314263350353</v>
      </c>
      <c r="F89" s="651">
        <f t="shared" ref="F89:N89" si="29">SUM(F90:F95)</f>
        <v>12.091027405983857</v>
      </c>
      <c r="G89" s="651">
        <f t="shared" si="29"/>
        <v>12.211937680043693</v>
      </c>
      <c r="H89" s="651">
        <f t="shared" si="29"/>
        <v>12.334057056844131</v>
      </c>
      <c r="I89" s="651">
        <f t="shared" si="29"/>
        <v>12.457397627412574</v>
      </c>
      <c r="J89" s="651">
        <f>SUM(J90:J95)</f>
        <v>12.5819716036867</v>
      </c>
      <c r="K89" s="651">
        <f t="shared" si="29"/>
        <v>12.707791319723567</v>
      </c>
      <c r="L89" s="651">
        <f t="shared" si="29"/>
        <v>12.834869232920807</v>
      </c>
      <c r="M89" s="651">
        <f t="shared" si="29"/>
        <v>12.963217925250012</v>
      </c>
      <c r="N89" s="651">
        <f t="shared" si="29"/>
        <v>13.092850104502514</v>
      </c>
    </row>
    <row r="90" spans="2:14" ht="16.5" customHeight="1" x14ac:dyDescent="0.25">
      <c r="B90" s="1416" t="s">
        <v>909</v>
      </c>
      <c r="C90" s="507" t="s">
        <v>1780</v>
      </c>
      <c r="D90" s="9" t="s">
        <v>884</v>
      </c>
      <c r="E90" s="650">
        <f>'2.IP- TM'!G$9*'2.IP- TM'!$G24*'3.Bo gia'!G$21/10^9</f>
        <v>10.830874431837687</v>
      </c>
      <c r="F90" s="650">
        <f>'2.IP- TM'!H$9*'2.IP- TM'!$G24*'3.Bo gia'!H$21/10^9</f>
        <v>10.939183176156064</v>
      </c>
      <c r="G90" s="650">
        <f>'2.IP- TM'!I$9*'2.IP- TM'!$G24*'3.Bo gia'!I$21/10^9</f>
        <v>11.048575007917623</v>
      </c>
      <c r="H90" s="650">
        <f>'2.IP- TM'!J$9*'2.IP- TM'!$G24*'3.Bo gia'!J$21/10^9</f>
        <v>11.159060757996802</v>
      </c>
      <c r="I90" s="650">
        <f>'2.IP- TM'!K$9*'2.IP- TM'!$G24*'3.Bo gia'!K$21/10^9</f>
        <v>11.27065136557677</v>
      </c>
      <c r="J90" s="650">
        <f>'2.IP- TM'!L$9*'2.IP- TM'!$G24*'3.Bo gia'!L$21/10^9</f>
        <v>11.383357879232538</v>
      </c>
      <c r="K90" s="650">
        <f>'2.IP- TM'!M$9*'2.IP- TM'!$G24*'3.Bo gia'!M$21/10^9</f>
        <v>11.497191458024863</v>
      </c>
      <c r="L90" s="650">
        <f>'2.IP- TM'!N$9*'2.IP- TM'!$G24*'3.Bo gia'!N$21/10^9</f>
        <v>11.612163372605114</v>
      </c>
      <c r="M90" s="650">
        <f>'2.IP- TM'!O$9*'2.IP- TM'!$G24*'3.Bo gia'!O$21/10^9</f>
        <v>11.728285006331163</v>
      </c>
      <c r="N90" s="650">
        <f>'2.IP- TM'!P$9*'2.IP- TM'!$G24*'3.Bo gia'!P$21/10^9</f>
        <v>11.845567856394476</v>
      </c>
    </row>
    <row r="91" spans="2:14" ht="16.5" customHeight="1" x14ac:dyDescent="0.25">
      <c r="B91" s="1416" t="s">
        <v>910</v>
      </c>
      <c r="C91" s="507" t="s">
        <v>1781</v>
      </c>
      <c r="D91" s="9" t="s">
        <v>884</v>
      </c>
      <c r="E91" s="650">
        <f>'2.IP- TM'!G$9*'2.IP- TM'!$G25*'3.Bo gia'!G$21/10^9</f>
        <v>1.0802956982491452</v>
      </c>
      <c r="F91" s="650">
        <f>'2.IP- TM'!H$9*'2.IP- TM'!$G25*'3.Bo gia'!H$21/10^9</f>
        <v>1.0910986552316368</v>
      </c>
      <c r="G91" s="650">
        <f>'2.IP- TM'!I$9*'2.IP- TM'!$G25*'3.Bo gia'!I$21/10^9</f>
        <v>1.1020096417839531</v>
      </c>
      <c r="H91" s="650">
        <f>'2.IP- TM'!J$9*'2.IP- TM'!$G25*'3.Bo gia'!J$21/10^9</f>
        <v>1.1130297382017926</v>
      </c>
      <c r="I91" s="650">
        <f>'2.IP- TM'!K$9*'2.IP- TM'!$G25*'3.Bo gia'!K$21/10^9</f>
        <v>1.1241600355838106</v>
      </c>
      <c r="J91" s="650">
        <f>'2.IP- TM'!L$9*'2.IP- TM'!$G25*'3.Bo gia'!L$21/10^9</f>
        <v>1.1354016359396488</v>
      </c>
      <c r="K91" s="650">
        <f>'2.IP- TM'!M$9*'2.IP- TM'!$G25*'3.Bo gia'!M$21/10^9</f>
        <v>1.1467556522990454</v>
      </c>
      <c r="L91" s="650">
        <f>'2.IP- TM'!N$9*'2.IP- TM'!$G25*'3.Bo gia'!N$21/10^9</f>
        <v>1.1582232088220361</v>
      </c>
      <c r="M91" s="650">
        <f>'2.IP- TM'!O$9*'2.IP- TM'!$G25*'3.Bo gia'!O$21/10^9</f>
        <v>1.1698054409102563</v>
      </c>
      <c r="N91" s="650">
        <f>'2.IP- TM'!P$9*'2.IP- TM'!$G25*'3.Bo gia'!P$21/10^9</f>
        <v>1.1815034953193588</v>
      </c>
    </row>
    <row r="92" spans="2:14" ht="16.5" customHeight="1" x14ac:dyDescent="0.25">
      <c r="B92" s="1416" t="s">
        <v>911</v>
      </c>
      <c r="C92" s="507" t="s">
        <v>1782</v>
      </c>
      <c r="D92" s="9" t="s">
        <v>884</v>
      </c>
      <c r="E92" s="650">
        <f>'2.IP- TM'!G$9*'2.IP- TM'!$G26*'3.Bo gia'!G$21/10^9</f>
        <v>4.7200106820119991E-2</v>
      </c>
      <c r="F92" s="650">
        <f>'2.IP- TM'!H$9*'2.IP- TM'!$G26*'3.Bo gia'!H$21/10^9</f>
        <v>4.7672107888321193E-2</v>
      </c>
      <c r="G92" s="650">
        <f>'2.IP- TM'!I$9*'2.IP- TM'!$G26*'3.Bo gia'!I$21/10^9</f>
        <v>4.8148828967204405E-2</v>
      </c>
      <c r="H92" s="650">
        <f>'2.IP- TM'!J$9*'2.IP- TM'!$G26*'3.Bo gia'!J$21/10^9</f>
        <v>4.8630317256876457E-2</v>
      </c>
      <c r="I92" s="650">
        <f>'2.IP- TM'!K$9*'2.IP- TM'!$G26*'3.Bo gia'!K$21/10^9</f>
        <v>4.9116620429445215E-2</v>
      </c>
      <c r="J92" s="650">
        <f>'2.IP- TM'!L$9*'2.IP- TM'!$G26*'3.Bo gia'!L$21/10^9</f>
        <v>4.9607786633739673E-2</v>
      </c>
      <c r="K92" s="650">
        <f>'2.IP- TM'!M$9*'2.IP- TM'!$G26*'3.Bo gia'!M$21/10^9</f>
        <v>5.0103864500077068E-2</v>
      </c>
      <c r="L92" s="650">
        <f>'2.IP- TM'!N$9*'2.IP- TM'!$G26*'3.Bo gia'!N$21/10^9</f>
        <v>5.0604903145077845E-2</v>
      </c>
      <c r="M92" s="650">
        <f>'2.IP- TM'!O$9*'2.IP- TM'!$G26*'3.Bo gia'!O$21/10^9</f>
        <v>5.1110952176528626E-2</v>
      </c>
      <c r="N92" s="650">
        <f>'2.IP- TM'!P$9*'2.IP- TM'!$G26*'3.Bo gia'!P$21/10^9</f>
        <v>5.1622061698293913E-2</v>
      </c>
    </row>
    <row r="93" spans="2:14" ht="16.5" customHeight="1" x14ac:dyDescent="0.25">
      <c r="B93" s="1416" t="s">
        <v>912</v>
      </c>
      <c r="C93" s="507" t="s">
        <v>1783</v>
      </c>
      <c r="D93" s="9" t="s">
        <v>884</v>
      </c>
      <c r="E93" s="650">
        <f>'2.IP- TM'!G$9*'2.IP- TM'!$G27*'3.Bo gia'!G$21/10^9</f>
        <v>1.2883268210489298E-2</v>
      </c>
      <c r="F93" s="650">
        <f>'2.IP- TM'!H$9*'2.IP- TM'!$G27*'3.Bo gia'!H$21/10^9</f>
        <v>1.301210089259419E-2</v>
      </c>
      <c r="G93" s="650">
        <f>'2.IP- TM'!I$9*'2.IP- TM'!$G27*'3.Bo gia'!I$21/10^9</f>
        <v>1.3142221901520134E-2</v>
      </c>
      <c r="H93" s="650">
        <f>'2.IP- TM'!J$9*'2.IP- TM'!$G27*'3.Bo gia'!J$21/10^9</f>
        <v>1.3273644120535335E-2</v>
      </c>
      <c r="I93" s="650">
        <f>'2.IP- TM'!K$9*'2.IP- TM'!$G27*'3.Bo gia'!K$21/10^9</f>
        <v>1.3406380561740688E-2</v>
      </c>
      <c r="J93" s="650">
        <f>'2.IP- TM'!L$9*'2.IP- TM'!$G27*'3.Bo gia'!L$21/10^9</f>
        <v>1.3540444367358096E-2</v>
      </c>
      <c r="K93" s="650">
        <f>'2.IP- TM'!M$9*'2.IP- TM'!$G27*'3.Bo gia'!M$21/10^9</f>
        <v>1.3675848811031678E-2</v>
      </c>
      <c r="L93" s="650">
        <f>'2.IP- TM'!N$9*'2.IP- TM'!$G27*'3.Bo gia'!N$21/10^9</f>
        <v>1.3812607299141995E-2</v>
      </c>
      <c r="M93" s="650">
        <f>'2.IP- TM'!O$9*'2.IP- TM'!$G27*'3.Bo gia'!O$21/10^9</f>
        <v>1.3950733372133416E-2</v>
      </c>
      <c r="N93" s="650">
        <f>'2.IP- TM'!P$9*'2.IP- TM'!$G27*'3.Bo gia'!P$21/10^9</f>
        <v>1.409024070585475E-2</v>
      </c>
    </row>
    <row r="94" spans="2:14" ht="16.5" customHeight="1" x14ac:dyDescent="0.25">
      <c r="B94" s="1416" t="s">
        <v>913</v>
      </c>
      <c r="C94" s="507" t="s">
        <v>1784</v>
      </c>
      <c r="D94" s="9" t="s">
        <v>884</v>
      </c>
      <c r="E94" s="650">
        <f>'2.IP- TM'!G$9*'2.IP- TM'!$G28*'3.Bo gia'!G$21/10^9</f>
        <v>6.0758232911739676E-5</v>
      </c>
      <c r="F94" s="650">
        <f>'2.IP- TM'!H$9*'2.IP- TM'!$G28*'3.Bo gia'!H$21/10^9</f>
        <v>6.1365815240857073E-5</v>
      </c>
      <c r="G94" s="650">
        <f>'2.IP- TM'!I$9*'2.IP- TM'!$G28*'3.Bo gia'!I$21/10^9</f>
        <v>6.1979473393265652E-5</v>
      </c>
      <c r="H94" s="650">
        <f>'2.IP- TM'!J$9*'2.IP- TM'!$G28*'3.Bo gia'!J$21/10^9</f>
        <v>6.2599268127198302E-5</v>
      </c>
      <c r="I94" s="650">
        <f>'2.IP- TM'!K$9*'2.IP- TM'!$G28*'3.Bo gia'!K$21/10^9</f>
        <v>6.3225260808470285E-5</v>
      </c>
      <c r="J94" s="650">
        <f>'2.IP- TM'!L$9*'2.IP- TM'!$G28*'3.Bo gia'!L$21/10^9</f>
        <v>6.3857513416554993E-5</v>
      </c>
      <c r="K94" s="650">
        <f>'2.IP- TM'!M$9*'2.IP- TM'!$G28*'3.Bo gia'!M$21/10^9</f>
        <v>6.4496088550720549E-5</v>
      </c>
      <c r="L94" s="650">
        <f>'2.IP- TM'!N$9*'2.IP- TM'!$G28*'3.Bo gia'!N$21/10^9</f>
        <v>6.5141049436227754E-5</v>
      </c>
      <c r="M94" s="650">
        <f>'2.IP- TM'!O$9*'2.IP- TM'!$G28*'3.Bo gia'!O$21/10^9</f>
        <v>6.5792459930590029E-5</v>
      </c>
      <c r="N94" s="650">
        <f>'2.IP- TM'!P$9*'2.IP- TM'!$G28*'3.Bo gia'!P$21/10^9</f>
        <v>6.6450384529895937E-5</v>
      </c>
    </row>
    <row r="95" spans="2:14" ht="16.5" customHeight="1" x14ac:dyDescent="0.25">
      <c r="B95" s="1416" t="s">
        <v>914</v>
      </c>
      <c r="C95" s="507" t="s">
        <v>1800</v>
      </c>
      <c r="D95" s="9" t="s">
        <v>884</v>
      </c>
      <c r="E95" s="650">
        <f>'2.IP- TM'!G$9*'2.IP- TM'!$G29*'3.Bo gia'!G$21/10^9</f>
        <v>0</v>
      </c>
      <c r="F95" s="650">
        <f>'2.IP- TM'!H$9*'2.IP- TM'!$G29*'3.Bo gia'!H$21/10^9</f>
        <v>0</v>
      </c>
      <c r="G95" s="650">
        <f>'2.IP- TM'!I$9*'2.IP- TM'!$G29*'3.Bo gia'!I$21/10^9</f>
        <v>0</v>
      </c>
      <c r="H95" s="650">
        <f>'2.IP- TM'!J$9*'2.IP- TM'!$G29*'3.Bo gia'!J$21/10^9</f>
        <v>0</v>
      </c>
      <c r="I95" s="650">
        <f>'2.IP- TM'!K$9*'2.IP- TM'!$G29*'3.Bo gia'!K$21/10^9</f>
        <v>0</v>
      </c>
      <c r="J95" s="650">
        <f>'2.IP- TM'!L$9*'2.IP- TM'!$G29*'3.Bo gia'!L$21/10^9</f>
        <v>0</v>
      </c>
      <c r="K95" s="650">
        <f>'2.IP- TM'!M$9*'2.IP- TM'!$G29*'3.Bo gia'!M$21/10^9</f>
        <v>0</v>
      </c>
      <c r="L95" s="650">
        <f>'2.IP- TM'!N$9*'2.IP- TM'!$G29*'3.Bo gia'!N$21/10^9</f>
        <v>0</v>
      </c>
      <c r="M95" s="650">
        <f>'2.IP- TM'!O$9*'2.IP- TM'!$G29*'3.Bo gia'!O$21/10^9</f>
        <v>0</v>
      </c>
      <c r="N95" s="650">
        <f>'2.IP- TM'!P$9*'2.IP- TM'!$G29*'3.Bo gia'!P$21/10^9</f>
        <v>0</v>
      </c>
    </row>
    <row r="96" spans="2:14" ht="16.5" customHeight="1" x14ac:dyDescent="0.25">
      <c r="B96" s="1416"/>
      <c r="C96" s="1416"/>
      <c r="D96" s="9"/>
      <c r="E96" s="650"/>
      <c r="F96" s="650"/>
      <c r="G96" s="650"/>
      <c r="H96" s="650"/>
      <c r="I96" s="650"/>
      <c r="J96" s="650"/>
      <c r="K96" s="650"/>
      <c r="L96" s="650"/>
      <c r="M96" s="650"/>
      <c r="N96" s="650"/>
    </row>
    <row r="97" spans="1:16" s="1" customFormat="1" x14ac:dyDescent="0.25">
      <c r="B97" s="1414" t="s">
        <v>888</v>
      </c>
      <c r="C97" s="1414"/>
      <c r="D97" s="644" t="s">
        <v>884</v>
      </c>
      <c r="E97" s="662">
        <f>E99</f>
        <v>12.761577146075775</v>
      </c>
      <c r="F97" s="662">
        <f t="shared" ref="F97:N97" si="30">F99</f>
        <v>12.889192917536532</v>
      </c>
      <c r="G97" s="662">
        <f t="shared" si="30"/>
        <v>13.018084846711897</v>
      </c>
      <c r="H97" s="662">
        <f t="shared" si="30"/>
        <v>13.148265695179017</v>
      </c>
      <c r="I97" s="662">
        <f t="shared" si="30"/>
        <v>13.279748352130806</v>
      </c>
      <c r="J97" s="662">
        <f t="shared" si="30"/>
        <v>13.412545835652114</v>
      </c>
      <c r="K97" s="662">
        <f t="shared" si="30"/>
        <v>13.546671294008636</v>
      </c>
      <c r="L97" s="662">
        <f t="shared" si="30"/>
        <v>13.682138006948723</v>
      </c>
      <c r="M97" s="662">
        <f t="shared" si="30"/>
        <v>13.818959387018211</v>
      </c>
      <c r="N97" s="662">
        <f t="shared" si="30"/>
        <v>13.957148980888393</v>
      </c>
    </row>
    <row r="98" spans="1:16" x14ac:dyDescent="0.25">
      <c r="B98" s="1228"/>
      <c r="C98" s="1228"/>
      <c r="D98" s="9"/>
      <c r="E98" s="652"/>
      <c r="F98" s="652"/>
      <c r="G98" s="653"/>
      <c r="H98" s="653"/>
      <c r="I98" s="653"/>
      <c r="J98" s="653"/>
      <c r="K98" s="653"/>
      <c r="L98" s="653"/>
      <c r="M98" s="653"/>
      <c r="N98" s="653"/>
    </row>
    <row r="99" spans="1:16" s="1" customFormat="1" ht="16.5" customHeight="1" x14ac:dyDescent="0.25">
      <c r="B99" s="639" t="s">
        <v>243</v>
      </c>
      <c r="C99" s="639"/>
      <c r="D99" s="628" t="s">
        <v>884</v>
      </c>
      <c r="E99" s="648">
        <f>E101+E109</f>
        <v>12.761577146075775</v>
      </c>
      <c r="F99" s="648">
        <f t="shared" ref="F99:N99" si="31">F101+F109</f>
        <v>12.889192917536532</v>
      </c>
      <c r="G99" s="648">
        <f t="shared" si="31"/>
        <v>13.018084846711897</v>
      </c>
      <c r="H99" s="648">
        <f t="shared" si="31"/>
        <v>13.148265695179017</v>
      </c>
      <c r="I99" s="648">
        <f t="shared" si="31"/>
        <v>13.279748352130806</v>
      </c>
      <c r="J99" s="648">
        <f t="shared" si="31"/>
        <v>13.412545835652114</v>
      </c>
      <c r="K99" s="648">
        <f t="shared" si="31"/>
        <v>13.546671294008636</v>
      </c>
      <c r="L99" s="648">
        <f t="shared" si="31"/>
        <v>13.682138006948723</v>
      </c>
      <c r="M99" s="648">
        <f t="shared" si="31"/>
        <v>13.818959387018211</v>
      </c>
      <c r="N99" s="648">
        <f t="shared" si="31"/>
        <v>13.957148980888393</v>
      </c>
    </row>
    <row r="100" spans="1:16" ht="16.5" customHeight="1" x14ac:dyDescent="0.25">
      <c r="B100" s="567"/>
      <c r="C100" s="567"/>
      <c r="D100" s="9"/>
      <c r="E100" s="650"/>
      <c r="F100" s="650"/>
      <c r="G100" s="650"/>
      <c r="H100" s="650"/>
      <c r="I100" s="650"/>
      <c r="J100" s="650"/>
      <c r="K100" s="650"/>
      <c r="L100" s="650"/>
      <c r="M100" s="650"/>
      <c r="N100" s="650"/>
    </row>
    <row r="101" spans="1:16" ht="16.5" customHeight="1" x14ac:dyDescent="0.25">
      <c r="B101" s="640" t="s">
        <v>654</v>
      </c>
      <c r="C101" s="640" t="s">
        <v>953</v>
      </c>
      <c r="D101" s="552" t="s">
        <v>884</v>
      </c>
      <c r="E101" s="649">
        <f>SUM(E102:E107)</f>
        <v>6.3154848504255838</v>
      </c>
      <c r="F101" s="649">
        <f t="shared" ref="F101" si="32">SUM(F102:F107)</f>
        <v>6.3786396989298391</v>
      </c>
      <c r="G101" s="649">
        <f t="shared" ref="G101" si="33">SUM(G102:G107)</f>
        <v>6.4424260959191377</v>
      </c>
      <c r="H101" s="649">
        <f t="shared" ref="H101" si="34">SUM(H102:H107)</f>
        <v>6.5068503568783287</v>
      </c>
      <c r="I101" s="649">
        <f t="shared" ref="I101" si="35">SUM(I102:I107)</f>
        <v>6.5719188604471119</v>
      </c>
      <c r="J101" s="649">
        <f t="shared" ref="J101" si="36">SUM(J102:J107)</f>
        <v>6.6376380490515832</v>
      </c>
      <c r="K101" s="649">
        <f t="shared" ref="K101" si="37">SUM(K102:K107)</f>
        <v>6.7040144295420987</v>
      </c>
      <c r="L101" s="649">
        <f t="shared" ref="L101" si="38">SUM(L102:L107)</f>
        <v>6.7710545738375201</v>
      </c>
      <c r="M101" s="649">
        <f t="shared" ref="M101" si="39">SUM(M102:M107)</f>
        <v>6.8387651195758954</v>
      </c>
      <c r="N101" s="649">
        <f t="shared" ref="N101" si="40">SUM(N102:N107)</f>
        <v>6.9071527707716545</v>
      </c>
    </row>
    <row r="102" spans="1:16" ht="16.5" customHeight="1" x14ac:dyDescent="0.25">
      <c r="B102" s="492" t="s">
        <v>903</v>
      </c>
      <c r="C102" s="507" t="s">
        <v>1774</v>
      </c>
      <c r="D102" s="9" t="s">
        <v>884</v>
      </c>
      <c r="E102" s="650">
        <f>'2.IP- TM'!G$10*'2.IP- TM'!$G15*'3.Bo gia'!G$13/10^9</f>
        <v>4.7725827589296905</v>
      </c>
      <c r="F102" s="650">
        <f>'2.IP- TM'!H$10*'2.IP- TM'!$G15*'3.Bo gia'!H$13/10^9</f>
        <v>4.8203085865189879</v>
      </c>
      <c r="G102" s="650">
        <f>'2.IP- TM'!I$10*'2.IP- TM'!$G15*'3.Bo gia'!I$13/10^9</f>
        <v>4.8685116723841775</v>
      </c>
      <c r="H102" s="650">
        <f>'2.IP- TM'!J$10*'2.IP- TM'!$G15*'3.Bo gia'!J$13/10^9</f>
        <v>4.9171967891080186</v>
      </c>
      <c r="I102" s="650">
        <f>'2.IP- TM'!K$10*'2.IP- TM'!$G15*'3.Bo gia'!K$13/10^9</f>
        <v>4.9663687569990991</v>
      </c>
      <c r="J102" s="650">
        <f>'2.IP- TM'!L$10*'2.IP- TM'!$G15*'3.Bo gia'!L$13/10^9</f>
        <v>5.01603244456909</v>
      </c>
      <c r="K102" s="650">
        <f>'2.IP- TM'!M$10*'2.IP- TM'!$G15*'3.Bo gia'!M$13/10^9</f>
        <v>5.0661927690147808</v>
      </c>
      <c r="L102" s="650">
        <f>'2.IP- TM'!N$10*'2.IP- TM'!$G15*'3.Bo gia'!N$13/10^9</f>
        <v>5.1168546967049284</v>
      </c>
      <c r="M102" s="650">
        <f>'2.IP- TM'!O$10*'2.IP- TM'!$G15*'3.Bo gia'!O$13/10^9</f>
        <v>5.1680232436719784</v>
      </c>
      <c r="N102" s="650">
        <f>'2.IP- TM'!P$10*'2.IP- TM'!$G15*'3.Bo gia'!P$13/10^9</f>
        <v>5.2197034761086982</v>
      </c>
    </row>
    <row r="103" spans="1:16" ht="16.5" customHeight="1" x14ac:dyDescent="0.25">
      <c r="B103" s="492" t="s">
        <v>904</v>
      </c>
      <c r="C103" s="507" t="s">
        <v>1775</v>
      </c>
      <c r="D103" s="9" t="s">
        <v>884</v>
      </c>
      <c r="E103" s="650">
        <f>'2.IP- TM'!G$10*'2.IP- TM'!$G16*'3.Bo gia'!G$13/10^9</f>
        <v>0.73507280635392214</v>
      </c>
      <c r="F103" s="650">
        <f>'2.IP- TM'!H$10*'2.IP- TM'!$G16*'3.Bo gia'!H$13/10^9</f>
        <v>0.74242353441746145</v>
      </c>
      <c r="G103" s="650">
        <f>'2.IP- TM'!I$10*'2.IP- TM'!$G16*'3.Bo gia'!I$13/10^9</f>
        <v>0.74984776976163592</v>
      </c>
      <c r="H103" s="650">
        <f>'2.IP- TM'!J$10*'2.IP- TM'!$G16*'3.Bo gia'!J$13/10^9</f>
        <v>0.75734624745925239</v>
      </c>
      <c r="I103" s="650">
        <f>'2.IP- TM'!K$10*'2.IP- TM'!$G16*'3.Bo gia'!K$13/10^9</f>
        <v>0.76491970993384495</v>
      </c>
      <c r="J103" s="650">
        <f>'2.IP- TM'!L$10*'2.IP- TM'!$G16*'3.Bo gia'!L$13/10^9</f>
        <v>0.77256890703318337</v>
      </c>
      <c r="K103" s="650">
        <f>'2.IP- TM'!M$10*'2.IP- TM'!$G16*'3.Bo gia'!M$13/10^9</f>
        <v>0.78029459610351515</v>
      </c>
      <c r="L103" s="650">
        <f>'2.IP- TM'!N$10*'2.IP- TM'!$G16*'3.Bo gia'!N$13/10^9</f>
        <v>0.78809754206455029</v>
      </c>
      <c r="M103" s="650">
        <f>'2.IP- TM'!O$10*'2.IP- TM'!$G16*'3.Bo gia'!O$13/10^9</f>
        <v>0.79597851748519577</v>
      </c>
      <c r="N103" s="650">
        <f>'2.IP- TM'!P$10*'2.IP- TM'!$G16*'3.Bo gia'!P$13/10^9</f>
        <v>0.80393830266004773</v>
      </c>
    </row>
    <row r="104" spans="1:16" ht="16.5" customHeight="1" x14ac:dyDescent="0.25">
      <c r="B104" s="492" t="s">
        <v>905</v>
      </c>
      <c r="C104" s="507" t="s">
        <v>1776</v>
      </c>
      <c r="D104" s="9" t="s">
        <v>884</v>
      </c>
      <c r="E104" s="650">
        <f>'2.IP- TM'!G$10*'2.IP- TM'!$G17*'3.Bo gia'!G$13/10^9</f>
        <v>0.41981334416104144</v>
      </c>
      <c r="F104" s="650">
        <f>'2.IP- TM'!H$10*'2.IP- TM'!$G17*'3.Bo gia'!H$13/10^9</f>
        <v>0.4240114776026519</v>
      </c>
      <c r="G104" s="650">
        <f>'2.IP- TM'!I$10*'2.IP- TM'!$G17*'3.Bo gia'!I$13/10^9</f>
        <v>0.42825159237867838</v>
      </c>
      <c r="H104" s="650">
        <f>'2.IP- TM'!J$10*'2.IP- TM'!$G17*'3.Bo gia'!J$13/10^9</f>
        <v>0.43253410830246519</v>
      </c>
      <c r="I104" s="650">
        <f>'2.IP- TM'!K$10*'2.IP- TM'!$G17*'3.Bo gia'!K$13/10^9</f>
        <v>0.43685944938548987</v>
      </c>
      <c r="J104" s="650">
        <f>'2.IP- TM'!L$10*'2.IP- TM'!$G17*'3.Bo gia'!L$13/10^9</f>
        <v>0.44122804387934478</v>
      </c>
      <c r="K104" s="650">
        <f>'2.IP- TM'!M$10*'2.IP- TM'!$G17*'3.Bo gia'!M$13/10^9</f>
        <v>0.44564032431813816</v>
      </c>
      <c r="L104" s="650">
        <f>'2.IP- TM'!N$10*'2.IP- TM'!$G17*'3.Bo gia'!N$13/10^9</f>
        <v>0.45009672756131952</v>
      </c>
      <c r="M104" s="650">
        <f>'2.IP- TM'!O$10*'2.IP- TM'!$G17*'3.Bo gia'!O$13/10^9</f>
        <v>0.4545976948369328</v>
      </c>
      <c r="N104" s="650">
        <f>'2.IP- TM'!P$10*'2.IP- TM'!$G17*'3.Bo gia'!P$13/10^9</f>
        <v>0.45914367178530208</v>
      </c>
    </row>
    <row r="105" spans="1:16" ht="16.5" customHeight="1" x14ac:dyDescent="0.25">
      <c r="B105" s="492" t="s">
        <v>906</v>
      </c>
      <c r="C105" s="507" t="s">
        <v>1777</v>
      </c>
      <c r="D105" s="9" t="s">
        <v>884</v>
      </c>
      <c r="E105" s="650">
        <f>'2.IP- TM'!G$10*'2.IP- TM'!$G18*'3.Bo gia'!G$13/10^9</f>
        <v>0.26110122138536479</v>
      </c>
      <c r="F105" s="650">
        <f>'2.IP- TM'!H$10*'2.IP- TM'!$G18*'3.Bo gia'!H$13/10^9</f>
        <v>0.26371223359921847</v>
      </c>
      <c r="G105" s="650">
        <f>'2.IP- TM'!I$10*'2.IP- TM'!$G18*'3.Bo gia'!I$13/10^9</f>
        <v>0.26634935593521064</v>
      </c>
      <c r="H105" s="650">
        <f>'2.IP- TM'!J$10*'2.IP- TM'!$G18*'3.Bo gia'!J$13/10^9</f>
        <v>0.26901284949456272</v>
      </c>
      <c r="I105" s="650">
        <f>'2.IP- TM'!K$10*'2.IP- TM'!$G18*'3.Bo gia'!K$13/10^9</f>
        <v>0.27170297798950838</v>
      </c>
      <c r="J105" s="650">
        <f>'2.IP- TM'!L$10*'2.IP- TM'!$G18*'3.Bo gia'!L$13/10^9</f>
        <v>0.27442000776940345</v>
      </c>
      <c r="K105" s="650">
        <f>'2.IP- TM'!M$10*'2.IP- TM'!$G18*'3.Bo gia'!M$13/10^9</f>
        <v>0.27716420784709744</v>
      </c>
      <c r="L105" s="650">
        <f>'2.IP- TM'!N$10*'2.IP- TM'!$G18*'3.Bo gia'!N$13/10^9</f>
        <v>0.27993584992556847</v>
      </c>
      <c r="M105" s="650">
        <f>'2.IP- TM'!O$10*'2.IP- TM'!$G18*'3.Bo gia'!O$13/10^9</f>
        <v>0.28273520842482419</v>
      </c>
      <c r="N105" s="650">
        <f>'2.IP- TM'!P$10*'2.IP- TM'!$G18*'3.Bo gia'!P$13/10^9</f>
        <v>0.28556256050907242</v>
      </c>
    </row>
    <row r="106" spans="1:16" ht="16.5" customHeight="1" x14ac:dyDescent="0.25">
      <c r="B106" s="492" t="s">
        <v>907</v>
      </c>
      <c r="C106" s="507" t="s">
        <v>1778</v>
      </c>
      <c r="D106" s="9" t="s">
        <v>884</v>
      </c>
      <c r="E106" s="650">
        <f>'2.IP- TM'!G$10*'2.IP- TM'!$G19*'3.Bo gia'!G$13/10^9</f>
        <v>0.11729775542964893</v>
      </c>
      <c r="F106" s="650">
        <f>'2.IP- TM'!H$10*'2.IP- TM'!$G19*'3.Bo gia'!H$13/10^9</f>
        <v>0.11847073298394545</v>
      </c>
      <c r="G106" s="650">
        <f>'2.IP- TM'!I$10*'2.IP- TM'!$G19*'3.Bo gia'!I$13/10^9</f>
        <v>0.11965544031378489</v>
      </c>
      <c r="H106" s="650">
        <f>'2.IP- TM'!J$10*'2.IP- TM'!$G19*'3.Bo gia'!J$13/10^9</f>
        <v>0.12085199471692275</v>
      </c>
      <c r="I106" s="650">
        <f>'2.IP- TM'!K$10*'2.IP- TM'!$G19*'3.Bo gia'!K$13/10^9</f>
        <v>0.12206051466409197</v>
      </c>
      <c r="J106" s="650">
        <f>'2.IP- TM'!L$10*'2.IP- TM'!$G19*'3.Bo gia'!L$13/10^9</f>
        <v>0.12328111981073289</v>
      </c>
      <c r="K106" s="650">
        <f>'2.IP- TM'!M$10*'2.IP- TM'!$G19*'3.Bo gia'!M$13/10^9</f>
        <v>0.1245139310088402</v>
      </c>
      <c r="L106" s="650">
        <f>'2.IP- TM'!N$10*'2.IP- TM'!$G19*'3.Bo gia'!N$13/10^9</f>
        <v>0.12575907031892861</v>
      </c>
      <c r="M106" s="650">
        <f>'2.IP- TM'!O$10*'2.IP- TM'!$G19*'3.Bo gia'!O$13/10^9</f>
        <v>0.12701666102211792</v>
      </c>
      <c r="N106" s="650">
        <f>'2.IP- TM'!P$10*'2.IP- TM'!$G19*'3.Bo gia'!P$13/10^9</f>
        <v>0.12828682763233909</v>
      </c>
    </row>
    <row r="107" spans="1:16" ht="16.5" customHeight="1" x14ac:dyDescent="0.25">
      <c r="B107" s="492" t="s">
        <v>908</v>
      </c>
      <c r="C107" s="507" t="s">
        <v>1779</v>
      </c>
      <c r="D107" s="9" t="s">
        <v>884</v>
      </c>
      <c r="E107" s="650">
        <f>'2.IP- TM'!G$10*'2.IP- TM'!$G20*'3.Bo gia'!G$13/10^9</f>
        <v>9.6169641659154086E-3</v>
      </c>
      <c r="F107" s="650">
        <f>'2.IP- TM'!H$10*'2.IP- TM'!$G20*'3.Bo gia'!H$13/10^9</f>
        <v>9.713133807574565E-3</v>
      </c>
      <c r="G107" s="650">
        <f>'2.IP- TM'!I$10*'2.IP- TM'!$G20*'3.Bo gia'!I$13/10^9</f>
        <v>9.8102651456503081E-3</v>
      </c>
      <c r="H107" s="650">
        <f>'2.IP- TM'!J$10*'2.IP- TM'!$G20*'3.Bo gia'!J$13/10^9</f>
        <v>9.9083677971068124E-3</v>
      </c>
      <c r="I107" s="650">
        <f>'2.IP- TM'!K$10*'2.IP- TM'!$G20*'3.Bo gia'!K$13/10^9</f>
        <v>1.000745147507788E-2</v>
      </c>
      <c r="J107" s="650">
        <f>'2.IP- TM'!L$10*'2.IP- TM'!$G20*'3.Bo gia'!L$13/10^9</f>
        <v>1.0107525989828659E-2</v>
      </c>
      <c r="K107" s="650">
        <f>'2.IP- TM'!M$10*'2.IP- TM'!$G20*'3.Bo gia'!M$13/10^9</f>
        <v>1.0208601249726945E-2</v>
      </c>
      <c r="L107" s="650">
        <f>'2.IP- TM'!N$10*'2.IP- TM'!$G20*'3.Bo gia'!N$13/10^9</f>
        <v>1.0310687262224214E-2</v>
      </c>
      <c r="M107" s="650">
        <f>'2.IP- TM'!O$10*'2.IP- TM'!$G20*'3.Bo gia'!O$13/10^9</f>
        <v>1.0413794134846457E-2</v>
      </c>
      <c r="N107" s="650">
        <f>'2.IP- TM'!P$10*'2.IP- TM'!$G20*'3.Bo gia'!P$13/10^9</f>
        <v>1.0517932076194923E-2</v>
      </c>
    </row>
    <row r="108" spans="1:16" ht="16.5" customHeight="1" x14ac:dyDescent="0.25">
      <c r="B108" s="492"/>
      <c r="C108" s="492"/>
      <c r="D108" s="9"/>
      <c r="E108" s="650"/>
      <c r="F108" s="650"/>
      <c r="G108" s="650"/>
      <c r="H108" s="650"/>
      <c r="I108" s="650"/>
      <c r="J108" s="650"/>
      <c r="K108" s="650"/>
      <c r="L108" s="650"/>
      <c r="M108" s="650"/>
      <c r="N108" s="650"/>
    </row>
    <row r="109" spans="1:16" s="645" customFormat="1" ht="16.5" customHeight="1" x14ac:dyDescent="0.25">
      <c r="A109"/>
      <c r="B109" s="1415" t="s">
        <v>865</v>
      </c>
      <c r="C109" s="640" t="s">
        <v>955</v>
      </c>
      <c r="D109" s="552" t="s">
        <v>884</v>
      </c>
      <c r="E109" s="651">
        <f>SUM(E110:E115)</f>
        <v>6.4460922956501907</v>
      </c>
      <c r="F109" s="651">
        <f t="shared" ref="F109" si="41">SUM(F110:F115)</f>
        <v>6.5105532186066926</v>
      </c>
      <c r="G109" s="651">
        <f t="shared" ref="G109" si="42">SUM(G110:G115)</f>
        <v>6.5756587507927584</v>
      </c>
      <c r="H109" s="651">
        <f t="shared" ref="H109" si="43">SUM(H110:H115)</f>
        <v>6.6414153383006873</v>
      </c>
      <c r="I109" s="651">
        <f t="shared" ref="I109" si="44">SUM(I110:I115)</f>
        <v>6.7078294916836949</v>
      </c>
      <c r="J109" s="651">
        <f>SUM(J110:J115)</f>
        <v>6.7749077866005321</v>
      </c>
      <c r="K109" s="651">
        <f t="shared" ref="K109" si="45">SUM(K110:K115)</f>
        <v>6.8426568644665373</v>
      </c>
      <c r="L109" s="651">
        <f t="shared" ref="L109" si="46">SUM(L110:L115)</f>
        <v>6.9110834331112034</v>
      </c>
      <c r="M109" s="651">
        <f t="shared" ref="M109" si="47">SUM(M110:M115)</f>
        <v>6.9801942674423154</v>
      </c>
      <c r="N109" s="651">
        <f t="shared" ref="N109" si="48">SUM(N110:N115)</f>
        <v>7.0499962101167384</v>
      </c>
      <c r="O109" s="646"/>
      <c r="P109" s="646"/>
    </row>
    <row r="110" spans="1:16" ht="16.5" customHeight="1" x14ac:dyDescent="0.25">
      <c r="B110" s="1416" t="s">
        <v>909</v>
      </c>
      <c r="C110" s="507" t="s">
        <v>1780</v>
      </c>
      <c r="D110" s="9" t="s">
        <v>884</v>
      </c>
      <c r="E110" s="650">
        <f>'2.IP- TM'!G$10*'2.IP- TM'!$G24*'3.Bo gia'!G$21/10^9</f>
        <v>5.8320093094510623</v>
      </c>
      <c r="F110" s="650">
        <f>'2.IP- TM'!H$10*'2.IP- TM'!$G24*'3.Bo gia'!H$21/10^9</f>
        <v>5.8903294025455732</v>
      </c>
      <c r="G110" s="650">
        <f>'2.IP- TM'!I$10*'2.IP- TM'!$G24*'3.Bo gia'!I$21/10^9</f>
        <v>5.9492326965710287</v>
      </c>
      <c r="H110" s="650">
        <f>'2.IP- TM'!J$10*'2.IP- TM'!$G24*'3.Bo gia'!J$21/10^9</f>
        <v>6.0087250235367398</v>
      </c>
      <c r="I110" s="650">
        <f>'2.IP- TM'!K$10*'2.IP- TM'!$G24*'3.Bo gia'!K$21/10^9</f>
        <v>6.0688122737721075</v>
      </c>
      <c r="J110" s="650">
        <f>'2.IP- TM'!L$10*'2.IP- TM'!$G24*'3.Bo gia'!L$21/10^9</f>
        <v>6.1295003965098287</v>
      </c>
      <c r="K110" s="650">
        <f>'2.IP- TM'!M$10*'2.IP- TM'!$G24*'3.Bo gia'!M$21/10^9</f>
        <v>6.1907954004749266</v>
      </c>
      <c r="L110" s="650">
        <f>'2.IP- TM'!N$10*'2.IP- TM'!$G24*'3.Bo gia'!N$21/10^9</f>
        <v>6.2527033544796771</v>
      </c>
      <c r="M110" s="650">
        <f>'2.IP- TM'!O$10*'2.IP- TM'!$G24*'3.Bo gia'!O$21/10^9</f>
        <v>6.3152303880244736</v>
      </c>
      <c r="N110" s="650">
        <f>'2.IP- TM'!P$10*'2.IP- TM'!$G24*'3.Bo gia'!P$21/10^9</f>
        <v>6.3783826919047186</v>
      </c>
    </row>
    <row r="111" spans="1:16" ht="16.5" customHeight="1" x14ac:dyDescent="0.25">
      <c r="B111" s="1416" t="s">
        <v>910</v>
      </c>
      <c r="C111" s="507" t="s">
        <v>1781</v>
      </c>
      <c r="D111" s="9" t="s">
        <v>884</v>
      </c>
      <c r="E111" s="650">
        <f>'2.IP- TM'!G$10*'2.IP- TM'!$G25*'3.Bo gia'!G$21/10^9</f>
        <v>0.58169768367261676</v>
      </c>
      <c r="F111" s="650">
        <f>'2.IP- TM'!H$10*'2.IP- TM'!$G25*'3.Bo gia'!H$21/10^9</f>
        <v>0.58751466050934276</v>
      </c>
      <c r="G111" s="650">
        <f>'2.IP- TM'!I$10*'2.IP- TM'!$G25*'3.Bo gia'!I$21/10^9</f>
        <v>0.59338980711443623</v>
      </c>
      <c r="H111" s="650">
        <f>'2.IP- TM'!J$10*'2.IP- TM'!$G25*'3.Bo gia'!J$21/10^9</f>
        <v>0.59932370518558076</v>
      </c>
      <c r="I111" s="650">
        <f>'2.IP- TM'!K$10*'2.IP- TM'!$G25*'3.Bo gia'!K$21/10^9</f>
        <v>0.60531694223743648</v>
      </c>
      <c r="J111" s="650">
        <f>'2.IP- TM'!L$10*'2.IP- TM'!$G25*'3.Bo gia'!L$21/10^9</f>
        <v>0.61137011165981092</v>
      </c>
      <c r="K111" s="650">
        <f>'2.IP- TM'!M$10*'2.IP- TM'!$G25*'3.Bo gia'!M$21/10^9</f>
        <v>0.61748381277640907</v>
      </c>
      <c r="L111" s="650">
        <f>'2.IP- TM'!N$10*'2.IP- TM'!$G25*'3.Bo gia'!N$21/10^9</f>
        <v>0.62365865090417327</v>
      </c>
      <c r="M111" s="650">
        <f>'2.IP- TM'!O$10*'2.IP- TM'!$G25*'3.Bo gia'!O$21/10^9</f>
        <v>0.62989523741321496</v>
      </c>
      <c r="N111" s="650">
        <f>'2.IP- TM'!P$10*'2.IP- TM'!$G25*'3.Bo gia'!P$21/10^9</f>
        <v>0.6361941897873471</v>
      </c>
    </row>
    <row r="112" spans="1:16" ht="16.5" customHeight="1" x14ac:dyDescent="0.25">
      <c r="B112" s="1416" t="s">
        <v>911</v>
      </c>
      <c r="C112" s="507" t="s">
        <v>1782</v>
      </c>
      <c r="D112" s="9" t="s">
        <v>884</v>
      </c>
      <c r="E112" s="650">
        <f>'2.IP- TM'!G$10*'2.IP- TM'!$G26*'3.Bo gia'!G$21/10^9</f>
        <v>2.5415442133910768E-2</v>
      </c>
      <c r="F112" s="650">
        <f>'2.IP- TM'!H$10*'2.IP- TM'!$G26*'3.Bo gia'!H$21/10^9</f>
        <v>2.5669596555249873E-2</v>
      </c>
      <c r="G112" s="650">
        <f>'2.IP- TM'!I$10*'2.IP- TM'!$G26*'3.Bo gia'!I$21/10^9</f>
        <v>2.5926292520802374E-2</v>
      </c>
      <c r="H112" s="650">
        <f>'2.IP- TM'!J$10*'2.IP- TM'!$G26*'3.Bo gia'!J$21/10^9</f>
        <v>2.6185555446010398E-2</v>
      </c>
      <c r="I112" s="650">
        <f>'2.IP- TM'!K$10*'2.IP- TM'!$G26*'3.Bo gia'!K$21/10^9</f>
        <v>2.6447411000470499E-2</v>
      </c>
      <c r="J112" s="650">
        <f>'2.IP- TM'!L$10*'2.IP- TM'!$G26*'3.Bo gia'!L$21/10^9</f>
        <v>2.671188511047521E-2</v>
      </c>
      <c r="K112" s="650">
        <f>'2.IP- TM'!M$10*'2.IP- TM'!$G26*'3.Bo gia'!M$21/10^9</f>
        <v>2.6979003961579963E-2</v>
      </c>
      <c r="L112" s="650">
        <f>'2.IP- TM'!N$10*'2.IP- TM'!$G26*'3.Bo gia'!N$21/10^9</f>
        <v>2.7248794001195766E-2</v>
      </c>
      <c r="M112" s="650">
        <f>'2.IP- TM'!O$10*'2.IP- TM'!$G26*'3.Bo gia'!O$21/10^9</f>
        <v>2.7521281941207721E-2</v>
      </c>
      <c r="N112" s="650">
        <f>'2.IP- TM'!P$10*'2.IP- TM'!$G26*'3.Bo gia'!P$21/10^9</f>
        <v>2.7796494760619801E-2</v>
      </c>
    </row>
    <row r="113" spans="2:14" ht="16.5" customHeight="1" x14ac:dyDescent="0.25">
      <c r="B113" s="1416" t="s">
        <v>912</v>
      </c>
      <c r="C113" s="507" t="s">
        <v>1783</v>
      </c>
      <c r="D113" s="9" t="s">
        <v>884</v>
      </c>
      <c r="E113" s="650">
        <f>'2.IP- TM'!G$10*'2.IP- TM'!$G27*'3.Bo gia'!G$21/10^9</f>
        <v>6.9371444210327001E-3</v>
      </c>
      <c r="F113" s="650">
        <f>'2.IP- TM'!H$10*'2.IP- TM'!$G27*'3.Bo gia'!H$21/10^9</f>
        <v>7.0065158652430262E-3</v>
      </c>
      <c r="G113" s="650">
        <f>'2.IP- TM'!I$10*'2.IP- TM'!$G27*'3.Bo gia'!I$21/10^9</f>
        <v>7.0765810238954561E-3</v>
      </c>
      <c r="H113" s="650">
        <f>'2.IP- TM'!J$10*'2.IP- TM'!$G27*'3.Bo gia'!J$21/10^9</f>
        <v>7.1473468341344123E-3</v>
      </c>
      <c r="I113" s="650">
        <f>'2.IP- TM'!K$10*'2.IP- TM'!$G27*'3.Bo gia'!K$21/10^9</f>
        <v>7.2188203024757562E-3</v>
      </c>
      <c r="J113" s="650">
        <f>'2.IP- TM'!L$10*'2.IP- TM'!$G27*'3.Bo gia'!L$21/10^9</f>
        <v>7.2910085055005137E-3</v>
      </c>
      <c r="K113" s="650">
        <f>'2.IP- TM'!M$10*'2.IP- TM'!$G27*'3.Bo gia'!M$21/10^9</f>
        <v>7.36391859055552E-3</v>
      </c>
      <c r="L113" s="650">
        <f>'2.IP- TM'!N$10*'2.IP- TM'!$G27*'3.Bo gia'!N$21/10^9</f>
        <v>7.437557776461076E-3</v>
      </c>
      <c r="M113" s="650">
        <f>'2.IP- TM'!O$10*'2.IP- TM'!$G27*'3.Bo gia'!O$21/10^9</f>
        <v>7.5119333542256854E-3</v>
      </c>
      <c r="N113" s="650">
        <f>'2.IP- TM'!P$10*'2.IP- TM'!$G27*'3.Bo gia'!P$21/10^9</f>
        <v>7.5870526877679428E-3</v>
      </c>
    </row>
    <row r="114" spans="2:14" ht="16.5" customHeight="1" x14ac:dyDescent="0.25">
      <c r="B114" s="1416" t="s">
        <v>913</v>
      </c>
      <c r="C114" s="507" t="s">
        <v>1784</v>
      </c>
      <c r="D114" s="9" t="s">
        <v>884</v>
      </c>
      <c r="E114" s="650">
        <f>'2.IP- TM'!G$10*'2.IP- TM'!$G28*'3.Bo gia'!G$21/10^9</f>
        <v>3.2715971567859823E-5</v>
      </c>
      <c r="F114" s="650">
        <f>'2.IP- TM'!H$10*'2.IP- TM'!$G28*'3.Bo gia'!H$21/10^9</f>
        <v>3.3043131283538425E-5</v>
      </c>
      <c r="G114" s="650">
        <f>'2.IP- TM'!I$10*'2.IP- TM'!$G28*'3.Bo gia'!I$21/10^9</f>
        <v>3.3373562596373812E-5</v>
      </c>
      <c r="H114" s="650">
        <f>'2.IP- TM'!J$10*'2.IP- TM'!$G28*'3.Bo gia'!J$21/10^9</f>
        <v>3.3707298222337552E-5</v>
      </c>
      <c r="I114" s="650">
        <f>'2.IP- TM'!K$10*'2.IP- TM'!$G28*'3.Bo gia'!K$21/10^9</f>
        <v>3.4044371204560926E-5</v>
      </c>
      <c r="J114" s="650">
        <f>'2.IP- TM'!L$10*'2.IP- TM'!$G28*'3.Bo gia'!L$21/10^9</f>
        <v>3.4384814916606541E-5</v>
      </c>
      <c r="K114" s="650">
        <f>'2.IP- TM'!M$10*'2.IP- TM'!$G28*'3.Bo gia'!M$21/10^9</f>
        <v>3.4728663065772607E-5</v>
      </c>
      <c r="L114" s="650">
        <f>'2.IP- TM'!N$10*'2.IP- TM'!$G28*'3.Bo gia'!N$21/10^9</f>
        <v>3.5075949696430335E-5</v>
      </c>
      <c r="M114" s="650">
        <f>'2.IP- TM'!O$10*'2.IP- TM'!$G28*'3.Bo gia'!O$21/10^9</f>
        <v>3.5426709193394639E-5</v>
      </c>
      <c r="N114" s="650">
        <f>'2.IP- TM'!P$10*'2.IP- TM'!$G28*'3.Bo gia'!P$21/10^9</f>
        <v>3.5780976285328587E-5</v>
      </c>
    </row>
    <row r="115" spans="2:14" ht="16.5" customHeight="1" x14ac:dyDescent="0.25">
      <c r="B115" s="1416" t="s">
        <v>914</v>
      </c>
      <c r="C115" s="507" t="s">
        <v>1800</v>
      </c>
      <c r="D115" s="9" t="s">
        <v>884</v>
      </c>
      <c r="E115" s="650">
        <f>'2.IP- TM'!G$10*'2.IP- TM'!$G29*'3.Bo gia'!G$21/10^9</f>
        <v>0</v>
      </c>
      <c r="F115" s="650">
        <f>'2.IP- TM'!H$10*'2.IP- TM'!$G29*'3.Bo gia'!H$21/10^9</f>
        <v>0</v>
      </c>
      <c r="G115" s="650">
        <f>'2.IP- TM'!I$10*'2.IP- TM'!$G29*'3.Bo gia'!I$21/10^9</f>
        <v>0</v>
      </c>
      <c r="H115" s="650">
        <f>'2.IP- TM'!J$10*'2.IP- TM'!$G29*'3.Bo gia'!J$21/10^9</f>
        <v>0</v>
      </c>
      <c r="I115" s="650">
        <f>'2.IP- TM'!K$10*'2.IP- TM'!$G29*'3.Bo gia'!K$21/10^9</f>
        <v>0</v>
      </c>
      <c r="J115" s="650">
        <f>'2.IP- TM'!L$10*'2.IP- TM'!$G29*'3.Bo gia'!L$21/10^9</f>
        <v>0</v>
      </c>
      <c r="K115" s="650">
        <f>'2.IP- TM'!M$10*'2.IP- TM'!$G29*'3.Bo gia'!M$21/10^9</f>
        <v>0</v>
      </c>
      <c r="L115" s="650">
        <f>'2.IP- TM'!N$10*'2.IP- TM'!$G29*'3.Bo gia'!N$21/10^9</f>
        <v>0</v>
      </c>
      <c r="M115" s="650">
        <f>'2.IP- TM'!O$10*'2.IP- TM'!$G29*'3.Bo gia'!O$21/10^9</f>
        <v>0</v>
      </c>
      <c r="N115" s="650">
        <f>'2.IP- TM'!P$10*'2.IP- TM'!$G29*'3.Bo gia'!P$21/10^9</f>
        <v>0</v>
      </c>
    </row>
    <row r="116" spans="2:14" ht="15.75" customHeight="1" x14ac:dyDescent="0.25">
      <c r="E116" s="653"/>
      <c r="F116" s="653"/>
      <c r="G116" s="653"/>
      <c r="H116" s="653"/>
      <c r="I116" s="653"/>
      <c r="J116" s="653"/>
      <c r="K116" s="653"/>
      <c r="L116" s="653"/>
      <c r="M116" s="653"/>
      <c r="N116" s="653"/>
    </row>
    <row r="117" spans="2:14" s="1" customFormat="1" x14ac:dyDescent="0.25">
      <c r="B117" s="1414" t="s">
        <v>889</v>
      </c>
      <c r="C117" s="1414"/>
      <c r="D117" s="644" t="s">
        <v>884</v>
      </c>
      <c r="E117" s="662">
        <f>E119</f>
        <v>10.225363966005814</v>
      </c>
      <c r="F117" s="662">
        <f t="shared" ref="F117:N117" si="49">F119</f>
        <v>10.43089378172253</v>
      </c>
      <c r="G117" s="662">
        <f t="shared" si="49"/>
        <v>10.640554746735155</v>
      </c>
      <c r="H117" s="662">
        <f t="shared" si="49"/>
        <v>10.854429897144529</v>
      </c>
      <c r="I117" s="662">
        <f t="shared" si="49"/>
        <v>11.072603938077135</v>
      </c>
      <c r="J117" s="662">
        <f t="shared" si="49"/>
        <v>11.295163277232486</v>
      </c>
      <c r="K117" s="662">
        <f t="shared" si="49"/>
        <v>11.522196059104861</v>
      </c>
      <c r="L117" s="662">
        <f t="shared" si="49"/>
        <v>11.753792199892866</v>
      </c>
      <c r="M117" s="662">
        <f t="shared" si="49"/>
        <v>11.990043423110714</v>
      </c>
      <c r="N117" s="662">
        <f t="shared" si="49"/>
        <v>12.231043295915239</v>
      </c>
    </row>
    <row r="118" spans="2:14" x14ac:dyDescent="0.25">
      <c r="B118" s="1228"/>
      <c r="C118" s="1228"/>
      <c r="D118" s="9"/>
      <c r="E118" s="652"/>
      <c r="F118" s="652"/>
      <c r="G118" s="653"/>
      <c r="H118" s="653"/>
      <c r="I118" s="653"/>
      <c r="J118" s="653"/>
      <c r="K118" s="653"/>
      <c r="L118" s="653"/>
      <c r="M118" s="653"/>
      <c r="N118" s="653"/>
    </row>
    <row r="119" spans="2:14" s="1" customFormat="1" ht="16.5" customHeight="1" x14ac:dyDescent="0.25">
      <c r="B119" s="639" t="s">
        <v>243</v>
      </c>
      <c r="C119" s="639" t="s">
        <v>954</v>
      </c>
      <c r="D119" s="628" t="s">
        <v>884</v>
      </c>
      <c r="E119" s="648">
        <f>E121</f>
        <v>10.225363966005814</v>
      </c>
      <c r="F119" s="648">
        <f t="shared" ref="F119:N119" si="50">F121</f>
        <v>10.43089378172253</v>
      </c>
      <c r="G119" s="648">
        <f t="shared" si="50"/>
        <v>10.640554746735155</v>
      </c>
      <c r="H119" s="648">
        <f t="shared" si="50"/>
        <v>10.854429897144529</v>
      </c>
      <c r="I119" s="648">
        <f t="shared" si="50"/>
        <v>11.072603938077135</v>
      </c>
      <c r="J119" s="648">
        <f t="shared" si="50"/>
        <v>11.295163277232486</v>
      </c>
      <c r="K119" s="648">
        <f t="shared" si="50"/>
        <v>11.522196059104861</v>
      </c>
      <c r="L119" s="648">
        <f t="shared" si="50"/>
        <v>11.753792199892866</v>
      </c>
      <c r="M119" s="648">
        <f t="shared" si="50"/>
        <v>11.990043423110714</v>
      </c>
      <c r="N119" s="648">
        <f t="shared" si="50"/>
        <v>12.231043295915239</v>
      </c>
    </row>
    <row r="120" spans="2:14" ht="16.5" customHeight="1" x14ac:dyDescent="0.25">
      <c r="B120" s="567"/>
      <c r="C120" s="567"/>
      <c r="D120" s="9"/>
      <c r="E120" s="650"/>
      <c r="F120" s="650"/>
      <c r="G120" s="650"/>
      <c r="H120" s="650"/>
      <c r="I120" s="650"/>
      <c r="J120" s="650"/>
      <c r="K120" s="650"/>
      <c r="L120" s="650"/>
      <c r="M120" s="650"/>
      <c r="N120" s="650"/>
    </row>
    <row r="121" spans="2:14" s="9" customFormat="1" ht="16.5" customHeight="1" x14ac:dyDescent="0.25">
      <c r="B121" s="492" t="s">
        <v>915</v>
      </c>
      <c r="C121" s="492"/>
      <c r="D121" s="9" t="s">
        <v>884</v>
      </c>
      <c r="E121" s="650">
        <f>'3.Bo gia'!G29*'2.IP- TM'!G34/10^9</f>
        <v>10.225363966005814</v>
      </c>
      <c r="F121" s="650">
        <f>'3.Bo gia'!H29*'2.IP- TM'!H34/10^9</f>
        <v>10.43089378172253</v>
      </c>
      <c r="G121" s="650">
        <f>'3.Bo gia'!I29*'2.IP- TM'!I34/10^9</f>
        <v>10.640554746735155</v>
      </c>
      <c r="H121" s="650">
        <f>'3.Bo gia'!J29*'2.IP- TM'!J34/10^9</f>
        <v>10.854429897144529</v>
      </c>
      <c r="I121" s="650">
        <f>'3.Bo gia'!K29*'2.IP- TM'!K34/10^9</f>
        <v>11.072603938077135</v>
      </c>
      <c r="J121" s="650">
        <f>'3.Bo gia'!L29*'2.IP- TM'!L34/10^9</f>
        <v>11.295163277232486</v>
      </c>
      <c r="K121" s="650">
        <f>'3.Bo gia'!M29*'2.IP- TM'!M34/10^9</f>
        <v>11.522196059104861</v>
      </c>
      <c r="L121" s="650">
        <f>'3.Bo gia'!N29*'2.IP- TM'!N34/10^9</f>
        <v>11.753792199892866</v>
      </c>
      <c r="M121" s="650">
        <f>'3.Bo gia'!O29*'2.IP- TM'!O34/10^9</f>
        <v>11.990043423110714</v>
      </c>
      <c r="N121" s="650">
        <f>'3.Bo gia'!P29*'2.IP- TM'!P34/10^9</f>
        <v>12.231043295915239</v>
      </c>
    </row>
    <row r="122" spans="2:14" ht="15.75" customHeight="1" x14ac:dyDescent="0.25"/>
    <row r="123" spans="2:14" ht="15.75" customHeight="1" x14ac:dyDescent="0.25"/>
    <row r="124" spans="2:14" s="129" customFormat="1" ht="15.75" customHeight="1" x14ac:dyDescent="0.25">
      <c r="B124" s="642"/>
      <c r="C124" s="642"/>
      <c r="E124" s="641"/>
      <c r="F124" s="641"/>
      <c r="G124" s="641"/>
      <c r="H124" s="641"/>
      <c r="I124" s="641"/>
      <c r="J124" s="641"/>
      <c r="K124" s="641"/>
      <c r="L124" s="641"/>
      <c r="M124" s="641"/>
      <c r="N124" s="641"/>
    </row>
    <row r="125" spans="2:14" ht="15.75" customHeight="1" x14ac:dyDescent="0.25"/>
    <row r="126" spans="2:14" ht="15.75" customHeight="1" x14ac:dyDescent="0.25"/>
    <row r="127" spans="2:14" ht="15.75" customHeight="1" x14ac:dyDescent="0.25"/>
    <row r="128" spans="2:14"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sheetData>
  <dataValidations count="1">
    <dataValidation type="list" allowBlank="1" showInputMessage="1" showErrorMessage="1" sqref="B7" xr:uid="{9A67E202-51E2-4E52-A3D9-DD196C1A6BFF}">
      <formula1>$B$19:$B$121</formula1>
    </dataValidation>
  </dataValidations>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B5FAB-8103-4E22-9DAD-A4EB2310C73E}">
  <sheetPr codeName="Sheet19">
    <tabColor theme="8" tint="0.39997558519241921"/>
  </sheetPr>
  <dimension ref="B2:N145"/>
  <sheetViews>
    <sheetView showGridLines="0" showZeros="0" tabSelected="1" zoomScale="70" zoomScaleNormal="70" workbookViewId="0">
      <pane xSplit="2" ySplit="7" topLeftCell="C8" activePane="bottomRight" state="frozen"/>
      <selection activeCell="AH60" sqref="AH60:AL70"/>
      <selection pane="topRight" activeCell="AH60" sqref="AH60:AL70"/>
      <selection pane="bottomLeft" activeCell="AH60" sqref="AH60:AL70"/>
      <selection pane="bottomRight" activeCell="D27" sqref="D27"/>
    </sheetView>
  </sheetViews>
  <sheetFormatPr defaultColWidth="9.140625" defaultRowHeight="15" x14ac:dyDescent="0.25"/>
  <cols>
    <col min="2" max="2" width="53.140625" style="60" customWidth="1"/>
    <col min="3" max="3" width="10.42578125" bestFit="1" customWidth="1"/>
    <col min="4" max="13" width="19.28515625" bestFit="1" customWidth="1"/>
  </cols>
  <sheetData>
    <row r="2" spans="2:13" x14ac:dyDescent="0.25">
      <c r="B2" s="1" t="s">
        <v>764</v>
      </c>
      <c r="G2" s="3">
        <v>230000</v>
      </c>
      <c r="H2">
        <v>0.73</v>
      </c>
      <c r="I2" s="79">
        <f>G2*H2</f>
        <v>167900</v>
      </c>
    </row>
    <row r="4" spans="2:13" s="1" customFormat="1" x14ac:dyDescent="0.25">
      <c r="B4" s="160" t="s">
        <v>246</v>
      </c>
      <c r="D4" s="1">
        <f>'[29]PL1. Input'!C23</f>
        <v>2024</v>
      </c>
      <c r="E4" s="1">
        <f t="shared" ref="E4:M5" si="0">D4+1</f>
        <v>2025</v>
      </c>
      <c r="F4" s="1">
        <f t="shared" si="0"/>
        <v>2026</v>
      </c>
      <c r="G4" s="1">
        <f t="shared" si="0"/>
        <v>2027</v>
      </c>
      <c r="H4" s="1">
        <f t="shared" si="0"/>
        <v>2028</v>
      </c>
      <c r="I4" s="1">
        <f t="shared" si="0"/>
        <v>2029</v>
      </c>
      <c r="J4" s="1">
        <f t="shared" si="0"/>
        <v>2030</v>
      </c>
      <c r="K4" s="1">
        <f t="shared" si="0"/>
        <v>2031</v>
      </c>
      <c r="L4" s="1">
        <f t="shared" si="0"/>
        <v>2032</v>
      </c>
      <c r="M4" s="1">
        <f t="shared" si="0"/>
        <v>2033</v>
      </c>
    </row>
    <row r="5" spans="2:13" x14ac:dyDescent="0.25">
      <c r="B5" s="474" t="s">
        <v>759</v>
      </c>
      <c r="D5" s="474">
        <v>1</v>
      </c>
      <c r="E5" s="474">
        <f t="shared" si="0"/>
        <v>2</v>
      </c>
      <c r="F5" s="474">
        <f t="shared" si="0"/>
        <v>3</v>
      </c>
      <c r="G5" s="474">
        <f t="shared" si="0"/>
        <v>4</v>
      </c>
      <c r="H5" s="474">
        <f t="shared" si="0"/>
        <v>5</v>
      </c>
      <c r="I5" s="474">
        <f t="shared" si="0"/>
        <v>6</v>
      </c>
      <c r="J5" s="474">
        <f t="shared" si="0"/>
        <v>7</v>
      </c>
      <c r="K5" s="474">
        <f t="shared" si="0"/>
        <v>8</v>
      </c>
      <c r="L5" s="474">
        <f t="shared" si="0"/>
        <v>9</v>
      </c>
      <c r="M5" s="474">
        <f t="shared" si="0"/>
        <v>10</v>
      </c>
    </row>
    <row r="6" spans="2:13" x14ac:dyDescent="0.25">
      <c r="B6" s="474" t="s">
        <v>882</v>
      </c>
      <c r="D6" s="494">
        <f>'2.IP- SX  '!L7</f>
        <v>0.15</v>
      </c>
      <c r="E6" s="494">
        <f>'2.IP- SX  '!M7</f>
        <v>0.15</v>
      </c>
      <c r="F6" s="494">
        <f>'2.IP- SX  '!N7</f>
        <v>0.15</v>
      </c>
      <c r="G6" s="494">
        <f>'2.IP- SX  '!O7</f>
        <v>0.15</v>
      </c>
      <c r="H6" s="494">
        <f>'2.IP- SX  '!P7</f>
        <v>0.15</v>
      </c>
      <c r="I6" s="494">
        <f>'2.IP- SX  '!Q7</f>
        <v>0.15</v>
      </c>
      <c r="J6" s="494">
        <f>'2.IP- SX  '!R7</f>
        <v>0.15</v>
      </c>
      <c r="K6" s="494">
        <f>'2.IP- SX  '!S7</f>
        <v>0.15</v>
      </c>
      <c r="L6" s="494">
        <f>'2.IP- SX  '!T7</f>
        <v>0.15</v>
      </c>
      <c r="M6" s="494">
        <f>'2.IP- SX  '!U7</f>
        <v>0.15</v>
      </c>
    </row>
    <row r="7" spans="2:13" x14ac:dyDescent="0.25">
      <c r="B7" s="474" t="s">
        <v>883</v>
      </c>
      <c r="D7" s="494">
        <f>'2.IP- SX  '!L30</f>
        <v>0.4</v>
      </c>
      <c r="E7" s="494">
        <f>'2.IP- SX  '!M30</f>
        <v>0.4</v>
      </c>
      <c r="F7" s="494">
        <f>'2.IP- SX  '!N30</f>
        <v>0.4</v>
      </c>
      <c r="G7" s="494">
        <f>'2.IP- SX  '!O30</f>
        <v>0.4</v>
      </c>
      <c r="H7" s="494">
        <f>'2.IP- SX  '!P30</f>
        <v>0.4</v>
      </c>
      <c r="I7" s="494">
        <f>'2.IP- SX  '!Q30</f>
        <v>0.4</v>
      </c>
      <c r="J7" s="494">
        <f>'2.IP- SX  '!R30</f>
        <v>0.4</v>
      </c>
      <c r="K7" s="494">
        <f>'2.IP- SX  '!S30</f>
        <v>0.4</v>
      </c>
      <c r="L7" s="494">
        <f>'2.IP- SX  '!T30</f>
        <v>0.4</v>
      </c>
      <c r="M7" s="494">
        <f>'2.IP- SX  '!U30</f>
        <v>0.4</v>
      </c>
    </row>
    <row r="9" spans="2:13" ht="15" customHeight="1" x14ac:dyDescent="0.25">
      <c r="B9" s="1228" t="s">
        <v>765</v>
      </c>
      <c r="M9" s="42"/>
    </row>
    <row r="10" spans="2:13" ht="30" customHeight="1" x14ac:dyDescent="0.25">
      <c r="B10" s="1229" t="s">
        <v>766</v>
      </c>
      <c r="C10" s="1174" t="s">
        <v>815</v>
      </c>
      <c r="D10" s="1174" t="s">
        <v>810</v>
      </c>
      <c r="E10" s="1174" t="s">
        <v>831</v>
      </c>
      <c r="F10" s="1174" t="s">
        <v>811</v>
      </c>
      <c r="G10" s="1174" t="s">
        <v>812</v>
      </c>
      <c r="H10" s="663" t="s">
        <v>834</v>
      </c>
      <c r="I10" s="679"/>
      <c r="J10" s="695"/>
      <c r="K10" s="696"/>
      <c r="L10" s="680"/>
      <c r="M10" s="679"/>
    </row>
    <row r="11" spans="2:13" ht="15" customHeight="1" x14ac:dyDescent="0.25">
      <c r="B11" s="472" t="str">
        <f>'2.IP- SX  '!B4</f>
        <v>1.1. Bê Tông</v>
      </c>
      <c r="C11" s="653">
        <v>0.71774421582977788</v>
      </c>
      <c r="D11" s="653">
        <v>0.56548244083087595</v>
      </c>
      <c r="E11">
        <v>0</v>
      </c>
      <c r="F11" s="653">
        <v>357.01776054082598</v>
      </c>
      <c r="G11" s="653">
        <v>0</v>
      </c>
      <c r="H11" s="653">
        <v>2.7</v>
      </c>
      <c r="I11" s="681"/>
      <c r="J11" s="681"/>
      <c r="K11" s="681"/>
      <c r="L11" s="682"/>
      <c r="M11" s="683"/>
    </row>
    <row r="12" spans="2:13" ht="15" customHeight="1" x14ac:dyDescent="0.25">
      <c r="B12" s="472" t="str">
        <f>'2.IP- SX  '!B25</f>
        <v>1.2. Gạch</v>
      </c>
      <c r="C12" s="1175">
        <f>0.328693467208055/1000</f>
        <v>3.2869346720805498E-4</v>
      </c>
      <c r="D12" s="1175">
        <v>0</v>
      </c>
      <c r="E12" s="1175">
        <f>2.36059142696774/1000</f>
        <v>2.3605914269677402E-3</v>
      </c>
      <c r="F12" s="1175">
        <f>0.358200908397754</f>
        <v>0.35820090839775398</v>
      </c>
      <c r="G12" s="1175">
        <v>0.32</v>
      </c>
      <c r="H12" s="1175">
        <v>0</v>
      </c>
      <c r="I12" s="681"/>
      <c r="J12" s="307"/>
      <c r="K12" s="681"/>
      <c r="L12" s="682"/>
      <c r="M12" s="683"/>
    </row>
    <row r="13" spans="2:13" ht="15" hidden="1" customHeight="1" x14ac:dyDescent="0.25">
      <c r="B13" s="472" t="str">
        <f>'[29]PL2. Kịch bản SX'!C19</f>
        <v/>
      </c>
      <c r="C13" s="1176"/>
      <c r="D13" s="1176"/>
      <c r="E13" s="1176"/>
      <c r="F13" s="1176"/>
      <c r="G13" s="1176"/>
      <c r="H13" s="1176"/>
      <c r="I13" s="1176"/>
      <c r="J13" s="1176"/>
      <c r="K13" s="1176"/>
      <c r="L13" s="499"/>
      <c r="M13" s="1177"/>
    </row>
    <row r="14" spans="2:13" ht="15" customHeight="1" x14ac:dyDescent="0.25"/>
    <row r="15" spans="2:13" ht="15" customHeight="1" x14ac:dyDescent="0.25">
      <c r="B15" s="1228" t="s">
        <v>762</v>
      </c>
      <c r="C15" s="486"/>
      <c r="D15" s="385"/>
      <c r="E15" s="1178"/>
      <c r="F15" s="1178"/>
      <c r="G15" s="385"/>
      <c r="H15" s="385"/>
    </row>
    <row r="16" spans="2:13" ht="15" customHeight="1" x14ac:dyDescent="0.25">
      <c r="B16" s="472" t="str">
        <f>'3. CP-NL'!B11</f>
        <v>1.1. Bê Tông</v>
      </c>
      <c r="C16" s="486" t="s">
        <v>778</v>
      </c>
      <c r="D16" s="385">
        <f>'2.IP- SX  '!L23</f>
        <v>220752</v>
      </c>
      <c r="E16" s="385">
        <f>'2.IP- SX  '!M23</f>
        <v>220752</v>
      </c>
      <c r="F16" s="385">
        <f>'2.IP- SX  '!N23</f>
        <v>220752</v>
      </c>
      <c r="G16" s="385">
        <f>'2.IP- SX  '!O23</f>
        <v>220752</v>
      </c>
      <c r="H16" s="385">
        <f>'2.IP- SX  '!P23</f>
        <v>220752</v>
      </c>
      <c r="I16" s="385">
        <f>'2.IP- SX  '!Q23</f>
        <v>220752</v>
      </c>
      <c r="J16" s="385">
        <f>'2.IP- SX  '!R23</f>
        <v>220752</v>
      </c>
      <c r="K16" s="385">
        <f>'2.IP- SX  '!S23</f>
        <v>220752</v>
      </c>
      <c r="L16" s="385">
        <f>'2.IP- SX  '!T23</f>
        <v>220752</v>
      </c>
      <c r="M16" s="385">
        <f>'2.IP- SX  '!U23</f>
        <v>220752</v>
      </c>
    </row>
    <row r="17" spans="2:13" ht="15" customHeight="1" x14ac:dyDescent="0.25">
      <c r="B17" s="472" t="str">
        <f>B12</f>
        <v>1.2. Gạch</v>
      </c>
      <c r="C17" s="486" t="s">
        <v>916</v>
      </c>
      <c r="D17" s="385">
        <f>'2.IP- SX  '!L70</f>
        <v>8542218.2400000021</v>
      </c>
      <c r="E17" s="385">
        <f>'2.IP- SX  '!M70</f>
        <v>8542218.2400000021</v>
      </c>
      <c r="F17" s="385">
        <f>'2.IP- SX  '!N70</f>
        <v>8542218.2400000021</v>
      </c>
      <c r="G17" s="385">
        <f>'2.IP- SX  '!O70</f>
        <v>8542218.2400000021</v>
      </c>
      <c r="H17" s="385">
        <f>'2.IP- SX  '!P70</f>
        <v>8542218.2400000021</v>
      </c>
      <c r="I17" s="385">
        <f>'2.IP- SX  '!Q70</f>
        <v>8542218.2400000021</v>
      </c>
      <c r="J17" s="385">
        <f>'2.IP- SX  '!R70</f>
        <v>8542218.2400000021</v>
      </c>
      <c r="K17" s="385">
        <f>'2.IP- SX  '!S70</f>
        <v>8542218.2400000021</v>
      </c>
      <c r="L17" s="385">
        <f>'2.IP- SX  '!T70</f>
        <v>8542218.2400000021</v>
      </c>
      <c r="M17" s="385">
        <f>'2.IP- SX  '!U70</f>
        <v>8542218.2400000021</v>
      </c>
    </row>
    <row r="18" spans="2:13" ht="15" hidden="1" customHeight="1" x14ac:dyDescent="0.25">
      <c r="B18" s="472">
        <f>'[29]PL4. Doanh thu'!B18</f>
        <v>0</v>
      </c>
      <c r="C18" s="486" t="s">
        <v>763</v>
      </c>
      <c r="D18" s="385">
        <f>'[29]PL4. Doanh thu'!D18</f>
        <v>0</v>
      </c>
      <c r="E18" s="385">
        <f>'[29]PL4. Doanh thu'!E18</f>
        <v>0</v>
      </c>
      <c r="F18" s="385">
        <f>'[29]PL4. Doanh thu'!F18</f>
        <v>0</v>
      </c>
      <c r="G18" s="385">
        <f>'[29]PL4. Doanh thu'!G18</f>
        <v>0</v>
      </c>
      <c r="H18" s="385">
        <f>'[29]PL4. Doanh thu'!H18</f>
        <v>0</v>
      </c>
      <c r="I18" s="385">
        <f>'[29]PL4. Doanh thu'!I18</f>
        <v>0</v>
      </c>
      <c r="J18" s="385">
        <f>'[29]PL4. Doanh thu'!J18</f>
        <v>0</v>
      </c>
      <c r="K18" s="385">
        <f>'[29]PL4. Doanh thu'!K18</f>
        <v>0</v>
      </c>
      <c r="L18" s="385">
        <f>'[29]PL4. Doanh thu'!L18</f>
        <v>0</v>
      </c>
      <c r="M18" s="385">
        <f>'[29]PL4. Doanh thu'!M18</f>
        <v>0</v>
      </c>
    </row>
    <row r="19" spans="2:13" ht="15" customHeight="1" x14ac:dyDescent="0.25">
      <c r="B19" s="160" t="s">
        <v>615</v>
      </c>
      <c r="C19" s="498"/>
      <c r="D19" s="691">
        <f t="shared" ref="D19:M19" si="1">SUM(D16:D18)</f>
        <v>8762970.2400000021</v>
      </c>
      <c r="E19" s="691">
        <f t="shared" si="1"/>
        <v>8762970.2400000021</v>
      </c>
      <c r="F19" s="691">
        <f t="shared" si="1"/>
        <v>8762970.2400000021</v>
      </c>
      <c r="G19" s="691">
        <f t="shared" si="1"/>
        <v>8762970.2400000021</v>
      </c>
      <c r="H19" s="691">
        <f t="shared" si="1"/>
        <v>8762970.2400000021</v>
      </c>
      <c r="I19" s="691">
        <f t="shared" si="1"/>
        <v>8762970.2400000021</v>
      </c>
      <c r="J19" s="691">
        <f t="shared" si="1"/>
        <v>8762970.2400000021</v>
      </c>
      <c r="K19" s="691">
        <f t="shared" si="1"/>
        <v>8762970.2400000021</v>
      </c>
      <c r="L19" s="691">
        <f t="shared" si="1"/>
        <v>8762970.2400000021</v>
      </c>
      <c r="M19" s="691">
        <f t="shared" si="1"/>
        <v>8762970.2400000021</v>
      </c>
    </row>
    <row r="20" spans="2:13" ht="15" customHeight="1" x14ac:dyDescent="0.25">
      <c r="C20" s="14"/>
    </row>
    <row r="21" spans="2:13" ht="15" customHeight="1" x14ac:dyDescent="0.25">
      <c r="B21" s="1228" t="s">
        <v>958</v>
      </c>
      <c r="C21" s="14"/>
      <c r="D21" s="2"/>
    </row>
    <row r="22" spans="2:13" ht="15" customHeight="1" x14ac:dyDescent="0.25">
      <c r="B22" s="472" t="str">
        <f>C10</f>
        <v xml:space="preserve">Cát </v>
      </c>
      <c r="C22" s="486" t="str">
        <f>C16</f>
        <v>(m3)</v>
      </c>
      <c r="D22" s="156">
        <f>SUMPRODUCT(D$16,$C$11)</f>
        <v>158443.47113285513</v>
      </c>
      <c r="E22" s="156">
        <f>SUMPRODUCT(E$16,$C$11)</f>
        <v>158443.47113285513</v>
      </c>
      <c r="F22" s="156">
        <f t="shared" ref="F22:M22" si="2">SUMPRODUCT(F$16,$C$11)</f>
        <v>158443.47113285513</v>
      </c>
      <c r="G22" s="156">
        <f t="shared" si="2"/>
        <v>158443.47113285513</v>
      </c>
      <c r="H22" s="156">
        <f>SUMPRODUCT(H$16,$C$11)</f>
        <v>158443.47113285513</v>
      </c>
      <c r="I22" s="156">
        <f t="shared" si="2"/>
        <v>158443.47113285513</v>
      </c>
      <c r="J22" s="156">
        <f t="shared" si="2"/>
        <v>158443.47113285513</v>
      </c>
      <c r="K22" s="156">
        <f t="shared" si="2"/>
        <v>158443.47113285513</v>
      </c>
      <c r="L22" s="156">
        <f t="shared" si="2"/>
        <v>158443.47113285513</v>
      </c>
      <c r="M22" s="156">
        <f t="shared" si="2"/>
        <v>158443.47113285513</v>
      </c>
    </row>
    <row r="23" spans="2:13" ht="15" customHeight="1" x14ac:dyDescent="0.25">
      <c r="B23" s="472" t="str">
        <f>D10</f>
        <v xml:space="preserve">Đá </v>
      </c>
      <c r="C23" s="486" t="str">
        <f>C16</f>
        <v>(m3)</v>
      </c>
      <c r="D23" s="156">
        <f>SUMPRODUCT(D$16,$D$11)</f>
        <v>124831.37977829753</v>
      </c>
      <c r="E23" s="156">
        <f>SUMPRODUCT(E$16,$D$11)</f>
        <v>124831.37977829753</v>
      </c>
      <c r="F23" s="156">
        <f t="shared" ref="F23:M23" si="3">SUMPRODUCT(F$16,$D$11)</f>
        <v>124831.37977829753</v>
      </c>
      <c r="G23" s="156">
        <f t="shared" si="3"/>
        <v>124831.37977829753</v>
      </c>
      <c r="H23" s="156">
        <f t="shared" si="3"/>
        <v>124831.37977829753</v>
      </c>
      <c r="I23" s="156">
        <f t="shared" si="3"/>
        <v>124831.37977829753</v>
      </c>
      <c r="J23" s="156">
        <f t="shared" si="3"/>
        <v>124831.37977829753</v>
      </c>
      <c r="K23" s="156">
        <f t="shared" si="3"/>
        <v>124831.37977829753</v>
      </c>
      <c r="L23" s="156">
        <f t="shared" si="3"/>
        <v>124831.37977829753</v>
      </c>
      <c r="M23" s="156">
        <f t="shared" si="3"/>
        <v>124831.37977829753</v>
      </c>
    </row>
    <row r="24" spans="2:13" ht="15" customHeight="1" x14ac:dyDescent="0.25">
      <c r="B24" s="472" t="str">
        <f>E10</f>
        <v>Mạt</v>
      </c>
      <c r="C24" s="486" t="s">
        <v>778</v>
      </c>
      <c r="D24" s="156">
        <f>SUMPRODUCT(D$16,$E$11)</f>
        <v>0</v>
      </c>
      <c r="E24" s="156">
        <f>SUMPRODUCT(E$16,$E$11)</f>
        <v>0</v>
      </c>
      <c r="F24" s="156">
        <f t="shared" ref="F24:M24" si="4">SUMPRODUCT(F$16,$E$11)</f>
        <v>0</v>
      </c>
      <c r="G24" s="156">
        <f t="shared" si="4"/>
        <v>0</v>
      </c>
      <c r="H24" s="156">
        <f t="shared" si="4"/>
        <v>0</v>
      </c>
      <c r="I24" s="156">
        <f t="shared" si="4"/>
        <v>0</v>
      </c>
      <c r="J24" s="156">
        <f t="shared" si="4"/>
        <v>0</v>
      </c>
      <c r="K24" s="156">
        <f t="shared" si="4"/>
        <v>0</v>
      </c>
      <c r="L24" s="156">
        <f t="shared" si="4"/>
        <v>0</v>
      </c>
      <c r="M24" s="156">
        <f t="shared" si="4"/>
        <v>0</v>
      </c>
    </row>
    <row r="25" spans="2:13" ht="15" customHeight="1" x14ac:dyDescent="0.25">
      <c r="B25" s="472" t="str">
        <f>F10</f>
        <v>Xi</v>
      </c>
      <c r="C25" s="486" t="s">
        <v>779</v>
      </c>
      <c r="D25" s="156">
        <f>SUMPRODUCT(D$16,$F$11)</f>
        <v>78812384.674908414</v>
      </c>
      <c r="E25" s="156">
        <f>SUMPRODUCT(E$16,$F$11)</f>
        <v>78812384.674908414</v>
      </c>
      <c r="F25" s="156">
        <f t="shared" ref="F25:M25" si="5">SUMPRODUCT(F$16,$F$11)</f>
        <v>78812384.674908414</v>
      </c>
      <c r="G25" s="156">
        <f t="shared" si="5"/>
        <v>78812384.674908414</v>
      </c>
      <c r="H25" s="156">
        <f t="shared" si="5"/>
        <v>78812384.674908414</v>
      </c>
      <c r="I25" s="156">
        <f t="shared" si="5"/>
        <v>78812384.674908414</v>
      </c>
      <c r="J25" s="156">
        <f t="shared" si="5"/>
        <v>78812384.674908414</v>
      </c>
      <c r="K25" s="156">
        <f t="shared" si="5"/>
        <v>78812384.674908414</v>
      </c>
      <c r="L25" s="156">
        <f t="shared" si="5"/>
        <v>78812384.674908414</v>
      </c>
      <c r="M25" s="156">
        <f t="shared" si="5"/>
        <v>78812384.674908414</v>
      </c>
    </row>
    <row r="26" spans="2:13" ht="15" customHeight="1" x14ac:dyDescent="0.25">
      <c r="B26" s="472" t="str">
        <f>G10</f>
        <v>Tro bay</v>
      </c>
      <c r="C26" s="486" t="s">
        <v>779</v>
      </c>
      <c r="D26" s="156">
        <f>SUMPRODUCT(D$16,$G$11)</f>
        <v>0</v>
      </c>
      <c r="E26" s="156">
        <f>SUMPRODUCT(E$16,$G$11)</f>
        <v>0</v>
      </c>
      <c r="F26" s="156">
        <f t="shared" ref="F26:M26" si="6">SUMPRODUCT(F$16,$G$11)</f>
        <v>0</v>
      </c>
      <c r="G26" s="156">
        <f t="shared" si="6"/>
        <v>0</v>
      </c>
      <c r="H26" s="156">
        <f t="shared" si="6"/>
        <v>0</v>
      </c>
      <c r="I26" s="156">
        <f t="shared" si="6"/>
        <v>0</v>
      </c>
      <c r="J26" s="156">
        <f t="shared" si="6"/>
        <v>0</v>
      </c>
      <c r="K26" s="156">
        <f t="shared" si="6"/>
        <v>0</v>
      </c>
      <c r="L26" s="156">
        <f t="shared" si="6"/>
        <v>0</v>
      </c>
      <c r="M26" s="156">
        <f t="shared" si="6"/>
        <v>0</v>
      </c>
    </row>
    <row r="27" spans="2:13" ht="15" customHeight="1" x14ac:dyDescent="0.25">
      <c r="B27" s="472" t="str">
        <f>H10</f>
        <v>Phụ gia</v>
      </c>
      <c r="C27" s="486" t="s">
        <v>917</v>
      </c>
      <c r="D27" s="156">
        <f>SUMPRODUCT(D$16,$H$11)</f>
        <v>596030.4</v>
      </c>
      <c r="E27" s="156">
        <f>SUMPRODUCT(E$16,$H$11)</f>
        <v>596030.4</v>
      </c>
      <c r="F27" s="156">
        <f t="shared" ref="F27:M27" si="7">SUMPRODUCT(F$16,$H$11)</f>
        <v>596030.4</v>
      </c>
      <c r="G27" s="156">
        <f t="shared" si="7"/>
        <v>596030.4</v>
      </c>
      <c r="H27" s="156">
        <f t="shared" si="7"/>
        <v>596030.4</v>
      </c>
      <c r="I27" s="156">
        <f t="shared" si="7"/>
        <v>596030.4</v>
      </c>
      <c r="J27" s="156">
        <f t="shared" si="7"/>
        <v>596030.4</v>
      </c>
      <c r="K27" s="156">
        <f t="shared" si="7"/>
        <v>596030.4</v>
      </c>
      <c r="L27" s="156">
        <f t="shared" si="7"/>
        <v>596030.4</v>
      </c>
      <c r="M27" s="156">
        <f t="shared" si="7"/>
        <v>596030.4</v>
      </c>
    </row>
    <row r="28" spans="2:13" ht="15" customHeight="1" x14ac:dyDescent="0.25">
      <c r="B28" s="160" t="s">
        <v>615</v>
      </c>
      <c r="C28" s="498"/>
      <c r="D28" s="691">
        <f t="shared" ref="D28:M28" si="8">SUM(D22:D27)</f>
        <v>79691689.925819576</v>
      </c>
      <c r="E28" s="691">
        <f t="shared" si="8"/>
        <v>79691689.925819576</v>
      </c>
      <c r="F28" s="691">
        <f t="shared" si="8"/>
        <v>79691689.925819576</v>
      </c>
      <c r="G28" s="691">
        <f t="shared" si="8"/>
        <v>79691689.925819576</v>
      </c>
      <c r="H28" s="691">
        <f t="shared" si="8"/>
        <v>79691689.925819576</v>
      </c>
      <c r="I28" s="691">
        <f t="shared" si="8"/>
        <v>79691689.925819576</v>
      </c>
      <c r="J28" s="691">
        <f t="shared" si="8"/>
        <v>79691689.925819576</v>
      </c>
      <c r="K28" s="691">
        <f t="shared" si="8"/>
        <v>79691689.925819576</v>
      </c>
      <c r="L28" s="691">
        <f t="shared" si="8"/>
        <v>79691689.925819576</v>
      </c>
      <c r="M28" s="691">
        <f t="shared" si="8"/>
        <v>79691689.925819576</v>
      </c>
    </row>
    <row r="29" spans="2:13" ht="15" customHeight="1" x14ac:dyDescent="0.25">
      <c r="B29" s="160"/>
      <c r="C29" s="498"/>
      <c r="D29" s="691"/>
      <c r="E29" s="691"/>
      <c r="F29" s="691"/>
      <c r="G29" s="691"/>
      <c r="H29" s="691"/>
      <c r="I29" s="691"/>
      <c r="J29" s="691"/>
      <c r="K29" s="691"/>
      <c r="L29" s="691"/>
      <c r="M29" s="691"/>
    </row>
    <row r="30" spans="2:13" ht="15" customHeight="1" x14ac:dyDescent="0.25">
      <c r="B30" s="1228" t="s">
        <v>959</v>
      </c>
      <c r="C30" s="14"/>
    </row>
    <row r="31" spans="2:13" ht="15" customHeight="1" x14ac:dyDescent="0.25">
      <c r="B31" s="1230" t="str">
        <f>B22</f>
        <v xml:space="preserve">Cát </v>
      </c>
      <c r="C31" s="486" t="str">
        <f>C24</f>
        <v>(m3)</v>
      </c>
      <c r="D31" s="156">
        <f>SUMPRODUCT(D$17:D$18,$C$12:$C$13)</f>
        <v>2807.7713309534897</v>
      </c>
      <c r="E31" s="156">
        <f t="shared" ref="E31:M31" si="9">SUMPRODUCT(E$17:E$18,$C$12:$C$13)</f>
        <v>2807.7713309534897</v>
      </c>
      <c r="F31" s="156">
        <f t="shared" si="9"/>
        <v>2807.7713309534897</v>
      </c>
      <c r="G31" s="156">
        <f t="shared" si="9"/>
        <v>2807.7713309534897</v>
      </c>
      <c r="H31" s="156">
        <f t="shared" si="9"/>
        <v>2807.7713309534897</v>
      </c>
      <c r="I31" s="156">
        <f t="shared" si="9"/>
        <v>2807.7713309534897</v>
      </c>
      <c r="J31" s="156">
        <f t="shared" si="9"/>
        <v>2807.7713309534897</v>
      </c>
      <c r="K31" s="156">
        <f t="shared" si="9"/>
        <v>2807.7713309534897</v>
      </c>
      <c r="L31" s="156">
        <f t="shared" si="9"/>
        <v>2807.7713309534897</v>
      </c>
      <c r="M31" s="156">
        <f t="shared" si="9"/>
        <v>2807.7713309534897</v>
      </c>
    </row>
    <row r="32" spans="2:13" ht="15" customHeight="1" x14ac:dyDescent="0.25">
      <c r="B32" s="1230" t="str">
        <f t="shared" ref="B32:B36" si="10">B23</f>
        <v xml:space="preserve">Đá </v>
      </c>
      <c r="C32" s="486" t="str">
        <f>C24</f>
        <v>(m3)</v>
      </c>
      <c r="D32" s="156">
        <f>SUMPRODUCT(D$17:D$18,$D$12:$D$13)</f>
        <v>0</v>
      </c>
      <c r="E32" s="156">
        <f t="shared" ref="E32:M32" si="11">SUMPRODUCT(E$17:E$18,$D$12:$D$13)</f>
        <v>0</v>
      </c>
      <c r="F32" s="156">
        <f t="shared" si="11"/>
        <v>0</v>
      </c>
      <c r="G32" s="156">
        <f t="shared" si="11"/>
        <v>0</v>
      </c>
      <c r="H32" s="156">
        <f t="shared" si="11"/>
        <v>0</v>
      </c>
      <c r="I32" s="156">
        <f t="shared" si="11"/>
        <v>0</v>
      </c>
      <c r="J32" s="156">
        <f t="shared" si="11"/>
        <v>0</v>
      </c>
      <c r="K32" s="156">
        <f t="shared" si="11"/>
        <v>0</v>
      </c>
      <c r="L32" s="156">
        <f t="shared" si="11"/>
        <v>0</v>
      </c>
      <c r="M32" s="156">
        <f t="shared" si="11"/>
        <v>0</v>
      </c>
    </row>
    <row r="33" spans="2:14" ht="15" customHeight="1" x14ac:dyDescent="0.25">
      <c r="B33" s="1230" t="str">
        <f t="shared" si="10"/>
        <v>Mạt</v>
      </c>
      <c r="C33" s="486" t="s">
        <v>778</v>
      </c>
      <c r="D33" s="156">
        <f>SUMPRODUCT(D$17:D$18,$E$12:$E$13)</f>
        <v>20164.687144631462</v>
      </c>
      <c r="E33" s="156">
        <f t="shared" ref="E33:M33" si="12">SUMPRODUCT(E$17:E$18,$E$12:$E$13)</f>
        <v>20164.687144631462</v>
      </c>
      <c r="F33" s="156">
        <f t="shared" si="12"/>
        <v>20164.687144631462</v>
      </c>
      <c r="G33" s="156">
        <f t="shared" si="12"/>
        <v>20164.687144631462</v>
      </c>
      <c r="H33" s="156">
        <f t="shared" si="12"/>
        <v>20164.687144631462</v>
      </c>
      <c r="I33" s="156">
        <f t="shared" si="12"/>
        <v>20164.687144631462</v>
      </c>
      <c r="J33" s="156">
        <f t="shared" si="12"/>
        <v>20164.687144631462</v>
      </c>
      <c r="K33" s="156">
        <f t="shared" si="12"/>
        <v>20164.687144631462</v>
      </c>
      <c r="L33" s="156">
        <f t="shared" si="12"/>
        <v>20164.687144631462</v>
      </c>
      <c r="M33" s="156">
        <f t="shared" si="12"/>
        <v>20164.687144631462</v>
      </c>
    </row>
    <row r="34" spans="2:14" ht="15" customHeight="1" x14ac:dyDescent="0.25">
      <c r="B34" s="1230" t="str">
        <f t="shared" si="10"/>
        <v>Xi</v>
      </c>
      <c r="C34" s="486" t="s">
        <v>779</v>
      </c>
      <c r="D34" s="156">
        <f>SUMPRODUCT(D$17:D$18,$F$12:$F$13)</f>
        <v>3059830.3332998641</v>
      </c>
      <c r="E34" s="156">
        <f t="shared" ref="E34:M34" si="13">SUMPRODUCT(E$17:E$18,$F$12:$F$13)</f>
        <v>3059830.3332998641</v>
      </c>
      <c r="F34" s="156">
        <f>SUMPRODUCT(F$17:F$18,$F$12:$F$13)</f>
        <v>3059830.3332998641</v>
      </c>
      <c r="G34" s="156">
        <f t="shared" si="13"/>
        <v>3059830.3332998641</v>
      </c>
      <c r="H34" s="156">
        <f t="shared" si="13"/>
        <v>3059830.3332998641</v>
      </c>
      <c r="I34" s="156">
        <f t="shared" si="13"/>
        <v>3059830.3332998641</v>
      </c>
      <c r="J34" s="156">
        <f t="shared" si="13"/>
        <v>3059830.3332998641</v>
      </c>
      <c r="K34" s="156">
        <f t="shared" si="13"/>
        <v>3059830.3332998641</v>
      </c>
      <c r="L34" s="156">
        <f t="shared" si="13"/>
        <v>3059830.3332998641</v>
      </c>
      <c r="M34" s="156">
        <f t="shared" si="13"/>
        <v>3059830.3332998641</v>
      </c>
    </row>
    <row r="35" spans="2:14" ht="15" customHeight="1" x14ac:dyDescent="0.25">
      <c r="B35" s="1230" t="str">
        <f t="shared" si="10"/>
        <v>Tro bay</v>
      </c>
      <c r="C35" s="486" t="s">
        <v>779</v>
      </c>
      <c r="D35" s="156">
        <f>SUMPRODUCT(D$17:D$18,$G$12:$G$13)</f>
        <v>2733509.8368000006</v>
      </c>
      <c r="E35" s="156">
        <f t="shared" ref="E35:M35" si="14">SUMPRODUCT(E$17:E$18,$G$12:$G$13)</f>
        <v>2733509.8368000006</v>
      </c>
      <c r="F35" s="156">
        <f t="shared" si="14"/>
        <v>2733509.8368000006</v>
      </c>
      <c r="G35" s="156">
        <f t="shared" si="14"/>
        <v>2733509.8368000006</v>
      </c>
      <c r="H35" s="156">
        <f t="shared" si="14"/>
        <v>2733509.8368000006</v>
      </c>
      <c r="I35" s="156">
        <f t="shared" si="14"/>
        <v>2733509.8368000006</v>
      </c>
      <c r="J35" s="156">
        <f t="shared" si="14"/>
        <v>2733509.8368000006</v>
      </c>
      <c r="K35" s="156">
        <f t="shared" si="14"/>
        <v>2733509.8368000006</v>
      </c>
      <c r="L35" s="156">
        <f t="shared" si="14"/>
        <v>2733509.8368000006</v>
      </c>
      <c r="M35" s="156">
        <f t="shared" si="14"/>
        <v>2733509.8368000006</v>
      </c>
    </row>
    <row r="36" spans="2:14" ht="15" customHeight="1" x14ac:dyDescent="0.25">
      <c r="B36" s="1230" t="str">
        <f t="shared" si="10"/>
        <v>Phụ gia</v>
      </c>
      <c r="C36" s="486" t="s">
        <v>917</v>
      </c>
      <c r="D36" s="156">
        <f>SUMPRODUCT(D$17:D$18,$H$12:$H$13)</f>
        <v>0</v>
      </c>
      <c r="E36" s="156">
        <f t="shared" ref="E36:M36" si="15">SUMPRODUCT(E$17:E$18,$H$12:$H$13)</f>
        <v>0</v>
      </c>
      <c r="F36" s="156">
        <f t="shared" si="15"/>
        <v>0</v>
      </c>
      <c r="G36" s="156">
        <f t="shared" si="15"/>
        <v>0</v>
      </c>
      <c r="H36" s="156">
        <f t="shared" si="15"/>
        <v>0</v>
      </c>
      <c r="I36" s="156">
        <f t="shared" si="15"/>
        <v>0</v>
      </c>
      <c r="J36" s="156">
        <f t="shared" si="15"/>
        <v>0</v>
      </c>
      <c r="K36" s="156">
        <f t="shared" si="15"/>
        <v>0</v>
      </c>
      <c r="L36" s="156">
        <f t="shared" si="15"/>
        <v>0</v>
      </c>
      <c r="M36" s="156">
        <f t="shared" si="15"/>
        <v>0</v>
      </c>
    </row>
    <row r="37" spans="2:14" ht="15" customHeight="1" x14ac:dyDescent="0.25">
      <c r="B37" s="160" t="s">
        <v>615</v>
      </c>
      <c r="C37" s="498"/>
      <c r="D37" s="691">
        <f t="shared" ref="D37:M37" si="16">SUM(D31:D36)</f>
        <v>5816312.6285754498</v>
      </c>
      <c r="E37" s="691">
        <f t="shared" si="16"/>
        <v>5816312.6285754498</v>
      </c>
      <c r="F37" s="691">
        <f t="shared" si="16"/>
        <v>5816312.6285754498</v>
      </c>
      <c r="G37" s="691">
        <f t="shared" si="16"/>
        <v>5816312.6285754498</v>
      </c>
      <c r="H37" s="691">
        <f t="shared" si="16"/>
        <v>5816312.6285754498</v>
      </c>
      <c r="I37" s="691">
        <f t="shared" si="16"/>
        <v>5816312.6285754498</v>
      </c>
      <c r="J37" s="691">
        <f t="shared" si="16"/>
        <v>5816312.6285754498</v>
      </c>
      <c r="K37" s="691">
        <f t="shared" si="16"/>
        <v>5816312.6285754498</v>
      </c>
      <c r="L37" s="691">
        <f t="shared" si="16"/>
        <v>5816312.6285754498</v>
      </c>
      <c r="M37" s="691">
        <f t="shared" si="16"/>
        <v>5816312.6285754498</v>
      </c>
    </row>
    <row r="38" spans="2:14" ht="15" customHeight="1" x14ac:dyDescent="0.25">
      <c r="C38" s="14"/>
      <c r="E38" s="385"/>
      <c r="F38" s="385"/>
      <c r="G38" s="385"/>
      <c r="H38" s="385"/>
      <c r="I38" s="385"/>
      <c r="J38" s="385"/>
      <c r="K38" s="385"/>
      <c r="L38" s="385"/>
      <c r="M38" s="385"/>
    </row>
    <row r="39" spans="2:14" s="688" customFormat="1" ht="15" customHeight="1" x14ac:dyDescent="0.25">
      <c r="B39" s="1231" t="s">
        <v>695</v>
      </c>
      <c r="C39" s="1179"/>
      <c r="E39" s="1180">
        <f>'2. Input'!C28</f>
        <v>0.01</v>
      </c>
      <c r="F39" s="1180">
        <f>E39</f>
        <v>0.01</v>
      </c>
      <c r="G39" s="1180">
        <f t="shared" ref="G39:M39" si="17">F39</f>
        <v>0.01</v>
      </c>
      <c r="H39" s="1180">
        <f t="shared" si="17"/>
        <v>0.01</v>
      </c>
      <c r="I39" s="1180">
        <f t="shared" si="17"/>
        <v>0.01</v>
      </c>
      <c r="J39" s="1180">
        <f t="shared" si="17"/>
        <v>0.01</v>
      </c>
      <c r="K39" s="1180">
        <f t="shared" si="17"/>
        <v>0.01</v>
      </c>
      <c r="L39" s="1180">
        <f t="shared" si="17"/>
        <v>0.01</v>
      </c>
      <c r="M39" s="1180">
        <f t="shared" si="17"/>
        <v>0.01</v>
      </c>
    </row>
    <row r="40" spans="2:14" ht="15" customHeight="1" x14ac:dyDescent="0.25">
      <c r="B40" s="472" t="str">
        <f t="shared" ref="B40:B45" si="18">B22</f>
        <v xml:space="preserve">Cát </v>
      </c>
      <c r="C40" s="156" t="s">
        <v>918</v>
      </c>
      <c r="D40" s="156">
        <v>220000</v>
      </c>
      <c r="E40" s="156">
        <f>D40*(1+E$39)</f>
        <v>222200</v>
      </c>
      <c r="F40" s="156">
        <f t="shared" ref="F40:M40" si="19">E40*(1+F$39)</f>
        <v>224422</v>
      </c>
      <c r="G40" s="156">
        <f t="shared" si="19"/>
        <v>226666.22</v>
      </c>
      <c r="H40" s="156">
        <f t="shared" si="19"/>
        <v>228932.88219999999</v>
      </c>
      <c r="I40" s="156">
        <f t="shared" si="19"/>
        <v>231222.211022</v>
      </c>
      <c r="J40" s="156">
        <f t="shared" si="19"/>
        <v>233534.43313222</v>
      </c>
      <c r="K40" s="156">
        <f t="shared" si="19"/>
        <v>235869.77746354221</v>
      </c>
      <c r="L40" s="156">
        <f t="shared" si="19"/>
        <v>238228.47523817763</v>
      </c>
      <c r="M40" s="156">
        <f t="shared" si="19"/>
        <v>240610.75999055943</v>
      </c>
      <c r="N40" s="156"/>
    </row>
    <row r="41" spans="2:14" ht="15" customHeight="1" x14ac:dyDescent="0.25">
      <c r="B41" s="472" t="str">
        <f t="shared" si="18"/>
        <v xml:space="preserve">Đá </v>
      </c>
      <c r="C41" s="156" t="s">
        <v>918</v>
      </c>
      <c r="D41" s="156">
        <v>220000</v>
      </c>
      <c r="E41" s="156">
        <f>D41*(1+E$39)</f>
        <v>222200</v>
      </c>
      <c r="F41" s="156">
        <f t="shared" ref="F41:M41" si="20">E41*(1+F$39)</f>
        <v>224422</v>
      </c>
      <c r="G41" s="156">
        <f t="shared" si="20"/>
        <v>226666.22</v>
      </c>
      <c r="H41" s="156">
        <f t="shared" si="20"/>
        <v>228932.88219999999</v>
      </c>
      <c r="I41" s="156">
        <f t="shared" si="20"/>
        <v>231222.211022</v>
      </c>
      <c r="J41" s="156">
        <f t="shared" si="20"/>
        <v>233534.43313222</v>
      </c>
      <c r="K41" s="156">
        <f t="shared" si="20"/>
        <v>235869.77746354221</v>
      </c>
      <c r="L41" s="156">
        <f t="shared" si="20"/>
        <v>238228.47523817763</v>
      </c>
      <c r="M41" s="156">
        <f t="shared" si="20"/>
        <v>240610.75999055943</v>
      </c>
    </row>
    <row r="42" spans="2:14" ht="15" customHeight="1" x14ac:dyDescent="0.25">
      <c r="B42" s="472" t="str">
        <f t="shared" si="18"/>
        <v>Mạt</v>
      </c>
      <c r="C42" s="156" t="s">
        <v>918</v>
      </c>
      <c r="D42" s="156">
        <v>135000</v>
      </c>
      <c r="E42" s="156">
        <f>D42*(1+E$39)</f>
        <v>136350</v>
      </c>
      <c r="F42" s="156">
        <f t="shared" ref="F42:M42" si="21">E42*(1+F$39)</f>
        <v>137713.5</v>
      </c>
      <c r="G42" s="156">
        <f t="shared" si="21"/>
        <v>139090.63500000001</v>
      </c>
      <c r="H42" s="156">
        <f t="shared" si="21"/>
        <v>140481.54135000001</v>
      </c>
      <c r="I42" s="156">
        <f t="shared" si="21"/>
        <v>141886.35676350002</v>
      </c>
      <c r="J42" s="156">
        <f t="shared" si="21"/>
        <v>143305.22033113503</v>
      </c>
      <c r="K42" s="156">
        <f t="shared" si="21"/>
        <v>144738.27253444638</v>
      </c>
      <c r="L42" s="156">
        <f t="shared" si="21"/>
        <v>146185.65525979086</v>
      </c>
      <c r="M42" s="156">
        <f t="shared" si="21"/>
        <v>147647.51181238878</v>
      </c>
    </row>
    <row r="43" spans="2:14" ht="15" customHeight="1" x14ac:dyDescent="0.25">
      <c r="B43" s="472" t="str">
        <f t="shared" si="18"/>
        <v>Xi</v>
      </c>
      <c r="C43" s="156" t="s">
        <v>918</v>
      </c>
      <c r="D43" s="156">
        <v>1241</v>
      </c>
      <c r="E43" s="156">
        <f t="shared" ref="E43:M45" si="22">D43*(1+E$39)</f>
        <v>1253.4100000000001</v>
      </c>
      <c r="F43" s="156">
        <f t="shared" si="22"/>
        <v>1265.9441000000002</v>
      </c>
      <c r="G43" s="156">
        <f t="shared" si="22"/>
        <v>1278.6035410000002</v>
      </c>
      <c r="H43" s="156">
        <f t="shared" si="22"/>
        <v>1291.3895764100002</v>
      </c>
      <c r="I43" s="156">
        <f t="shared" si="22"/>
        <v>1304.3034721741003</v>
      </c>
      <c r="J43" s="156">
        <f t="shared" si="22"/>
        <v>1317.3465068958412</v>
      </c>
      <c r="K43" s="156">
        <f t="shared" si="22"/>
        <v>1330.5199719647997</v>
      </c>
      <c r="L43" s="156">
        <f t="shared" si="22"/>
        <v>1343.8251716844477</v>
      </c>
      <c r="M43" s="156">
        <f t="shared" si="22"/>
        <v>1357.2634234012921</v>
      </c>
    </row>
    <row r="44" spans="2:14" ht="15" customHeight="1" x14ac:dyDescent="0.25">
      <c r="B44" s="472" t="str">
        <f t="shared" si="18"/>
        <v>Tro bay</v>
      </c>
      <c r="C44" s="156" t="s">
        <v>918</v>
      </c>
      <c r="D44" s="156">
        <v>260</v>
      </c>
      <c r="E44" s="156">
        <f t="shared" si="22"/>
        <v>262.60000000000002</v>
      </c>
      <c r="F44" s="156">
        <f t="shared" si="22"/>
        <v>265.226</v>
      </c>
      <c r="G44" s="156">
        <f t="shared" si="22"/>
        <v>267.87826000000001</v>
      </c>
      <c r="H44" s="156">
        <f t="shared" si="22"/>
        <v>270.55704259999999</v>
      </c>
      <c r="I44" s="156">
        <f>H44*(1+I$39)</f>
        <v>273.262613026</v>
      </c>
      <c r="J44" s="156">
        <f t="shared" si="22"/>
        <v>275.99523915626003</v>
      </c>
      <c r="K44" s="156">
        <f t="shared" si="22"/>
        <v>278.75519154782262</v>
      </c>
      <c r="L44" s="156">
        <f t="shared" si="22"/>
        <v>281.54274346330084</v>
      </c>
      <c r="M44" s="156">
        <f t="shared" si="22"/>
        <v>284.35817089793386</v>
      </c>
    </row>
    <row r="45" spans="2:14" ht="15" customHeight="1" x14ac:dyDescent="0.25">
      <c r="B45" s="472" t="str">
        <f t="shared" si="18"/>
        <v>Phụ gia</v>
      </c>
      <c r="C45" s="156" t="s">
        <v>918</v>
      </c>
      <c r="D45" s="156">
        <v>17534.848484848484</v>
      </c>
      <c r="E45" s="156">
        <f t="shared" si="22"/>
        <v>17710.196969696968</v>
      </c>
      <c r="F45" s="156">
        <f t="shared" si="22"/>
        <v>17887.298939393939</v>
      </c>
      <c r="G45" s="156">
        <f t="shared" si="22"/>
        <v>18066.171928787877</v>
      </c>
      <c r="H45" s="156">
        <f t="shared" si="22"/>
        <v>18246.833648075757</v>
      </c>
      <c r="I45" s="156">
        <f t="shared" si="22"/>
        <v>18429.301984556514</v>
      </c>
      <c r="J45" s="156">
        <f t="shared" si="22"/>
        <v>18613.595004402079</v>
      </c>
      <c r="K45" s="156">
        <f t="shared" si="22"/>
        <v>18799.730954446099</v>
      </c>
      <c r="L45" s="156">
        <f t="shared" si="22"/>
        <v>18987.728263990561</v>
      </c>
      <c r="M45" s="156">
        <f t="shared" si="22"/>
        <v>19177.605546630468</v>
      </c>
    </row>
    <row r="46" spans="2:14" ht="15" customHeight="1" x14ac:dyDescent="0.25">
      <c r="B46" s="160"/>
      <c r="C46" s="498"/>
      <c r="D46" s="691"/>
      <c r="E46" s="691"/>
      <c r="F46" s="691"/>
      <c r="G46" s="691"/>
      <c r="H46" s="691"/>
      <c r="I46" s="691"/>
      <c r="J46" s="691"/>
      <c r="K46" s="691"/>
      <c r="L46" s="691"/>
      <c r="M46" s="691"/>
    </row>
    <row r="47" spans="2:14" ht="15" customHeight="1" x14ac:dyDescent="0.25">
      <c r="B47" s="1228" t="s">
        <v>956</v>
      </c>
      <c r="C47" s="14"/>
      <c r="D47" s="499"/>
      <c r="E47" s="499"/>
    </row>
    <row r="48" spans="2:14" ht="15" customHeight="1" x14ac:dyDescent="0.25">
      <c r="B48" s="472" t="str">
        <f>$B22</f>
        <v xml:space="preserve">Cát </v>
      </c>
      <c r="C48" s="156" t="s">
        <v>918</v>
      </c>
      <c r="D48" s="156">
        <f>D40*D22</f>
        <v>34857563649.228127</v>
      </c>
      <c r="E48" s="156">
        <f t="shared" ref="E48:M48" si="23">E40*E22</f>
        <v>35206139285.720413</v>
      </c>
      <c r="F48" s="156">
        <f t="shared" si="23"/>
        <v>35558200678.577614</v>
      </c>
      <c r="G48" s="156">
        <f t="shared" si="23"/>
        <v>35913782685.363388</v>
      </c>
      <c r="H48" s="156">
        <f t="shared" si="23"/>
        <v>36272920512.217026</v>
      </c>
      <c r="I48" s="156">
        <f t="shared" si="23"/>
        <v>36635649717.339195</v>
      </c>
      <c r="J48" s="156">
        <f t="shared" si="23"/>
        <v>37002006214.512589</v>
      </c>
      <c r="K48" s="156">
        <f t="shared" si="23"/>
        <v>37372026276.657715</v>
      </c>
      <c r="L48" s="156">
        <f t="shared" si="23"/>
        <v>37745746539.424294</v>
      </c>
      <c r="M48" s="156">
        <f t="shared" si="23"/>
        <v>38123204004.818535</v>
      </c>
    </row>
    <row r="49" spans="2:13" ht="15" customHeight="1" x14ac:dyDescent="0.25">
      <c r="B49" s="472" t="str">
        <f>$B23</f>
        <v xml:space="preserve">Đá </v>
      </c>
      <c r="C49" s="156" t="s">
        <v>918</v>
      </c>
      <c r="D49" s="156">
        <f t="shared" ref="D49:D53" si="24">D41*D23</f>
        <v>27462903551.225456</v>
      </c>
      <c r="E49" s="156">
        <f t="shared" ref="E49:M49" si="25">E41*E23</f>
        <v>27737532586.737713</v>
      </c>
      <c r="F49" s="156">
        <f t="shared" si="25"/>
        <v>28014907912.605087</v>
      </c>
      <c r="G49" s="156">
        <f t="shared" si="25"/>
        <v>28295056991.73114</v>
      </c>
      <c r="H49" s="156">
        <f t="shared" si="25"/>
        <v>28578007561.648449</v>
      </c>
      <c r="I49" s="156">
        <f t="shared" si="25"/>
        <v>28863787637.264935</v>
      </c>
      <c r="J49" s="156">
        <f t="shared" si="25"/>
        <v>29152425513.637585</v>
      </c>
      <c r="K49" s="156">
        <f t="shared" si="25"/>
        <v>29443949768.77396</v>
      </c>
      <c r="L49" s="156">
        <f t="shared" si="25"/>
        <v>29738389266.4617</v>
      </c>
      <c r="M49" s="156">
        <f t="shared" si="25"/>
        <v>30035773159.12632</v>
      </c>
    </row>
    <row r="50" spans="2:13" ht="15" customHeight="1" x14ac:dyDescent="0.25">
      <c r="B50" s="472" t="str">
        <f>B42</f>
        <v>Mạt</v>
      </c>
      <c r="C50" s="156" t="s">
        <v>918</v>
      </c>
      <c r="D50" s="156">
        <f t="shared" si="24"/>
        <v>0</v>
      </c>
      <c r="E50" s="156">
        <f t="shared" ref="E50:M50" si="26">E42*E24</f>
        <v>0</v>
      </c>
      <c r="F50" s="156">
        <f t="shared" si="26"/>
        <v>0</v>
      </c>
      <c r="G50" s="156">
        <f t="shared" si="26"/>
        <v>0</v>
      </c>
      <c r="H50" s="156">
        <f t="shared" si="26"/>
        <v>0</v>
      </c>
      <c r="I50" s="156">
        <f t="shared" si="26"/>
        <v>0</v>
      </c>
      <c r="J50" s="156">
        <f t="shared" si="26"/>
        <v>0</v>
      </c>
      <c r="K50" s="156">
        <f t="shared" si="26"/>
        <v>0</v>
      </c>
      <c r="L50" s="156">
        <f t="shared" si="26"/>
        <v>0</v>
      </c>
      <c r="M50" s="156">
        <f t="shared" si="26"/>
        <v>0</v>
      </c>
    </row>
    <row r="51" spans="2:13" ht="15" customHeight="1" x14ac:dyDescent="0.25">
      <c r="B51" s="472" t="str">
        <f>$B25</f>
        <v>Xi</v>
      </c>
      <c r="C51" s="156" t="s">
        <v>918</v>
      </c>
      <c r="D51" s="156">
        <f t="shared" si="24"/>
        <v>97806169381.56134</v>
      </c>
      <c r="E51" s="156">
        <f t="shared" ref="E51:M51" si="27">E43*E25</f>
        <v>98784231075.376968</v>
      </c>
      <c r="F51" s="156">
        <f t="shared" si="27"/>
        <v>99772073386.130737</v>
      </c>
      <c r="G51" s="156">
        <f t="shared" si="27"/>
        <v>100769794119.99205</v>
      </c>
      <c r="H51" s="156">
        <f t="shared" si="27"/>
        <v>101777492061.19197</v>
      </c>
      <c r="I51" s="156">
        <f t="shared" si="27"/>
        <v>102795266981.80389</v>
      </c>
      <c r="J51" s="156">
        <f t="shared" si="27"/>
        <v>103823219651.62193</v>
      </c>
      <c r="K51" s="156">
        <f t="shared" si="27"/>
        <v>104861451848.13815</v>
      </c>
      <c r="L51" s="156">
        <f t="shared" si="27"/>
        <v>105910066366.61954</v>
      </c>
      <c r="M51" s="156">
        <f t="shared" si="27"/>
        <v>106969167030.28572</v>
      </c>
    </row>
    <row r="52" spans="2:13" ht="15" customHeight="1" x14ac:dyDescent="0.25">
      <c r="B52" s="472" t="str">
        <f>$B26</f>
        <v>Tro bay</v>
      </c>
      <c r="C52" s="156" t="s">
        <v>918</v>
      </c>
      <c r="D52" s="156">
        <f t="shared" si="24"/>
        <v>0</v>
      </c>
      <c r="E52" s="156">
        <f t="shared" ref="E52:M52" si="28">E44*E26</f>
        <v>0</v>
      </c>
      <c r="F52" s="156">
        <f t="shared" si="28"/>
        <v>0</v>
      </c>
      <c r="G52" s="156">
        <f t="shared" si="28"/>
        <v>0</v>
      </c>
      <c r="H52" s="156">
        <f t="shared" si="28"/>
        <v>0</v>
      </c>
      <c r="I52" s="156">
        <f t="shared" si="28"/>
        <v>0</v>
      </c>
      <c r="J52" s="156">
        <f t="shared" si="28"/>
        <v>0</v>
      </c>
      <c r="K52" s="156">
        <f t="shared" si="28"/>
        <v>0</v>
      </c>
      <c r="L52" s="156">
        <f t="shared" si="28"/>
        <v>0</v>
      </c>
      <c r="M52" s="156">
        <f t="shared" si="28"/>
        <v>0</v>
      </c>
    </row>
    <row r="53" spans="2:13" ht="15" customHeight="1" x14ac:dyDescent="0.25">
      <c r="B53" s="472" t="str">
        <f>$B27</f>
        <v>Phụ gia</v>
      </c>
      <c r="C53" s="156" t="s">
        <v>918</v>
      </c>
      <c r="D53" s="156">
        <f t="shared" si="24"/>
        <v>10451302756.363636</v>
      </c>
      <c r="E53" s="156">
        <f t="shared" ref="E53:M53" si="29">E45*E27</f>
        <v>10555815783.927273</v>
      </c>
      <c r="F53" s="156">
        <f t="shared" si="29"/>
        <v>10661373941.766546</v>
      </c>
      <c r="G53" s="156">
        <f t="shared" si="29"/>
        <v>10767987681.18421</v>
      </c>
      <c r="H53" s="156">
        <f t="shared" si="29"/>
        <v>10875667557.996054</v>
      </c>
      <c r="I53" s="156">
        <f t="shared" si="29"/>
        <v>10984424233.576014</v>
      </c>
      <c r="J53" s="156">
        <f t="shared" si="29"/>
        <v>11094268475.911774</v>
      </c>
      <c r="K53" s="156">
        <f t="shared" si="29"/>
        <v>11205211160.670891</v>
      </c>
      <c r="L53" s="156">
        <f t="shared" si="29"/>
        <v>11317263272.277599</v>
      </c>
      <c r="M53" s="156">
        <f t="shared" si="29"/>
        <v>11430435905.000378</v>
      </c>
    </row>
    <row r="54" spans="2:13" ht="15" customHeight="1" x14ac:dyDescent="0.25">
      <c r="B54" s="160" t="s">
        <v>615</v>
      </c>
      <c r="C54" s="486" t="s">
        <v>918</v>
      </c>
      <c r="D54" s="116">
        <f t="shared" ref="D54:M54" si="30">SUM(D48:D53)</f>
        <v>170577939338.37857</v>
      </c>
      <c r="E54" s="116">
        <f t="shared" si="30"/>
        <v>172283718731.76236</v>
      </c>
      <c r="F54" s="116">
        <f t="shared" si="30"/>
        <v>174006555919.07999</v>
      </c>
      <c r="G54" s="116">
        <f t="shared" si="30"/>
        <v>175746621478.27078</v>
      </c>
      <c r="H54" s="116">
        <f t="shared" si="30"/>
        <v>177504087693.0535</v>
      </c>
      <c r="I54" s="116">
        <f t="shared" si="30"/>
        <v>179279128569.98404</v>
      </c>
      <c r="J54" s="116">
        <f t="shared" si="30"/>
        <v>181071919855.68387</v>
      </c>
      <c r="K54" s="116">
        <f t="shared" si="30"/>
        <v>182882639054.24072</v>
      </c>
      <c r="L54" s="116">
        <f t="shared" si="30"/>
        <v>184711465444.78311</v>
      </c>
      <c r="M54" s="116">
        <f t="shared" si="30"/>
        <v>186558580099.23096</v>
      </c>
    </row>
    <row r="55" spans="2:13" ht="15" customHeight="1" x14ac:dyDescent="0.25">
      <c r="B55" s="160"/>
      <c r="C55" s="486"/>
      <c r="D55" s="116"/>
      <c r="E55" s="116"/>
      <c r="F55" s="116"/>
      <c r="G55" s="116"/>
      <c r="H55" s="116"/>
      <c r="I55" s="116"/>
      <c r="J55" s="116"/>
      <c r="K55" s="116"/>
      <c r="L55" s="116"/>
      <c r="M55" s="116"/>
    </row>
    <row r="56" spans="2:13" ht="15" customHeight="1" x14ac:dyDescent="0.25">
      <c r="B56" s="1228" t="s">
        <v>957</v>
      </c>
      <c r="C56" s="14"/>
      <c r="D56" s="499"/>
      <c r="E56" s="499"/>
    </row>
    <row r="57" spans="2:13" ht="15" customHeight="1" x14ac:dyDescent="0.25">
      <c r="B57" s="472" t="str">
        <f>$B40</f>
        <v xml:space="preserve">Cát </v>
      </c>
      <c r="C57" s="486" t="s">
        <v>918</v>
      </c>
      <c r="D57" s="156">
        <f>D40*D31</f>
        <v>617709692.80976772</v>
      </c>
      <c r="E57" s="156">
        <f t="shared" ref="E57:M57" si="31">E40*E31</f>
        <v>623886789.73786545</v>
      </c>
      <c r="F57" s="156">
        <f t="shared" si="31"/>
        <v>630125657.63524401</v>
      </c>
      <c r="G57" s="156">
        <f t="shared" si="31"/>
        <v>636426914.21159649</v>
      </c>
      <c r="H57" s="156">
        <f t="shared" si="31"/>
        <v>642791183.35371244</v>
      </c>
      <c r="I57" s="156">
        <f t="shared" si="31"/>
        <v>649219095.18724966</v>
      </c>
      <c r="J57" s="156">
        <f t="shared" si="31"/>
        <v>655711286.13912213</v>
      </c>
      <c r="K57" s="156">
        <f t="shared" si="31"/>
        <v>662268399.00051332</v>
      </c>
      <c r="L57" s="156">
        <f t="shared" si="31"/>
        <v>668891082.99051845</v>
      </c>
      <c r="M57" s="156">
        <f t="shared" si="31"/>
        <v>675579993.82042372</v>
      </c>
    </row>
    <row r="58" spans="2:13" ht="15" customHeight="1" x14ac:dyDescent="0.25">
      <c r="B58" s="472" t="str">
        <f>$B41</f>
        <v xml:space="preserve">Đá </v>
      </c>
      <c r="C58" s="486" t="s">
        <v>918</v>
      </c>
      <c r="D58" s="156">
        <f t="shared" ref="D58:M62" si="32">D41*D32</f>
        <v>0</v>
      </c>
      <c r="E58" s="156">
        <f t="shared" si="32"/>
        <v>0</v>
      </c>
      <c r="F58" s="156">
        <f t="shared" si="32"/>
        <v>0</v>
      </c>
      <c r="G58" s="156">
        <f t="shared" si="32"/>
        <v>0</v>
      </c>
      <c r="H58" s="156">
        <f t="shared" si="32"/>
        <v>0</v>
      </c>
      <c r="I58" s="156">
        <f t="shared" si="32"/>
        <v>0</v>
      </c>
      <c r="J58" s="156">
        <f t="shared" si="32"/>
        <v>0</v>
      </c>
      <c r="K58" s="156">
        <f t="shared" si="32"/>
        <v>0</v>
      </c>
      <c r="L58" s="156">
        <f t="shared" si="32"/>
        <v>0</v>
      </c>
      <c r="M58" s="156">
        <f t="shared" si="32"/>
        <v>0</v>
      </c>
    </row>
    <row r="59" spans="2:13" ht="15" customHeight="1" x14ac:dyDescent="0.25">
      <c r="B59" s="472" t="str">
        <f>B51</f>
        <v>Xi</v>
      </c>
      <c r="C59" s="486" t="s">
        <v>918</v>
      </c>
      <c r="D59" s="156">
        <f t="shared" si="32"/>
        <v>2722232764.5252471</v>
      </c>
      <c r="E59" s="156">
        <f t="shared" si="32"/>
        <v>2749455092.1704998</v>
      </c>
      <c r="F59" s="156">
        <f t="shared" si="32"/>
        <v>2776949643.0922046</v>
      </c>
      <c r="G59" s="156">
        <f t="shared" si="32"/>
        <v>2804719139.5231271</v>
      </c>
      <c r="H59" s="156">
        <f t="shared" si="32"/>
        <v>2832766330.9183583</v>
      </c>
      <c r="I59" s="156">
        <f t="shared" si="32"/>
        <v>2861093994.2275419</v>
      </c>
      <c r="J59" s="156">
        <f t="shared" si="32"/>
        <v>2889704934.1698179</v>
      </c>
      <c r="K59" s="156">
        <f t="shared" si="32"/>
        <v>2918601983.5115161</v>
      </c>
      <c r="L59" s="156">
        <f t="shared" si="32"/>
        <v>2947788003.3466315</v>
      </c>
      <c r="M59" s="156">
        <f t="shared" si="32"/>
        <v>2977265883.3800979</v>
      </c>
    </row>
    <row r="60" spans="2:13" ht="15" customHeight="1" x14ac:dyDescent="0.25">
      <c r="B60" s="472" t="str">
        <f>$B43</f>
        <v>Xi</v>
      </c>
      <c r="C60" s="486" t="s">
        <v>918</v>
      </c>
      <c r="D60" s="156">
        <f t="shared" si="32"/>
        <v>3797249443.6251311</v>
      </c>
      <c r="E60" s="156">
        <f t="shared" si="32"/>
        <v>3835221938.0613828</v>
      </c>
      <c r="F60" s="156">
        <f t="shared" si="32"/>
        <v>3873574157.4419971</v>
      </c>
      <c r="G60" s="156">
        <f t="shared" si="32"/>
        <v>3912309899.016417</v>
      </c>
      <c r="H60" s="156">
        <f t="shared" si="32"/>
        <v>3951432998.0065813</v>
      </c>
      <c r="I60" s="156">
        <f t="shared" si="32"/>
        <v>3990947327.9866471</v>
      </c>
      <c r="J60" s="156">
        <f t="shared" si="32"/>
        <v>4030856801.2665133</v>
      </c>
      <c r="K60" s="156">
        <f t="shared" si="32"/>
        <v>4071165369.2791786</v>
      </c>
      <c r="L60" s="156">
        <f t="shared" si="32"/>
        <v>4111877022.9719706</v>
      </c>
      <c r="M60" s="156">
        <f t="shared" si="32"/>
        <v>4152995793.2016902</v>
      </c>
    </row>
    <row r="61" spans="2:13" ht="15" customHeight="1" x14ac:dyDescent="0.25">
      <c r="B61" s="472" t="str">
        <f>$B44</f>
        <v>Tro bay</v>
      </c>
      <c r="C61" s="486" t="s">
        <v>918</v>
      </c>
      <c r="D61" s="156">
        <f t="shared" si="32"/>
        <v>710712557.5680002</v>
      </c>
      <c r="E61" s="156">
        <f t="shared" si="32"/>
        <v>717819683.14368021</v>
      </c>
      <c r="F61" s="156">
        <f t="shared" si="32"/>
        <v>724997879.97511697</v>
      </c>
      <c r="G61" s="156">
        <f t="shared" si="32"/>
        <v>732247858.77486813</v>
      </c>
      <c r="H61" s="156">
        <f t="shared" si="32"/>
        <v>739570337.36261678</v>
      </c>
      <c r="I61" s="156">
        <f t="shared" si="32"/>
        <v>746966040.73624301</v>
      </c>
      <c r="J61" s="156">
        <f t="shared" si="32"/>
        <v>754435701.14360547</v>
      </c>
      <c r="K61" s="156">
        <f t="shared" si="32"/>
        <v>761980058.15504158</v>
      </c>
      <c r="L61" s="156">
        <f t="shared" si="32"/>
        <v>769599858.73659194</v>
      </c>
      <c r="M61" s="156">
        <f t="shared" si="32"/>
        <v>777295857.32395792</v>
      </c>
    </row>
    <row r="62" spans="2:13" ht="15" customHeight="1" x14ac:dyDescent="0.25">
      <c r="B62" s="472" t="str">
        <f>$B45</f>
        <v>Phụ gia</v>
      </c>
      <c r="C62" s="486" t="s">
        <v>918</v>
      </c>
      <c r="D62" s="156">
        <f t="shared" si="32"/>
        <v>0</v>
      </c>
      <c r="E62" s="156">
        <f t="shared" si="32"/>
        <v>0</v>
      </c>
      <c r="F62" s="156">
        <f t="shared" si="32"/>
        <v>0</v>
      </c>
      <c r="G62" s="156">
        <f t="shared" si="32"/>
        <v>0</v>
      </c>
      <c r="H62" s="156">
        <f t="shared" si="32"/>
        <v>0</v>
      </c>
      <c r="I62" s="156">
        <f t="shared" si="32"/>
        <v>0</v>
      </c>
      <c r="J62" s="156">
        <f t="shared" si="32"/>
        <v>0</v>
      </c>
      <c r="K62" s="156">
        <f t="shared" si="32"/>
        <v>0</v>
      </c>
      <c r="L62" s="156">
        <f t="shared" si="32"/>
        <v>0</v>
      </c>
      <c r="M62" s="156">
        <f t="shared" si="32"/>
        <v>0</v>
      </c>
    </row>
    <row r="63" spans="2:13" ht="15" customHeight="1" x14ac:dyDescent="0.25">
      <c r="B63" s="160" t="s">
        <v>615</v>
      </c>
      <c r="C63" s="486" t="s">
        <v>918</v>
      </c>
      <c r="D63" s="116">
        <f t="shared" ref="D63:M63" si="33">SUM(D57:D62)</f>
        <v>7847904458.5281458</v>
      </c>
      <c r="E63" s="116">
        <f t="shared" si="33"/>
        <v>7926383503.1134281</v>
      </c>
      <c r="F63" s="116">
        <f t="shared" si="33"/>
        <v>8005647338.1445618</v>
      </c>
      <c r="G63" s="116">
        <f t="shared" si="33"/>
        <v>8085703811.5260086</v>
      </c>
      <c r="H63" s="116">
        <f t="shared" si="33"/>
        <v>8166560849.6412687</v>
      </c>
      <c r="I63" s="116">
        <f t="shared" si="33"/>
        <v>8248226458.137682</v>
      </c>
      <c r="J63" s="116">
        <f t="shared" si="33"/>
        <v>8330708722.719058</v>
      </c>
      <c r="K63" s="116">
        <f t="shared" si="33"/>
        <v>8414015809.94625</v>
      </c>
      <c r="L63" s="116">
        <f t="shared" si="33"/>
        <v>8498155968.0457125</v>
      </c>
      <c r="M63" s="116">
        <f t="shared" si="33"/>
        <v>8583137527.7261696</v>
      </c>
    </row>
    <row r="64" spans="2:13" hidden="1" x14ac:dyDescent="0.25">
      <c r="B64" s="1228" t="s">
        <v>767</v>
      </c>
      <c r="C64" s="14"/>
      <c r="D64" s="499"/>
      <c r="E64" s="499"/>
    </row>
    <row r="65" spans="2:13" hidden="1" x14ac:dyDescent="0.25">
      <c r="B65" s="1232" t="str">
        <f>$B40</f>
        <v xml:space="preserve">Cát </v>
      </c>
      <c r="C65" s="495" t="str">
        <f>'[29]PL1. Input'!$D$29</f>
        <v>(tỷ VNĐ)</v>
      </c>
      <c r="D65" s="62">
        <f>D48*'[29]PL4. Doanh thu'!D$33/'[29]PL4. Doanh thu'!D$19</f>
        <v>28807903842.337299</v>
      </c>
      <c r="E65" s="62">
        <f>E48*'[29]PL4. Doanh thu'!E$33/'[29]PL4. Doanh thu'!E$19</f>
        <v>31758708467.965858</v>
      </c>
      <c r="F65" s="62">
        <f>F48*'[29]PL4. Doanh thu'!F$33/'[29]PL4. Doanh thu'!F$19</f>
        <v>32638441352.368992</v>
      </c>
      <c r="G65" s="62">
        <f>G48*'[29]PL4. Doanh thu'!G$33/'[29]PL4. Doanh thu'!G$19</f>
        <v>35120792311.988068</v>
      </c>
      <c r="H65" s="62">
        <f>H48*'[29]PL4. Doanh thu'!H$33/'[29]PL4. Doanh thu'!H$19</f>
        <v>36078227265.337578</v>
      </c>
      <c r="I65" s="62">
        <f>I48*'[29]PL4. Doanh thu'!I$33/'[29]PL4. Doanh thu'!I$19</f>
        <v>36549914708.061028</v>
      </c>
      <c r="J65" s="62">
        <f>J48*'[29]PL4. Doanh thu'!J$33/'[29]PL4. Doanh thu'!J$19</f>
        <v>37007369601.411346</v>
      </c>
      <c r="K65" s="62">
        <f>K48*'[29]PL4. Doanh thu'!K$33/'[29]PL4. Doanh thu'!K$19</f>
        <v>37315415600.948792</v>
      </c>
      <c r="L65" s="62">
        <f>L48*'[29]PL4. Doanh thu'!L$33/'[29]PL4. Doanh thu'!L$19</f>
        <v>37694518276.958755</v>
      </c>
      <c r="M65" s="62">
        <f>M48*'[29]PL4. Doanh thu'!M$33/'[29]PL4. Doanh thu'!M$19</f>
        <v>38033513104.171188</v>
      </c>
    </row>
    <row r="66" spans="2:13" hidden="1" x14ac:dyDescent="0.25">
      <c r="B66" s="1233" t="str">
        <f>$B41</f>
        <v xml:space="preserve">Đá </v>
      </c>
      <c r="C66" s="61" t="str">
        <f>'[29]PL1. Input'!$D$29</f>
        <v>(tỷ VNĐ)</v>
      </c>
      <c r="D66" s="500">
        <f>D49*'[29]PL4. Doanh thu'!D$33/'[29]PL4. Doanh thu'!D$19</f>
        <v>22696614505.145012</v>
      </c>
      <c r="E66" s="500">
        <f>E49*'[29]PL4. Doanh thu'!E$33/'[29]PL4. Doanh thu'!E$19</f>
        <v>25021437422.995193</v>
      </c>
      <c r="F66" s="500">
        <f>F49*'[29]PL4. Doanh thu'!F$33/'[29]PL4. Doanh thu'!F$19</f>
        <v>25714544365.245289</v>
      </c>
      <c r="G66" s="500">
        <f>G49*'[29]PL4. Doanh thu'!G$33/'[29]PL4. Doanh thu'!G$19</f>
        <v>27670291062.585693</v>
      </c>
      <c r="H66" s="500">
        <f>H49*'[29]PL4. Doanh thu'!H$33/'[29]PL4. Doanh thu'!H$19</f>
        <v>28424616409.159126</v>
      </c>
      <c r="I66" s="500">
        <f>I49*'[29]PL4. Doanh thu'!I$33/'[29]PL4. Doanh thu'!I$19</f>
        <v>28796240395.166679</v>
      </c>
      <c r="J66" s="500">
        <f>J49*'[29]PL4. Doanh thu'!J$33/'[29]PL4. Doanh thu'!J$19</f>
        <v>29156651115.248493</v>
      </c>
      <c r="K66" s="500">
        <f>K49*'[29]PL4. Doanh thu'!K$33/'[29]PL4. Doanh thu'!K$19</f>
        <v>29399348443.718403</v>
      </c>
      <c r="L66" s="500">
        <f>L49*'[29]PL4. Doanh thu'!L$33/'[29]PL4. Doanh thu'!L$19</f>
        <v>29698028533.125732</v>
      </c>
      <c r="M66" s="500">
        <f>M49*'[29]PL4. Doanh thu'!M$33/'[29]PL4. Doanh thu'!M$19</f>
        <v>29965109225.792152</v>
      </c>
    </row>
    <row r="67" spans="2:13" hidden="1" x14ac:dyDescent="0.25">
      <c r="B67" s="1233" t="str">
        <f>$B43</f>
        <v>Xi</v>
      </c>
      <c r="C67" s="61" t="str">
        <f>'[29]PL1. Input'!$D$29</f>
        <v>(tỷ VNĐ)</v>
      </c>
      <c r="D67" s="500">
        <f>D51*'[29]PL4. Doanh thu'!D$33/'[29]PL4. Doanh thu'!D$19</f>
        <v>80831544943.439148</v>
      </c>
      <c r="E67" s="500">
        <f>E51*'[29]PL4. Doanh thu'!E$33/'[29]PL4. Doanh thu'!E$19</f>
        <v>89111151055.053085</v>
      </c>
      <c r="F67" s="500">
        <f>F51*'[29]PL4. Doanh thu'!F$33/'[29]PL4. Doanh thu'!F$19</f>
        <v>91579576684.804993</v>
      </c>
      <c r="G67" s="500">
        <f>G51*'[29]PL4. Doanh thu'!G$33/'[29]PL4. Doanh thu'!G$19</f>
        <v>98544757638.476196</v>
      </c>
      <c r="H67" s="500">
        <f>H51*'[29]PL4. Doanh thu'!H$33/'[29]PL4. Doanh thu'!H$19</f>
        <v>101231206013.39589</v>
      </c>
      <c r="I67" s="500">
        <f>I51*'[29]PL4. Doanh thu'!I$33/'[29]PL4. Doanh thu'!I$19</f>
        <v>102554704763.40639</v>
      </c>
      <c r="J67" s="500">
        <f>J51*'[29]PL4. Doanh thu'!J$33/'[29]PL4. Doanh thu'!J$19</f>
        <v>103838268676.06773</v>
      </c>
      <c r="K67" s="500">
        <f>K51*'[29]PL4. Doanh thu'!K$33/'[29]PL4. Doanh thu'!K$19</f>
        <v>104702609038.78665</v>
      </c>
      <c r="L67" s="500">
        <f>L51*'[29]PL4. Doanh thu'!L$33/'[29]PL4. Doanh thu'!L$19</f>
        <v>105766325967.36938</v>
      </c>
      <c r="M67" s="500">
        <f>M51*'[29]PL4. Doanh thu'!M$33/'[29]PL4. Doanh thu'!M$19</f>
        <v>106717505052.15739</v>
      </c>
    </row>
    <row r="68" spans="2:13" hidden="1" x14ac:dyDescent="0.25">
      <c r="B68" s="1233" t="str">
        <f>$B44</f>
        <v>Tro bay</v>
      </c>
      <c r="C68" s="61" t="str">
        <f>'[29]PL1. Input'!$D$29</f>
        <v>(tỷ VNĐ)</v>
      </c>
      <c r="D68" s="500">
        <f>D52*'[29]PL4. Doanh thu'!D$33/'[29]PL4. Doanh thu'!D$19</f>
        <v>0</v>
      </c>
      <c r="E68" s="500">
        <f>E52*'[29]PL4. Doanh thu'!E$33/'[29]PL4. Doanh thu'!E$19</f>
        <v>0</v>
      </c>
      <c r="F68" s="500">
        <f>F52*'[29]PL4. Doanh thu'!F$33/'[29]PL4. Doanh thu'!F$19</f>
        <v>0</v>
      </c>
      <c r="G68" s="500">
        <f>G52*'[29]PL4. Doanh thu'!G$33/'[29]PL4. Doanh thu'!G$19</f>
        <v>0</v>
      </c>
      <c r="H68" s="500">
        <f>H52*'[29]PL4. Doanh thu'!H$33/'[29]PL4. Doanh thu'!H$19</f>
        <v>0</v>
      </c>
      <c r="I68" s="500">
        <f>I52*'[29]PL4. Doanh thu'!I$33/'[29]PL4. Doanh thu'!I$19</f>
        <v>0</v>
      </c>
      <c r="J68" s="500">
        <f>J52*'[29]PL4. Doanh thu'!J$33/'[29]PL4. Doanh thu'!J$19</f>
        <v>0</v>
      </c>
      <c r="K68" s="500">
        <f>K52*'[29]PL4. Doanh thu'!K$33/'[29]PL4. Doanh thu'!K$19</f>
        <v>0</v>
      </c>
      <c r="L68" s="500">
        <f>L52*'[29]PL4. Doanh thu'!L$33/'[29]PL4. Doanh thu'!L$19</f>
        <v>0</v>
      </c>
      <c r="M68" s="500">
        <f>M52*'[29]PL4. Doanh thu'!M$33/'[29]PL4. Doanh thu'!M$19</f>
        <v>0</v>
      </c>
    </row>
    <row r="69" spans="2:13" hidden="1" x14ac:dyDescent="0.25">
      <c r="B69" s="1233" t="str">
        <f>$B45</f>
        <v>Phụ gia</v>
      </c>
      <c r="C69" s="61" t="str">
        <f>'[29]PL1. Input'!$D$29</f>
        <v>(tỷ VNĐ)</v>
      </c>
      <c r="D69" s="500">
        <f>D53*'[29]PL4. Doanh thu'!D$33/'[29]PL4. Doanh thu'!D$19</f>
        <v>8637440294.5154037</v>
      </c>
      <c r="E69" s="500">
        <f>E53*'[29]PL4. Doanh thu'!E$33/'[29]PL4. Doanh thu'!E$19</f>
        <v>9522176612.5112019</v>
      </c>
      <c r="F69" s="500">
        <f>F53*'[29]PL4. Doanh thu'!F$33/'[29]PL4. Doanh thu'!F$19</f>
        <v>9785945899.7783546</v>
      </c>
      <c r="G69" s="500">
        <f>G53*'[29]PL4. Doanh thu'!G$33/'[29]PL4. Doanh thu'!G$19</f>
        <v>10530226300.084047</v>
      </c>
      <c r="H69" s="500">
        <f>H53*'[29]PL4. Doanh thu'!H$33/'[29]PL4. Doanh thu'!H$19</f>
        <v>10817292908.286375</v>
      </c>
      <c r="I69" s="500">
        <f>I53*'[29]PL4. Doanh thu'!I$33/'[29]PL4. Doanh thu'!I$19</f>
        <v>10958718405.486517</v>
      </c>
      <c r="J69" s="500">
        <f>J53*'[29]PL4. Doanh thu'!J$33/'[29]PL4. Doanh thu'!J$19</f>
        <v>11095876573.965973</v>
      </c>
      <c r="K69" s="500">
        <f>K53*'[29]PL4. Doanh thu'!K$33/'[29]PL4. Doanh thu'!K$19</f>
        <v>11188237647.632797</v>
      </c>
      <c r="L69" s="500">
        <f>L53*'[29]PL4. Doanh thu'!L$33/'[29]PL4. Doanh thu'!L$19</f>
        <v>11301903561.940479</v>
      </c>
      <c r="M69" s="500">
        <f>M53*'[29]PL4. Doanh thu'!M$33/'[29]PL4. Doanh thu'!M$19</f>
        <v>11403543986.603863</v>
      </c>
    </row>
    <row r="70" spans="2:13" hidden="1" x14ac:dyDescent="0.25">
      <c r="B70" s="1234" t="s">
        <v>615</v>
      </c>
      <c r="C70" s="497" t="str">
        <f>'[29]PL1. Input'!$D$29</f>
        <v>(tỷ VNĐ)</v>
      </c>
      <c r="D70" s="502">
        <f t="shared" ref="D70:M70" si="34">SUM(D65:D69)</f>
        <v>140973503585.43686</v>
      </c>
      <c r="E70" s="502">
        <f t="shared" si="34"/>
        <v>155413473558.52533</v>
      </c>
      <c r="F70" s="502">
        <f t="shared" si="34"/>
        <v>159718508302.19763</v>
      </c>
      <c r="G70" s="502">
        <f t="shared" si="34"/>
        <v>171866067313.134</v>
      </c>
      <c r="H70" s="502">
        <f t="shared" si="34"/>
        <v>176551342596.17896</v>
      </c>
      <c r="I70" s="502">
        <f t="shared" si="34"/>
        <v>178859578272.12061</v>
      </c>
      <c r="J70" s="502">
        <f t="shared" si="34"/>
        <v>181098165966.69354</v>
      </c>
      <c r="K70" s="502">
        <f t="shared" si="34"/>
        <v>182605610731.08667</v>
      </c>
      <c r="L70" s="502">
        <f t="shared" si="34"/>
        <v>184460776339.39435</v>
      </c>
      <c r="M70" s="502">
        <f t="shared" si="34"/>
        <v>186119671368.72458</v>
      </c>
    </row>
    <row r="71" spans="2:13" hidden="1" x14ac:dyDescent="0.25">
      <c r="B71" s="160"/>
      <c r="C71" s="498"/>
      <c r="D71" s="503"/>
      <c r="E71" s="503"/>
      <c r="F71" s="503"/>
      <c r="G71" s="503"/>
      <c r="H71" s="503"/>
      <c r="I71" s="503"/>
      <c r="J71" s="503"/>
      <c r="K71" s="503"/>
      <c r="L71" s="503"/>
      <c r="M71" s="503"/>
    </row>
    <row r="72" spans="2:13" hidden="1" x14ac:dyDescent="0.25">
      <c r="B72" s="1228" t="s">
        <v>768</v>
      </c>
      <c r="C72" s="14"/>
      <c r="D72" s="499"/>
      <c r="E72" s="499"/>
    </row>
    <row r="73" spans="2:13" hidden="1" x14ac:dyDescent="0.25">
      <c r="B73" s="1232" t="str">
        <f>B65</f>
        <v xml:space="preserve">Cát </v>
      </c>
      <c r="C73" s="495" t="str">
        <f>'[29]PL1. Input'!$D$29</f>
        <v>(tỷ VNĐ)</v>
      </c>
      <c r="D73" s="62">
        <f>D48*'[29]PL4. Doanh thu'!D$46/'[29]PL4. Doanh thu'!D$19</f>
        <v>6049659806.8908329</v>
      </c>
      <c r="E73" s="62">
        <f>E48*'[29]PL4. Doanh thu'!E$46/'[29]PL4. Doanh thu'!E$19</f>
        <v>6669328778.27283</v>
      </c>
      <c r="F73" s="62">
        <f>F48*'[29]PL4. Doanh thu'!F$46/'[29]PL4. Doanh thu'!F$19</f>
        <v>6854072683.997488</v>
      </c>
      <c r="G73" s="62">
        <f>G48*'[29]PL4. Doanh thu'!G$46/'[29]PL4. Doanh thu'!G$19</f>
        <v>7375366385.5174942</v>
      </c>
      <c r="H73" s="62">
        <f>H48*'[29]PL4. Doanh thu'!H$46/'[29]PL4. Doanh thu'!H$19</f>
        <v>7576427725.720892</v>
      </c>
      <c r="I73" s="62">
        <f>I48*'[29]PL4. Doanh thu'!I$46/'[29]PL4. Doanh thu'!I$19</f>
        <v>7675482088.6928139</v>
      </c>
      <c r="J73" s="62">
        <f>J48*'[29]PL4. Doanh thu'!J$46/'[29]PL4. Doanh thu'!J$19</f>
        <v>7771547616.296381</v>
      </c>
      <c r="K73" s="62">
        <f>K48*'[29]PL4. Doanh thu'!K$46/'[29]PL4. Doanh thu'!K$19</f>
        <v>7836237276.1992445</v>
      </c>
      <c r="L73" s="62">
        <f>L48*'[29]PL4. Doanh thu'!L$46/'[29]PL4. Doanh thu'!L$19</f>
        <v>7915848838.1613379</v>
      </c>
      <c r="M73" s="62">
        <f>M48*'[29]PL4. Doanh thu'!M$46/'[29]PL4. Doanh thu'!M$19</f>
        <v>7987037751.8759489</v>
      </c>
    </row>
    <row r="74" spans="2:13" hidden="1" x14ac:dyDescent="0.25">
      <c r="B74" s="1233" t="str">
        <f>B66</f>
        <v xml:space="preserve">Đá </v>
      </c>
      <c r="C74" s="61" t="str">
        <f>'[29]PL1. Input'!$D$29</f>
        <v>(tỷ VNĐ)</v>
      </c>
      <c r="D74" s="500">
        <f>D49*'[29]PL4. Doanh thu'!D$46/'[29]PL4. Doanh thu'!D$19</f>
        <v>4766289046.080452</v>
      </c>
      <c r="E74" s="500">
        <f>E49*'[29]PL4. Doanh thu'!E$46/'[29]PL4. Doanh thu'!E$19</f>
        <v>5254501858.82899</v>
      </c>
      <c r="F74" s="500">
        <f>F49*'[29]PL4. Doanh thu'!F$46/'[29]PL4. Doanh thu'!F$19</f>
        <v>5400054316.7015104</v>
      </c>
      <c r="G74" s="500">
        <f>G49*'[29]PL4. Doanh thu'!G$46/'[29]PL4. Doanh thu'!G$19</f>
        <v>5810761123.1429939</v>
      </c>
      <c r="H74" s="500">
        <f>H49*'[29]PL4. Doanh thu'!H$46/'[29]PL4. Doanh thu'!H$19</f>
        <v>5969169445.9234161</v>
      </c>
      <c r="I74" s="500">
        <f>I49*'[29]PL4. Doanh thu'!I$46/'[29]PL4. Doanh thu'!I$19</f>
        <v>6047210482.9850016</v>
      </c>
      <c r="J74" s="500">
        <f>J49*'[29]PL4. Doanh thu'!J$46/'[29]PL4. Doanh thu'!J$19</f>
        <v>6122896734.2021828</v>
      </c>
      <c r="K74" s="500">
        <f>K49*'[29]PL4. Doanh thu'!K$46/'[29]PL4. Doanh thu'!K$19</f>
        <v>6173863173.1808643</v>
      </c>
      <c r="L74" s="500">
        <f>L49*'[29]PL4. Doanh thu'!L$46/'[29]PL4. Doanh thu'!L$19</f>
        <v>6236585991.9564037</v>
      </c>
      <c r="M74" s="500">
        <f>M49*'[29]PL4. Doanh thu'!M$46/'[29]PL4. Doanh thu'!M$19</f>
        <v>6292672937.4163513</v>
      </c>
    </row>
    <row r="75" spans="2:13" hidden="1" x14ac:dyDescent="0.25">
      <c r="B75" s="1233" t="str">
        <f>B67</f>
        <v>Xi</v>
      </c>
      <c r="C75" s="61" t="str">
        <f>'[29]PL1. Input'!$D$29</f>
        <v>(tỷ VNĐ)</v>
      </c>
      <c r="D75" s="500">
        <f>D51*'[29]PL4. Doanh thu'!D$46/'[29]PL4. Doanh thu'!D$19</f>
        <v>16974624438.122217</v>
      </c>
      <c r="E75" s="500">
        <f>E51*'[29]PL4. Doanh thu'!E$46/'[29]PL4. Doanh thu'!E$19</f>
        <v>18713341721.561146</v>
      </c>
      <c r="F75" s="500">
        <f>F51*'[29]PL4. Doanh thu'!F$46/'[29]PL4. Doanh thu'!F$19</f>
        <v>19231711103.809048</v>
      </c>
      <c r="G75" s="500">
        <f>G51*'[29]PL4. Doanh thu'!G$46/'[29]PL4. Doanh thu'!G$19</f>
        <v>20694399104.079998</v>
      </c>
      <c r="H75" s="500">
        <f>H51*'[29]PL4. Doanh thu'!H$46/'[29]PL4. Doanh thu'!H$19</f>
        <v>21258553262.813137</v>
      </c>
      <c r="I75" s="500">
        <f>I51*'[29]PL4. Doanh thu'!I$46/'[29]PL4. Doanh thu'!I$19</f>
        <v>21536488000.315338</v>
      </c>
      <c r="J75" s="500">
        <f>J51*'[29]PL4. Doanh thu'!J$46/'[29]PL4. Doanh thu'!J$19</f>
        <v>21806036421.974224</v>
      </c>
      <c r="K75" s="500">
        <f>K51*'[29]PL4. Doanh thu'!K$46/'[29]PL4. Doanh thu'!K$19</f>
        <v>21987547898.145195</v>
      </c>
      <c r="L75" s="500">
        <f>L51*'[29]PL4. Doanh thu'!L$46/'[29]PL4. Doanh thu'!L$19</f>
        <v>22210928453.147572</v>
      </c>
      <c r="M75" s="500">
        <f>M51*'[29]PL4. Doanh thu'!M$46/'[29]PL4. Doanh thu'!M$19</f>
        <v>22410676060.953049</v>
      </c>
    </row>
    <row r="76" spans="2:13" hidden="1" x14ac:dyDescent="0.25">
      <c r="B76" s="1233" t="str">
        <f>B68</f>
        <v>Tro bay</v>
      </c>
      <c r="C76" s="61" t="str">
        <f>'[29]PL1. Input'!$D$29</f>
        <v>(tỷ VNĐ)</v>
      </c>
      <c r="D76" s="500">
        <f>D52*'[29]PL4. Doanh thu'!D$46/'[29]PL4. Doanh thu'!D$19</f>
        <v>0</v>
      </c>
      <c r="E76" s="500">
        <f>E52*'[29]PL4. Doanh thu'!E$46/'[29]PL4. Doanh thu'!E$19</f>
        <v>0</v>
      </c>
      <c r="F76" s="500">
        <f>F52*'[29]PL4. Doanh thu'!F$46/'[29]PL4. Doanh thu'!F$19</f>
        <v>0</v>
      </c>
      <c r="G76" s="500">
        <f>G52*'[29]PL4. Doanh thu'!G$46/'[29]PL4. Doanh thu'!G$19</f>
        <v>0</v>
      </c>
      <c r="H76" s="500">
        <f>H52*'[29]PL4. Doanh thu'!H$46/'[29]PL4. Doanh thu'!H$19</f>
        <v>0</v>
      </c>
      <c r="I76" s="500">
        <f>I52*'[29]PL4. Doanh thu'!I$46/'[29]PL4. Doanh thu'!I$19</f>
        <v>0</v>
      </c>
      <c r="J76" s="500">
        <f>J52*'[29]PL4. Doanh thu'!J$46/'[29]PL4. Doanh thu'!J$19</f>
        <v>0</v>
      </c>
      <c r="K76" s="500">
        <f>K52*'[29]PL4. Doanh thu'!K$46/'[29]PL4. Doanh thu'!K$19</f>
        <v>0</v>
      </c>
      <c r="L76" s="500">
        <f>L52*'[29]PL4. Doanh thu'!L$46/'[29]PL4. Doanh thu'!L$19</f>
        <v>0</v>
      </c>
      <c r="M76" s="500">
        <f>M52*'[29]PL4. Doanh thu'!M$46/'[29]PL4. Doanh thu'!M$19</f>
        <v>0</v>
      </c>
    </row>
    <row r="77" spans="2:13" hidden="1" x14ac:dyDescent="0.25">
      <c r="B77" s="1233" t="str">
        <f>B69</f>
        <v>Phụ gia</v>
      </c>
      <c r="C77" s="61" t="str">
        <f>'[29]PL1. Input'!$D$29</f>
        <v>(tỷ VNĐ)</v>
      </c>
      <c r="D77" s="500">
        <f>D53*'[29]PL4. Doanh thu'!D$46/'[29]PL4. Doanh thu'!D$19</f>
        <v>1813862461.8482344</v>
      </c>
      <c r="E77" s="500">
        <f>E53*'[29]PL4. Doanh thu'!E$46/'[29]PL4. Doanh thu'!E$19</f>
        <v>1999657088.6273525</v>
      </c>
      <c r="F77" s="500">
        <f>F53*'[29]PL4. Doanh thu'!F$46/'[29]PL4. Doanh thu'!F$19</f>
        <v>2055048638.9534543</v>
      </c>
      <c r="G77" s="500">
        <f>G53*'[29]PL4. Doanh thu'!G$46/'[29]PL4. Doanh thu'!G$19</f>
        <v>2211347523.0176497</v>
      </c>
      <c r="H77" s="500">
        <f>H53*'[29]PL4. Doanh thu'!H$46/'[29]PL4. Doanh thu'!H$19</f>
        <v>2271631510.7401385</v>
      </c>
      <c r="I77" s="500">
        <f>I53*'[29]PL4. Doanh thu'!I$46/'[29]PL4. Doanh thu'!I$19</f>
        <v>2301330865.1521678</v>
      </c>
      <c r="J77" s="500">
        <f>J53*'[29]PL4. Doanh thu'!J$46/'[29]PL4. Doanh thu'!J$19</f>
        <v>2330134080.5328541</v>
      </c>
      <c r="K77" s="500">
        <f>K53*'[29]PL4. Doanh thu'!K$46/'[29]PL4. Doanh thu'!K$19</f>
        <v>2349529906.0028872</v>
      </c>
      <c r="L77" s="500">
        <f>L53*'[29]PL4. Doanh thu'!L$46/'[29]PL4. Doanh thu'!L$19</f>
        <v>2373399748.0075011</v>
      </c>
      <c r="M77" s="500">
        <f>M53*'[29]PL4. Doanh thu'!M$46/'[29]PL4. Doanh thu'!M$19</f>
        <v>2394744237.1868114</v>
      </c>
    </row>
    <row r="78" spans="2:13" hidden="1" x14ac:dyDescent="0.25">
      <c r="B78" s="1234" t="s">
        <v>615</v>
      </c>
      <c r="C78" s="497" t="str">
        <f>'[29]PL1. Input'!$D$29</f>
        <v>(tỷ VNĐ)</v>
      </c>
      <c r="D78" s="502">
        <f t="shared" ref="D78:M78" si="35">SUM(D73:D77)</f>
        <v>29604435752.941738</v>
      </c>
      <c r="E78" s="502">
        <f t="shared" si="35"/>
        <v>32636829447.290318</v>
      </c>
      <c r="F78" s="502">
        <f t="shared" si="35"/>
        <v>33540886743.461498</v>
      </c>
      <c r="G78" s="502">
        <f t="shared" si="35"/>
        <v>36091874135.758133</v>
      </c>
      <c r="H78" s="502">
        <f t="shared" si="35"/>
        <v>37075781945.197578</v>
      </c>
      <c r="I78" s="502">
        <f t="shared" si="35"/>
        <v>37560511437.145317</v>
      </c>
      <c r="J78" s="502">
        <f t="shared" si="35"/>
        <v>38030614853.005638</v>
      </c>
      <c r="K78" s="502">
        <f t="shared" si="35"/>
        <v>38347178253.528183</v>
      </c>
      <c r="L78" s="502">
        <f t="shared" si="35"/>
        <v>38736763031.272812</v>
      </c>
      <c r="M78" s="502">
        <f t="shared" si="35"/>
        <v>39085130987.432159</v>
      </c>
    </row>
    <row r="79" spans="2:13" hidden="1" x14ac:dyDescent="0.25">
      <c r="B79" s="160"/>
      <c r="C79" s="498"/>
      <c r="D79" s="503"/>
      <c r="E79" s="503"/>
      <c r="F79" s="503"/>
      <c r="G79" s="503"/>
      <c r="H79" s="503"/>
      <c r="I79" s="503"/>
      <c r="J79" s="503"/>
      <c r="K79" s="503"/>
      <c r="L79" s="503"/>
      <c r="M79" s="503"/>
    </row>
    <row r="80" spans="2:13" hidden="1" x14ac:dyDescent="0.25">
      <c r="B80" s="1228" t="s">
        <v>769</v>
      </c>
      <c r="C80" s="14"/>
    </row>
    <row r="81" spans="2:13" hidden="1" x14ac:dyDescent="0.25">
      <c r="B81" s="1232" t="str">
        <f>B48</f>
        <v xml:space="preserve">Cát </v>
      </c>
      <c r="C81" s="495" t="s">
        <v>770</v>
      </c>
      <c r="D81" s="62">
        <f>IF($C81="(ngày)",D22/'[29]PL1. Input'!$C$16*'[29]PL1. Input'!$C$106,'[29]PL1. Input'!$C$106)</f>
        <v>15844.347113285514</v>
      </c>
      <c r="E81" s="62">
        <f>IF($C81="(ngày)",E22/'[29]PL1. Input'!$C$16*'[29]PL1. Input'!$C$106,'[29]PL1. Input'!$C$106)</f>
        <v>15844.347113285514</v>
      </c>
      <c r="F81" s="62">
        <f>IF($C81="(ngày)",F22/'[29]PL1. Input'!$C$16*'[29]PL1. Input'!$C$106,'[29]PL1. Input'!$C$106)</f>
        <v>15844.347113285514</v>
      </c>
      <c r="G81" s="62">
        <f>IF($C81="(ngày)",G22/'[29]PL1. Input'!$C$16*'[29]PL1. Input'!$C$106,'[29]PL1. Input'!$C$106)</f>
        <v>15844.347113285514</v>
      </c>
      <c r="H81" s="62">
        <f>IF($C81="(ngày)",H22/'[29]PL1. Input'!$C$16*'[29]PL1. Input'!$C$106,'[29]PL1. Input'!$C$106)</f>
        <v>15844.347113285514</v>
      </c>
      <c r="I81" s="62">
        <f>IF($C81="(ngày)",I22/'[29]PL1. Input'!$C$16*'[29]PL1. Input'!$C$106,'[29]PL1. Input'!$C$106)</f>
        <v>15844.347113285514</v>
      </c>
      <c r="J81" s="62">
        <f>IF($C81="(ngày)",J22/'[29]PL1. Input'!$C$16*'[29]PL1. Input'!$C$106,'[29]PL1. Input'!$C$106)</f>
        <v>15844.347113285514</v>
      </c>
      <c r="K81" s="62">
        <f>IF($C81="(ngày)",K22/'[29]PL1. Input'!$C$16*'[29]PL1. Input'!$C$106,'[29]PL1. Input'!$C$106)</f>
        <v>15844.347113285514</v>
      </c>
      <c r="L81" s="62">
        <f>IF($C81="(ngày)",L22/'[29]PL1. Input'!$C$16*'[29]PL1. Input'!$C$106,'[29]PL1. Input'!$C$106)</f>
        <v>15844.347113285514</v>
      </c>
      <c r="M81" s="62">
        <f>IF($C81="(ngày)",M22/'[29]PL1. Input'!$C$16*'[29]PL1. Input'!$C$106,'[29]PL1. Input'!$C$106)</f>
        <v>15844.347113285514</v>
      </c>
    </row>
    <row r="82" spans="2:13" hidden="1" x14ac:dyDescent="0.25">
      <c r="B82" s="1233" t="str">
        <f>B49</f>
        <v xml:space="preserve">Đá </v>
      </c>
      <c r="C82" s="61" t="s">
        <v>770</v>
      </c>
      <c r="D82" s="500">
        <f>IF($C82="(ngày)",D23/'[29]PL1. Input'!$C$16*'[29]PL1. Input'!$C$106,'[29]PL1. Input'!$C$106)</f>
        <v>12483.137977829754</v>
      </c>
      <c r="E82" s="500">
        <f>IF($C82="(ngày)",E23/'[29]PL1. Input'!$C$16*'[29]PL1. Input'!$C$106,'[29]PL1. Input'!$C$106)</f>
        <v>12483.137977829754</v>
      </c>
      <c r="F82" s="500">
        <f>IF($C82="(ngày)",F23/'[29]PL1. Input'!$C$16*'[29]PL1. Input'!$C$106,'[29]PL1. Input'!$C$106)</f>
        <v>12483.137977829754</v>
      </c>
      <c r="G82" s="500">
        <f>IF($C82="(ngày)",G23/'[29]PL1. Input'!$C$16*'[29]PL1. Input'!$C$106,'[29]PL1. Input'!$C$106)</f>
        <v>12483.137977829754</v>
      </c>
      <c r="H82" s="500">
        <f>IF($C82="(ngày)",H23/'[29]PL1. Input'!$C$16*'[29]PL1. Input'!$C$106,'[29]PL1. Input'!$C$106)</f>
        <v>12483.137977829754</v>
      </c>
      <c r="I82" s="500">
        <f>IF($C82="(ngày)",I23/'[29]PL1. Input'!$C$16*'[29]PL1. Input'!$C$106,'[29]PL1. Input'!$C$106)</f>
        <v>12483.137977829754</v>
      </c>
      <c r="J82" s="500">
        <f>IF($C82="(ngày)",J23/'[29]PL1. Input'!$C$16*'[29]PL1. Input'!$C$106,'[29]PL1. Input'!$C$106)</f>
        <v>12483.137977829754</v>
      </c>
      <c r="K82" s="500">
        <f>IF($C82="(ngày)",K23/'[29]PL1. Input'!$C$16*'[29]PL1. Input'!$C$106,'[29]PL1. Input'!$C$106)</f>
        <v>12483.137977829754</v>
      </c>
      <c r="L82" s="500">
        <f>IF($C82="(ngày)",L23/'[29]PL1. Input'!$C$16*'[29]PL1. Input'!$C$106,'[29]PL1. Input'!$C$106)</f>
        <v>12483.137977829754</v>
      </c>
      <c r="M82" s="500">
        <f>IF($C82="(ngày)",M23/'[29]PL1. Input'!$C$16*'[29]PL1. Input'!$C$106,'[29]PL1. Input'!$C$106)</f>
        <v>12483.137977829754</v>
      </c>
    </row>
    <row r="83" spans="2:13" hidden="1" x14ac:dyDescent="0.25">
      <c r="B83" s="1233" t="str">
        <f>B51</f>
        <v>Xi</v>
      </c>
      <c r="C83" s="61" t="s">
        <v>770</v>
      </c>
      <c r="D83" s="500">
        <f>IF($C83="(ngày)",D25/'[29]PL1. Input'!$C$16*'[29]PL1. Input'!$C$106,'[29]PL1. Input'!$C$106)</f>
        <v>7881238.4674908416</v>
      </c>
      <c r="E83" s="500">
        <f>IF($C83="(ngày)",E25/'[29]PL1. Input'!$C$16*'[29]PL1. Input'!$C$106,'[29]PL1. Input'!$C$106)</f>
        <v>7881238.4674908416</v>
      </c>
      <c r="F83" s="500">
        <f>IF($C83="(ngày)",F25/'[29]PL1. Input'!$C$16*'[29]PL1. Input'!$C$106,'[29]PL1. Input'!$C$106)</f>
        <v>7881238.4674908416</v>
      </c>
      <c r="G83" s="500">
        <f>IF($C83="(ngày)",G25/'[29]PL1. Input'!$C$16*'[29]PL1. Input'!$C$106,'[29]PL1. Input'!$C$106)</f>
        <v>7881238.4674908416</v>
      </c>
      <c r="H83" s="500">
        <f>IF($C83="(ngày)",H25/'[29]PL1. Input'!$C$16*'[29]PL1. Input'!$C$106,'[29]PL1. Input'!$C$106)</f>
        <v>7881238.4674908416</v>
      </c>
      <c r="I83" s="500">
        <f>IF($C83="(ngày)",I25/'[29]PL1. Input'!$C$16*'[29]PL1. Input'!$C$106,'[29]PL1. Input'!$C$106)</f>
        <v>7881238.4674908416</v>
      </c>
      <c r="J83" s="500">
        <f>IF($C83="(ngày)",J25/'[29]PL1. Input'!$C$16*'[29]PL1. Input'!$C$106,'[29]PL1. Input'!$C$106)</f>
        <v>7881238.4674908416</v>
      </c>
      <c r="K83" s="500">
        <f>IF($C83="(ngày)",K25/'[29]PL1. Input'!$C$16*'[29]PL1. Input'!$C$106,'[29]PL1. Input'!$C$106)</f>
        <v>7881238.4674908416</v>
      </c>
      <c r="L83" s="500">
        <f>IF($C83="(ngày)",L25/'[29]PL1. Input'!$C$16*'[29]PL1. Input'!$C$106,'[29]PL1. Input'!$C$106)</f>
        <v>7881238.4674908416</v>
      </c>
      <c r="M83" s="500">
        <f>IF($C83="(ngày)",M25/'[29]PL1. Input'!$C$16*'[29]PL1. Input'!$C$106,'[29]PL1. Input'!$C$106)</f>
        <v>7881238.4674908416</v>
      </c>
    </row>
    <row r="84" spans="2:13" hidden="1" x14ac:dyDescent="0.25">
      <c r="B84" s="1233" t="str">
        <f>B52</f>
        <v>Tro bay</v>
      </c>
      <c r="C84" s="61" t="s">
        <v>770</v>
      </c>
      <c r="D84" s="500">
        <f>IF($C84="(ngày)",D26/'[29]PL1. Input'!$C$16*'[29]PL1. Input'!$C$106,'[29]PL1. Input'!$C$106)</f>
        <v>0</v>
      </c>
      <c r="E84" s="500">
        <f>IF($C84="(ngày)",E26/'[29]PL1. Input'!$C$16*'[29]PL1. Input'!$C$106,'[29]PL1. Input'!$C$106)</f>
        <v>0</v>
      </c>
      <c r="F84" s="500">
        <f>IF($C84="(ngày)",F26/'[29]PL1. Input'!$C$16*'[29]PL1. Input'!$C$106,'[29]PL1. Input'!$C$106)</f>
        <v>0</v>
      </c>
      <c r="G84" s="500">
        <f>IF($C84="(ngày)",G26/'[29]PL1. Input'!$C$16*'[29]PL1. Input'!$C$106,'[29]PL1. Input'!$C$106)</f>
        <v>0</v>
      </c>
      <c r="H84" s="500">
        <f>IF($C84="(ngày)",H26/'[29]PL1. Input'!$C$16*'[29]PL1. Input'!$C$106,'[29]PL1. Input'!$C$106)</f>
        <v>0</v>
      </c>
      <c r="I84" s="500">
        <f>IF($C84="(ngày)",I26/'[29]PL1. Input'!$C$16*'[29]PL1. Input'!$C$106,'[29]PL1. Input'!$C$106)</f>
        <v>0</v>
      </c>
      <c r="J84" s="500">
        <f>IF($C84="(ngày)",J26/'[29]PL1. Input'!$C$16*'[29]PL1. Input'!$C$106,'[29]PL1. Input'!$C$106)</f>
        <v>0</v>
      </c>
      <c r="K84" s="500">
        <f>IF($C84="(ngày)",K26/'[29]PL1. Input'!$C$16*'[29]PL1. Input'!$C$106,'[29]PL1. Input'!$C$106)</f>
        <v>0</v>
      </c>
      <c r="L84" s="500">
        <f>IF($C84="(ngày)",L26/'[29]PL1. Input'!$C$16*'[29]PL1. Input'!$C$106,'[29]PL1. Input'!$C$106)</f>
        <v>0</v>
      </c>
      <c r="M84" s="500">
        <f>IF($C84="(ngày)",M26/'[29]PL1. Input'!$C$16*'[29]PL1. Input'!$C$106,'[29]PL1. Input'!$C$106)</f>
        <v>0</v>
      </c>
    </row>
    <row r="85" spans="2:13" hidden="1" x14ac:dyDescent="0.25">
      <c r="B85" s="1233" t="str">
        <f>B53</f>
        <v>Phụ gia</v>
      </c>
      <c r="C85" s="61" t="s">
        <v>770</v>
      </c>
      <c r="D85" s="500">
        <f>IF($C85="(ngày)",D27/'[29]PL1. Input'!$C$16*'[29]PL1. Input'!$C$106,'[29]PL1. Input'!$C$106)</f>
        <v>59603.040000000001</v>
      </c>
      <c r="E85" s="500">
        <f>IF($C85="(ngày)",E27/'[29]PL1. Input'!$C$16*'[29]PL1. Input'!$C$106,'[29]PL1. Input'!$C$106)</f>
        <v>59603.040000000001</v>
      </c>
      <c r="F85" s="500">
        <f>IF($C85="(ngày)",F27/'[29]PL1. Input'!$C$16*'[29]PL1. Input'!$C$106,'[29]PL1. Input'!$C$106)</f>
        <v>59603.040000000001</v>
      </c>
      <c r="G85" s="500">
        <f>IF($C85="(ngày)",G27/'[29]PL1. Input'!$C$16*'[29]PL1. Input'!$C$106,'[29]PL1. Input'!$C$106)</f>
        <v>59603.040000000001</v>
      </c>
      <c r="H85" s="500">
        <f>IF($C85="(ngày)",H27/'[29]PL1. Input'!$C$16*'[29]PL1. Input'!$C$106,'[29]PL1. Input'!$C$106)</f>
        <v>59603.040000000001</v>
      </c>
      <c r="I85" s="500">
        <f>IF($C85="(ngày)",I27/'[29]PL1. Input'!$C$16*'[29]PL1. Input'!$C$106,'[29]PL1. Input'!$C$106)</f>
        <v>59603.040000000001</v>
      </c>
      <c r="J85" s="500">
        <f>IF($C85="(ngày)",J27/'[29]PL1. Input'!$C$16*'[29]PL1. Input'!$C$106,'[29]PL1. Input'!$C$106)</f>
        <v>59603.040000000001</v>
      </c>
      <c r="K85" s="500">
        <f>IF($C85="(ngày)",K27/'[29]PL1. Input'!$C$16*'[29]PL1. Input'!$C$106,'[29]PL1. Input'!$C$106)</f>
        <v>59603.040000000001</v>
      </c>
      <c r="L85" s="500">
        <f>IF($C85="(ngày)",L27/'[29]PL1. Input'!$C$16*'[29]PL1. Input'!$C$106,'[29]PL1. Input'!$C$106)</f>
        <v>59603.040000000001</v>
      </c>
      <c r="M85" s="500">
        <f>IF($C85="(ngày)",M27/'[29]PL1. Input'!$C$16*'[29]PL1. Input'!$C$106,'[29]PL1. Input'!$C$106)</f>
        <v>59603.040000000001</v>
      </c>
    </row>
    <row r="86" spans="2:13" hidden="1" x14ac:dyDescent="0.25">
      <c r="C86" s="14"/>
    </row>
    <row r="87" spans="2:13" hidden="1" x14ac:dyDescent="0.25">
      <c r="B87" s="1228" t="s">
        <v>771</v>
      </c>
      <c r="C87" s="14"/>
    </row>
    <row r="88" spans="2:13" hidden="1" x14ac:dyDescent="0.25">
      <c r="B88" s="1232" t="str">
        <f>$B22</f>
        <v xml:space="preserve">Cát </v>
      </c>
      <c r="C88" s="495" t="str">
        <f>'[29]PL1. Input'!$D$29</f>
        <v>(tỷ VNĐ)</v>
      </c>
      <c r="D88" s="62">
        <f t="shared" ref="D88:M88" si="36">(D40*D81)/10^3</f>
        <v>3485756.3649228131</v>
      </c>
      <c r="E88" s="62">
        <f t="shared" si="36"/>
        <v>3520613.928572041</v>
      </c>
      <c r="F88" s="62">
        <f t="shared" si="36"/>
        <v>3555820.0678577614</v>
      </c>
      <c r="G88" s="62">
        <f t="shared" si="36"/>
        <v>3591378.2685363395</v>
      </c>
      <c r="H88" s="62">
        <f t="shared" si="36"/>
        <v>3627292.0512217027</v>
      </c>
      <c r="I88" s="62">
        <f t="shared" si="36"/>
        <v>3663564.9717339198</v>
      </c>
      <c r="J88" s="62">
        <f t="shared" si="36"/>
        <v>3700200.6214512587</v>
      </c>
      <c r="K88" s="62">
        <f t="shared" si="36"/>
        <v>3737202.6276657716</v>
      </c>
      <c r="L88" s="62">
        <f t="shared" si="36"/>
        <v>3774574.6539424295</v>
      </c>
      <c r="M88" s="62">
        <f t="shared" si="36"/>
        <v>3812320.4004818541</v>
      </c>
    </row>
    <row r="89" spans="2:13" hidden="1" x14ac:dyDescent="0.25">
      <c r="B89" s="1233" t="str">
        <f>$B23</f>
        <v xml:space="preserve">Đá </v>
      </c>
      <c r="C89" s="61" t="str">
        <f>'[29]PL1. Input'!$D$29</f>
        <v>(tỷ VNĐ)</v>
      </c>
      <c r="D89" s="500">
        <f t="shared" ref="D89:M89" si="37">(D41*D82)/10^3</f>
        <v>2746290.3551225457</v>
      </c>
      <c r="E89" s="500">
        <f t="shared" si="37"/>
        <v>2773753.2586737713</v>
      </c>
      <c r="F89" s="500">
        <f t="shared" si="37"/>
        <v>2801490.7912605088</v>
      </c>
      <c r="G89" s="500">
        <f t="shared" si="37"/>
        <v>2829505.6991731143</v>
      </c>
      <c r="H89" s="500">
        <f t="shared" si="37"/>
        <v>2857800.7561648455</v>
      </c>
      <c r="I89" s="500">
        <f t="shared" si="37"/>
        <v>2886378.7637264938</v>
      </c>
      <c r="J89" s="500">
        <f t="shared" si="37"/>
        <v>2915242.5513637587</v>
      </c>
      <c r="K89" s="500">
        <f t="shared" si="37"/>
        <v>2944394.9768773965</v>
      </c>
      <c r="L89" s="500">
        <f t="shared" si="37"/>
        <v>2973838.9266461707</v>
      </c>
      <c r="M89" s="500">
        <f t="shared" si="37"/>
        <v>3003577.3159126323</v>
      </c>
    </row>
    <row r="90" spans="2:13" hidden="1" x14ac:dyDescent="0.25">
      <c r="B90" s="1233" t="str">
        <f>$B25</f>
        <v>Xi</v>
      </c>
      <c r="C90" s="61" t="str">
        <f>'[29]PL1. Input'!$D$29</f>
        <v>(tỷ VNĐ)</v>
      </c>
      <c r="D90" s="500">
        <f t="shared" ref="D90:M90" si="38">(D43*D83)/10^3</f>
        <v>9780616.9381561335</v>
      </c>
      <c r="E90" s="500">
        <f t="shared" si="38"/>
        <v>9878423.1075376961</v>
      </c>
      <c r="F90" s="500">
        <f t="shared" si="38"/>
        <v>9977207.3386130743</v>
      </c>
      <c r="G90" s="500">
        <f t="shared" si="38"/>
        <v>10076979.411999205</v>
      </c>
      <c r="H90" s="500">
        <f t="shared" si="38"/>
        <v>10177749.206119198</v>
      </c>
      <c r="I90" s="500">
        <f t="shared" si="38"/>
        <v>10279526.698180389</v>
      </c>
      <c r="J90" s="500">
        <f t="shared" si="38"/>
        <v>10382321.965162193</v>
      </c>
      <c r="K90" s="500">
        <f t="shared" si="38"/>
        <v>10486145.184813816</v>
      </c>
      <c r="L90" s="500">
        <f t="shared" si="38"/>
        <v>10591006.636661952</v>
      </c>
      <c r="M90" s="500">
        <f t="shared" si="38"/>
        <v>10696916.703028573</v>
      </c>
    </row>
    <row r="91" spans="2:13" hidden="1" x14ac:dyDescent="0.25">
      <c r="B91" s="1233" t="str">
        <f>$B26</f>
        <v>Tro bay</v>
      </c>
      <c r="C91" s="61" t="str">
        <f>'[29]PL1. Input'!$D$29</f>
        <v>(tỷ VNĐ)</v>
      </c>
      <c r="D91" s="500">
        <f t="shared" ref="D91:M91" si="39">(D44*D84)/10^3</f>
        <v>0</v>
      </c>
      <c r="E91" s="500">
        <f t="shared" si="39"/>
        <v>0</v>
      </c>
      <c r="F91" s="500">
        <f t="shared" si="39"/>
        <v>0</v>
      </c>
      <c r="G91" s="500">
        <f t="shared" si="39"/>
        <v>0</v>
      </c>
      <c r="H91" s="500">
        <f t="shared" si="39"/>
        <v>0</v>
      </c>
      <c r="I91" s="500">
        <f t="shared" si="39"/>
        <v>0</v>
      </c>
      <c r="J91" s="500">
        <f t="shared" si="39"/>
        <v>0</v>
      </c>
      <c r="K91" s="500">
        <f t="shared" si="39"/>
        <v>0</v>
      </c>
      <c r="L91" s="500">
        <f t="shared" si="39"/>
        <v>0</v>
      </c>
      <c r="M91" s="500">
        <f t="shared" si="39"/>
        <v>0</v>
      </c>
    </row>
    <row r="92" spans="2:13" hidden="1" x14ac:dyDescent="0.25">
      <c r="B92" s="1233" t="str">
        <f>$B27</f>
        <v>Phụ gia</v>
      </c>
      <c r="C92" s="61" t="str">
        <f>'[29]PL1. Input'!$D$29</f>
        <v>(tỷ VNĐ)</v>
      </c>
      <c r="D92" s="500">
        <f t="shared" ref="D92:M92" si="40">(D45*D85)/10^3</f>
        <v>1045130.2756363637</v>
      </c>
      <c r="E92" s="500">
        <f t="shared" si="40"/>
        <v>1055581.5783927271</v>
      </c>
      <c r="F92" s="500">
        <f t="shared" si="40"/>
        <v>1066137.3941766545</v>
      </c>
      <c r="G92" s="500">
        <f t="shared" si="40"/>
        <v>1076798.7681184211</v>
      </c>
      <c r="H92" s="500">
        <f t="shared" si="40"/>
        <v>1087566.7557996053</v>
      </c>
      <c r="I92" s="500">
        <f t="shared" si="40"/>
        <v>1098442.4233576015</v>
      </c>
      <c r="J92" s="500">
        <f t="shared" si="40"/>
        <v>1109426.8475911773</v>
      </c>
      <c r="K92" s="500">
        <f t="shared" si="40"/>
        <v>1120521.1160670891</v>
      </c>
      <c r="L92" s="500">
        <f t="shared" si="40"/>
        <v>1131726.3272277601</v>
      </c>
      <c r="M92" s="500">
        <f t="shared" si="40"/>
        <v>1143043.5905000377</v>
      </c>
    </row>
    <row r="93" spans="2:13" hidden="1" x14ac:dyDescent="0.25">
      <c r="B93" s="1234" t="s">
        <v>615</v>
      </c>
      <c r="C93" s="497" t="str">
        <f>'[29]PL1. Input'!$D$29</f>
        <v>(tỷ VNĐ)</v>
      </c>
      <c r="D93" s="502">
        <f t="shared" ref="D93:M93" si="41">SUM(D88:D92)</f>
        <v>17057793.933837857</v>
      </c>
      <c r="E93" s="502">
        <f t="shared" si="41"/>
        <v>17228371.873176236</v>
      </c>
      <c r="F93" s="502">
        <f t="shared" si="41"/>
        <v>17400655.591908</v>
      </c>
      <c r="G93" s="502">
        <f t="shared" si="41"/>
        <v>17574662.147827081</v>
      </c>
      <c r="H93" s="502">
        <f t="shared" si="41"/>
        <v>17750408.769305352</v>
      </c>
      <c r="I93" s="502">
        <f t="shared" si="41"/>
        <v>17927912.856998403</v>
      </c>
      <c r="J93" s="502">
        <f t="shared" si="41"/>
        <v>18107191.985568389</v>
      </c>
      <c r="K93" s="502">
        <f t="shared" si="41"/>
        <v>18288263.905424073</v>
      </c>
      <c r="L93" s="502">
        <f t="shared" si="41"/>
        <v>18471146.544478312</v>
      </c>
      <c r="M93" s="502">
        <f t="shared" si="41"/>
        <v>18655858.009923097</v>
      </c>
    </row>
    <row r="94" spans="2:13" hidden="1" x14ac:dyDescent="0.25">
      <c r="C94" s="14"/>
    </row>
    <row r="95" spans="2:13" hidden="1" x14ac:dyDescent="0.25">
      <c r="B95" s="1228" t="s">
        <v>772</v>
      </c>
      <c r="C95" s="14"/>
    </row>
    <row r="96" spans="2:13" hidden="1" x14ac:dyDescent="0.25">
      <c r="B96" s="1232" t="str">
        <f>B22</f>
        <v xml:space="preserve">Cát </v>
      </c>
      <c r="C96" s="495" t="str">
        <f>'[29]PL1. Input'!$D$29</f>
        <v>(tỷ VNĐ)</v>
      </c>
      <c r="D96" s="62" t="e">
        <f>(D40*D22*10^6)/'[29]PL1. Input'!$E$29*INDEX([29]BoGia!$A$150:$AO$167,MATCH('3. CP-NL'!$B96,[29]BoGia!$A$150:$A$167,0),MATCH('3. CP-NL'!D$4,[29]BoGia!$A$150:$AO$150,0))</f>
        <v>#N/A</v>
      </c>
      <c r="E96" s="62" t="e">
        <f>(E40*E22*10^6)/'[29]PL1. Input'!$E$29*INDEX([29]BoGia!$A$150:$AO$167,MATCH('3. CP-NL'!$B96,[29]BoGia!$A$150:$A$167,0),MATCH('3. CP-NL'!E$4,[29]BoGia!$A$150:$AO$150,0))</f>
        <v>#N/A</v>
      </c>
      <c r="F96" s="62" t="e">
        <f>(F40*F22*10^6)/'[29]PL1. Input'!$E$29*INDEX([29]BoGia!$A$150:$AO$167,MATCH('3. CP-NL'!$B96,[29]BoGia!$A$150:$A$167,0),MATCH('3. CP-NL'!F$4,[29]BoGia!$A$150:$AO$150,0))</f>
        <v>#N/A</v>
      </c>
      <c r="G96" s="62" t="e">
        <f>(G40*G22*10^6)/'[29]PL1. Input'!$E$29*INDEX([29]BoGia!$A$150:$AO$167,MATCH('3. CP-NL'!$B96,[29]BoGia!$A$150:$A$167,0),MATCH('3. CP-NL'!G$4,[29]BoGia!$A$150:$AO$150,0))</f>
        <v>#N/A</v>
      </c>
      <c r="H96" s="62" t="e">
        <f>(H40*H22*10^6)/'[29]PL1. Input'!$E$29*INDEX([29]BoGia!$A$150:$AO$167,MATCH('3. CP-NL'!$B96,[29]BoGia!$A$150:$A$167,0),MATCH('3. CP-NL'!H$4,[29]BoGia!$A$150:$AO$150,0))</f>
        <v>#N/A</v>
      </c>
      <c r="I96" s="62" t="e">
        <f>(I40*I22*10^6)/'[29]PL1. Input'!$E$29*INDEX([29]BoGia!$A$150:$AO$167,MATCH('3. CP-NL'!$B96,[29]BoGia!$A$150:$A$167,0),MATCH('3. CP-NL'!I$4,[29]BoGia!$A$150:$AO$150,0))</f>
        <v>#N/A</v>
      </c>
      <c r="J96" s="62" t="e">
        <f>(J40*J22*10^6)/'[29]PL1. Input'!$E$29*INDEX([29]BoGia!$A$150:$AO$167,MATCH('3. CP-NL'!$B96,[29]BoGia!$A$150:$A$167,0),MATCH('3. CP-NL'!J$4,[29]BoGia!$A$150:$AO$150,0))</f>
        <v>#N/A</v>
      </c>
      <c r="K96" s="62" t="e">
        <f>(K40*K22*10^6)/'[29]PL1. Input'!$E$29*INDEX([29]BoGia!$A$150:$AO$167,MATCH('3. CP-NL'!$B96,[29]BoGia!$A$150:$A$167,0),MATCH('3. CP-NL'!K$4,[29]BoGia!$A$150:$AO$150,0))</f>
        <v>#N/A</v>
      </c>
      <c r="L96" s="62" t="e">
        <f>(L40*L22*10^6)/'[29]PL1. Input'!$E$29*INDEX([29]BoGia!$A$150:$AO$167,MATCH('3. CP-NL'!$B96,[29]BoGia!$A$150:$A$167,0),MATCH('3. CP-NL'!L$4,[29]BoGia!$A$150:$AO$150,0))</f>
        <v>#N/A</v>
      </c>
      <c r="M96" s="62" t="e">
        <f>(M40*M22*10^6)/'[29]PL1. Input'!$E$29*INDEX([29]BoGia!$A$150:$AO$167,MATCH('3. CP-NL'!$B96,[29]BoGia!$A$150:$A$167,0),MATCH('3. CP-NL'!M$4,[29]BoGia!$A$150:$AO$150,0))</f>
        <v>#N/A</v>
      </c>
    </row>
    <row r="97" spans="2:13" hidden="1" x14ac:dyDescent="0.25">
      <c r="B97" s="1233" t="str">
        <f>B23</f>
        <v xml:space="preserve">Đá </v>
      </c>
      <c r="C97" s="61" t="str">
        <f>'[29]PL1. Input'!$D$29</f>
        <v>(tỷ VNĐ)</v>
      </c>
      <c r="D97" s="62" t="e">
        <f>(D41*D23*10^6)/'[29]PL1. Input'!$E$29*INDEX([29]BoGia!$A$150:$AO$167,MATCH('3. CP-NL'!$B97,[29]BoGia!$A$150:$A$167,0),MATCH('3. CP-NL'!D$4,[29]BoGia!$A$150:$AO$150,0))</f>
        <v>#N/A</v>
      </c>
      <c r="E97" s="62" t="e">
        <f>(E41*E23*10^6)/'[29]PL1. Input'!$E$29*INDEX([29]BoGia!$A$150:$AO$167,MATCH('3. CP-NL'!$B97,[29]BoGia!$A$150:$A$167,0),MATCH('3. CP-NL'!E$4,[29]BoGia!$A$150:$AO$150,0))</f>
        <v>#N/A</v>
      </c>
      <c r="F97" s="62" t="e">
        <f>(F41*F23*10^6)/'[29]PL1. Input'!$E$29*INDEX([29]BoGia!$A$150:$AO$167,MATCH('3. CP-NL'!$B97,[29]BoGia!$A$150:$A$167,0),MATCH('3. CP-NL'!F$4,[29]BoGia!$A$150:$AO$150,0))</f>
        <v>#N/A</v>
      </c>
      <c r="G97" s="62" t="e">
        <f>(G41*G23*10^6)/'[29]PL1. Input'!$E$29*INDEX([29]BoGia!$A$150:$AO$167,MATCH('3. CP-NL'!$B97,[29]BoGia!$A$150:$A$167,0),MATCH('3. CP-NL'!G$4,[29]BoGia!$A$150:$AO$150,0))</f>
        <v>#N/A</v>
      </c>
      <c r="H97" s="62" t="e">
        <f>(H41*H23*10^6)/'[29]PL1. Input'!$E$29*INDEX([29]BoGia!$A$150:$AO$167,MATCH('3. CP-NL'!$B97,[29]BoGia!$A$150:$A$167,0),MATCH('3. CP-NL'!H$4,[29]BoGia!$A$150:$AO$150,0))</f>
        <v>#N/A</v>
      </c>
      <c r="I97" s="62" t="e">
        <f>(I41*I23*10^6)/'[29]PL1. Input'!$E$29*INDEX([29]BoGia!$A$150:$AO$167,MATCH('3. CP-NL'!$B97,[29]BoGia!$A$150:$A$167,0),MATCH('3. CP-NL'!I$4,[29]BoGia!$A$150:$AO$150,0))</f>
        <v>#N/A</v>
      </c>
      <c r="J97" s="62" t="e">
        <f>(J41*J23*10^6)/'[29]PL1. Input'!$E$29*INDEX([29]BoGia!$A$150:$AO$167,MATCH('3. CP-NL'!$B97,[29]BoGia!$A$150:$A$167,0),MATCH('3. CP-NL'!J$4,[29]BoGia!$A$150:$AO$150,0))</f>
        <v>#N/A</v>
      </c>
      <c r="K97" s="62" t="e">
        <f>(K41*K23*10^6)/'[29]PL1. Input'!$E$29*INDEX([29]BoGia!$A$150:$AO$167,MATCH('3. CP-NL'!$B97,[29]BoGia!$A$150:$A$167,0),MATCH('3. CP-NL'!K$4,[29]BoGia!$A$150:$AO$150,0))</f>
        <v>#N/A</v>
      </c>
      <c r="L97" s="62" t="e">
        <f>(L41*L23*10^6)/'[29]PL1. Input'!$E$29*INDEX([29]BoGia!$A$150:$AO$167,MATCH('3. CP-NL'!$B97,[29]BoGia!$A$150:$A$167,0),MATCH('3. CP-NL'!L$4,[29]BoGia!$A$150:$AO$150,0))</f>
        <v>#N/A</v>
      </c>
      <c r="M97" s="62" t="e">
        <f>(M41*M23*10^6)/'[29]PL1. Input'!$E$29*INDEX([29]BoGia!$A$150:$AO$167,MATCH('3. CP-NL'!$B97,[29]BoGia!$A$150:$A$167,0),MATCH('3. CP-NL'!M$4,[29]BoGia!$A$150:$AO$150,0))</f>
        <v>#N/A</v>
      </c>
    </row>
    <row r="98" spans="2:13" hidden="1" x14ac:dyDescent="0.25">
      <c r="B98" s="1233" t="str">
        <f>B25</f>
        <v>Xi</v>
      </c>
      <c r="C98" s="61" t="str">
        <f>'[29]PL1. Input'!$D$29</f>
        <v>(tỷ VNĐ)</v>
      </c>
      <c r="D98" s="62" t="e">
        <f>(D43*D25*10^6)/'[29]PL1. Input'!$E$29*INDEX([29]BoGia!$A$150:$AO$167,MATCH('3. CP-NL'!$B98,[29]BoGia!$A$150:$A$167,0),MATCH('3. CP-NL'!D$4,[29]BoGia!$A$150:$AO$150,0))</f>
        <v>#N/A</v>
      </c>
      <c r="E98" s="62" t="e">
        <f>(E43*E25*10^6)/'[29]PL1. Input'!$E$29*INDEX([29]BoGia!$A$150:$AO$167,MATCH('3. CP-NL'!$B98,[29]BoGia!$A$150:$A$167,0),MATCH('3. CP-NL'!E$4,[29]BoGia!$A$150:$AO$150,0))</f>
        <v>#N/A</v>
      </c>
      <c r="F98" s="62" t="e">
        <f>(F43*F25*10^6)/'[29]PL1. Input'!$E$29*INDEX([29]BoGia!$A$150:$AO$167,MATCH('3. CP-NL'!$B98,[29]BoGia!$A$150:$A$167,0),MATCH('3. CP-NL'!F$4,[29]BoGia!$A$150:$AO$150,0))</f>
        <v>#N/A</v>
      </c>
      <c r="G98" s="62" t="e">
        <f>(G43*G25*10^6)/'[29]PL1. Input'!$E$29*INDEX([29]BoGia!$A$150:$AO$167,MATCH('3. CP-NL'!$B98,[29]BoGia!$A$150:$A$167,0),MATCH('3. CP-NL'!G$4,[29]BoGia!$A$150:$AO$150,0))</f>
        <v>#N/A</v>
      </c>
      <c r="H98" s="62" t="e">
        <f>(H43*H25*10^6)/'[29]PL1. Input'!$E$29*INDEX([29]BoGia!$A$150:$AO$167,MATCH('3. CP-NL'!$B98,[29]BoGia!$A$150:$A$167,0),MATCH('3. CP-NL'!H$4,[29]BoGia!$A$150:$AO$150,0))</f>
        <v>#N/A</v>
      </c>
      <c r="I98" s="62" t="e">
        <f>(I43*I25*10^6)/'[29]PL1. Input'!$E$29*INDEX([29]BoGia!$A$150:$AO$167,MATCH('3. CP-NL'!$B98,[29]BoGia!$A$150:$A$167,0),MATCH('3. CP-NL'!I$4,[29]BoGia!$A$150:$AO$150,0))</f>
        <v>#N/A</v>
      </c>
      <c r="J98" s="62" t="e">
        <f>(J43*J25*10^6)/'[29]PL1. Input'!$E$29*INDEX([29]BoGia!$A$150:$AO$167,MATCH('3. CP-NL'!$B98,[29]BoGia!$A$150:$A$167,0),MATCH('3. CP-NL'!J$4,[29]BoGia!$A$150:$AO$150,0))</f>
        <v>#N/A</v>
      </c>
      <c r="K98" s="62" t="e">
        <f>(K43*K25*10^6)/'[29]PL1. Input'!$E$29*INDEX([29]BoGia!$A$150:$AO$167,MATCH('3. CP-NL'!$B98,[29]BoGia!$A$150:$A$167,0),MATCH('3. CP-NL'!K$4,[29]BoGia!$A$150:$AO$150,0))</f>
        <v>#N/A</v>
      </c>
      <c r="L98" s="62" t="e">
        <f>(L43*L25*10^6)/'[29]PL1. Input'!$E$29*INDEX([29]BoGia!$A$150:$AO$167,MATCH('3. CP-NL'!$B98,[29]BoGia!$A$150:$A$167,0),MATCH('3. CP-NL'!L$4,[29]BoGia!$A$150:$AO$150,0))</f>
        <v>#N/A</v>
      </c>
      <c r="M98" s="62" t="e">
        <f>(M43*M25*10^6)/'[29]PL1. Input'!$E$29*INDEX([29]BoGia!$A$150:$AO$167,MATCH('3. CP-NL'!$B98,[29]BoGia!$A$150:$A$167,0),MATCH('3. CP-NL'!M$4,[29]BoGia!$A$150:$AO$150,0))</f>
        <v>#N/A</v>
      </c>
    </row>
    <row r="99" spans="2:13" hidden="1" x14ac:dyDescent="0.25">
      <c r="B99" s="1233" t="str">
        <f>B26</f>
        <v>Tro bay</v>
      </c>
      <c r="C99" s="61" t="str">
        <f>'[29]PL1. Input'!$D$29</f>
        <v>(tỷ VNĐ)</v>
      </c>
      <c r="D99" s="62" t="e">
        <f>(D44*D26*10^6)/'[29]PL1. Input'!$E$29*INDEX([29]BoGia!$A$150:$AO$167,MATCH('3. CP-NL'!$B99,[29]BoGia!$A$150:$A$167,0),MATCH('3. CP-NL'!D$4,[29]BoGia!$A$150:$AO$150,0))</f>
        <v>#N/A</v>
      </c>
      <c r="E99" s="62" t="e">
        <f>(E44*E26*10^6)/'[29]PL1. Input'!$E$29*INDEX([29]BoGia!$A$150:$AO$167,MATCH('3. CP-NL'!$B99,[29]BoGia!$A$150:$A$167,0),MATCH('3. CP-NL'!E$4,[29]BoGia!$A$150:$AO$150,0))</f>
        <v>#N/A</v>
      </c>
      <c r="F99" s="62" t="e">
        <f>(F44*F26*10^6)/'[29]PL1. Input'!$E$29*INDEX([29]BoGia!$A$150:$AO$167,MATCH('3. CP-NL'!$B99,[29]BoGia!$A$150:$A$167,0),MATCH('3. CP-NL'!F$4,[29]BoGia!$A$150:$AO$150,0))</f>
        <v>#N/A</v>
      </c>
      <c r="G99" s="62" t="e">
        <f>(G44*G26*10^6)/'[29]PL1. Input'!$E$29*INDEX([29]BoGia!$A$150:$AO$167,MATCH('3. CP-NL'!$B99,[29]BoGia!$A$150:$A$167,0),MATCH('3. CP-NL'!G$4,[29]BoGia!$A$150:$AO$150,0))</f>
        <v>#N/A</v>
      </c>
      <c r="H99" s="62" t="e">
        <f>(H44*H26*10^6)/'[29]PL1. Input'!$E$29*INDEX([29]BoGia!$A$150:$AO$167,MATCH('3. CP-NL'!$B99,[29]BoGia!$A$150:$A$167,0),MATCH('3. CP-NL'!H$4,[29]BoGia!$A$150:$AO$150,0))</f>
        <v>#N/A</v>
      </c>
      <c r="I99" s="62" t="e">
        <f>(I44*I26*10^6)/'[29]PL1. Input'!$E$29*INDEX([29]BoGia!$A$150:$AO$167,MATCH('3. CP-NL'!$B99,[29]BoGia!$A$150:$A$167,0),MATCH('3. CP-NL'!I$4,[29]BoGia!$A$150:$AO$150,0))</f>
        <v>#N/A</v>
      </c>
      <c r="J99" s="62" t="e">
        <f>(J44*J26*10^6)/'[29]PL1. Input'!$E$29*INDEX([29]BoGia!$A$150:$AO$167,MATCH('3. CP-NL'!$B99,[29]BoGia!$A$150:$A$167,0),MATCH('3. CP-NL'!J$4,[29]BoGia!$A$150:$AO$150,0))</f>
        <v>#N/A</v>
      </c>
      <c r="K99" s="62" t="e">
        <f>(K44*K26*10^6)/'[29]PL1. Input'!$E$29*INDEX([29]BoGia!$A$150:$AO$167,MATCH('3. CP-NL'!$B99,[29]BoGia!$A$150:$A$167,0),MATCH('3. CP-NL'!K$4,[29]BoGia!$A$150:$AO$150,0))</f>
        <v>#N/A</v>
      </c>
      <c r="L99" s="62" t="e">
        <f>(L44*L26*10^6)/'[29]PL1. Input'!$E$29*INDEX([29]BoGia!$A$150:$AO$167,MATCH('3. CP-NL'!$B99,[29]BoGia!$A$150:$A$167,0),MATCH('3. CP-NL'!L$4,[29]BoGia!$A$150:$AO$150,0))</f>
        <v>#N/A</v>
      </c>
      <c r="M99" s="62" t="e">
        <f>(M44*M26*10^6)/'[29]PL1. Input'!$E$29*INDEX([29]BoGia!$A$150:$AO$167,MATCH('3. CP-NL'!$B99,[29]BoGia!$A$150:$A$167,0),MATCH('3. CP-NL'!M$4,[29]BoGia!$A$150:$AO$150,0))</f>
        <v>#N/A</v>
      </c>
    </row>
    <row r="100" spans="2:13" hidden="1" x14ac:dyDescent="0.25">
      <c r="B100" s="1233" t="str">
        <f>B27</f>
        <v>Phụ gia</v>
      </c>
      <c r="C100" s="61" t="str">
        <f>'[29]PL1. Input'!$D$29</f>
        <v>(tỷ VNĐ)</v>
      </c>
      <c r="D100" s="62" t="e">
        <f>(D45*D27*10^6)/'[29]PL1. Input'!$E$29*INDEX([29]BoGia!$A$150:$AO$167,MATCH('3. CP-NL'!$B100,[29]BoGia!$A$150:$A$167,0),MATCH('3. CP-NL'!D$4,[29]BoGia!$A$150:$AO$150,0))</f>
        <v>#N/A</v>
      </c>
      <c r="E100" s="62" t="e">
        <f>(E45*E27*10^6)/'[29]PL1. Input'!$E$29*INDEX([29]BoGia!$A$150:$AO$167,MATCH('3. CP-NL'!$B100,[29]BoGia!$A$150:$A$167,0),MATCH('3. CP-NL'!E$4,[29]BoGia!$A$150:$AO$150,0))</f>
        <v>#N/A</v>
      </c>
      <c r="F100" s="62" t="e">
        <f>(F45*F27*10^6)/'[29]PL1. Input'!$E$29*INDEX([29]BoGia!$A$150:$AO$167,MATCH('3. CP-NL'!$B100,[29]BoGia!$A$150:$A$167,0),MATCH('3. CP-NL'!F$4,[29]BoGia!$A$150:$AO$150,0))</f>
        <v>#N/A</v>
      </c>
      <c r="G100" s="62" t="e">
        <f>(G45*G27*10^6)/'[29]PL1. Input'!$E$29*INDEX([29]BoGia!$A$150:$AO$167,MATCH('3. CP-NL'!$B100,[29]BoGia!$A$150:$A$167,0),MATCH('3. CP-NL'!G$4,[29]BoGia!$A$150:$AO$150,0))</f>
        <v>#N/A</v>
      </c>
      <c r="H100" s="62" t="e">
        <f>(H45*H27*10^6)/'[29]PL1. Input'!$E$29*INDEX([29]BoGia!$A$150:$AO$167,MATCH('3. CP-NL'!$B100,[29]BoGia!$A$150:$A$167,0),MATCH('3. CP-NL'!H$4,[29]BoGia!$A$150:$AO$150,0))</f>
        <v>#N/A</v>
      </c>
      <c r="I100" s="62" t="e">
        <f>(I45*I27*10^6)/'[29]PL1. Input'!$E$29*INDEX([29]BoGia!$A$150:$AO$167,MATCH('3. CP-NL'!$B100,[29]BoGia!$A$150:$A$167,0),MATCH('3. CP-NL'!I$4,[29]BoGia!$A$150:$AO$150,0))</f>
        <v>#N/A</v>
      </c>
      <c r="J100" s="62" t="e">
        <f>(J45*J27*10^6)/'[29]PL1. Input'!$E$29*INDEX([29]BoGia!$A$150:$AO$167,MATCH('3. CP-NL'!$B100,[29]BoGia!$A$150:$A$167,0),MATCH('3. CP-NL'!J$4,[29]BoGia!$A$150:$AO$150,0))</f>
        <v>#N/A</v>
      </c>
      <c r="K100" s="62" t="e">
        <f>(K45*K27*10^6)/'[29]PL1. Input'!$E$29*INDEX([29]BoGia!$A$150:$AO$167,MATCH('3. CP-NL'!$B100,[29]BoGia!$A$150:$A$167,0),MATCH('3. CP-NL'!K$4,[29]BoGia!$A$150:$AO$150,0))</f>
        <v>#N/A</v>
      </c>
      <c r="L100" s="62" t="e">
        <f>(L45*L27*10^6)/'[29]PL1. Input'!$E$29*INDEX([29]BoGia!$A$150:$AO$167,MATCH('3. CP-NL'!$B100,[29]BoGia!$A$150:$A$167,0),MATCH('3. CP-NL'!L$4,[29]BoGia!$A$150:$AO$150,0))</f>
        <v>#N/A</v>
      </c>
      <c r="M100" s="62" t="e">
        <f>(M45*M27*10^6)/'[29]PL1. Input'!$E$29*INDEX([29]BoGia!$A$150:$AO$167,MATCH('3. CP-NL'!$B100,[29]BoGia!$A$150:$A$167,0),MATCH('3. CP-NL'!M$4,[29]BoGia!$A$150:$AO$150,0))</f>
        <v>#N/A</v>
      </c>
    </row>
    <row r="101" spans="2:13" hidden="1" x14ac:dyDescent="0.25">
      <c r="B101" s="1234" t="s">
        <v>615</v>
      </c>
      <c r="C101" s="497" t="str">
        <f>'[29]PL1. Input'!$D$29</f>
        <v>(tỷ VNĐ)</v>
      </c>
      <c r="D101" s="502" t="e">
        <f t="shared" ref="D101:M101" si="42">SUM(D96:D100)</f>
        <v>#N/A</v>
      </c>
      <c r="E101" s="502" t="e">
        <f t="shared" si="42"/>
        <v>#N/A</v>
      </c>
      <c r="F101" s="502" t="e">
        <f t="shared" si="42"/>
        <v>#N/A</v>
      </c>
      <c r="G101" s="502" t="e">
        <f t="shared" si="42"/>
        <v>#N/A</v>
      </c>
      <c r="H101" s="502" t="e">
        <f t="shared" si="42"/>
        <v>#N/A</v>
      </c>
      <c r="I101" s="502" t="e">
        <f t="shared" si="42"/>
        <v>#N/A</v>
      </c>
      <c r="J101" s="502" t="e">
        <f t="shared" si="42"/>
        <v>#N/A</v>
      </c>
      <c r="K101" s="502" t="e">
        <f t="shared" si="42"/>
        <v>#N/A</v>
      </c>
      <c r="L101" s="502" t="e">
        <f t="shared" si="42"/>
        <v>#N/A</v>
      </c>
      <c r="M101" s="502" t="e">
        <f t="shared" si="42"/>
        <v>#N/A</v>
      </c>
    </row>
    <row r="102" spans="2:13" hidden="1" x14ac:dyDescent="0.25">
      <c r="C102" s="14"/>
      <c r="D102" s="504"/>
      <c r="E102" s="504"/>
      <c r="F102" s="504"/>
    </row>
    <row r="103" spans="2:13" hidden="1" x14ac:dyDescent="0.25">
      <c r="B103" s="1228" t="s">
        <v>773</v>
      </c>
      <c r="C103" s="14"/>
    </row>
    <row r="104" spans="2:13" hidden="1" x14ac:dyDescent="0.25">
      <c r="B104" s="1232" t="str">
        <f>$B22</f>
        <v xml:space="preserve">Cát </v>
      </c>
      <c r="C104" s="495" t="str">
        <f>'[29]PL1. Input'!$D$29</f>
        <v>(tỷ VNĐ)</v>
      </c>
      <c r="D104" s="62" t="e">
        <f>D96*'[29]PL4. Doanh thu'!D$33/'[29]PL4. Doanh thu'!D$19</f>
        <v>#N/A</v>
      </c>
      <c r="E104" s="62" t="e">
        <f>E96*'[29]PL4. Doanh thu'!E$33/'[29]PL4. Doanh thu'!E$19</f>
        <v>#N/A</v>
      </c>
      <c r="F104" s="62" t="e">
        <f>F96*'[29]PL4. Doanh thu'!F$33/'[29]PL4. Doanh thu'!F$19</f>
        <v>#N/A</v>
      </c>
      <c r="G104" s="62" t="e">
        <f>G96*'[29]PL4. Doanh thu'!G$33/'[29]PL4. Doanh thu'!G$19</f>
        <v>#N/A</v>
      </c>
      <c r="H104" s="62" t="e">
        <f>H96*'[29]PL4. Doanh thu'!H$33/'[29]PL4. Doanh thu'!H$19</f>
        <v>#N/A</v>
      </c>
      <c r="I104" s="62" t="e">
        <f>I96*'[29]PL4. Doanh thu'!I$33/'[29]PL4. Doanh thu'!I$19</f>
        <v>#N/A</v>
      </c>
      <c r="J104" s="62" t="e">
        <f>J96*'[29]PL4. Doanh thu'!J$33/'[29]PL4. Doanh thu'!J$19</f>
        <v>#N/A</v>
      </c>
      <c r="K104" s="62" t="e">
        <f>K96*'[29]PL4. Doanh thu'!K$33/'[29]PL4. Doanh thu'!K$19</f>
        <v>#N/A</v>
      </c>
      <c r="L104" s="62" t="e">
        <f>L96*'[29]PL4. Doanh thu'!L$33/'[29]PL4. Doanh thu'!L$19</f>
        <v>#N/A</v>
      </c>
      <c r="M104" s="62" t="e">
        <f>M96*'[29]PL4. Doanh thu'!M$33/'[29]PL4. Doanh thu'!M$19</f>
        <v>#N/A</v>
      </c>
    </row>
    <row r="105" spans="2:13" hidden="1" x14ac:dyDescent="0.25">
      <c r="B105" s="1233" t="str">
        <f>$B23</f>
        <v xml:space="preserve">Đá </v>
      </c>
      <c r="C105" s="61" t="str">
        <f>'[29]PL1. Input'!$D$29</f>
        <v>(tỷ VNĐ)</v>
      </c>
      <c r="D105" s="500" t="e">
        <f>D97*'[29]PL4. Doanh thu'!D$33/'[29]PL4. Doanh thu'!D$19</f>
        <v>#N/A</v>
      </c>
      <c r="E105" s="500" t="e">
        <f>E97*'[29]PL4. Doanh thu'!E$33/'[29]PL4. Doanh thu'!E$19</f>
        <v>#N/A</v>
      </c>
      <c r="F105" s="500" t="e">
        <f>F97*'[29]PL4. Doanh thu'!F$33/'[29]PL4. Doanh thu'!F$19</f>
        <v>#N/A</v>
      </c>
      <c r="G105" s="500" t="e">
        <f>G97*'[29]PL4. Doanh thu'!G$33/'[29]PL4. Doanh thu'!G$19</f>
        <v>#N/A</v>
      </c>
      <c r="H105" s="500" t="e">
        <f>H97*'[29]PL4. Doanh thu'!H$33/'[29]PL4. Doanh thu'!H$19</f>
        <v>#N/A</v>
      </c>
      <c r="I105" s="500" t="e">
        <f>I97*'[29]PL4. Doanh thu'!I$33/'[29]PL4. Doanh thu'!I$19</f>
        <v>#N/A</v>
      </c>
      <c r="J105" s="500" t="e">
        <f>J97*'[29]PL4. Doanh thu'!J$33/'[29]PL4. Doanh thu'!J$19</f>
        <v>#N/A</v>
      </c>
      <c r="K105" s="500" t="e">
        <f>K97*'[29]PL4. Doanh thu'!K$33/'[29]PL4. Doanh thu'!K$19</f>
        <v>#N/A</v>
      </c>
      <c r="L105" s="500" t="e">
        <f>L97*'[29]PL4. Doanh thu'!L$33/'[29]PL4. Doanh thu'!L$19</f>
        <v>#N/A</v>
      </c>
      <c r="M105" s="500" t="e">
        <f>M97*'[29]PL4. Doanh thu'!M$33/'[29]PL4. Doanh thu'!M$19</f>
        <v>#N/A</v>
      </c>
    </row>
    <row r="106" spans="2:13" hidden="1" x14ac:dyDescent="0.25">
      <c r="B106" s="1233" t="str">
        <f>$B25</f>
        <v>Xi</v>
      </c>
      <c r="C106" s="61" t="str">
        <f>'[29]PL1. Input'!$D$29</f>
        <v>(tỷ VNĐ)</v>
      </c>
      <c r="D106" s="500" t="e">
        <f>D98*'[29]PL4. Doanh thu'!D$33/'[29]PL4. Doanh thu'!D$19</f>
        <v>#N/A</v>
      </c>
      <c r="E106" s="500" t="e">
        <f>E98*'[29]PL4. Doanh thu'!E$33/'[29]PL4. Doanh thu'!E$19</f>
        <v>#N/A</v>
      </c>
      <c r="F106" s="500" t="e">
        <f>F98*'[29]PL4. Doanh thu'!F$33/'[29]PL4. Doanh thu'!F$19</f>
        <v>#N/A</v>
      </c>
      <c r="G106" s="500" t="e">
        <f>G98*'[29]PL4. Doanh thu'!G$33/'[29]PL4. Doanh thu'!G$19</f>
        <v>#N/A</v>
      </c>
      <c r="H106" s="500" t="e">
        <f>H98*'[29]PL4. Doanh thu'!H$33/'[29]PL4. Doanh thu'!H$19</f>
        <v>#N/A</v>
      </c>
      <c r="I106" s="500" t="e">
        <f>I98*'[29]PL4. Doanh thu'!I$33/'[29]PL4. Doanh thu'!I$19</f>
        <v>#N/A</v>
      </c>
      <c r="J106" s="500" t="e">
        <f>J98*'[29]PL4. Doanh thu'!J$33/'[29]PL4. Doanh thu'!J$19</f>
        <v>#N/A</v>
      </c>
      <c r="K106" s="500" t="e">
        <f>K98*'[29]PL4. Doanh thu'!K$33/'[29]PL4. Doanh thu'!K$19</f>
        <v>#N/A</v>
      </c>
      <c r="L106" s="500" t="e">
        <f>L98*'[29]PL4. Doanh thu'!L$33/'[29]PL4. Doanh thu'!L$19</f>
        <v>#N/A</v>
      </c>
      <c r="M106" s="500" t="e">
        <f>M98*'[29]PL4. Doanh thu'!M$33/'[29]PL4. Doanh thu'!M$19</f>
        <v>#N/A</v>
      </c>
    </row>
    <row r="107" spans="2:13" hidden="1" x14ac:dyDescent="0.25">
      <c r="B107" s="1233" t="str">
        <f>$B26</f>
        <v>Tro bay</v>
      </c>
      <c r="C107" s="61" t="str">
        <f>'[29]PL1. Input'!$D$29</f>
        <v>(tỷ VNĐ)</v>
      </c>
      <c r="D107" s="500" t="e">
        <f>D99*'[29]PL4. Doanh thu'!D$33/'[29]PL4. Doanh thu'!D$19</f>
        <v>#N/A</v>
      </c>
      <c r="E107" s="500" t="e">
        <f>E99*'[29]PL4. Doanh thu'!E$33/'[29]PL4. Doanh thu'!E$19</f>
        <v>#N/A</v>
      </c>
      <c r="F107" s="500" t="e">
        <f>F99*'[29]PL4. Doanh thu'!F$33/'[29]PL4. Doanh thu'!F$19</f>
        <v>#N/A</v>
      </c>
      <c r="G107" s="500" t="e">
        <f>G99*'[29]PL4. Doanh thu'!G$33/'[29]PL4. Doanh thu'!G$19</f>
        <v>#N/A</v>
      </c>
      <c r="H107" s="500" t="e">
        <f>H99*'[29]PL4. Doanh thu'!H$33/'[29]PL4. Doanh thu'!H$19</f>
        <v>#N/A</v>
      </c>
      <c r="I107" s="500" t="e">
        <f>I99*'[29]PL4. Doanh thu'!I$33/'[29]PL4. Doanh thu'!I$19</f>
        <v>#N/A</v>
      </c>
      <c r="J107" s="500" t="e">
        <f>J99*'[29]PL4. Doanh thu'!J$33/'[29]PL4. Doanh thu'!J$19</f>
        <v>#N/A</v>
      </c>
      <c r="K107" s="500" t="e">
        <f>K99*'[29]PL4. Doanh thu'!K$33/'[29]PL4. Doanh thu'!K$19</f>
        <v>#N/A</v>
      </c>
      <c r="L107" s="500" t="e">
        <f>L99*'[29]PL4. Doanh thu'!L$33/'[29]PL4. Doanh thu'!L$19</f>
        <v>#N/A</v>
      </c>
      <c r="M107" s="500" t="e">
        <f>M99*'[29]PL4. Doanh thu'!M$33/'[29]PL4. Doanh thu'!M$19</f>
        <v>#N/A</v>
      </c>
    </row>
    <row r="108" spans="2:13" hidden="1" x14ac:dyDescent="0.25">
      <c r="B108" s="1233" t="str">
        <f>$B27</f>
        <v>Phụ gia</v>
      </c>
      <c r="C108" s="61" t="str">
        <f>'[29]PL1. Input'!$D$29</f>
        <v>(tỷ VNĐ)</v>
      </c>
      <c r="D108" s="500" t="e">
        <f>D100*'[29]PL4. Doanh thu'!D$33/'[29]PL4. Doanh thu'!D$19</f>
        <v>#N/A</v>
      </c>
      <c r="E108" s="500" t="e">
        <f>E100*'[29]PL4. Doanh thu'!E$33/'[29]PL4. Doanh thu'!E$19</f>
        <v>#N/A</v>
      </c>
      <c r="F108" s="500" t="e">
        <f>F100*'[29]PL4. Doanh thu'!F$33/'[29]PL4. Doanh thu'!F$19</f>
        <v>#N/A</v>
      </c>
      <c r="G108" s="500" t="e">
        <f>G100*'[29]PL4. Doanh thu'!G$33/'[29]PL4. Doanh thu'!G$19</f>
        <v>#N/A</v>
      </c>
      <c r="H108" s="500" t="e">
        <f>H100*'[29]PL4. Doanh thu'!H$33/'[29]PL4. Doanh thu'!H$19</f>
        <v>#N/A</v>
      </c>
      <c r="I108" s="500" t="e">
        <f>I100*'[29]PL4. Doanh thu'!I$33/'[29]PL4. Doanh thu'!I$19</f>
        <v>#N/A</v>
      </c>
      <c r="J108" s="500" t="e">
        <f>J100*'[29]PL4. Doanh thu'!J$33/'[29]PL4. Doanh thu'!J$19</f>
        <v>#N/A</v>
      </c>
      <c r="K108" s="500" t="e">
        <f>K100*'[29]PL4. Doanh thu'!K$33/'[29]PL4. Doanh thu'!K$19</f>
        <v>#N/A</v>
      </c>
      <c r="L108" s="500" t="e">
        <f>L100*'[29]PL4. Doanh thu'!L$33/'[29]PL4. Doanh thu'!L$19</f>
        <v>#N/A</v>
      </c>
      <c r="M108" s="500" t="e">
        <f>M100*'[29]PL4. Doanh thu'!M$33/'[29]PL4. Doanh thu'!M$19</f>
        <v>#N/A</v>
      </c>
    </row>
    <row r="109" spans="2:13" hidden="1" x14ac:dyDescent="0.25">
      <c r="B109" s="1234" t="s">
        <v>615</v>
      </c>
      <c r="C109" s="497" t="str">
        <f>'[29]PL1. Input'!$D$29</f>
        <v>(tỷ VNĐ)</v>
      </c>
      <c r="D109" s="502" t="e">
        <f t="shared" ref="D109:M109" si="43">SUM(D104:D108)</f>
        <v>#N/A</v>
      </c>
      <c r="E109" s="502" t="e">
        <f t="shared" si="43"/>
        <v>#N/A</v>
      </c>
      <c r="F109" s="502" t="e">
        <f t="shared" si="43"/>
        <v>#N/A</v>
      </c>
      <c r="G109" s="502" t="e">
        <f t="shared" si="43"/>
        <v>#N/A</v>
      </c>
      <c r="H109" s="502" t="e">
        <f t="shared" si="43"/>
        <v>#N/A</v>
      </c>
      <c r="I109" s="502" t="e">
        <f t="shared" si="43"/>
        <v>#N/A</v>
      </c>
      <c r="J109" s="502" t="e">
        <f t="shared" si="43"/>
        <v>#N/A</v>
      </c>
      <c r="K109" s="502" t="e">
        <f t="shared" si="43"/>
        <v>#N/A</v>
      </c>
      <c r="L109" s="502" t="e">
        <f t="shared" si="43"/>
        <v>#N/A</v>
      </c>
      <c r="M109" s="502" t="e">
        <f t="shared" si="43"/>
        <v>#N/A</v>
      </c>
    </row>
    <row r="110" spans="2:13" s="60" customFormat="1" hidden="1" x14ac:dyDescent="0.25">
      <c r="B110" s="60" t="s">
        <v>696</v>
      </c>
      <c r="C110" s="555"/>
      <c r="D110" s="505" t="e">
        <f>IF(ROUND(D109/D101,0)-ROUND('[29]PL4. Doanh thu'!D33/'[29]PL4. Doanh thu'!D19,0)=0,"OK","False")</f>
        <v>#N/A</v>
      </c>
      <c r="E110" s="505" t="e">
        <f>IF(ROUND(E109/E101,0)-ROUND('[29]PL4. Doanh thu'!E33/'[29]PL4. Doanh thu'!E19,0)=0,"OK","False")</f>
        <v>#N/A</v>
      </c>
      <c r="F110" s="505" t="e">
        <f>IF(ROUND(F109/F101,0)-ROUND('[29]PL4. Doanh thu'!F33/'[29]PL4. Doanh thu'!F19,0)=0,"OK","False")</f>
        <v>#N/A</v>
      </c>
      <c r="G110" s="505" t="e">
        <f>IF(ROUND(G109/G101,0)-ROUND('[29]PL4. Doanh thu'!G33/'[29]PL4. Doanh thu'!G19,0)=0,"OK","False")</f>
        <v>#N/A</v>
      </c>
      <c r="H110" s="505" t="e">
        <f>IF(ROUND(H109/H101,0)-ROUND('[29]PL4. Doanh thu'!H33/'[29]PL4. Doanh thu'!H19,0)=0,"OK","False")</f>
        <v>#N/A</v>
      </c>
      <c r="I110" s="505" t="e">
        <f>IF(ROUND(I109/I101,0)-ROUND('[29]PL4. Doanh thu'!I33/'[29]PL4. Doanh thu'!I19,0)=0,"OK","False")</f>
        <v>#N/A</v>
      </c>
      <c r="J110" s="505" t="e">
        <f>IF(ROUND(J109/J101,0)-ROUND('[29]PL4. Doanh thu'!J33/'[29]PL4. Doanh thu'!J19,0)=0,"OK","False")</f>
        <v>#N/A</v>
      </c>
      <c r="K110" s="505" t="e">
        <f>IF(ROUND(K109/K101,0)-ROUND('[29]PL4. Doanh thu'!K33/'[29]PL4. Doanh thu'!K19,0)=0,"OK","False")</f>
        <v>#N/A</v>
      </c>
      <c r="L110" s="505" t="e">
        <f>IF(ROUND(L109/L101,0)-ROUND('[29]PL4. Doanh thu'!L33/'[29]PL4. Doanh thu'!L19,0)=0,"OK","False")</f>
        <v>#N/A</v>
      </c>
      <c r="M110" s="505" t="e">
        <f>IF(ROUND(M109/M101,0)-ROUND('[29]PL4. Doanh thu'!M33/'[29]PL4. Doanh thu'!M19,0)=0,"OK","False")</f>
        <v>#N/A</v>
      </c>
    </row>
    <row r="111" spans="2:13" s="60" customFormat="1" hidden="1" x14ac:dyDescent="0.25">
      <c r="C111" s="555"/>
      <c r="D111" s="505"/>
      <c r="E111" s="505"/>
      <c r="F111" s="505"/>
      <c r="G111" s="505"/>
      <c r="H111" s="505"/>
      <c r="I111" s="505"/>
      <c r="J111" s="505"/>
      <c r="K111" s="505"/>
      <c r="L111" s="505"/>
      <c r="M111" s="505"/>
    </row>
    <row r="112" spans="2:13" s="60" customFormat="1" hidden="1" x14ac:dyDescent="0.25">
      <c r="B112" s="1228" t="s">
        <v>774</v>
      </c>
      <c r="C112" s="14"/>
      <c r="D112"/>
      <c r="E112"/>
      <c r="F112"/>
      <c r="G112"/>
      <c r="H112"/>
      <c r="I112"/>
      <c r="J112"/>
      <c r="K112"/>
      <c r="L112"/>
      <c r="M112"/>
    </row>
    <row r="113" spans="2:13" s="60" customFormat="1" hidden="1" x14ac:dyDescent="0.25">
      <c r="B113" s="1232" t="str">
        <f>$B22</f>
        <v xml:space="preserve">Cát </v>
      </c>
      <c r="C113" s="495" t="str">
        <f>'[29]PL1. Input'!$D$29</f>
        <v>(tỷ VNĐ)</v>
      </c>
      <c r="D113" s="62" t="e">
        <f>D96*'[29]PL4. Doanh thu'!D$46/'[29]PL4. Doanh thu'!D$19</f>
        <v>#N/A</v>
      </c>
      <c r="E113" s="62" t="e">
        <f>E96*'[29]PL4. Doanh thu'!E$46/'[29]PL4. Doanh thu'!E$19</f>
        <v>#N/A</v>
      </c>
      <c r="F113" s="62" t="e">
        <f>F96*'[29]PL4. Doanh thu'!F$46/'[29]PL4. Doanh thu'!F$19</f>
        <v>#N/A</v>
      </c>
      <c r="G113" s="62" t="e">
        <f>G96*'[29]PL4. Doanh thu'!G$46/'[29]PL4. Doanh thu'!G$19</f>
        <v>#N/A</v>
      </c>
      <c r="H113" s="62" t="e">
        <f>H96*'[29]PL4. Doanh thu'!H$46/'[29]PL4. Doanh thu'!H$19</f>
        <v>#N/A</v>
      </c>
      <c r="I113" s="62" t="e">
        <f>I96*'[29]PL4. Doanh thu'!I$46/'[29]PL4. Doanh thu'!I$19</f>
        <v>#N/A</v>
      </c>
      <c r="J113" s="62" t="e">
        <f>J96*'[29]PL4. Doanh thu'!J$46/'[29]PL4. Doanh thu'!J$19</f>
        <v>#N/A</v>
      </c>
      <c r="K113" s="62" t="e">
        <f>K96*'[29]PL4. Doanh thu'!K$46/'[29]PL4. Doanh thu'!K$19</f>
        <v>#N/A</v>
      </c>
      <c r="L113" s="62" t="e">
        <f>L96*'[29]PL4. Doanh thu'!L$46/'[29]PL4. Doanh thu'!L$19</f>
        <v>#N/A</v>
      </c>
      <c r="M113" s="62" t="e">
        <f>M96*'[29]PL4. Doanh thu'!M$46/'[29]PL4. Doanh thu'!M$19</f>
        <v>#N/A</v>
      </c>
    </row>
    <row r="114" spans="2:13" s="60" customFormat="1" hidden="1" x14ac:dyDescent="0.25">
      <c r="B114" s="1233" t="str">
        <f>$B23</f>
        <v xml:space="preserve">Đá </v>
      </c>
      <c r="C114" s="61" t="str">
        <f>'[29]PL1. Input'!$D$29</f>
        <v>(tỷ VNĐ)</v>
      </c>
      <c r="D114" s="500" t="e">
        <f>D97*'[29]PL4. Doanh thu'!D$46/'[29]PL4. Doanh thu'!D$19</f>
        <v>#N/A</v>
      </c>
      <c r="E114" s="500" t="e">
        <f>E97*'[29]PL4. Doanh thu'!E$46/'[29]PL4. Doanh thu'!E$19</f>
        <v>#N/A</v>
      </c>
      <c r="F114" s="500" t="e">
        <f>F97*'[29]PL4. Doanh thu'!F$46/'[29]PL4. Doanh thu'!F$19</f>
        <v>#N/A</v>
      </c>
      <c r="G114" s="500" t="e">
        <f>G97*'[29]PL4. Doanh thu'!G$46/'[29]PL4. Doanh thu'!G$19</f>
        <v>#N/A</v>
      </c>
      <c r="H114" s="500" t="e">
        <f>H97*'[29]PL4. Doanh thu'!H$46/'[29]PL4. Doanh thu'!H$19</f>
        <v>#N/A</v>
      </c>
      <c r="I114" s="500" t="e">
        <f>I97*'[29]PL4. Doanh thu'!I$46/'[29]PL4. Doanh thu'!I$19</f>
        <v>#N/A</v>
      </c>
      <c r="J114" s="500" t="e">
        <f>J97*'[29]PL4. Doanh thu'!J$46/'[29]PL4. Doanh thu'!J$19</f>
        <v>#N/A</v>
      </c>
      <c r="K114" s="500" t="e">
        <f>K97*'[29]PL4. Doanh thu'!K$46/'[29]PL4. Doanh thu'!K$19</f>
        <v>#N/A</v>
      </c>
      <c r="L114" s="500" t="e">
        <f>L97*'[29]PL4. Doanh thu'!L$46/'[29]PL4. Doanh thu'!L$19</f>
        <v>#N/A</v>
      </c>
      <c r="M114" s="500" t="e">
        <f>M97*'[29]PL4. Doanh thu'!M$46/'[29]PL4. Doanh thu'!M$19</f>
        <v>#N/A</v>
      </c>
    </row>
    <row r="115" spans="2:13" s="60" customFormat="1" hidden="1" x14ac:dyDescent="0.25">
      <c r="B115" s="1233" t="str">
        <f>$B25</f>
        <v>Xi</v>
      </c>
      <c r="C115" s="61" t="str">
        <f>'[29]PL1. Input'!$D$29</f>
        <v>(tỷ VNĐ)</v>
      </c>
      <c r="D115" s="500" t="e">
        <f>D98*'[29]PL4. Doanh thu'!D$46/'[29]PL4. Doanh thu'!D$19</f>
        <v>#N/A</v>
      </c>
      <c r="E115" s="500" t="e">
        <f>E98*'[29]PL4. Doanh thu'!E$46/'[29]PL4. Doanh thu'!E$19</f>
        <v>#N/A</v>
      </c>
      <c r="F115" s="500" t="e">
        <f>F98*'[29]PL4. Doanh thu'!F$46/'[29]PL4. Doanh thu'!F$19</f>
        <v>#N/A</v>
      </c>
      <c r="G115" s="500" t="e">
        <f>G98*'[29]PL4. Doanh thu'!G$46/'[29]PL4. Doanh thu'!G$19</f>
        <v>#N/A</v>
      </c>
      <c r="H115" s="500" t="e">
        <f>H98*'[29]PL4. Doanh thu'!H$46/'[29]PL4. Doanh thu'!H$19</f>
        <v>#N/A</v>
      </c>
      <c r="I115" s="500" t="e">
        <f>I98*'[29]PL4. Doanh thu'!I$46/'[29]PL4. Doanh thu'!I$19</f>
        <v>#N/A</v>
      </c>
      <c r="J115" s="500" t="e">
        <f>J98*'[29]PL4. Doanh thu'!J$46/'[29]PL4. Doanh thu'!J$19</f>
        <v>#N/A</v>
      </c>
      <c r="K115" s="500" t="e">
        <f>K98*'[29]PL4. Doanh thu'!K$46/'[29]PL4. Doanh thu'!K$19</f>
        <v>#N/A</v>
      </c>
      <c r="L115" s="500" t="e">
        <f>L98*'[29]PL4. Doanh thu'!L$46/'[29]PL4. Doanh thu'!L$19</f>
        <v>#N/A</v>
      </c>
      <c r="M115" s="500" t="e">
        <f>M98*'[29]PL4. Doanh thu'!M$46/'[29]PL4. Doanh thu'!M$19</f>
        <v>#N/A</v>
      </c>
    </row>
    <row r="116" spans="2:13" hidden="1" x14ac:dyDescent="0.25">
      <c r="B116" s="1233" t="str">
        <f>$B26</f>
        <v>Tro bay</v>
      </c>
      <c r="C116" s="61" t="str">
        <f>'[29]PL1. Input'!$D$29</f>
        <v>(tỷ VNĐ)</v>
      </c>
      <c r="D116" s="500" t="e">
        <f>D99*'[29]PL4. Doanh thu'!D$46/'[29]PL4. Doanh thu'!D$19</f>
        <v>#N/A</v>
      </c>
      <c r="E116" s="500" t="e">
        <f>E99*'[29]PL4. Doanh thu'!E$46/'[29]PL4. Doanh thu'!E$19</f>
        <v>#N/A</v>
      </c>
      <c r="F116" s="500" t="e">
        <f>F99*'[29]PL4. Doanh thu'!F$46/'[29]PL4. Doanh thu'!F$19</f>
        <v>#N/A</v>
      </c>
      <c r="G116" s="500" t="e">
        <f>G99*'[29]PL4. Doanh thu'!G$46/'[29]PL4. Doanh thu'!G$19</f>
        <v>#N/A</v>
      </c>
      <c r="H116" s="500" t="e">
        <f>H99*'[29]PL4. Doanh thu'!H$46/'[29]PL4. Doanh thu'!H$19</f>
        <v>#N/A</v>
      </c>
      <c r="I116" s="500" t="e">
        <f>I99*'[29]PL4. Doanh thu'!I$46/'[29]PL4. Doanh thu'!I$19</f>
        <v>#N/A</v>
      </c>
      <c r="J116" s="500" t="e">
        <f>J99*'[29]PL4. Doanh thu'!J$46/'[29]PL4. Doanh thu'!J$19</f>
        <v>#N/A</v>
      </c>
      <c r="K116" s="500" t="e">
        <f>K99*'[29]PL4. Doanh thu'!K$46/'[29]PL4. Doanh thu'!K$19</f>
        <v>#N/A</v>
      </c>
      <c r="L116" s="500" t="e">
        <f>L99*'[29]PL4. Doanh thu'!L$46/'[29]PL4. Doanh thu'!L$19</f>
        <v>#N/A</v>
      </c>
      <c r="M116" s="500" t="e">
        <f>M99*'[29]PL4. Doanh thu'!M$46/'[29]PL4. Doanh thu'!M$19</f>
        <v>#N/A</v>
      </c>
    </row>
    <row r="117" spans="2:13" hidden="1" x14ac:dyDescent="0.25">
      <c r="B117" s="1233" t="str">
        <f>$B27</f>
        <v>Phụ gia</v>
      </c>
      <c r="C117" s="61" t="str">
        <f>'[29]PL1. Input'!$D$29</f>
        <v>(tỷ VNĐ)</v>
      </c>
      <c r="D117" s="500" t="e">
        <f>D100*'[29]PL4. Doanh thu'!D$46/'[29]PL4. Doanh thu'!D$19</f>
        <v>#N/A</v>
      </c>
      <c r="E117" s="500" t="e">
        <f>E100*'[29]PL4. Doanh thu'!E$46/'[29]PL4. Doanh thu'!E$19</f>
        <v>#N/A</v>
      </c>
      <c r="F117" s="500" t="e">
        <f>F100*'[29]PL4. Doanh thu'!F$46/'[29]PL4. Doanh thu'!F$19</f>
        <v>#N/A</v>
      </c>
      <c r="G117" s="500" t="e">
        <f>G100*'[29]PL4. Doanh thu'!G$46/'[29]PL4. Doanh thu'!G$19</f>
        <v>#N/A</v>
      </c>
      <c r="H117" s="500" t="e">
        <f>H100*'[29]PL4. Doanh thu'!H$46/'[29]PL4. Doanh thu'!H$19</f>
        <v>#N/A</v>
      </c>
      <c r="I117" s="500" t="e">
        <f>I100*'[29]PL4. Doanh thu'!I$46/'[29]PL4. Doanh thu'!I$19</f>
        <v>#N/A</v>
      </c>
      <c r="J117" s="500" t="e">
        <f>J100*'[29]PL4. Doanh thu'!J$46/'[29]PL4. Doanh thu'!J$19</f>
        <v>#N/A</v>
      </c>
      <c r="K117" s="500" t="e">
        <f>K100*'[29]PL4. Doanh thu'!K$46/'[29]PL4. Doanh thu'!K$19</f>
        <v>#N/A</v>
      </c>
      <c r="L117" s="500" t="e">
        <f>L100*'[29]PL4. Doanh thu'!L$46/'[29]PL4. Doanh thu'!L$19</f>
        <v>#N/A</v>
      </c>
      <c r="M117" s="500" t="e">
        <f>M100*'[29]PL4. Doanh thu'!M$46/'[29]PL4. Doanh thu'!M$19</f>
        <v>#N/A</v>
      </c>
    </row>
    <row r="118" spans="2:13" hidden="1" x14ac:dyDescent="0.25">
      <c r="B118" s="1233" t="e">
        <f>#REF!</f>
        <v>#REF!</v>
      </c>
      <c r="C118" s="61" t="str">
        <f>'[29]PL1. Input'!$D$29</f>
        <v>(tỷ VNĐ)</v>
      </c>
      <c r="D118" s="500" t="e">
        <f>#REF!*'[29]PL4. Doanh thu'!D$46/'[29]PL4. Doanh thu'!D$19</f>
        <v>#REF!</v>
      </c>
      <c r="E118" s="500" t="e">
        <f>#REF!*'[29]PL4. Doanh thu'!E$46/'[29]PL4. Doanh thu'!E$19</f>
        <v>#REF!</v>
      </c>
      <c r="F118" s="500" t="e">
        <f>#REF!*'[29]PL4. Doanh thu'!F$46/'[29]PL4. Doanh thu'!F$19</f>
        <v>#REF!</v>
      </c>
      <c r="G118" s="500" t="e">
        <f>#REF!*'[29]PL4. Doanh thu'!G$46/'[29]PL4. Doanh thu'!G$19</f>
        <v>#REF!</v>
      </c>
      <c r="H118" s="500" t="e">
        <f>#REF!*'[29]PL4. Doanh thu'!H$46/'[29]PL4. Doanh thu'!H$19</f>
        <v>#REF!</v>
      </c>
      <c r="I118" s="500" t="e">
        <f>#REF!*'[29]PL4. Doanh thu'!I$46/'[29]PL4. Doanh thu'!I$19</f>
        <v>#REF!</v>
      </c>
      <c r="J118" s="500" t="e">
        <f>#REF!*'[29]PL4. Doanh thu'!J$46/'[29]PL4. Doanh thu'!J$19</f>
        <v>#REF!</v>
      </c>
      <c r="K118" s="500" t="e">
        <f>#REF!*'[29]PL4. Doanh thu'!K$46/'[29]PL4. Doanh thu'!K$19</f>
        <v>#REF!</v>
      </c>
      <c r="L118" s="500" t="e">
        <f>#REF!*'[29]PL4. Doanh thu'!L$46/'[29]PL4. Doanh thu'!L$19</f>
        <v>#REF!</v>
      </c>
      <c r="M118" s="500" t="e">
        <f>#REF!*'[29]PL4. Doanh thu'!M$46/'[29]PL4. Doanh thu'!M$19</f>
        <v>#REF!</v>
      </c>
    </row>
    <row r="119" spans="2:13" hidden="1" x14ac:dyDescent="0.25">
      <c r="B119" s="1233" t="e">
        <f>#REF!</f>
        <v>#REF!</v>
      </c>
      <c r="C119" s="61" t="str">
        <f>'[29]PL1. Input'!$D$29</f>
        <v>(tỷ VNĐ)</v>
      </c>
      <c r="D119" s="500" t="e">
        <f>#REF!*'[29]PL4. Doanh thu'!D$46/'[29]PL4. Doanh thu'!D$19</f>
        <v>#REF!</v>
      </c>
      <c r="E119" s="500" t="e">
        <f>#REF!*'[29]PL4. Doanh thu'!E$46/'[29]PL4. Doanh thu'!E$19</f>
        <v>#REF!</v>
      </c>
      <c r="F119" s="500" t="e">
        <f>#REF!*'[29]PL4. Doanh thu'!F$46/'[29]PL4. Doanh thu'!F$19</f>
        <v>#REF!</v>
      </c>
      <c r="G119" s="500" t="e">
        <f>#REF!*'[29]PL4. Doanh thu'!G$46/'[29]PL4. Doanh thu'!G$19</f>
        <v>#REF!</v>
      </c>
      <c r="H119" s="500" t="e">
        <f>#REF!*'[29]PL4. Doanh thu'!H$46/'[29]PL4. Doanh thu'!H$19</f>
        <v>#REF!</v>
      </c>
      <c r="I119" s="500" t="e">
        <f>#REF!*'[29]PL4. Doanh thu'!I$46/'[29]PL4. Doanh thu'!I$19</f>
        <v>#REF!</v>
      </c>
      <c r="J119" s="500" t="e">
        <f>#REF!*'[29]PL4. Doanh thu'!J$46/'[29]PL4. Doanh thu'!J$19</f>
        <v>#REF!</v>
      </c>
      <c r="K119" s="500" t="e">
        <f>#REF!*'[29]PL4. Doanh thu'!K$46/'[29]PL4. Doanh thu'!K$19</f>
        <v>#REF!</v>
      </c>
      <c r="L119" s="500" t="e">
        <f>#REF!*'[29]PL4. Doanh thu'!L$46/'[29]PL4. Doanh thu'!L$19</f>
        <v>#REF!</v>
      </c>
      <c r="M119" s="500" t="e">
        <f>#REF!*'[29]PL4. Doanh thu'!M$46/'[29]PL4. Doanh thu'!M$19</f>
        <v>#REF!</v>
      </c>
    </row>
    <row r="120" spans="2:13" hidden="1" x14ac:dyDescent="0.25">
      <c r="B120" s="1233" t="e">
        <f>#REF!</f>
        <v>#REF!</v>
      </c>
      <c r="C120" s="61" t="str">
        <f>'[29]PL1. Input'!$D$29</f>
        <v>(tỷ VNĐ)</v>
      </c>
      <c r="D120" s="500" t="e">
        <f>#REF!*'[29]PL4. Doanh thu'!D$46/'[29]PL4. Doanh thu'!D$19</f>
        <v>#REF!</v>
      </c>
      <c r="E120" s="500" t="e">
        <f>#REF!*'[29]PL4. Doanh thu'!E$46/'[29]PL4. Doanh thu'!E$19</f>
        <v>#REF!</v>
      </c>
      <c r="F120" s="500" t="e">
        <f>#REF!*'[29]PL4. Doanh thu'!F$46/'[29]PL4. Doanh thu'!F$19</f>
        <v>#REF!</v>
      </c>
      <c r="G120" s="500" t="e">
        <f>#REF!*'[29]PL4. Doanh thu'!G$46/'[29]PL4. Doanh thu'!G$19</f>
        <v>#REF!</v>
      </c>
      <c r="H120" s="500" t="e">
        <f>#REF!*'[29]PL4. Doanh thu'!H$46/'[29]PL4. Doanh thu'!H$19</f>
        <v>#REF!</v>
      </c>
      <c r="I120" s="500" t="e">
        <f>#REF!*'[29]PL4. Doanh thu'!I$46/'[29]PL4. Doanh thu'!I$19</f>
        <v>#REF!</v>
      </c>
      <c r="J120" s="500" t="e">
        <f>#REF!*'[29]PL4. Doanh thu'!J$46/'[29]PL4. Doanh thu'!J$19</f>
        <v>#REF!</v>
      </c>
      <c r="K120" s="500" t="e">
        <f>#REF!*'[29]PL4. Doanh thu'!K$46/'[29]PL4. Doanh thu'!K$19</f>
        <v>#REF!</v>
      </c>
      <c r="L120" s="500" t="e">
        <f>#REF!*'[29]PL4. Doanh thu'!L$46/'[29]PL4. Doanh thu'!L$19</f>
        <v>#REF!</v>
      </c>
      <c r="M120" s="500" t="e">
        <f>#REF!*'[29]PL4. Doanh thu'!M$46/'[29]PL4. Doanh thu'!M$19</f>
        <v>#REF!</v>
      </c>
    </row>
    <row r="121" spans="2:13" hidden="1" x14ac:dyDescent="0.25">
      <c r="B121" s="1233" t="e">
        <f>#REF!</f>
        <v>#REF!</v>
      </c>
      <c r="C121" s="61" t="str">
        <f>'[29]PL1. Input'!$D$29</f>
        <v>(tỷ VNĐ)</v>
      </c>
      <c r="D121" s="500" t="e">
        <f>#REF!*'[29]PL4. Doanh thu'!D$46/'[29]PL4. Doanh thu'!D$19</f>
        <v>#REF!</v>
      </c>
      <c r="E121" s="500" t="e">
        <f>#REF!*'[29]PL4. Doanh thu'!E$46/'[29]PL4. Doanh thu'!E$19</f>
        <v>#REF!</v>
      </c>
      <c r="F121" s="500" t="e">
        <f>#REF!*'[29]PL4. Doanh thu'!F$46/'[29]PL4. Doanh thu'!F$19</f>
        <v>#REF!</v>
      </c>
      <c r="G121" s="500" t="e">
        <f>#REF!*'[29]PL4. Doanh thu'!G$46/'[29]PL4. Doanh thu'!G$19</f>
        <v>#REF!</v>
      </c>
      <c r="H121" s="500" t="e">
        <f>#REF!*'[29]PL4. Doanh thu'!H$46/'[29]PL4. Doanh thu'!H$19</f>
        <v>#REF!</v>
      </c>
      <c r="I121" s="500" t="e">
        <f>#REF!*'[29]PL4. Doanh thu'!I$46/'[29]PL4. Doanh thu'!I$19</f>
        <v>#REF!</v>
      </c>
      <c r="J121" s="500" t="e">
        <f>#REF!*'[29]PL4. Doanh thu'!J$46/'[29]PL4. Doanh thu'!J$19</f>
        <v>#REF!</v>
      </c>
      <c r="K121" s="500" t="e">
        <f>#REF!*'[29]PL4. Doanh thu'!K$46/'[29]PL4. Doanh thu'!K$19</f>
        <v>#REF!</v>
      </c>
      <c r="L121" s="500" t="e">
        <f>#REF!*'[29]PL4. Doanh thu'!L$46/'[29]PL4. Doanh thu'!L$19</f>
        <v>#REF!</v>
      </c>
      <c r="M121" s="500" t="e">
        <f>#REF!*'[29]PL4. Doanh thu'!M$46/'[29]PL4. Doanh thu'!M$19</f>
        <v>#REF!</v>
      </c>
    </row>
    <row r="122" spans="2:13" hidden="1" x14ac:dyDescent="0.25">
      <c r="B122" s="1235" t="e">
        <f>#REF!</f>
        <v>#REF!</v>
      </c>
      <c r="C122" s="496" t="str">
        <f>'[29]PL1. Input'!$D$29</f>
        <v>(tỷ VNĐ)</v>
      </c>
      <c r="D122" s="501" t="e">
        <f>#REF!*'[29]PL4. Doanh thu'!D$46/'[29]PL4. Doanh thu'!D$19</f>
        <v>#REF!</v>
      </c>
      <c r="E122" s="501" t="e">
        <f>#REF!*'[29]PL4. Doanh thu'!E$46/'[29]PL4. Doanh thu'!E$19</f>
        <v>#REF!</v>
      </c>
      <c r="F122" s="501" t="e">
        <f>#REF!*'[29]PL4. Doanh thu'!F$46/'[29]PL4. Doanh thu'!F$19</f>
        <v>#REF!</v>
      </c>
      <c r="G122" s="501" t="e">
        <f>#REF!*'[29]PL4. Doanh thu'!G$46/'[29]PL4. Doanh thu'!G$19</f>
        <v>#REF!</v>
      </c>
      <c r="H122" s="501" t="e">
        <f>#REF!*'[29]PL4. Doanh thu'!H$46/'[29]PL4. Doanh thu'!H$19</f>
        <v>#REF!</v>
      </c>
      <c r="I122" s="501" t="e">
        <f>#REF!*'[29]PL4. Doanh thu'!I$46/'[29]PL4. Doanh thu'!I$19</f>
        <v>#REF!</v>
      </c>
      <c r="J122" s="501" t="e">
        <f>#REF!*'[29]PL4. Doanh thu'!J$46/'[29]PL4. Doanh thu'!J$19</f>
        <v>#REF!</v>
      </c>
      <c r="K122" s="501" t="e">
        <f>#REF!*'[29]PL4. Doanh thu'!K$46/'[29]PL4. Doanh thu'!K$19</f>
        <v>#REF!</v>
      </c>
      <c r="L122" s="501" t="e">
        <f>#REF!*'[29]PL4. Doanh thu'!L$46/'[29]PL4. Doanh thu'!L$19</f>
        <v>#REF!</v>
      </c>
      <c r="M122" s="501" t="e">
        <f>#REF!*'[29]PL4. Doanh thu'!M$46/'[29]PL4. Doanh thu'!M$19</f>
        <v>#REF!</v>
      </c>
    </row>
    <row r="123" spans="2:13" hidden="1" x14ac:dyDescent="0.25">
      <c r="B123" s="1234" t="s">
        <v>615</v>
      </c>
      <c r="C123" s="497" t="str">
        <f>'[29]PL1. Input'!$D$29</f>
        <v>(tỷ VNĐ)</v>
      </c>
      <c r="D123" s="502" t="e">
        <f>SUM(D113:D122)</f>
        <v>#N/A</v>
      </c>
      <c r="E123" s="502" t="e">
        <f t="shared" ref="E123:M123" si="44">SUM(E113:E122)</f>
        <v>#N/A</v>
      </c>
      <c r="F123" s="502" t="e">
        <f t="shared" si="44"/>
        <v>#N/A</v>
      </c>
      <c r="G123" s="502" t="e">
        <f t="shared" si="44"/>
        <v>#N/A</v>
      </c>
      <c r="H123" s="502" t="e">
        <f t="shared" si="44"/>
        <v>#N/A</v>
      </c>
      <c r="I123" s="502" t="e">
        <f t="shared" si="44"/>
        <v>#N/A</v>
      </c>
      <c r="J123" s="502" t="e">
        <f t="shared" si="44"/>
        <v>#N/A</v>
      </c>
      <c r="K123" s="502" t="e">
        <f t="shared" si="44"/>
        <v>#N/A</v>
      </c>
      <c r="L123" s="502" t="e">
        <f t="shared" si="44"/>
        <v>#N/A</v>
      </c>
      <c r="M123" s="502" t="e">
        <f t="shared" si="44"/>
        <v>#N/A</v>
      </c>
    </row>
    <row r="124" spans="2:13" hidden="1" x14ac:dyDescent="0.25">
      <c r="B124" s="60" t="s">
        <v>696</v>
      </c>
      <c r="C124" s="555"/>
      <c r="D124" s="505" t="e">
        <f>IF(ROUND(D123/D101,0)-ROUND('[29]PL4. Doanh thu'!D46/'[29]PL4. Doanh thu'!D19,0)=0,"OK","False")</f>
        <v>#N/A</v>
      </c>
      <c r="E124" s="505" t="e">
        <f>IF(ROUND(E123/E101,0)-ROUND('[29]PL4. Doanh thu'!E46/'[29]PL4. Doanh thu'!E19,0)=0,"OK","False")</f>
        <v>#N/A</v>
      </c>
      <c r="F124" s="505" t="e">
        <f>IF(ROUND(F123/F101,0)-ROUND('[29]PL4. Doanh thu'!F46/'[29]PL4. Doanh thu'!F19,0)=0,"OK","False")</f>
        <v>#N/A</v>
      </c>
      <c r="G124" s="505" t="e">
        <f>IF(ROUND(G123/G101,0)-ROUND('[29]PL4. Doanh thu'!G46/'[29]PL4. Doanh thu'!G19,0)=0,"OK","False")</f>
        <v>#N/A</v>
      </c>
      <c r="H124" s="505" t="e">
        <f>IF(ROUND(H123/H101,0)-ROUND('[29]PL4. Doanh thu'!H46/'[29]PL4. Doanh thu'!H19,0)=0,"OK","False")</f>
        <v>#N/A</v>
      </c>
      <c r="I124" s="505" t="e">
        <f>IF(ROUND(I123/I101,0)-ROUND('[29]PL4. Doanh thu'!I46/'[29]PL4. Doanh thu'!I19,0)=0,"OK","False")</f>
        <v>#N/A</v>
      </c>
      <c r="J124" s="505" t="e">
        <f>IF(ROUND(J123/J101,0)-ROUND('[29]PL4. Doanh thu'!J46/'[29]PL4. Doanh thu'!J19,0)=0,"OK","False")</f>
        <v>#N/A</v>
      </c>
      <c r="K124" s="505" t="e">
        <f>IF(ROUND(K123/K101,0)-ROUND('[29]PL4. Doanh thu'!K46/'[29]PL4. Doanh thu'!K19,0)=0,"OK","False")</f>
        <v>#N/A</v>
      </c>
      <c r="L124" s="505" t="e">
        <f>IF(ROUND(L123/L101,0)-ROUND('[29]PL4. Doanh thu'!L46/'[29]PL4. Doanh thu'!L19,0)=0,"OK","False")</f>
        <v>#N/A</v>
      </c>
      <c r="M124" s="505" t="e">
        <f>IF(ROUND(M123/M101,0)-ROUND('[29]PL4. Doanh thu'!M46/'[29]PL4. Doanh thu'!M19,0)=0,"OK","False")</f>
        <v>#N/A</v>
      </c>
    </row>
    <row r="125" spans="2:13" hidden="1" x14ac:dyDescent="0.25">
      <c r="C125" s="555"/>
      <c r="D125" s="505"/>
      <c r="E125" s="505"/>
      <c r="F125" s="505"/>
      <c r="G125" s="505"/>
      <c r="H125" s="505"/>
      <c r="I125" s="505"/>
      <c r="J125" s="505"/>
      <c r="K125" s="505"/>
      <c r="L125" s="505"/>
      <c r="M125" s="505"/>
    </row>
    <row r="126" spans="2:13" hidden="1" x14ac:dyDescent="0.25">
      <c r="B126" s="1228" t="s">
        <v>775</v>
      </c>
      <c r="C126" s="14"/>
    </row>
    <row r="127" spans="2:13" hidden="1" x14ac:dyDescent="0.25">
      <c r="B127" s="1232" t="str">
        <f>$B22</f>
        <v xml:space="preserve">Cát </v>
      </c>
      <c r="C127" s="495" t="str">
        <f>'[29]PL1. Input'!$D$29</f>
        <v>(tỷ VNĐ)</v>
      </c>
      <c r="D127" s="62" t="e">
        <f>IF('[29]PL1. Input'!$C$28='[29]PL1. Input'!$E$120,D40*D81*10^6,D40*D81)/'[29]PL1. Input'!$E$29*INDEX([29]BoGia!$A$150:$AO$167,MATCH('3. CP-NL'!$B127,[29]BoGia!$A$150:$A$167,0),MATCH('3. CP-NL'!D$4,[29]BoGia!$A$150:$AO$150,0))</f>
        <v>#N/A</v>
      </c>
      <c r="E127" s="62" t="e">
        <f>IF('[29]PL1. Input'!$C$28='[29]PL1. Input'!$E$120,E40*E81*10^6,E40*E81)/'[29]PL1. Input'!$E$29*INDEX([29]BoGia!$A$150:$AO$167,MATCH('3. CP-NL'!$B127,[29]BoGia!$A$150:$A$167,0),MATCH('3. CP-NL'!E$4,[29]BoGia!$A$150:$AO$150,0))</f>
        <v>#N/A</v>
      </c>
      <c r="F127" s="62" t="e">
        <f>IF('[29]PL1. Input'!$C$28='[29]PL1. Input'!$E$120,F40*F81*10^6,F40*F81)/'[29]PL1. Input'!$E$29*INDEX([29]BoGia!$A$150:$AO$167,MATCH('3. CP-NL'!$B127,[29]BoGia!$A$150:$A$167,0),MATCH('3. CP-NL'!F$4,[29]BoGia!$A$150:$AO$150,0))</f>
        <v>#N/A</v>
      </c>
      <c r="G127" s="62" t="e">
        <f>IF('[29]PL1. Input'!$C$28='[29]PL1. Input'!$E$120,G40*G81*10^6,G40*G81)/'[29]PL1. Input'!$E$29*INDEX([29]BoGia!$A$150:$AO$167,MATCH('3. CP-NL'!$B127,[29]BoGia!$A$150:$A$167,0),MATCH('3. CP-NL'!G$4,[29]BoGia!$A$150:$AO$150,0))</f>
        <v>#N/A</v>
      </c>
      <c r="H127" s="62" t="e">
        <f>IF('[29]PL1. Input'!$C$28='[29]PL1. Input'!$E$120,H40*H81*10^6,H40*H81)/'[29]PL1. Input'!$E$29*INDEX([29]BoGia!$A$150:$AO$167,MATCH('3. CP-NL'!$B127,[29]BoGia!$A$150:$A$167,0),MATCH('3. CP-NL'!H$4,[29]BoGia!$A$150:$AO$150,0))</f>
        <v>#N/A</v>
      </c>
      <c r="I127" s="62" t="e">
        <f>IF('[29]PL1. Input'!$C$28='[29]PL1. Input'!$E$120,I40*I81*10^6,I40*I81)/'[29]PL1. Input'!$E$29*INDEX([29]BoGia!$A$150:$AO$167,MATCH('3. CP-NL'!$B127,[29]BoGia!$A$150:$A$167,0),MATCH('3. CP-NL'!I$4,[29]BoGia!$A$150:$AO$150,0))</f>
        <v>#N/A</v>
      </c>
      <c r="J127" s="62" t="e">
        <f>IF('[29]PL1. Input'!$C$28='[29]PL1. Input'!$E$120,J40*J81*10^6,J40*J81)/'[29]PL1. Input'!$E$29*INDEX([29]BoGia!$A$150:$AO$167,MATCH('3. CP-NL'!$B127,[29]BoGia!$A$150:$A$167,0),MATCH('3. CP-NL'!J$4,[29]BoGia!$A$150:$AO$150,0))</f>
        <v>#N/A</v>
      </c>
      <c r="K127" s="62" t="e">
        <f>IF('[29]PL1. Input'!$C$28='[29]PL1. Input'!$E$120,K40*K81*10^6,K40*K81)/'[29]PL1. Input'!$E$29*INDEX([29]BoGia!$A$150:$AO$167,MATCH('3. CP-NL'!$B127,[29]BoGia!$A$150:$A$167,0),MATCH('3. CP-NL'!K$4,[29]BoGia!$A$150:$AO$150,0))</f>
        <v>#N/A</v>
      </c>
      <c r="L127" s="62" t="e">
        <f>IF('[29]PL1. Input'!$C$28='[29]PL1. Input'!$E$120,L40*L81*10^6,L40*L81)/'[29]PL1. Input'!$E$29*INDEX([29]BoGia!$A$150:$AO$167,MATCH('3. CP-NL'!$B127,[29]BoGia!$A$150:$A$167,0),MATCH('3. CP-NL'!L$4,[29]BoGia!$A$150:$AO$150,0))</f>
        <v>#N/A</v>
      </c>
      <c r="M127" s="62" t="e">
        <f>IF('[29]PL1. Input'!$C$28='[29]PL1. Input'!$E$120,M40*M81*10^6,M40*M81)/'[29]PL1. Input'!$E$29*INDEX([29]BoGia!$A$150:$AO$167,MATCH('3. CP-NL'!$B127,[29]BoGia!$A$150:$A$167,0),MATCH('3. CP-NL'!M$4,[29]BoGia!$A$150:$AO$150,0))</f>
        <v>#N/A</v>
      </c>
    </row>
    <row r="128" spans="2:13" hidden="1" x14ac:dyDescent="0.25">
      <c r="B128" s="1233" t="str">
        <f>$B23</f>
        <v xml:space="preserve">Đá </v>
      </c>
      <c r="C128" s="61" t="str">
        <f>'[29]PL1. Input'!$D$29</f>
        <v>(tỷ VNĐ)</v>
      </c>
      <c r="D128" s="62" t="e">
        <f>IF('[29]PL1. Input'!$C$28='[29]PL1. Input'!$E$120,D41*D82*10^6,D41*D82)/'[29]PL1. Input'!$E$29*INDEX([29]BoGia!$A$150:$AO$167,MATCH('3. CP-NL'!$B128,[29]BoGia!$A$150:$A$167,0),MATCH('3. CP-NL'!D$4,[29]BoGia!$A$150:$AO$150,0))</f>
        <v>#N/A</v>
      </c>
      <c r="E128" s="62" t="e">
        <f>IF('[29]PL1. Input'!$C$28='[29]PL1. Input'!$E$120,E41*E82*10^6,E41*E82)/'[29]PL1. Input'!$E$29*INDEX([29]BoGia!$A$150:$AO$167,MATCH('3. CP-NL'!$B128,[29]BoGia!$A$150:$A$167,0),MATCH('3. CP-NL'!E$4,[29]BoGia!$A$150:$AO$150,0))</f>
        <v>#N/A</v>
      </c>
      <c r="F128" s="62" t="e">
        <f>IF('[29]PL1. Input'!$C$28='[29]PL1. Input'!$E$120,F41*F82*10^6,F41*F82)/'[29]PL1. Input'!$E$29*INDEX([29]BoGia!$A$150:$AO$167,MATCH('3. CP-NL'!$B128,[29]BoGia!$A$150:$A$167,0),MATCH('3. CP-NL'!F$4,[29]BoGia!$A$150:$AO$150,0))</f>
        <v>#N/A</v>
      </c>
      <c r="G128" s="62" t="e">
        <f>IF('[29]PL1. Input'!$C$28='[29]PL1. Input'!$E$120,G41*G82*10^6,G41*G82)/'[29]PL1. Input'!$E$29*INDEX([29]BoGia!$A$150:$AO$167,MATCH('3. CP-NL'!$B128,[29]BoGia!$A$150:$A$167,0),MATCH('3. CP-NL'!G$4,[29]BoGia!$A$150:$AO$150,0))</f>
        <v>#N/A</v>
      </c>
      <c r="H128" s="62" t="e">
        <f>IF('[29]PL1. Input'!$C$28='[29]PL1. Input'!$E$120,H41*H82*10^6,H41*H82)/'[29]PL1. Input'!$E$29*INDEX([29]BoGia!$A$150:$AO$167,MATCH('3. CP-NL'!$B128,[29]BoGia!$A$150:$A$167,0),MATCH('3. CP-NL'!H$4,[29]BoGia!$A$150:$AO$150,0))</f>
        <v>#N/A</v>
      </c>
      <c r="I128" s="62" t="e">
        <f>IF('[29]PL1. Input'!$C$28='[29]PL1. Input'!$E$120,I41*I82*10^6,I41*I82)/'[29]PL1. Input'!$E$29*INDEX([29]BoGia!$A$150:$AO$167,MATCH('3. CP-NL'!$B128,[29]BoGia!$A$150:$A$167,0),MATCH('3. CP-NL'!I$4,[29]BoGia!$A$150:$AO$150,0))</f>
        <v>#N/A</v>
      </c>
      <c r="J128" s="62" t="e">
        <f>IF('[29]PL1. Input'!$C$28='[29]PL1. Input'!$E$120,J41*J82*10^6,J41*J82)/'[29]PL1. Input'!$E$29*INDEX([29]BoGia!$A$150:$AO$167,MATCH('3. CP-NL'!$B128,[29]BoGia!$A$150:$A$167,0),MATCH('3. CP-NL'!J$4,[29]BoGia!$A$150:$AO$150,0))</f>
        <v>#N/A</v>
      </c>
      <c r="K128" s="62" t="e">
        <f>IF('[29]PL1. Input'!$C$28='[29]PL1. Input'!$E$120,K41*K82*10^6,K41*K82)/'[29]PL1. Input'!$E$29*INDEX([29]BoGia!$A$150:$AO$167,MATCH('3. CP-NL'!$B128,[29]BoGia!$A$150:$A$167,0),MATCH('3. CP-NL'!K$4,[29]BoGia!$A$150:$AO$150,0))</f>
        <v>#N/A</v>
      </c>
      <c r="L128" s="62" t="e">
        <f>IF('[29]PL1. Input'!$C$28='[29]PL1. Input'!$E$120,L41*L82*10^6,L41*L82)/'[29]PL1. Input'!$E$29*INDEX([29]BoGia!$A$150:$AO$167,MATCH('3. CP-NL'!$B128,[29]BoGia!$A$150:$A$167,0),MATCH('3. CP-NL'!L$4,[29]BoGia!$A$150:$AO$150,0))</f>
        <v>#N/A</v>
      </c>
      <c r="M128" s="62" t="e">
        <f>IF('[29]PL1. Input'!$C$28='[29]PL1. Input'!$E$120,M41*M82*10^6,M41*M82)/'[29]PL1. Input'!$E$29*INDEX([29]BoGia!$A$150:$AO$167,MATCH('3. CP-NL'!$B128,[29]BoGia!$A$150:$A$167,0),MATCH('3. CP-NL'!M$4,[29]BoGia!$A$150:$AO$150,0))</f>
        <v>#N/A</v>
      </c>
    </row>
    <row r="129" spans="2:13" hidden="1" x14ac:dyDescent="0.25">
      <c r="B129" s="1233" t="str">
        <f>$B25</f>
        <v>Xi</v>
      </c>
      <c r="C129" s="61" t="str">
        <f>'[29]PL1. Input'!$D$29</f>
        <v>(tỷ VNĐ)</v>
      </c>
      <c r="D129" s="62" t="e">
        <f>IF('[29]PL1. Input'!$C$28='[29]PL1. Input'!$E$120,D43*D83*10^6,D43*D83)/'[29]PL1. Input'!$E$29*INDEX([29]BoGia!$A$150:$AO$167,MATCH('3. CP-NL'!$B129,[29]BoGia!$A$150:$A$167,0),MATCH('3. CP-NL'!D$4,[29]BoGia!$A$150:$AO$150,0))</f>
        <v>#N/A</v>
      </c>
      <c r="E129" s="62" t="e">
        <f>IF('[29]PL1. Input'!$C$28='[29]PL1. Input'!$E$120,E43*E83*10^6,E43*E83)/'[29]PL1. Input'!$E$29*INDEX([29]BoGia!$A$150:$AO$167,MATCH('3. CP-NL'!$B129,[29]BoGia!$A$150:$A$167,0),MATCH('3. CP-NL'!E$4,[29]BoGia!$A$150:$AO$150,0))</f>
        <v>#N/A</v>
      </c>
      <c r="F129" s="62" t="e">
        <f>IF('[29]PL1. Input'!$C$28='[29]PL1. Input'!$E$120,F43*F83*10^6,F43*F83)/'[29]PL1. Input'!$E$29*INDEX([29]BoGia!$A$150:$AO$167,MATCH('3. CP-NL'!$B129,[29]BoGia!$A$150:$A$167,0),MATCH('3. CP-NL'!F$4,[29]BoGia!$A$150:$AO$150,0))</f>
        <v>#N/A</v>
      </c>
      <c r="G129" s="62" t="e">
        <f>IF('[29]PL1. Input'!$C$28='[29]PL1. Input'!$E$120,G43*G83*10^6,G43*G83)/'[29]PL1. Input'!$E$29*INDEX([29]BoGia!$A$150:$AO$167,MATCH('3. CP-NL'!$B129,[29]BoGia!$A$150:$A$167,0),MATCH('3. CP-NL'!G$4,[29]BoGia!$A$150:$AO$150,0))</f>
        <v>#N/A</v>
      </c>
      <c r="H129" s="62" t="e">
        <f>IF('[29]PL1. Input'!$C$28='[29]PL1. Input'!$E$120,H43*H83*10^6,H43*H83)/'[29]PL1. Input'!$E$29*INDEX([29]BoGia!$A$150:$AO$167,MATCH('3. CP-NL'!$B129,[29]BoGia!$A$150:$A$167,0),MATCH('3. CP-NL'!H$4,[29]BoGia!$A$150:$AO$150,0))</f>
        <v>#N/A</v>
      </c>
      <c r="I129" s="62" t="e">
        <f>IF('[29]PL1. Input'!$C$28='[29]PL1. Input'!$E$120,I43*I83*10^6,I43*I83)/'[29]PL1. Input'!$E$29*INDEX([29]BoGia!$A$150:$AO$167,MATCH('3. CP-NL'!$B129,[29]BoGia!$A$150:$A$167,0),MATCH('3. CP-NL'!I$4,[29]BoGia!$A$150:$AO$150,0))</f>
        <v>#N/A</v>
      </c>
      <c r="J129" s="62" t="e">
        <f>IF('[29]PL1. Input'!$C$28='[29]PL1. Input'!$E$120,J43*J83*10^6,J43*J83)/'[29]PL1. Input'!$E$29*INDEX([29]BoGia!$A$150:$AO$167,MATCH('3. CP-NL'!$B129,[29]BoGia!$A$150:$A$167,0),MATCH('3. CP-NL'!J$4,[29]BoGia!$A$150:$AO$150,0))</f>
        <v>#N/A</v>
      </c>
      <c r="K129" s="62" t="e">
        <f>IF('[29]PL1. Input'!$C$28='[29]PL1. Input'!$E$120,K43*K83*10^6,K43*K83)/'[29]PL1. Input'!$E$29*INDEX([29]BoGia!$A$150:$AO$167,MATCH('3. CP-NL'!$B129,[29]BoGia!$A$150:$A$167,0),MATCH('3. CP-NL'!K$4,[29]BoGia!$A$150:$AO$150,0))</f>
        <v>#N/A</v>
      </c>
      <c r="L129" s="62" t="e">
        <f>IF('[29]PL1. Input'!$C$28='[29]PL1. Input'!$E$120,L43*L83*10^6,L43*L83)/'[29]PL1. Input'!$E$29*INDEX([29]BoGia!$A$150:$AO$167,MATCH('3. CP-NL'!$B129,[29]BoGia!$A$150:$A$167,0),MATCH('3. CP-NL'!L$4,[29]BoGia!$A$150:$AO$150,0))</f>
        <v>#N/A</v>
      </c>
      <c r="M129" s="62" t="e">
        <f>IF('[29]PL1. Input'!$C$28='[29]PL1. Input'!$E$120,M43*M83*10^6,M43*M83)/'[29]PL1. Input'!$E$29*INDEX([29]BoGia!$A$150:$AO$167,MATCH('3. CP-NL'!$B129,[29]BoGia!$A$150:$A$167,0),MATCH('3. CP-NL'!M$4,[29]BoGia!$A$150:$AO$150,0))</f>
        <v>#N/A</v>
      </c>
    </row>
    <row r="130" spans="2:13" hidden="1" x14ac:dyDescent="0.25">
      <c r="B130" s="1233" t="str">
        <f>$B26</f>
        <v>Tro bay</v>
      </c>
      <c r="C130" s="61" t="str">
        <f>'[29]PL1. Input'!$D$29</f>
        <v>(tỷ VNĐ)</v>
      </c>
      <c r="D130" s="62" t="e">
        <f>IF('[29]PL1. Input'!$C$28='[29]PL1. Input'!$E$120,D44*D84*10^6,D44*D84)/'[29]PL1. Input'!$E$29*INDEX([29]BoGia!$A$150:$AO$167,MATCH('3. CP-NL'!$B130,[29]BoGia!$A$150:$A$167,0),MATCH('3. CP-NL'!D$4,[29]BoGia!$A$150:$AO$150,0))</f>
        <v>#N/A</v>
      </c>
      <c r="E130" s="62" t="e">
        <f>IF('[29]PL1. Input'!$C$28='[29]PL1. Input'!$E$120,E44*E84*10^6,E44*E84)/'[29]PL1. Input'!$E$29*INDEX([29]BoGia!$A$150:$AO$167,MATCH('3. CP-NL'!$B130,[29]BoGia!$A$150:$A$167,0),MATCH('3. CP-NL'!E$4,[29]BoGia!$A$150:$AO$150,0))</f>
        <v>#N/A</v>
      </c>
      <c r="F130" s="62" t="e">
        <f>IF('[29]PL1. Input'!$C$28='[29]PL1. Input'!$E$120,F44*F84*10^6,F44*F84)/'[29]PL1. Input'!$E$29*INDEX([29]BoGia!$A$150:$AO$167,MATCH('3. CP-NL'!$B130,[29]BoGia!$A$150:$A$167,0),MATCH('3. CP-NL'!F$4,[29]BoGia!$A$150:$AO$150,0))</f>
        <v>#N/A</v>
      </c>
      <c r="G130" s="62" t="e">
        <f>IF('[29]PL1. Input'!$C$28='[29]PL1. Input'!$E$120,G44*G84*10^6,G44*G84)/'[29]PL1. Input'!$E$29*INDEX([29]BoGia!$A$150:$AO$167,MATCH('3. CP-NL'!$B130,[29]BoGia!$A$150:$A$167,0),MATCH('3. CP-NL'!G$4,[29]BoGia!$A$150:$AO$150,0))</f>
        <v>#N/A</v>
      </c>
      <c r="H130" s="62" t="e">
        <f>IF('[29]PL1. Input'!$C$28='[29]PL1. Input'!$E$120,H44*H84*10^6,H44*H84)/'[29]PL1. Input'!$E$29*INDEX([29]BoGia!$A$150:$AO$167,MATCH('3. CP-NL'!$B130,[29]BoGia!$A$150:$A$167,0),MATCH('3. CP-NL'!H$4,[29]BoGia!$A$150:$AO$150,0))</f>
        <v>#N/A</v>
      </c>
      <c r="I130" s="62" t="e">
        <f>IF('[29]PL1. Input'!$C$28='[29]PL1. Input'!$E$120,I44*I84*10^6,I44*I84)/'[29]PL1. Input'!$E$29*INDEX([29]BoGia!$A$150:$AO$167,MATCH('3. CP-NL'!$B130,[29]BoGia!$A$150:$A$167,0),MATCH('3. CP-NL'!I$4,[29]BoGia!$A$150:$AO$150,0))</f>
        <v>#N/A</v>
      </c>
      <c r="J130" s="62" t="e">
        <f>IF('[29]PL1. Input'!$C$28='[29]PL1. Input'!$E$120,J44*J84*10^6,J44*J84)/'[29]PL1. Input'!$E$29*INDEX([29]BoGia!$A$150:$AO$167,MATCH('3. CP-NL'!$B130,[29]BoGia!$A$150:$A$167,0),MATCH('3. CP-NL'!J$4,[29]BoGia!$A$150:$AO$150,0))</f>
        <v>#N/A</v>
      </c>
      <c r="K130" s="62" t="e">
        <f>IF('[29]PL1. Input'!$C$28='[29]PL1. Input'!$E$120,K44*K84*10^6,K44*K84)/'[29]PL1. Input'!$E$29*INDEX([29]BoGia!$A$150:$AO$167,MATCH('3. CP-NL'!$B130,[29]BoGia!$A$150:$A$167,0),MATCH('3. CP-NL'!K$4,[29]BoGia!$A$150:$AO$150,0))</f>
        <v>#N/A</v>
      </c>
      <c r="L130" s="62" t="e">
        <f>IF('[29]PL1. Input'!$C$28='[29]PL1. Input'!$E$120,L44*L84*10^6,L44*L84)/'[29]PL1. Input'!$E$29*INDEX([29]BoGia!$A$150:$AO$167,MATCH('3. CP-NL'!$B130,[29]BoGia!$A$150:$A$167,0),MATCH('3. CP-NL'!L$4,[29]BoGia!$A$150:$AO$150,0))</f>
        <v>#N/A</v>
      </c>
      <c r="M130" s="62" t="e">
        <f>IF('[29]PL1. Input'!$C$28='[29]PL1. Input'!$E$120,M44*M84*10^6,M44*M84)/'[29]PL1. Input'!$E$29*INDEX([29]BoGia!$A$150:$AO$167,MATCH('3. CP-NL'!$B130,[29]BoGia!$A$150:$A$167,0),MATCH('3. CP-NL'!M$4,[29]BoGia!$A$150:$AO$150,0))</f>
        <v>#N/A</v>
      </c>
    </row>
    <row r="131" spans="2:13" hidden="1" x14ac:dyDescent="0.25">
      <c r="B131" s="1233" t="str">
        <f>$B27</f>
        <v>Phụ gia</v>
      </c>
      <c r="C131" s="61" t="str">
        <f>'[29]PL1. Input'!$D$29</f>
        <v>(tỷ VNĐ)</v>
      </c>
      <c r="D131" s="62" t="e">
        <f>IF('[29]PL1. Input'!$C$28='[29]PL1. Input'!$E$120,D45*D85*10^6,D45*D85)/'[29]PL1. Input'!$E$29*INDEX([29]BoGia!$A$150:$AO$167,MATCH('3. CP-NL'!$B131,[29]BoGia!$A$150:$A$167,0),MATCH('3. CP-NL'!D$4,[29]BoGia!$A$150:$AO$150,0))</f>
        <v>#N/A</v>
      </c>
      <c r="E131" s="62" t="e">
        <f>IF('[29]PL1. Input'!$C$28='[29]PL1. Input'!$E$120,E45*E85*10^6,E45*E85)/'[29]PL1. Input'!$E$29*INDEX([29]BoGia!$A$150:$AO$167,MATCH('3. CP-NL'!$B131,[29]BoGia!$A$150:$A$167,0),MATCH('3. CP-NL'!E$4,[29]BoGia!$A$150:$AO$150,0))</f>
        <v>#N/A</v>
      </c>
      <c r="F131" s="62" t="e">
        <f>IF('[29]PL1. Input'!$C$28='[29]PL1. Input'!$E$120,F45*F85*10^6,F45*F85)/'[29]PL1. Input'!$E$29*INDEX([29]BoGia!$A$150:$AO$167,MATCH('3. CP-NL'!$B131,[29]BoGia!$A$150:$A$167,0),MATCH('3. CP-NL'!F$4,[29]BoGia!$A$150:$AO$150,0))</f>
        <v>#N/A</v>
      </c>
      <c r="G131" s="62" t="e">
        <f>IF('[29]PL1. Input'!$C$28='[29]PL1. Input'!$E$120,G45*G85*10^6,G45*G85)/'[29]PL1. Input'!$E$29*INDEX([29]BoGia!$A$150:$AO$167,MATCH('3. CP-NL'!$B131,[29]BoGia!$A$150:$A$167,0),MATCH('3. CP-NL'!G$4,[29]BoGia!$A$150:$AO$150,0))</f>
        <v>#N/A</v>
      </c>
      <c r="H131" s="62" t="e">
        <f>IF('[29]PL1. Input'!$C$28='[29]PL1. Input'!$E$120,H45*H85*10^6,H45*H85)/'[29]PL1. Input'!$E$29*INDEX([29]BoGia!$A$150:$AO$167,MATCH('3. CP-NL'!$B131,[29]BoGia!$A$150:$A$167,0),MATCH('3. CP-NL'!H$4,[29]BoGia!$A$150:$AO$150,0))</f>
        <v>#N/A</v>
      </c>
      <c r="I131" s="62" t="e">
        <f>IF('[29]PL1. Input'!$C$28='[29]PL1. Input'!$E$120,I45*I85*10^6,I45*I85)/'[29]PL1. Input'!$E$29*INDEX([29]BoGia!$A$150:$AO$167,MATCH('3. CP-NL'!$B131,[29]BoGia!$A$150:$A$167,0),MATCH('3. CP-NL'!I$4,[29]BoGia!$A$150:$AO$150,0))</f>
        <v>#N/A</v>
      </c>
      <c r="J131" s="62" t="e">
        <f>IF('[29]PL1. Input'!$C$28='[29]PL1. Input'!$E$120,J45*J85*10^6,J45*J85)/'[29]PL1. Input'!$E$29*INDEX([29]BoGia!$A$150:$AO$167,MATCH('3. CP-NL'!$B131,[29]BoGia!$A$150:$A$167,0),MATCH('3. CP-NL'!J$4,[29]BoGia!$A$150:$AO$150,0))</f>
        <v>#N/A</v>
      </c>
      <c r="K131" s="62" t="e">
        <f>IF('[29]PL1. Input'!$C$28='[29]PL1. Input'!$E$120,K45*K85*10^6,K45*K85)/'[29]PL1. Input'!$E$29*INDEX([29]BoGia!$A$150:$AO$167,MATCH('3. CP-NL'!$B131,[29]BoGia!$A$150:$A$167,0),MATCH('3. CP-NL'!K$4,[29]BoGia!$A$150:$AO$150,0))</f>
        <v>#N/A</v>
      </c>
      <c r="L131" s="62" t="e">
        <f>IF('[29]PL1. Input'!$C$28='[29]PL1. Input'!$E$120,L45*L85*10^6,L45*L85)/'[29]PL1. Input'!$E$29*INDEX([29]BoGia!$A$150:$AO$167,MATCH('3. CP-NL'!$B131,[29]BoGia!$A$150:$A$167,0),MATCH('3. CP-NL'!L$4,[29]BoGia!$A$150:$AO$150,0))</f>
        <v>#N/A</v>
      </c>
      <c r="M131" s="62" t="e">
        <f>IF('[29]PL1. Input'!$C$28='[29]PL1. Input'!$E$120,M45*M85*10^6,M45*M85)/'[29]PL1. Input'!$E$29*INDEX([29]BoGia!$A$150:$AO$167,MATCH('3. CP-NL'!$B131,[29]BoGia!$A$150:$A$167,0),MATCH('3. CP-NL'!M$4,[29]BoGia!$A$150:$AO$150,0))</f>
        <v>#N/A</v>
      </c>
    </row>
    <row r="132" spans="2:13" hidden="1" x14ac:dyDescent="0.25">
      <c r="B132" s="1233" t="e">
        <f>#REF!</f>
        <v>#REF!</v>
      </c>
      <c r="C132" s="61" t="str">
        <f>'[29]PL1. Input'!$D$29</f>
        <v>(tỷ VNĐ)</v>
      </c>
      <c r="D132" s="62" t="e">
        <f>IF('[29]PL1. Input'!$C$28='[29]PL1. Input'!$E$120,#REF!*#REF!*10^6,#REF!*#REF!)/'[29]PL1. Input'!$E$29*INDEX([29]BoGia!$A$150:$AO$167,MATCH('3. CP-NL'!$B132,[29]BoGia!$A$150:$A$167,0),MATCH('3. CP-NL'!D$4,[29]BoGia!$A$150:$AO$150,0))</f>
        <v>#REF!</v>
      </c>
      <c r="E132" s="62" t="e">
        <f>IF('[29]PL1. Input'!$C$28='[29]PL1. Input'!$E$120,#REF!*#REF!*10^6,#REF!*#REF!)/'[29]PL1. Input'!$E$29*INDEX([29]BoGia!$A$150:$AO$167,MATCH('3. CP-NL'!$B132,[29]BoGia!$A$150:$A$167,0),MATCH('3. CP-NL'!E$4,[29]BoGia!$A$150:$AO$150,0))</f>
        <v>#REF!</v>
      </c>
      <c r="F132" s="62" t="e">
        <f>IF('[29]PL1. Input'!$C$28='[29]PL1. Input'!$E$120,#REF!*#REF!*10^6,#REF!*#REF!)/'[29]PL1. Input'!$E$29*INDEX([29]BoGia!$A$150:$AO$167,MATCH('3. CP-NL'!$B132,[29]BoGia!$A$150:$A$167,0),MATCH('3. CP-NL'!F$4,[29]BoGia!$A$150:$AO$150,0))</f>
        <v>#REF!</v>
      </c>
      <c r="G132" s="62" t="e">
        <f>IF('[29]PL1. Input'!$C$28='[29]PL1. Input'!$E$120,#REF!*#REF!*10^6,#REF!*#REF!)/'[29]PL1. Input'!$E$29*INDEX([29]BoGia!$A$150:$AO$167,MATCH('3. CP-NL'!$B132,[29]BoGia!$A$150:$A$167,0),MATCH('3. CP-NL'!G$4,[29]BoGia!$A$150:$AO$150,0))</f>
        <v>#REF!</v>
      </c>
      <c r="H132" s="62" t="e">
        <f>IF('[29]PL1. Input'!$C$28='[29]PL1. Input'!$E$120,#REF!*#REF!*10^6,#REF!*#REF!)/'[29]PL1. Input'!$E$29*INDEX([29]BoGia!$A$150:$AO$167,MATCH('3. CP-NL'!$B132,[29]BoGia!$A$150:$A$167,0),MATCH('3. CP-NL'!H$4,[29]BoGia!$A$150:$AO$150,0))</f>
        <v>#REF!</v>
      </c>
      <c r="I132" s="62" t="e">
        <f>IF('[29]PL1. Input'!$C$28='[29]PL1. Input'!$E$120,#REF!*#REF!*10^6,#REF!*#REF!)/'[29]PL1. Input'!$E$29*INDEX([29]BoGia!$A$150:$AO$167,MATCH('3. CP-NL'!$B132,[29]BoGia!$A$150:$A$167,0),MATCH('3. CP-NL'!I$4,[29]BoGia!$A$150:$AO$150,0))</f>
        <v>#REF!</v>
      </c>
      <c r="J132" s="62" t="e">
        <f>IF('[29]PL1. Input'!$C$28='[29]PL1. Input'!$E$120,#REF!*#REF!*10^6,#REF!*#REF!)/'[29]PL1. Input'!$E$29*INDEX([29]BoGia!$A$150:$AO$167,MATCH('3. CP-NL'!$B132,[29]BoGia!$A$150:$A$167,0),MATCH('3. CP-NL'!J$4,[29]BoGia!$A$150:$AO$150,0))</f>
        <v>#REF!</v>
      </c>
      <c r="K132" s="62" t="e">
        <f>IF('[29]PL1. Input'!$C$28='[29]PL1. Input'!$E$120,#REF!*#REF!*10^6,#REF!*#REF!)/'[29]PL1. Input'!$E$29*INDEX([29]BoGia!$A$150:$AO$167,MATCH('3. CP-NL'!$B132,[29]BoGia!$A$150:$A$167,0),MATCH('3. CP-NL'!K$4,[29]BoGia!$A$150:$AO$150,0))</f>
        <v>#REF!</v>
      </c>
      <c r="L132" s="62" t="e">
        <f>IF('[29]PL1. Input'!$C$28='[29]PL1. Input'!$E$120,#REF!*#REF!*10^6,#REF!*#REF!)/'[29]PL1. Input'!$E$29*INDEX([29]BoGia!$A$150:$AO$167,MATCH('3. CP-NL'!$B132,[29]BoGia!$A$150:$A$167,0),MATCH('3. CP-NL'!L$4,[29]BoGia!$A$150:$AO$150,0))</f>
        <v>#REF!</v>
      </c>
      <c r="M132" s="62" t="e">
        <f>IF('[29]PL1. Input'!$C$28='[29]PL1. Input'!$E$120,#REF!*#REF!*10^6,#REF!*#REF!)/'[29]PL1. Input'!$E$29*INDEX([29]BoGia!$A$150:$AO$167,MATCH('3. CP-NL'!$B132,[29]BoGia!$A$150:$A$167,0),MATCH('3. CP-NL'!M$4,[29]BoGia!$A$150:$AO$150,0))</f>
        <v>#REF!</v>
      </c>
    </row>
    <row r="133" spans="2:13" hidden="1" x14ac:dyDescent="0.25">
      <c r="B133" s="1233" t="e">
        <f>#REF!</f>
        <v>#REF!</v>
      </c>
      <c r="C133" s="61" t="str">
        <f>'[29]PL1. Input'!$D$29</f>
        <v>(tỷ VNĐ)</v>
      </c>
      <c r="D133" s="62" t="e">
        <f>IF('[29]PL1. Input'!$C$28='[29]PL1. Input'!$E$120,#REF!*#REF!*10^6,#REF!*#REF!)/'[29]PL1. Input'!$E$29*INDEX([29]BoGia!$A$150:$AO$167,MATCH('3. CP-NL'!$B133,[29]BoGia!$A$150:$A$167,0),MATCH('3. CP-NL'!D$4,[29]BoGia!$A$150:$AO$150,0))</f>
        <v>#REF!</v>
      </c>
      <c r="E133" s="62" t="e">
        <f>IF('[29]PL1. Input'!$C$28='[29]PL1. Input'!$E$120,#REF!*#REF!*10^6,#REF!*#REF!)/'[29]PL1. Input'!$E$29*INDEX([29]BoGia!$A$150:$AO$167,MATCH('3. CP-NL'!$B133,[29]BoGia!$A$150:$A$167,0),MATCH('3. CP-NL'!E$4,[29]BoGia!$A$150:$AO$150,0))</f>
        <v>#REF!</v>
      </c>
      <c r="F133" s="62" t="e">
        <f>IF('[29]PL1. Input'!$C$28='[29]PL1. Input'!$E$120,#REF!*#REF!*10^6,#REF!*#REF!)/'[29]PL1. Input'!$E$29*INDEX([29]BoGia!$A$150:$AO$167,MATCH('3. CP-NL'!$B133,[29]BoGia!$A$150:$A$167,0),MATCH('3. CP-NL'!F$4,[29]BoGia!$A$150:$AO$150,0))</f>
        <v>#REF!</v>
      </c>
      <c r="G133" s="62" t="e">
        <f>IF('[29]PL1. Input'!$C$28='[29]PL1. Input'!$E$120,#REF!*#REF!*10^6,#REF!*#REF!)/'[29]PL1. Input'!$E$29*INDEX([29]BoGia!$A$150:$AO$167,MATCH('3. CP-NL'!$B133,[29]BoGia!$A$150:$A$167,0),MATCH('3. CP-NL'!G$4,[29]BoGia!$A$150:$AO$150,0))</f>
        <v>#REF!</v>
      </c>
      <c r="H133" s="62" t="e">
        <f>IF('[29]PL1. Input'!$C$28='[29]PL1. Input'!$E$120,#REF!*#REF!*10^6,#REF!*#REF!)/'[29]PL1. Input'!$E$29*INDEX([29]BoGia!$A$150:$AO$167,MATCH('3. CP-NL'!$B133,[29]BoGia!$A$150:$A$167,0),MATCH('3. CP-NL'!H$4,[29]BoGia!$A$150:$AO$150,0))</f>
        <v>#REF!</v>
      </c>
      <c r="I133" s="62" t="e">
        <f>IF('[29]PL1. Input'!$C$28='[29]PL1. Input'!$E$120,#REF!*#REF!*10^6,#REF!*#REF!)/'[29]PL1. Input'!$E$29*INDEX([29]BoGia!$A$150:$AO$167,MATCH('3. CP-NL'!$B133,[29]BoGia!$A$150:$A$167,0),MATCH('3. CP-NL'!I$4,[29]BoGia!$A$150:$AO$150,0))</f>
        <v>#REF!</v>
      </c>
      <c r="J133" s="62" t="e">
        <f>IF('[29]PL1. Input'!$C$28='[29]PL1. Input'!$E$120,#REF!*#REF!*10^6,#REF!*#REF!)/'[29]PL1. Input'!$E$29*INDEX([29]BoGia!$A$150:$AO$167,MATCH('3. CP-NL'!$B133,[29]BoGia!$A$150:$A$167,0),MATCH('3. CP-NL'!J$4,[29]BoGia!$A$150:$AO$150,0))</f>
        <v>#REF!</v>
      </c>
      <c r="K133" s="62" t="e">
        <f>IF('[29]PL1. Input'!$C$28='[29]PL1. Input'!$E$120,#REF!*#REF!*10^6,#REF!*#REF!)/'[29]PL1. Input'!$E$29*INDEX([29]BoGia!$A$150:$AO$167,MATCH('3. CP-NL'!$B133,[29]BoGia!$A$150:$A$167,0),MATCH('3. CP-NL'!K$4,[29]BoGia!$A$150:$AO$150,0))</f>
        <v>#REF!</v>
      </c>
      <c r="L133" s="62" t="e">
        <f>IF('[29]PL1. Input'!$C$28='[29]PL1. Input'!$E$120,#REF!*#REF!*10^6,#REF!*#REF!)/'[29]PL1. Input'!$E$29*INDEX([29]BoGia!$A$150:$AO$167,MATCH('3. CP-NL'!$B133,[29]BoGia!$A$150:$A$167,0),MATCH('3. CP-NL'!L$4,[29]BoGia!$A$150:$AO$150,0))</f>
        <v>#REF!</v>
      </c>
      <c r="M133" s="62" t="e">
        <f>IF('[29]PL1. Input'!$C$28='[29]PL1. Input'!$E$120,#REF!*#REF!*10^6,#REF!*#REF!)/'[29]PL1. Input'!$E$29*INDEX([29]BoGia!$A$150:$AO$167,MATCH('3. CP-NL'!$B133,[29]BoGia!$A$150:$A$167,0),MATCH('3. CP-NL'!M$4,[29]BoGia!$A$150:$AO$150,0))</f>
        <v>#REF!</v>
      </c>
    </row>
    <row r="134" spans="2:13" hidden="1" x14ac:dyDescent="0.25">
      <c r="B134" s="1233" t="e">
        <f>#REF!</f>
        <v>#REF!</v>
      </c>
      <c r="C134" s="61" t="str">
        <f>'[29]PL1. Input'!$D$29</f>
        <v>(tỷ VNĐ)</v>
      </c>
      <c r="D134" s="62" t="e">
        <f>IF('[29]PL1. Input'!$C$28='[29]PL1. Input'!$E$120,#REF!*#REF!*10^6,#REF!*#REF!)/'[29]PL1. Input'!$E$29*INDEX([29]BoGia!$A$150:$AO$167,MATCH('3. CP-NL'!$B134,[29]BoGia!$A$150:$A$167,0),MATCH('3. CP-NL'!D$4,[29]BoGia!$A$150:$AO$150,0))</f>
        <v>#REF!</v>
      </c>
      <c r="E134" s="62" t="e">
        <f>IF('[29]PL1. Input'!$C$28='[29]PL1. Input'!$E$120,#REF!*#REF!*10^6,#REF!*#REF!)/'[29]PL1. Input'!$E$29*INDEX([29]BoGia!$A$150:$AO$167,MATCH('3. CP-NL'!$B134,[29]BoGia!$A$150:$A$167,0),MATCH('3. CP-NL'!E$4,[29]BoGia!$A$150:$AO$150,0))</f>
        <v>#REF!</v>
      </c>
      <c r="F134" s="62" t="e">
        <f>IF('[29]PL1. Input'!$C$28='[29]PL1. Input'!$E$120,#REF!*#REF!*10^6,#REF!*#REF!)/'[29]PL1. Input'!$E$29*INDEX([29]BoGia!$A$150:$AO$167,MATCH('3. CP-NL'!$B134,[29]BoGia!$A$150:$A$167,0),MATCH('3. CP-NL'!F$4,[29]BoGia!$A$150:$AO$150,0))</f>
        <v>#REF!</v>
      </c>
      <c r="G134" s="62" t="e">
        <f>IF('[29]PL1. Input'!$C$28='[29]PL1. Input'!$E$120,#REF!*#REF!*10^6,#REF!*#REF!)/'[29]PL1. Input'!$E$29*INDEX([29]BoGia!$A$150:$AO$167,MATCH('3. CP-NL'!$B134,[29]BoGia!$A$150:$A$167,0),MATCH('3. CP-NL'!G$4,[29]BoGia!$A$150:$AO$150,0))</f>
        <v>#REF!</v>
      </c>
      <c r="H134" s="62" t="e">
        <f>IF('[29]PL1. Input'!$C$28='[29]PL1. Input'!$E$120,#REF!*#REF!*10^6,#REF!*#REF!)/'[29]PL1. Input'!$E$29*INDEX([29]BoGia!$A$150:$AO$167,MATCH('3. CP-NL'!$B134,[29]BoGia!$A$150:$A$167,0),MATCH('3. CP-NL'!H$4,[29]BoGia!$A$150:$AO$150,0))</f>
        <v>#REF!</v>
      </c>
      <c r="I134" s="62" t="e">
        <f>IF('[29]PL1. Input'!$C$28='[29]PL1. Input'!$E$120,#REF!*#REF!*10^6,#REF!*#REF!)/'[29]PL1. Input'!$E$29*INDEX([29]BoGia!$A$150:$AO$167,MATCH('3. CP-NL'!$B134,[29]BoGia!$A$150:$A$167,0),MATCH('3. CP-NL'!I$4,[29]BoGia!$A$150:$AO$150,0))</f>
        <v>#REF!</v>
      </c>
      <c r="J134" s="62" t="e">
        <f>IF('[29]PL1. Input'!$C$28='[29]PL1. Input'!$E$120,#REF!*#REF!*10^6,#REF!*#REF!)/'[29]PL1. Input'!$E$29*INDEX([29]BoGia!$A$150:$AO$167,MATCH('3. CP-NL'!$B134,[29]BoGia!$A$150:$A$167,0),MATCH('3. CP-NL'!J$4,[29]BoGia!$A$150:$AO$150,0))</f>
        <v>#REF!</v>
      </c>
      <c r="K134" s="62" t="e">
        <f>IF('[29]PL1. Input'!$C$28='[29]PL1. Input'!$E$120,#REF!*#REF!*10^6,#REF!*#REF!)/'[29]PL1. Input'!$E$29*INDEX([29]BoGia!$A$150:$AO$167,MATCH('3. CP-NL'!$B134,[29]BoGia!$A$150:$A$167,0),MATCH('3. CP-NL'!K$4,[29]BoGia!$A$150:$AO$150,0))</f>
        <v>#REF!</v>
      </c>
      <c r="L134" s="62" t="e">
        <f>IF('[29]PL1. Input'!$C$28='[29]PL1. Input'!$E$120,#REF!*#REF!*10^6,#REF!*#REF!)/'[29]PL1. Input'!$E$29*INDEX([29]BoGia!$A$150:$AO$167,MATCH('3. CP-NL'!$B134,[29]BoGia!$A$150:$A$167,0),MATCH('3. CP-NL'!L$4,[29]BoGia!$A$150:$AO$150,0))</f>
        <v>#REF!</v>
      </c>
      <c r="M134" s="62" t="e">
        <f>IF('[29]PL1. Input'!$C$28='[29]PL1. Input'!$E$120,#REF!*#REF!*10^6,#REF!*#REF!)/'[29]PL1. Input'!$E$29*INDEX([29]BoGia!$A$150:$AO$167,MATCH('3. CP-NL'!$B134,[29]BoGia!$A$150:$A$167,0),MATCH('3. CP-NL'!M$4,[29]BoGia!$A$150:$AO$150,0))</f>
        <v>#REF!</v>
      </c>
    </row>
    <row r="135" spans="2:13" hidden="1" x14ac:dyDescent="0.25">
      <c r="B135" s="1233" t="e">
        <f>#REF!</f>
        <v>#REF!</v>
      </c>
      <c r="C135" s="61" t="str">
        <f>'[29]PL1. Input'!$D$29</f>
        <v>(tỷ VNĐ)</v>
      </c>
      <c r="D135" s="62" t="e">
        <f>IF('[29]PL1. Input'!$C$28='[29]PL1. Input'!$E$120,#REF!*#REF!*10^6,#REF!*#REF!)/'[29]PL1. Input'!$E$29*INDEX([29]BoGia!$A$150:$AO$167,MATCH('3. CP-NL'!$B135,[29]BoGia!$A$150:$A$167,0),MATCH('3. CP-NL'!D$4,[29]BoGia!$A$150:$AO$150,0))</f>
        <v>#REF!</v>
      </c>
      <c r="E135" s="62" t="e">
        <f>IF('[29]PL1. Input'!$C$28='[29]PL1. Input'!$E$120,#REF!*#REF!*10^6,#REF!*#REF!)/'[29]PL1. Input'!$E$29*INDEX([29]BoGia!$A$150:$AO$167,MATCH('3. CP-NL'!$B135,[29]BoGia!$A$150:$A$167,0),MATCH('3. CP-NL'!E$4,[29]BoGia!$A$150:$AO$150,0))</f>
        <v>#REF!</v>
      </c>
      <c r="F135" s="62" t="e">
        <f>IF('[29]PL1. Input'!$C$28='[29]PL1. Input'!$E$120,#REF!*#REF!*10^6,#REF!*#REF!)/'[29]PL1. Input'!$E$29*INDEX([29]BoGia!$A$150:$AO$167,MATCH('3. CP-NL'!$B135,[29]BoGia!$A$150:$A$167,0),MATCH('3. CP-NL'!F$4,[29]BoGia!$A$150:$AO$150,0))</f>
        <v>#REF!</v>
      </c>
      <c r="G135" s="62" t="e">
        <f>IF('[29]PL1. Input'!$C$28='[29]PL1. Input'!$E$120,#REF!*#REF!*10^6,#REF!*#REF!)/'[29]PL1. Input'!$E$29*INDEX([29]BoGia!$A$150:$AO$167,MATCH('3. CP-NL'!$B135,[29]BoGia!$A$150:$A$167,0),MATCH('3. CP-NL'!G$4,[29]BoGia!$A$150:$AO$150,0))</f>
        <v>#REF!</v>
      </c>
      <c r="H135" s="62" t="e">
        <f>IF('[29]PL1. Input'!$C$28='[29]PL1. Input'!$E$120,#REF!*#REF!*10^6,#REF!*#REF!)/'[29]PL1. Input'!$E$29*INDEX([29]BoGia!$A$150:$AO$167,MATCH('3. CP-NL'!$B135,[29]BoGia!$A$150:$A$167,0),MATCH('3. CP-NL'!H$4,[29]BoGia!$A$150:$AO$150,0))</f>
        <v>#REF!</v>
      </c>
      <c r="I135" s="62" t="e">
        <f>IF('[29]PL1. Input'!$C$28='[29]PL1. Input'!$E$120,#REF!*#REF!*10^6,#REF!*#REF!)/'[29]PL1. Input'!$E$29*INDEX([29]BoGia!$A$150:$AO$167,MATCH('3. CP-NL'!$B135,[29]BoGia!$A$150:$A$167,0),MATCH('3. CP-NL'!I$4,[29]BoGia!$A$150:$AO$150,0))</f>
        <v>#REF!</v>
      </c>
      <c r="J135" s="62" t="e">
        <f>IF('[29]PL1. Input'!$C$28='[29]PL1. Input'!$E$120,#REF!*#REF!*10^6,#REF!*#REF!)/'[29]PL1. Input'!$E$29*INDEX([29]BoGia!$A$150:$AO$167,MATCH('3. CP-NL'!$B135,[29]BoGia!$A$150:$A$167,0),MATCH('3. CP-NL'!J$4,[29]BoGia!$A$150:$AO$150,0))</f>
        <v>#REF!</v>
      </c>
      <c r="K135" s="62" t="e">
        <f>IF('[29]PL1. Input'!$C$28='[29]PL1. Input'!$E$120,#REF!*#REF!*10^6,#REF!*#REF!)/'[29]PL1. Input'!$E$29*INDEX([29]BoGia!$A$150:$AO$167,MATCH('3. CP-NL'!$B135,[29]BoGia!$A$150:$A$167,0),MATCH('3. CP-NL'!K$4,[29]BoGia!$A$150:$AO$150,0))</f>
        <v>#REF!</v>
      </c>
      <c r="L135" s="62" t="e">
        <f>IF('[29]PL1. Input'!$C$28='[29]PL1. Input'!$E$120,#REF!*#REF!*10^6,#REF!*#REF!)/'[29]PL1. Input'!$E$29*INDEX([29]BoGia!$A$150:$AO$167,MATCH('3. CP-NL'!$B135,[29]BoGia!$A$150:$A$167,0),MATCH('3. CP-NL'!L$4,[29]BoGia!$A$150:$AO$150,0))</f>
        <v>#REF!</v>
      </c>
      <c r="M135" s="62" t="e">
        <f>IF('[29]PL1. Input'!$C$28='[29]PL1. Input'!$E$120,#REF!*#REF!*10^6,#REF!*#REF!)/'[29]PL1. Input'!$E$29*INDEX([29]BoGia!$A$150:$AO$167,MATCH('3. CP-NL'!$B135,[29]BoGia!$A$150:$A$167,0),MATCH('3. CP-NL'!M$4,[29]BoGia!$A$150:$AO$150,0))</f>
        <v>#REF!</v>
      </c>
    </row>
    <row r="136" spans="2:13" hidden="1" x14ac:dyDescent="0.25">
      <c r="B136" s="1235" t="e">
        <f>#REF!</f>
        <v>#REF!</v>
      </c>
      <c r="C136" s="496" t="str">
        <f>'[29]PL1. Input'!$D$29</f>
        <v>(tỷ VNĐ)</v>
      </c>
      <c r="D136" s="62" t="e">
        <f>IF('[29]PL1. Input'!$C$28='[29]PL1. Input'!$E$120,#REF!*#REF!*10^6,#REF!*#REF!)/'[29]PL1. Input'!$E$29*INDEX([29]BoGia!$A$150:$AO$167,MATCH('3. CP-NL'!$B136,[29]BoGia!$A$150:$A$167,0),MATCH('3. CP-NL'!D$4,[29]BoGia!$A$150:$AO$150,0))</f>
        <v>#REF!</v>
      </c>
      <c r="E136" s="62" t="e">
        <f>IF('[29]PL1. Input'!$C$28='[29]PL1. Input'!$E$120,#REF!*#REF!*10^6,#REF!*#REF!)/'[29]PL1. Input'!$E$29*INDEX([29]BoGia!$A$150:$AO$167,MATCH('3. CP-NL'!$B136,[29]BoGia!$A$150:$A$167,0),MATCH('3. CP-NL'!E$4,[29]BoGia!$A$150:$AO$150,0))</f>
        <v>#REF!</v>
      </c>
      <c r="F136" s="62" t="e">
        <f>IF('[29]PL1. Input'!$C$28='[29]PL1. Input'!$E$120,#REF!*#REF!*10^6,#REF!*#REF!)/'[29]PL1. Input'!$E$29*INDEX([29]BoGia!$A$150:$AO$167,MATCH('3. CP-NL'!$B136,[29]BoGia!$A$150:$A$167,0),MATCH('3. CP-NL'!F$4,[29]BoGia!$A$150:$AO$150,0))</f>
        <v>#REF!</v>
      </c>
      <c r="G136" s="62" t="e">
        <f>IF('[29]PL1. Input'!$C$28='[29]PL1. Input'!$E$120,#REF!*#REF!*10^6,#REF!*#REF!)/'[29]PL1. Input'!$E$29*INDEX([29]BoGia!$A$150:$AO$167,MATCH('3. CP-NL'!$B136,[29]BoGia!$A$150:$A$167,0),MATCH('3. CP-NL'!G$4,[29]BoGia!$A$150:$AO$150,0))</f>
        <v>#REF!</v>
      </c>
      <c r="H136" s="62" t="e">
        <f>IF('[29]PL1. Input'!$C$28='[29]PL1. Input'!$E$120,#REF!*#REF!*10^6,#REF!*#REF!)/'[29]PL1. Input'!$E$29*INDEX([29]BoGia!$A$150:$AO$167,MATCH('3. CP-NL'!$B136,[29]BoGia!$A$150:$A$167,0),MATCH('3. CP-NL'!H$4,[29]BoGia!$A$150:$AO$150,0))</f>
        <v>#REF!</v>
      </c>
      <c r="I136" s="62" t="e">
        <f>IF('[29]PL1. Input'!$C$28='[29]PL1. Input'!$E$120,#REF!*#REF!*10^6,#REF!*#REF!)/'[29]PL1. Input'!$E$29*INDEX([29]BoGia!$A$150:$AO$167,MATCH('3. CP-NL'!$B136,[29]BoGia!$A$150:$A$167,0),MATCH('3. CP-NL'!I$4,[29]BoGia!$A$150:$AO$150,0))</f>
        <v>#REF!</v>
      </c>
      <c r="J136" s="62" t="e">
        <f>IF('[29]PL1. Input'!$C$28='[29]PL1. Input'!$E$120,#REF!*#REF!*10^6,#REF!*#REF!)/'[29]PL1. Input'!$E$29*INDEX([29]BoGia!$A$150:$AO$167,MATCH('3. CP-NL'!$B136,[29]BoGia!$A$150:$A$167,0),MATCH('3. CP-NL'!J$4,[29]BoGia!$A$150:$AO$150,0))</f>
        <v>#REF!</v>
      </c>
      <c r="K136" s="62" t="e">
        <f>IF('[29]PL1. Input'!$C$28='[29]PL1. Input'!$E$120,#REF!*#REF!*10^6,#REF!*#REF!)/'[29]PL1. Input'!$E$29*INDEX([29]BoGia!$A$150:$AO$167,MATCH('3. CP-NL'!$B136,[29]BoGia!$A$150:$A$167,0),MATCH('3. CP-NL'!K$4,[29]BoGia!$A$150:$AO$150,0))</f>
        <v>#REF!</v>
      </c>
      <c r="L136" s="62" t="e">
        <f>IF('[29]PL1. Input'!$C$28='[29]PL1. Input'!$E$120,#REF!*#REF!*10^6,#REF!*#REF!)/'[29]PL1. Input'!$E$29*INDEX([29]BoGia!$A$150:$AO$167,MATCH('3. CP-NL'!$B136,[29]BoGia!$A$150:$A$167,0),MATCH('3. CP-NL'!L$4,[29]BoGia!$A$150:$AO$150,0))</f>
        <v>#REF!</v>
      </c>
      <c r="M136" s="62" t="e">
        <f>IF('[29]PL1. Input'!$C$28='[29]PL1. Input'!$E$120,#REF!*#REF!*10^6,#REF!*#REF!)/'[29]PL1. Input'!$E$29*INDEX([29]BoGia!$A$150:$AO$167,MATCH('3. CP-NL'!$B136,[29]BoGia!$A$150:$A$167,0),MATCH('3. CP-NL'!M$4,[29]BoGia!$A$150:$AO$150,0))</f>
        <v>#REF!</v>
      </c>
    </row>
    <row r="137" spans="2:13" hidden="1" x14ac:dyDescent="0.25">
      <c r="B137" s="1234" t="s">
        <v>615</v>
      </c>
      <c r="C137" s="497" t="str">
        <f>'[29]PL1. Input'!$D$29</f>
        <v>(tỷ VNĐ)</v>
      </c>
      <c r="D137" s="502" t="e">
        <f>SUM(D127:D136)</f>
        <v>#N/A</v>
      </c>
      <c r="E137" s="502" t="e">
        <f t="shared" ref="E137:M137" si="45">SUM(E127:E136)</f>
        <v>#N/A</v>
      </c>
      <c r="F137" s="502" t="e">
        <f t="shared" si="45"/>
        <v>#N/A</v>
      </c>
      <c r="G137" s="502" t="e">
        <f t="shared" si="45"/>
        <v>#N/A</v>
      </c>
      <c r="H137" s="502" t="e">
        <f t="shared" si="45"/>
        <v>#N/A</v>
      </c>
      <c r="I137" s="502" t="e">
        <f t="shared" si="45"/>
        <v>#N/A</v>
      </c>
      <c r="J137" s="502" t="e">
        <f t="shared" si="45"/>
        <v>#N/A</v>
      </c>
      <c r="K137" s="502" t="e">
        <f t="shared" si="45"/>
        <v>#N/A</v>
      </c>
      <c r="L137" s="502" t="e">
        <f t="shared" si="45"/>
        <v>#N/A</v>
      </c>
      <c r="M137" s="502" t="e">
        <f t="shared" si="45"/>
        <v>#N/A</v>
      </c>
    </row>
    <row r="138" spans="2:13" hidden="1" x14ac:dyDescent="0.25">
      <c r="E138" s="504"/>
      <c r="F138" s="504"/>
      <c r="G138" s="504"/>
    </row>
    <row r="139" spans="2:13" hidden="1" x14ac:dyDescent="0.25">
      <c r="D139" s="47">
        <f t="shared" ref="D139:M139" si="46">D4</f>
        <v>2024</v>
      </c>
      <c r="E139" s="47">
        <f t="shared" si="46"/>
        <v>2025</v>
      </c>
      <c r="F139" s="47">
        <f t="shared" si="46"/>
        <v>2026</v>
      </c>
      <c r="G139" s="47">
        <f t="shared" si="46"/>
        <v>2027</v>
      </c>
      <c r="H139" s="47">
        <f t="shared" si="46"/>
        <v>2028</v>
      </c>
      <c r="I139" s="47">
        <f t="shared" si="46"/>
        <v>2029</v>
      </c>
      <c r="J139" s="47">
        <f t="shared" si="46"/>
        <v>2030</v>
      </c>
      <c r="K139" s="47">
        <f t="shared" si="46"/>
        <v>2031</v>
      </c>
      <c r="L139" s="47">
        <f t="shared" si="46"/>
        <v>2032</v>
      </c>
      <c r="M139" s="47">
        <f t="shared" si="46"/>
        <v>2033</v>
      </c>
    </row>
    <row r="140" spans="2:13" hidden="1" x14ac:dyDescent="0.25">
      <c r="B140" s="1228" t="s">
        <v>776</v>
      </c>
      <c r="D140" s="2" t="e">
        <f t="shared" ref="D140:M140" si="47">D70+D109</f>
        <v>#N/A</v>
      </c>
      <c r="E140" s="2" t="e">
        <f t="shared" si="47"/>
        <v>#N/A</v>
      </c>
      <c r="F140" s="2" t="e">
        <f t="shared" si="47"/>
        <v>#N/A</v>
      </c>
      <c r="G140" s="2" t="e">
        <f t="shared" si="47"/>
        <v>#N/A</v>
      </c>
      <c r="H140" s="2" t="e">
        <f t="shared" si="47"/>
        <v>#N/A</v>
      </c>
      <c r="I140" s="2" t="e">
        <f t="shared" si="47"/>
        <v>#N/A</v>
      </c>
      <c r="J140" s="2" t="e">
        <f t="shared" si="47"/>
        <v>#N/A</v>
      </c>
      <c r="K140" s="2" t="e">
        <f t="shared" si="47"/>
        <v>#N/A</v>
      </c>
      <c r="L140" s="2" t="e">
        <f t="shared" si="47"/>
        <v>#N/A</v>
      </c>
      <c r="M140" s="2" t="e">
        <f t="shared" si="47"/>
        <v>#N/A</v>
      </c>
    </row>
    <row r="141" spans="2:13" hidden="1" x14ac:dyDescent="0.25">
      <c r="B141" s="60" t="s">
        <v>777</v>
      </c>
      <c r="D141" s="2" t="e">
        <f>D140/'[29]PL4. Doanh thu'!D33*1000</f>
        <v>#N/A</v>
      </c>
      <c r="E141" s="2" t="e">
        <f>E140/'[29]PL4. Doanh thu'!E33*1000</f>
        <v>#N/A</v>
      </c>
      <c r="F141" s="2" t="e">
        <f>F140/'[29]PL4. Doanh thu'!F33*1000</f>
        <v>#N/A</v>
      </c>
      <c r="G141" s="2" t="e">
        <f>G140/'[29]PL4. Doanh thu'!G33*1000</f>
        <v>#N/A</v>
      </c>
      <c r="H141" s="2" t="e">
        <f>H140/'[29]PL4. Doanh thu'!H33*1000</f>
        <v>#N/A</v>
      </c>
      <c r="I141" s="2" t="e">
        <f>I140/'[29]PL4. Doanh thu'!I33*1000</f>
        <v>#N/A</v>
      </c>
      <c r="J141" s="2" t="e">
        <f>J140/'[29]PL4. Doanh thu'!J33*1000</f>
        <v>#N/A</v>
      </c>
      <c r="K141" s="2" t="e">
        <f>K140/'[29]PL4. Doanh thu'!K33*1000</f>
        <v>#N/A</v>
      </c>
      <c r="L141" s="2" t="e">
        <f>L140/'[29]PL4. Doanh thu'!L33*1000</f>
        <v>#N/A</v>
      </c>
      <c r="M141" s="2" t="e">
        <f>M140/'[29]PL4. Doanh thu'!M33*1000</f>
        <v>#N/A</v>
      </c>
    </row>
    <row r="143" spans="2:13" x14ac:dyDescent="0.25">
      <c r="D143" s="3"/>
      <c r="E143" s="3"/>
      <c r="F143" s="3"/>
      <c r="G143" s="3"/>
      <c r="H143" s="3"/>
      <c r="I143" s="3"/>
      <c r="J143" s="3"/>
      <c r="K143" s="3"/>
      <c r="L143" s="3"/>
      <c r="M143" s="3"/>
    </row>
    <row r="145" spans="4:4" x14ac:dyDescent="0.25">
      <c r="D145" s="79"/>
    </row>
  </sheetData>
  <pageMargins left="0.7" right="0.7" top="0.75" bottom="0.75" header="0.3" footer="0.3"/>
  <pageSetup orientation="portrait" horizontalDpi="1200" verticalDpi="120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A7409-F78B-4B0F-A202-89A7B8679F95}">
  <dimension ref="B1:BG258"/>
  <sheetViews>
    <sheetView zoomScale="70" zoomScaleNormal="70" workbookViewId="0">
      <pane xSplit="4" ySplit="4" topLeftCell="AK173" activePane="bottomRight" state="frozen"/>
      <selection pane="topRight" activeCell="D1" sqref="D1"/>
      <selection pane="bottomLeft" activeCell="A5" sqref="A5"/>
      <selection pane="bottomRight" activeCell="AP203" sqref="AP203"/>
    </sheetView>
  </sheetViews>
  <sheetFormatPr defaultColWidth="8.7109375" defaultRowHeight="15.75" x14ac:dyDescent="0.25"/>
  <cols>
    <col min="1" max="1" width="8.7109375" style="1188"/>
    <col min="2" max="2" width="9.28515625" style="1222" customWidth="1"/>
    <col min="3" max="3" width="19.28515625" style="1188" customWidth="1"/>
    <col min="4" max="4" width="35.7109375" style="1188" customWidth="1"/>
    <col min="5" max="6" width="20.28515625" style="1188" customWidth="1"/>
    <col min="7" max="7" width="16.28515625" style="1188" bestFit="1" customWidth="1"/>
    <col min="8" max="8" width="19.7109375" style="1188" customWidth="1"/>
    <col min="9" max="10" width="20.42578125" style="1188" customWidth="1"/>
    <col min="11" max="11" width="17.42578125" style="1188" customWidth="1"/>
    <col min="12" max="12" width="17" style="1188" customWidth="1"/>
    <col min="13" max="13" width="18.28515625" style="1188" customWidth="1"/>
    <col min="14" max="14" width="15.42578125" style="1188" customWidth="1"/>
    <col min="15" max="15" width="23.28515625" style="1188" customWidth="1"/>
    <col min="16" max="16" width="10.42578125" style="1188" customWidth="1"/>
    <col min="17" max="17" width="18.42578125" style="1188" customWidth="1"/>
    <col min="18" max="19" width="19.7109375" style="1188" customWidth="1"/>
    <col min="20" max="20" width="11.28515625" style="1188" customWidth="1"/>
    <col min="21" max="21" width="12.28515625" style="1188" customWidth="1"/>
    <col min="22" max="22" width="13.28515625" style="1188" customWidth="1"/>
    <col min="23" max="24" width="8.7109375" style="1188" customWidth="1"/>
    <col min="25" max="25" width="10.28515625" style="1188" customWidth="1"/>
    <col min="26" max="26" width="14.140625" style="1188" customWidth="1"/>
    <col min="27" max="27" width="1.7109375" style="1188" customWidth="1"/>
    <col min="28" max="28" width="20.28515625" style="1188" customWidth="1"/>
    <col min="29" max="39" width="15.140625" style="1188" customWidth="1"/>
    <col min="40" max="40" width="1.85546875" style="1188" customWidth="1"/>
    <col min="41" max="41" width="10.28515625" style="1188" customWidth="1"/>
    <col min="42" max="42" width="20.140625" style="1188" bestFit="1" customWidth="1"/>
    <col min="43" max="43" width="23.42578125" style="1188" bestFit="1" customWidth="1"/>
    <col min="44" max="44" width="15.5703125" style="1188" bestFit="1" customWidth="1"/>
    <col min="45" max="45" width="19.7109375" style="1189" bestFit="1" customWidth="1"/>
    <col min="46" max="46" width="18.42578125" style="1189" bestFit="1" customWidth="1"/>
    <col min="47" max="47" width="18.28515625" style="1188" bestFit="1" customWidth="1"/>
    <col min="48" max="52" width="19.42578125" style="1189" bestFit="1" customWidth="1"/>
    <col min="53" max="57" width="18.42578125" style="1189" bestFit="1" customWidth="1"/>
    <col min="58" max="16384" width="8.7109375" style="1188"/>
  </cols>
  <sheetData>
    <row r="1" spans="2:59" x14ac:dyDescent="0.25">
      <c r="B1" s="2250" t="s">
        <v>1289</v>
      </c>
      <c r="C1" s="2250"/>
      <c r="D1" s="2250"/>
      <c r="E1" s="2250"/>
      <c r="F1" s="2250"/>
      <c r="G1" s="2250"/>
      <c r="H1" s="2250"/>
      <c r="I1" s="2251"/>
      <c r="J1" s="2251"/>
      <c r="K1" s="2250"/>
      <c r="L1" s="2250"/>
      <c r="M1" s="2251"/>
      <c r="N1" s="2251"/>
      <c r="O1" s="2251"/>
      <c r="P1" s="2250"/>
      <c r="Q1" s="2252"/>
      <c r="R1" s="2252"/>
      <c r="S1" s="2252"/>
      <c r="T1" s="2250"/>
      <c r="U1" s="2250"/>
    </row>
    <row r="2" spans="2:59" x14ac:dyDescent="0.25">
      <c r="B2" s="2250" t="s">
        <v>1001</v>
      </c>
      <c r="C2" s="2250"/>
      <c r="D2" s="2250"/>
      <c r="E2" s="2250"/>
      <c r="F2" s="2250"/>
      <c r="G2" s="2250"/>
      <c r="H2" s="2250"/>
      <c r="I2" s="2251"/>
      <c r="J2" s="2251"/>
      <c r="K2" s="2250"/>
      <c r="L2" s="2250"/>
      <c r="M2" s="2251"/>
      <c r="N2" s="2251"/>
      <c r="O2" s="2251"/>
      <c r="P2" s="2250"/>
      <c r="Q2" s="2252"/>
      <c r="R2" s="2252"/>
      <c r="S2" s="2252"/>
      <c r="T2" s="2250"/>
      <c r="U2" s="2250"/>
      <c r="AW2" s="1189">
        <v>1</v>
      </c>
      <c r="AX2" s="1189">
        <v>2</v>
      </c>
      <c r="AY2" s="1189">
        <v>3</v>
      </c>
      <c r="AZ2" s="1189">
        <v>4</v>
      </c>
      <c r="BA2" s="1189">
        <v>5</v>
      </c>
      <c r="BB2" s="1189">
        <v>6</v>
      </c>
      <c r="BC2" s="1189">
        <v>7</v>
      </c>
      <c r="BD2" s="1189">
        <v>8</v>
      </c>
      <c r="BE2" s="1189">
        <v>9</v>
      </c>
    </row>
    <row r="3" spans="2:59" s="1220" customFormat="1" ht="78.75" x14ac:dyDescent="0.25">
      <c r="B3" s="1216" t="s">
        <v>1</v>
      </c>
      <c r="C3" s="1213" t="s">
        <v>1002</v>
      </c>
      <c r="D3" s="1213" t="s">
        <v>1003</v>
      </c>
      <c r="E3" s="1213" t="s">
        <v>1004</v>
      </c>
      <c r="F3" s="1213" t="s">
        <v>1005</v>
      </c>
      <c r="G3" s="1213" t="s">
        <v>1006</v>
      </c>
      <c r="H3" s="1213" t="s">
        <v>1007</v>
      </c>
      <c r="I3" s="1215" t="s">
        <v>76</v>
      </c>
      <c r="J3" s="1214" t="s">
        <v>1008</v>
      </c>
      <c r="K3" s="1213" t="s">
        <v>1009</v>
      </c>
      <c r="L3" s="1213" t="s">
        <v>1010</v>
      </c>
      <c r="M3" s="1215" t="s">
        <v>1011</v>
      </c>
      <c r="N3" s="1215" t="s">
        <v>1012</v>
      </c>
      <c r="O3" s="1215" t="s">
        <v>1013</v>
      </c>
      <c r="P3" s="2253" t="s">
        <v>1014</v>
      </c>
      <c r="Q3" s="2254"/>
      <c r="R3" s="1215" t="s">
        <v>1015</v>
      </c>
      <c r="S3" s="1215" t="s">
        <v>1016</v>
      </c>
      <c r="T3" s="1213" t="s">
        <v>1017</v>
      </c>
      <c r="U3" s="1213" t="s">
        <v>1018</v>
      </c>
      <c r="V3" s="1217" t="s">
        <v>1019</v>
      </c>
      <c r="W3" s="1217"/>
      <c r="X3" s="1217"/>
      <c r="Y3" s="1217"/>
      <c r="Z3" s="1217"/>
      <c r="AA3" s="1217"/>
      <c r="AB3" s="1217" t="s">
        <v>1020</v>
      </c>
      <c r="AC3" s="1217" t="s">
        <v>1021</v>
      </c>
      <c r="AD3" s="1217" t="s">
        <v>1022</v>
      </c>
      <c r="AE3" s="1217" t="s">
        <v>1023</v>
      </c>
      <c r="AF3" s="1217" t="s">
        <v>1024</v>
      </c>
      <c r="AG3" s="1217" t="s">
        <v>1025</v>
      </c>
      <c r="AH3" s="1217" t="s">
        <v>1026</v>
      </c>
      <c r="AI3" s="1217" t="s">
        <v>1027</v>
      </c>
      <c r="AJ3" s="1217" t="s">
        <v>1028</v>
      </c>
      <c r="AK3" s="1217" t="s">
        <v>1029</v>
      </c>
      <c r="AL3" s="1217" t="s">
        <v>1030</v>
      </c>
      <c r="AM3" s="1217" t="s">
        <v>1031</v>
      </c>
      <c r="AN3" s="1217"/>
      <c r="AO3" s="1217" t="s">
        <v>1352</v>
      </c>
      <c r="AP3" s="1217"/>
      <c r="AQ3" s="1217" t="s">
        <v>1290</v>
      </c>
      <c r="AR3" s="1217" t="s">
        <v>696</v>
      </c>
      <c r="AS3" s="1190" t="s">
        <v>1032</v>
      </c>
      <c r="AT3" s="1190" t="s">
        <v>1033</v>
      </c>
      <c r="AU3" s="1217">
        <v>2023</v>
      </c>
      <c r="AV3" s="1218">
        <v>2024</v>
      </c>
      <c r="AW3" s="1218">
        <v>2025</v>
      </c>
      <c r="AX3" s="1218">
        <v>2026</v>
      </c>
      <c r="AY3" s="1218">
        <v>2027</v>
      </c>
      <c r="AZ3" s="1218">
        <v>2028</v>
      </c>
      <c r="BA3" s="1218">
        <v>2029</v>
      </c>
      <c r="BB3" s="1218">
        <v>2030</v>
      </c>
      <c r="BC3" s="1218">
        <v>2031</v>
      </c>
      <c r="BD3" s="1218">
        <v>2032</v>
      </c>
      <c r="BE3" s="1218">
        <v>2033</v>
      </c>
      <c r="BF3" s="1219"/>
      <c r="BG3" s="1219"/>
    </row>
    <row r="4" spans="2:59" x14ac:dyDescent="0.25">
      <c r="B4" s="1221"/>
      <c r="C4" s="1193"/>
      <c r="D4" s="1194"/>
      <c r="E4" s="1194"/>
      <c r="F4" s="1194"/>
      <c r="G4" s="1194"/>
      <c r="H4" s="1194"/>
      <c r="I4" s="1195"/>
      <c r="J4" s="1195"/>
      <c r="K4" s="1194">
        <v>96</v>
      </c>
      <c r="L4" s="1194">
        <v>2922</v>
      </c>
      <c r="M4" s="1195">
        <f>I4/K4</f>
        <v>0</v>
      </c>
      <c r="N4" s="1195">
        <f>I4/L4</f>
        <v>0</v>
      </c>
      <c r="O4" s="1196"/>
      <c r="P4" s="1194" t="s">
        <v>1034</v>
      </c>
      <c r="Q4" s="1195" t="s">
        <v>1035</v>
      </c>
      <c r="R4" s="1195"/>
      <c r="S4" s="1195"/>
      <c r="T4" s="1194"/>
      <c r="U4" s="1194"/>
      <c r="V4" s="1197"/>
      <c r="W4" s="1197"/>
      <c r="X4" s="1197"/>
      <c r="Y4" s="1197"/>
      <c r="Z4" s="1197"/>
      <c r="AA4" s="1197"/>
      <c r="AB4" s="1197"/>
      <c r="AC4" s="1197"/>
      <c r="AD4" s="1197"/>
      <c r="AE4" s="1197"/>
      <c r="AF4" s="1197"/>
      <c r="AG4" s="1197"/>
      <c r="AH4" s="1197"/>
      <c r="AI4" s="1197"/>
      <c r="AJ4" s="1197"/>
      <c r="AK4" s="1197"/>
      <c r="AL4" s="1197"/>
      <c r="AM4" s="1197"/>
      <c r="AN4" s="1197"/>
      <c r="AO4" s="1197"/>
      <c r="AP4" s="1197"/>
      <c r="AQ4" s="1197"/>
      <c r="AR4" s="1197"/>
      <c r="AS4" s="1198"/>
      <c r="AT4" s="1198"/>
      <c r="AU4" s="1197"/>
      <c r="AV4" s="1198"/>
      <c r="AW4" s="1198"/>
      <c r="AX4" s="1198"/>
      <c r="AY4" s="1198"/>
      <c r="AZ4" s="1198"/>
      <c r="BA4" s="1198"/>
      <c r="BB4" s="1198"/>
      <c r="BC4" s="1198"/>
      <c r="BD4" s="1198"/>
      <c r="BE4" s="1198"/>
    </row>
    <row r="5" spans="2:59" x14ac:dyDescent="0.25">
      <c r="B5" s="1221">
        <v>1</v>
      </c>
      <c r="C5" s="1181" t="s">
        <v>1036</v>
      </c>
      <c r="D5" s="1182" t="s">
        <v>1291</v>
      </c>
      <c r="E5" s="1199">
        <f>VLOOKUP($C5,[30]Dung!$C$2:$G$98,5,0)</f>
        <v>41168</v>
      </c>
      <c r="F5" s="1199">
        <v>41168</v>
      </c>
      <c r="G5" s="1194">
        <v>1</v>
      </c>
      <c r="H5" s="1199">
        <v>44090</v>
      </c>
      <c r="I5" s="1183">
        <f>VLOOKUP($C5,[30]NGọc!$B$3:$J$114,8,0)</f>
        <v>211818181</v>
      </c>
      <c r="J5" s="1183">
        <v>0</v>
      </c>
      <c r="K5" s="1194">
        <v>96</v>
      </c>
      <c r="L5" s="1194">
        <f t="shared" ref="L5:L10" si="0">DATEDIF(F5,H5,"d")</f>
        <v>2922</v>
      </c>
      <c r="M5" s="1200">
        <f t="shared" ref="M5:M68" si="1">J5/K5</f>
        <v>0</v>
      </c>
      <c r="N5" s="1195">
        <f>I5/L5</f>
        <v>72490.821697467487</v>
      </c>
      <c r="O5" s="1196">
        <v>0</v>
      </c>
      <c r="P5" s="1194">
        <v>31</v>
      </c>
      <c r="Q5" s="1195">
        <f t="shared" ref="Q5:Q68" si="2">IF(O5&gt;=P5*N5,P5*N5,O5)</f>
        <v>0</v>
      </c>
      <c r="R5" s="1195">
        <f>IF(Q5=0,I5,I5-O5+Q5)</f>
        <v>211818181</v>
      </c>
      <c r="S5" s="1195">
        <f>I5-R5</f>
        <v>0</v>
      </c>
      <c r="T5" s="1194" t="s">
        <v>1037</v>
      </c>
      <c r="U5" s="1194" t="s">
        <v>1037</v>
      </c>
      <c r="V5" s="1201">
        <f>J5-Q5-S5</f>
        <v>0</v>
      </c>
      <c r="W5" s="1197"/>
      <c r="X5" s="1197"/>
      <c r="Y5" s="1197">
        <v>641</v>
      </c>
      <c r="Z5" s="1197" t="s">
        <v>1038</v>
      </c>
      <c r="AA5" s="1197"/>
      <c r="AB5" s="1202">
        <v>0</v>
      </c>
      <c r="AC5" s="1202">
        <v>0</v>
      </c>
      <c r="AD5" s="1202">
        <v>0</v>
      </c>
      <c r="AE5" s="1202">
        <v>0</v>
      </c>
      <c r="AF5" s="1202">
        <v>0</v>
      </c>
      <c r="AG5" s="1202">
        <v>0</v>
      </c>
      <c r="AH5" s="1202">
        <v>0</v>
      </c>
      <c r="AI5" s="1202">
        <v>0</v>
      </c>
      <c r="AJ5" s="1202">
        <v>0</v>
      </c>
      <c r="AK5" s="1202">
        <v>0</v>
      </c>
      <c r="AL5" s="1202">
        <v>0</v>
      </c>
      <c r="AM5" s="1202">
        <v>0</v>
      </c>
      <c r="AN5" s="1197"/>
      <c r="AO5" s="1197">
        <v>641</v>
      </c>
      <c r="AP5" s="1197" t="s">
        <v>1357</v>
      </c>
      <c r="AQ5" s="1197" t="s">
        <v>1038</v>
      </c>
      <c r="AR5" s="1201">
        <f t="shared" ref="AR5:AR36" si="3">AS5-SUM(AV5:BE5)</f>
        <v>0</v>
      </c>
      <c r="AS5" s="1198">
        <f t="shared" ref="AS5:AS36" si="4">S5</f>
        <v>0</v>
      </c>
      <c r="AT5" s="1198">
        <f t="shared" ref="AT5:AT36" si="5">M5*12</f>
        <v>0</v>
      </c>
      <c r="AU5" s="1201">
        <f t="shared" ref="AU5:AU36" si="6">SUM(AB5:AM5)</f>
        <v>0</v>
      </c>
      <c r="AV5" s="1198">
        <f>MIN(AS5,AT5)</f>
        <v>0</v>
      </c>
      <c r="AW5" s="1198">
        <f>IF((AS5-AT5*$AW$2)&gt;0,MIN(AS5-AT5*$AW$2,AT5),0)</f>
        <v>0</v>
      </c>
      <c r="AX5" s="1198">
        <f>IF((AS5-AT5*$AX$2)&gt;0,MIN(AS5-AT5*$AX$2,AT5),0)</f>
        <v>0</v>
      </c>
      <c r="AY5" s="1198">
        <f>IF((AS5-AT5*$AY$2)&gt;0,MIN(AS5-AT5*$AY$2,AT5),0)</f>
        <v>0</v>
      </c>
      <c r="AZ5" s="1198">
        <f>IF((AS5-AT5*$AZ$2)&gt;0,MIN(AS5-AT5*$AZ$2,AT5),0)</f>
        <v>0</v>
      </c>
      <c r="BA5" s="1198">
        <f>IF((AS5-AT5*$BA$2)&gt;0,MIN(AS5-AT5*$BA$2,AT5),0)</f>
        <v>0</v>
      </c>
      <c r="BB5" s="1198">
        <f>IF((AS5-AT5*$BB$2)&gt;0,MIN(AS5-AT5*$BB$2,AT5),0)</f>
        <v>0</v>
      </c>
      <c r="BC5" s="1198">
        <f>IF((AS5-AT5*$BC$2)&gt;0,MIN(AS5-AT5*$BC$2,AT5),0)</f>
        <v>0</v>
      </c>
      <c r="BD5" s="1198">
        <f>IF((AS5-AT5*$BD$2)&gt;0,MIN(AS5-AT5*$BD$2,AT5),0)</f>
        <v>0</v>
      </c>
      <c r="BE5" s="1198">
        <f>IF((AS5-AT5*$BE$2)&gt;0,MIN(AS5-AT5*$BE$2,AT5),0)</f>
        <v>0</v>
      </c>
    </row>
    <row r="6" spans="2:59" x14ac:dyDescent="0.25">
      <c r="B6" s="1221">
        <v>2</v>
      </c>
      <c r="C6" s="1181" t="s">
        <v>1039</v>
      </c>
      <c r="D6" s="1182" t="s">
        <v>1291</v>
      </c>
      <c r="E6" s="1199">
        <f>VLOOKUP($C6,[30]Dung!$C$2:$G$98,5,0)</f>
        <v>41168</v>
      </c>
      <c r="F6" s="1199">
        <v>41168</v>
      </c>
      <c r="G6" s="1194">
        <v>1</v>
      </c>
      <c r="H6" s="1199">
        <v>44090</v>
      </c>
      <c r="I6" s="1183">
        <f>VLOOKUP($C6,[30]NGọc!$B$3:$J$114,8,0)</f>
        <v>231506785</v>
      </c>
      <c r="J6" s="1183">
        <v>0</v>
      </c>
      <c r="K6" s="1194">
        <v>96</v>
      </c>
      <c r="L6" s="1194">
        <f t="shared" si="0"/>
        <v>2922</v>
      </c>
      <c r="M6" s="1200">
        <f t="shared" si="1"/>
        <v>0</v>
      </c>
      <c r="N6" s="1195">
        <f>I6/L6</f>
        <v>79228.879192334018</v>
      </c>
      <c r="O6" s="1196">
        <v>0</v>
      </c>
      <c r="P6" s="1194">
        <v>31</v>
      </c>
      <c r="Q6" s="1195">
        <f t="shared" si="2"/>
        <v>0</v>
      </c>
      <c r="R6" s="1195">
        <f>IF(Q6=0,I6,I6-O6+Q6)</f>
        <v>231506785</v>
      </c>
      <c r="S6" s="1195">
        <f>I6-R6</f>
        <v>0</v>
      </c>
      <c r="T6" s="1194"/>
      <c r="U6" s="1194" t="s">
        <v>1040</v>
      </c>
      <c r="V6" s="1201">
        <f>J6-Q6-S6</f>
        <v>0</v>
      </c>
      <c r="W6" s="1197"/>
      <c r="X6" s="1197"/>
      <c r="Y6" s="1197">
        <v>641</v>
      </c>
      <c r="Z6" s="1197" t="s">
        <v>1382</v>
      </c>
      <c r="AA6" s="1197"/>
      <c r="AB6" s="1202">
        <v>0</v>
      </c>
      <c r="AC6" s="1202">
        <v>0</v>
      </c>
      <c r="AD6" s="1202">
        <v>0</v>
      </c>
      <c r="AE6" s="1202">
        <v>0</v>
      </c>
      <c r="AF6" s="1202">
        <v>0</v>
      </c>
      <c r="AG6" s="1202">
        <v>0</v>
      </c>
      <c r="AH6" s="1202">
        <v>0</v>
      </c>
      <c r="AI6" s="1202">
        <v>0</v>
      </c>
      <c r="AJ6" s="1202">
        <v>0</v>
      </c>
      <c r="AK6" s="1202">
        <v>0</v>
      </c>
      <c r="AL6" s="1202">
        <v>0</v>
      </c>
      <c r="AM6" s="1202">
        <v>0</v>
      </c>
      <c r="AN6" s="1197"/>
      <c r="AO6" s="1197">
        <v>641</v>
      </c>
      <c r="AP6" s="1197" t="s">
        <v>1357</v>
      </c>
      <c r="AQ6" s="1197" t="s">
        <v>1382</v>
      </c>
      <c r="AR6" s="1201">
        <f t="shared" si="3"/>
        <v>0</v>
      </c>
      <c r="AS6" s="1198">
        <f t="shared" si="4"/>
        <v>0</v>
      </c>
      <c r="AT6" s="1198">
        <f t="shared" si="5"/>
        <v>0</v>
      </c>
      <c r="AU6" s="1201">
        <f t="shared" si="6"/>
        <v>0</v>
      </c>
      <c r="AV6" s="1198">
        <f t="shared" ref="AV6:AV69" si="7">MIN(AS6,AT6)</f>
        <v>0</v>
      </c>
      <c r="AW6" s="1198">
        <f t="shared" ref="AW6:AW69" si="8">IF((AS6-AT6*$AW$2)&gt;0,MIN(AS6-AT6*$AW$2,AT6),0)</f>
        <v>0</v>
      </c>
      <c r="AX6" s="1198">
        <f t="shared" ref="AX6:AX69" si="9">IF((AS6-AT6*$AX$2)&gt;0,MIN(AS6-AT6*$AX$2,AT6),0)</f>
        <v>0</v>
      </c>
      <c r="AY6" s="1198">
        <f t="shared" ref="AY6:AY69" si="10">IF((AS6-AT6*$AY$2)&gt;0,MIN(AS6-AT6*$AY$2,AT6),0)</f>
        <v>0</v>
      </c>
      <c r="AZ6" s="1198">
        <f t="shared" ref="AZ6:AZ69" si="11">IF((AS6-AT6*$AZ$2)&gt;0,MIN(AS6-AT6*$AZ$2,AT6),0)</f>
        <v>0</v>
      </c>
      <c r="BA6" s="1198">
        <f t="shared" ref="BA6:BA69" si="12">IF((AS6-AT6*$BA$2)&gt;0,MIN(AS6-AT6*$BA$2,AT6),0)</f>
        <v>0</v>
      </c>
      <c r="BB6" s="1198">
        <f t="shared" ref="BB6:BB69" si="13">IF((AS6-AT6*$BB$2)&gt;0,MIN(AS6-AT6*$BB$2,AT6),0)</f>
        <v>0</v>
      </c>
      <c r="BC6" s="1198">
        <f t="shared" ref="BC6:BC69" si="14">IF((AS6-AT6*$BC$2)&gt;0,MIN(AS6-AT6*$BC$2,AT6),0)</f>
        <v>0</v>
      </c>
      <c r="BD6" s="1198">
        <f t="shared" ref="BD6:BD69" si="15">IF((AS6-AT6*$BD$2)&gt;0,MIN(AS6-AT6*$BD$2,AT6),0)</f>
        <v>0</v>
      </c>
      <c r="BE6" s="1198">
        <f t="shared" ref="BE6:BE69" si="16">IF((AS6-AT6*$BE$2)&gt;0,MIN(AS6-AT6*$BE$2,AT6),0)</f>
        <v>0</v>
      </c>
    </row>
    <row r="7" spans="2:59" x14ac:dyDescent="0.25">
      <c r="B7" s="1221">
        <v>3</v>
      </c>
      <c r="C7" s="1181" t="s">
        <v>1041</v>
      </c>
      <c r="D7" s="1182" t="s">
        <v>1292</v>
      </c>
      <c r="E7" s="1199">
        <f>VLOOKUP($C7,[30]Dung!$C$2:$G$98,5,0)</f>
        <v>42350</v>
      </c>
      <c r="F7" s="1199">
        <v>44562</v>
      </c>
      <c r="G7" s="1194">
        <v>1</v>
      </c>
      <c r="H7" s="1199">
        <v>44907</v>
      </c>
      <c r="I7" s="1183">
        <f>VLOOKUP($C7,[30]NGọc!$B$3:$J$114,8,0)</f>
        <v>102000000</v>
      </c>
      <c r="J7" s="1183">
        <v>24784394.25051339</v>
      </c>
      <c r="K7" s="1194">
        <v>12</v>
      </c>
      <c r="L7" s="1194">
        <f t="shared" si="0"/>
        <v>345</v>
      </c>
      <c r="M7" s="1200">
        <f t="shared" si="1"/>
        <v>2065366.1875427824</v>
      </c>
      <c r="N7" s="1195">
        <f t="shared" ref="N7:N70" si="17">J7/L7</f>
        <v>71838.82391453156</v>
      </c>
      <c r="O7" s="1196">
        <v>0</v>
      </c>
      <c r="P7" s="1194">
        <v>31</v>
      </c>
      <c r="Q7" s="1195">
        <f t="shared" si="2"/>
        <v>0</v>
      </c>
      <c r="R7" s="1195">
        <f t="shared" ref="R7:R70" si="18">IF(Q7=0,J7,J7-O7+Q7)</f>
        <v>24784394.25051339</v>
      </c>
      <c r="S7" s="1195">
        <f t="shared" ref="S7:S70" si="19">J7-R7</f>
        <v>0</v>
      </c>
      <c r="T7" s="1194" t="s">
        <v>1037</v>
      </c>
      <c r="U7" s="1194" t="s">
        <v>1037</v>
      </c>
      <c r="V7" s="1201">
        <f>O7-Q7-S7</f>
        <v>0</v>
      </c>
      <c r="W7" s="1197"/>
      <c r="X7" s="1197"/>
      <c r="Y7" s="1197">
        <v>641</v>
      </c>
      <c r="Z7" s="1197" t="s">
        <v>1038</v>
      </c>
      <c r="AA7" s="1197"/>
      <c r="AB7" s="1202">
        <v>0</v>
      </c>
      <c r="AC7" s="1202">
        <v>0</v>
      </c>
      <c r="AD7" s="1202">
        <v>0</v>
      </c>
      <c r="AE7" s="1202">
        <v>0</v>
      </c>
      <c r="AF7" s="1202">
        <v>0</v>
      </c>
      <c r="AG7" s="1202">
        <v>0</v>
      </c>
      <c r="AH7" s="1202">
        <v>0</v>
      </c>
      <c r="AI7" s="1202">
        <v>0</v>
      </c>
      <c r="AJ7" s="1202">
        <v>0</v>
      </c>
      <c r="AK7" s="1202">
        <v>0</v>
      </c>
      <c r="AL7" s="1202">
        <v>0</v>
      </c>
      <c r="AM7" s="1202">
        <v>0</v>
      </c>
      <c r="AN7" s="1197"/>
      <c r="AO7" s="1197">
        <v>641</v>
      </c>
      <c r="AP7" s="1197" t="s">
        <v>1357</v>
      </c>
      <c r="AQ7" s="1197" t="s">
        <v>1038</v>
      </c>
      <c r="AR7" s="1201">
        <f t="shared" si="3"/>
        <v>0</v>
      </c>
      <c r="AS7" s="1198">
        <f t="shared" si="4"/>
        <v>0</v>
      </c>
      <c r="AT7" s="1198">
        <f t="shared" si="5"/>
        <v>24784394.25051339</v>
      </c>
      <c r="AU7" s="1201">
        <f t="shared" si="6"/>
        <v>0</v>
      </c>
      <c r="AV7" s="1198">
        <f t="shared" si="7"/>
        <v>0</v>
      </c>
      <c r="AW7" s="1198">
        <f t="shared" si="8"/>
        <v>0</v>
      </c>
      <c r="AX7" s="1198">
        <f t="shared" si="9"/>
        <v>0</v>
      </c>
      <c r="AY7" s="1198">
        <f t="shared" si="10"/>
        <v>0</v>
      </c>
      <c r="AZ7" s="1198">
        <f t="shared" si="11"/>
        <v>0</v>
      </c>
      <c r="BA7" s="1198">
        <f t="shared" si="12"/>
        <v>0</v>
      </c>
      <c r="BB7" s="1198">
        <f t="shared" si="13"/>
        <v>0</v>
      </c>
      <c r="BC7" s="1198">
        <f t="shared" si="14"/>
        <v>0</v>
      </c>
      <c r="BD7" s="1198">
        <f t="shared" si="15"/>
        <v>0</v>
      </c>
      <c r="BE7" s="1198">
        <f t="shared" si="16"/>
        <v>0</v>
      </c>
    </row>
    <row r="8" spans="2:59" x14ac:dyDescent="0.25">
      <c r="B8" s="1221">
        <v>4</v>
      </c>
      <c r="C8" s="1181" t="s">
        <v>1042</v>
      </c>
      <c r="D8" s="1182" t="s">
        <v>1293</v>
      </c>
      <c r="E8" s="1199">
        <f>VLOOKUP($C8,[30]Dung!$C$2:$G$98,5,0)</f>
        <v>43530</v>
      </c>
      <c r="F8" s="1199">
        <v>44562</v>
      </c>
      <c r="G8" s="1194">
        <v>1</v>
      </c>
      <c r="H8" s="1199">
        <v>45357</v>
      </c>
      <c r="I8" s="1183">
        <f>VLOOKUP($C8,[30]NGọc!$B$3:$J$114,8,0)</f>
        <v>268000000</v>
      </c>
      <c r="J8" s="1183">
        <v>173347022.58726898</v>
      </c>
      <c r="K8" s="1194">
        <v>24</v>
      </c>
      <c r="L8" s="1194">
        <f t="shared" si="0"/>
        <v>795</v>
      </c>
      <c r="M8" s="1200">
        <f t="shared" si="1"/>
        <v>7222792.6078028744</v>
      </c>
      <c r="N8" s="1195">
        <f t="shared" si="17"/>
        <v>218046.56929216222</v>
      </c>
      <c r="O8" s="1196">
        <v>20932470.652047604</v>
      </c>
      <c r="P8" s="1194">
        <v>31</v>
      </c>
      <c r="Q8" s="1195">
        <f t="shared" si="2"/>
        <v>6759443.6480570287</v>
      </c>
      <c r="R8" s="1195">
        <f t="shared" si="18"/>
        <v>159173995.58327842</v>
      </c>
      <c r="S8" s="1195">
        <f t="shared" si="19"/>
        <v>14173027.003990561</v>
      </c>
      <c r="T8" s="1194"/>
      <c r="U8" s="1194" t="s">
        <v>1040</v>
      </c>
      <c r="V8" s="1201" t="s">
        <v>1043</v>
      </c>
      <c r="W8" s="1197"/>
      <c r="X8" s="1197"/>
      <c r="Y8" s="1197">
        <v>641</v>
      </c>
      <c r="Z8" s="1197" t="s">
        <v>1382</v>
      </c>
      <c r="AA8" s="1197"/>
      <c r="AB8" s="1202">
        <v>6759443.6480570287</v>
      </c>
      <c r="AC8" s="1202">
        <v>6105303.9401805419</v>
      </c>
      <c r="AD8" s="1202">
        <v>6759443.6480570287</v>
      </c>
      <c r="AE8" s="1202">
        <v>6541397.078764867</v>
      </c>
      <c r="AF8" s="1202">
        <v>6759443.6480570287</v>
      </c>
      <c r="AG8" s="1202">
        <v>6541397.078764867</v>
      </c>
      <c r="AH8" s="1202">
        <v>6759443.6480570287</v>
      </c>
      <c r="AI8" s="1202">
        <v>6759443.6480570287</v>
      </c>
      <c r="AJ8" s="1202">
        <v>6541397.078764867</v>
      </c>
      <c r="AK8" s="1202">
        <v>6759443.6480570287</v>
      </c>
      <c r="AL8" s="1202">
        <v>6541397.078764867</v>
      </c>
      <c r="AM8" s="1202">
        <v>6759443.6480570287</v>
      </c>
      <c r="AN8" s="1197"/>
      <c r="AO8" s="1197">
        <v>641</v>
      </c>
      <c r="AP8" s="1197" t="s">
        <v>1357</v>
      </c>
      <c r="AQ8" s="1197" t="s">
        <v>1383</v>
      </c>
      <c r="AR8" s="1201">
        <f t="shared" si="3"/>
        <v>0</v>
      </c>
      <c r="AS8" s="1198">
        <f t="shared" si="4"/>
        <v>14173027.003990561</v>
      </c>
      <c r="AT8" s="1198">
        <f t="shared" si="5"/>
        <v>86673511.293634489</v>
      </c>
      <c r="AU8" s="1201">
        <f t="shared" si="6"/>
        <v>79586997.791639209</v>
      </c>
      <c r="AV8" s="1198">
        <f t="shared" si="7"/>
        <v>14173027.003990561</v>
      </c>
      <c r="AW8" s="1198">
        <f t="shared" si="8"/>
        <v>0</v>
      </c>
      <c r="AX8" s="1198">
        <f t="shared" si="9"/>
        <v>0</v>
      </c>
      <c r="AY8" s="1198">
        <f t="shared" si="10"/>
        <v>0</v>
      </c>
      <c r="AZ8" s="1198">
        <f t="shared" si="11"/>
        <v>0</v>
      </c>
      <c r="BA8" s="1198">
        <f t="shared" si="12"/>
        <v>0</v>
      </c>
      <c r="BB8" s="1198">
        <f t="shared" si="13"/>
        <v>0</v>
      </c>
      <c r="BC8" s="1198">
        <f t="shared" si="14"/>
        <v>0</v>
      </c>
      <c r="BD8" s="1198">
        <f t="shared" si="15"/>
        <v>0</v>
      </c>
      <c r="BE8" s="1198">
        <f t="shared" si="16"/>
        <v>0</v>
      </c>
    </row>
    <row r="9" spans="2:59" x14ac:dyDescent="0.25">
      <c r="B9" s="1221">
        <v>5</v>
      </c>
      <c r="C9" s="1181" t="s">
        <v>1044</v>
      </c>
      <c r="D9" s="1182" t="s">
        <v>1293</v>
      </c>
      <c r="E9" s="1199">
        <f>VLOOKUP($C9,[30]Dung!$C$2:$G$98,5,0)</f>
        <v>43530</v>
      </c>
      <c r="F9" s="1199">
        <v>44562</v>
      </c>
      <c r="G9" s="1194">
        <v>1</v>
      </c>
      <c r="H9" s="1199">
        <v>45357</v>
      </c>
      <c r="I9" s="1183">
        <f>VLOOKUP($C9,[30]NGọc!$B$3:$J$114,8,0)</f>
        <v>268000000</v>
      </c>
      <c r="J9" s="1183">
        <v>173347022.58726898</v>
      </c>
      <c r="K9" s="1194">
        <v>24</v>
      </c>
      <c r="L9" s="1194">
        <f t="shared" si="0"/>
        <v>795</v>
      </c>
      <c r="M9" s="1200">
        <f t="shared" si="1"/>
        <v>7222792.6078028744</v>
      </c>
      <c r="N9" s="1195">
        <f t="shared" si="17"/>
        <v>218046.56929216222</v>
      </c>
      <c r="O9" s="1196">
        <v>20932470.652047604</v>
      </c>
      <c r="P9" s="1194">
        <v>31</v>
      </c>
      <c r="Q9" s="1195">
        <f t="shared" si="2"/>
        <v>6759443.6480570287</v>
      </c>
      <c r="R9" s="1195">
        <f t="shared" si="18"/>
        <v>159173995.58327842</v>
      </c>
      <c r="S9" s="1195">
        <f t="shared" si="19"/>
        <v>14173027.003990561</v>
      </c>
      <c r="T9" s="1194"/>
      <c r="U9" s="1194" t="s">
        <v>1045</v>
      </c>
      <c r="V9" s="1201" t="s">
        <v>1043</v>
      </c>
      <c r="W9" s="1197"/>
      <c r="X9" s="1197"/>
      <c r="Y9" s="1197">
        <v>641</v>
      </c>
      <c r="Z9" s="1197" t="s">
        <v>1382</v>
      </c>
      <c r="AA9" s="1197"/>
      <c r="AB9" s="1202">
        <v>6759443.6480570287</v>
      </c>
      <c r="AC9" s="1202">
        <v>6105303.9401805419</v>
      </c>
      <c r="AD9" s="1202">
        <v>6759443.6480570287</v>
      </c>
      <c r="AE9" s="1202">
        <v>6541397.078764867</v>
      </c>
      <c r="AF9" s="1202">
        <v>6759443.6480570287</v>
      </c>
      <c r="AG9" s="1202">
        <v>6541397.078764867</v>
      </c>
      <c r="AH9" s="1202">
        <v>6759443.6480570287</v>
      </c>
      <c r="AI9" s="1202">
        <v>6759443.6480570287</v>
      </c>
      <c r="AJ9" s="1202">
        <v>6541397.078764867</v>
      </c>
      <c r="AK9" s="1202">
        <v>6759443.6480570287</v>
      </c>
      <c r="AL9" s="1202">
        <v>6541397.078764867</v>
      </c>
      <c r="AM9" s="1202">
        <v>6759443.6480570287</v>
      </c>
      <c r="AN9" s="1197"/>
      <c r="AO9" s="1197">
        <v>641</v>
      </c>
      <c r="AP9" s="1197" t="s">
        <v>1357</v>
      </c>
      <c r="AQ9" s="1197" t="s">
        <v>1382</v>
      </c>
      <c r="AR9" s="1201">
        <f t="shared" si="3"/>
        <v>0</v>
      </c>
      <c r="AS9" s="1198">
        <f t="shared" si="4"/>
        <v>14173027.003990561</v>
      </c>
      <c r="AT9" s="1198">
        <f t="shared" si="5"/>
        <v>86673511.293634489</v>
      </c>
      <c r="AU9" s="1201">
        <f t="shared" si="6"/>
        <v>79586997.791639209</v>
      </c>
      <c r="AV9" s="1198">
        <f t="shared" si="7"/>
        <v>14173027.003990561</v>
      </c>
      <c r="AW9" s="1198">
        <f t="shared" si="8"/>
        <v>0</v>
      </c>
      <c r="AX9" s="1198">
        <f t="shared" si="9"/>
        <v>0</v>
      </c>
      <c r="AY9" s="1198">
        <f t="shared" si="10"/>
        <v>0</v>
      </c>
      <c r="AZ9" s="1198">
        <f t="shared" si="11"/>
        <v>0</v>
      </c>
      <c r="BA9" s="1198">
        <f t="shared" si="12"/>
        <v>0</v>
      </c>
      <c r="BB9" s="1198">
        <f t="shared" si="13"/>
        <v>0</v>
      </c>
      <c r="BC9" s="1198">
        <f t="shared" si="14"/>
        <v>0</v>
      </c>
      <c r="BD9" s="1198">
        <f t="shared" si="15"/>
        <v>0</v>
      </c>
      <c r="BE9" s="1198">
        <f t="shared" si="16"/>
        <v>0</v>
      </c>
    </row>
    <row r="10" spans="2:59" x14ac:dyDescent="0.25">
      <c r="B10" s="1221">
        <v>6</v>
      </c>
      <c r="C10" s="1181" t="s">
        <v>1046</v>
      </c>
      <c r="D10" s="1182" t="s">
        <v>1293</v>
      </c>
      <c r="E10" s="1199">
        <f>VLOOKUP($C10,[30]Dung!$C$2:$G$98,5,0)</f>
        <v>42583</v>
      </c>
      <c r="F10" s="1199">
        <v>44562</v>
      </c>
      <c r="G10" s="1194">
        <v>1</v>
      </c>
      <c r="H10" s="1199">
        <v>44774</v>
      </c>
      <c r="I10" s="1183">
        <f>VLOOKUP($C10,[30]NGọc!$B$3:$J$114,8,0)</f>
        <v>102000000</v>
      </c>
      <c r="J10" s="1183">
        <v>32917864.47638607</v>
      </c>
      <c r="K10" s="1194">
        <v>7</v>
      </c>
      <c r="L10" s="1194">
        <f t="shared" si="0"/>
        <v>212</v>
      </c>
      <c r="M10" s="1200">
        <f t="shared" si="1"/>
        <v>4702552.0680551529</v>
      </c>
      <c r="N10" s="1195">
        <f t="shared" si="17"/>
        <v>155272.94564333052</v>
      </c>
      <c r="O10" s="1196">
        <v>0</v>
      </c>
      <c r="P10" s="1194">
        <v>31</v>
      </c>
      <c r="Q10" s="1195">
        <f t="shared" si="2"/>
        <v>0</v>
      </c>
      <c r="R10" s="1195">
        <f t="shared" si="18"/>
        <v>32917864.47638607</v>
      </c>
      <c r="S10" s="1195">
        <f t="shared" si="19"/>
        <v>0</v>
      </c>
      <c r="T10" s="1194">
        <v>1</v>
      </c>
      <c r="U10" s="1194" t="s">
        <v>1047</v>
      </c>
      <c r="V10" s="1201" t="s">
        <v>1043</v>
      </c>
      <c r="W10" s="1197"/>
      <c r="X10" s="1197"/>
      <c r="Y10" s="1197">
        <v>641</v>
      </c>
      <c r="Z10" s="1197" t="s">
        <v>1048</v>
      </c>
      <c r="AA10" s="1197"/>
      <c r="AB10" s="1202">
        <v>0</v>
      </c>
      <c r="AC10" s="1202">
        <v>0</v>
      </c>
      <c r="AD10" s="1202">
        <v>0</v>
      </c>
      <c r="AE10" s="1202">
        <v>0</v>
      </c>
      <c r="AF10" s="1202">
        <v>0</v>
      </c>
      <c r="AG10" s="1202">
        <v>0</v>
      </c>
      <c r="AH10" s="1202">
        <v>0</v>
      </c>
      <c r="AI10" s="1202">
        <v>0</v>
      </c>
      <c r="AJ10" s="1202">
        <v>0</v>
      </c>
      <c r="AK10" s="1202">
        <v>0</v>
      </c>
      <c r="AL10" s="1202">
        <v>0</v>
      </c>
      <c r="AM10" s="1202">
        <v>0</v>
      </c>
      <c r="AN10" s="1197"/>
      <c r="AO10" s="1197">
        <v>641</v>
      </c>
      <c r="AP10" s="1197" t="s">
        <v>1357</v>
      </c>
      <c r="AQ10" s="1197" t="s">
        <v>1383</v>
      </c>
      <c r="AR10" s="1201">
        <f t="shared" si="3"/>
        <v>0</v>
      </c>
      <c r="AS10" s="1198">
        <f t="shared" si="4"/>
        <v>0</v>
      </c>
      <c r="AT10" s="1198">
        <f t="shared" si="5"/>
        <v>56430624.816661835</v>
      </c>
      <c r="AU10" s="1201">
        <f t="shared" si="6"/>
        <v>0</v>
      </c>
      <c r="AV10" s="1198">
        <f t="shared" si="7"/>
        <v>0</v>
      </c>
      <c r="AW10" s="1198">
        <f t="shared" si="8"/>
        <v>0</v>
      </c>
      <c r="AX10" s="1198">
        <f t="shared" si="9"/>
        <v>0</v>
      </c>
      <c r="AY10" s="1198">
        <f t="shared" si="10"/>
        <v>0</v>
      </c>
      <c r="AZ10" s="1198">
        <f t="shared" si="11"/>
        <v>0</v>
      </c>
      <c r="BA10" s="1198">
        <f t="shared" si="12"/>
        <v>0</v>
      </c>
      <c r="BB10" s="1198">
        <f t="shared" si="13"/>
        <v>0</v>
      </c>
      <c r="BC10" s="1198">
        <f t="shared" si="14"/>
        <v>0</v>
      </c>
      <c r="BD10" s="1198">
        <f t="shared" si="15"/>
        <v>0</v>
      </c>
      <c r="BE10" s="1198">
        <f t="shared" si="16"/>
        <v>0</v>
      </c>
    </row>
    <row r="11" spans="2:59" x14ac:dyDescent="0.25">
      <c r="B11" s="1221">
        <v>7</v>
      </c>
      <c r="C11" s="1181" t="s">
        <v>1049</v>
      </c>
      <c r="D11" s="1182" t="s">
        <v>1291</v>
      </c>
      <c r="E11" s="1199">
        <f>VLOOKUP($C11,[30]Dung!$C$2:$G$98,5,0)</f>
        <v>41358</v>
      </c>
      <c r="F11" s="1199">
        <v>44280</v>
      </c>
      <c r="G11" s="1194">
        <v>1</v>
      </c>
      <c r="H11" s="1199">
        <v>44280</v>
      </c>
      <c r="I11" s="1183">
        <f>VLOOKUP($C11,[30]NGọc!$B$3:$J$114,8,0)</f>
        <v>209090909</v>
      </c>
      <c r="J11" s="1183">
        <v>0</v>
      </c>
      <c r="K11" s="1194">
        <v>96</v>
      </c>
      <c r="L11" s="1194">
        <v>2922</v>
      </c>
      <c r="M11" s="1195">
        <f t="shared" si="1"/>
        <v>0</v>
      </c>
      <c r="N11" s="1195">
        <f t="shared" si="17"/>
        <v>0</v>
      </c>
      <c r="O11" s="1196">
        <v>0</v>
      </c>
      <c r="P11" s="1194">
        <v>31</v>
      </c>
      <c r="Q11" s="1195">
        <f t="shared" si="2"/>
        <v>0</v>
      </c>
      <c r="R11" s="1195">
        <f t="shared" si="18"/>
        <v>0</v>
      </c>
      <c r="S11" s="1195">
        <f t="shared" si="19"/>
        <v>0</v>
      </c>
      <c r="T11" s="1194">
        <v>1</v>
      </c>
      <c r="U11" s="1194" t="s">
        <v>1047</v>
      </c>
      <c r="V11" s="1201" t="s">
        <v>1043</v>
      </c>
      <c r="W11" s="1197"/>
      <c r="X11" s="1197"/>
      <c r="Y11" s="1197">
        <v>641</v>
      </c>
      <c r="Z11" s="1197" t="s">
        <v>1048</v>
      </c>
      <c r="AA11" s="1197"/>
      <c r="AB11" s="1202">
        <v>0</v>
      </c>
      <c r="AC11" s="1202">
        <v>0</v>
      </c>
      <c r="AD11" s="1202">
        <v>0</v>
      </c>
      <c r="AE11" s="1202">
        <v>0</v>
      </c>
      <c r="AF11" s="1202">
        <v>0</v>
      </c>
      <c r="AG11" s="1202">
        <v>0</v>
      </c>
      <c r="AH11" s="1202">
        <v>0</v>
      </c>
      <c r="AI11" s="1202">
        <v>0</v>
      </c>
      <c r="AJ11" s="1202">
        <v>0</v>
      </c>
      <c r="AK11" s="1202">
        <v>0</v>
      </c>
      <c r="AL11" s="1202">
        <v>0</v>
      </c>
      <c r="AM11" s="1202">
        <v>0</v>
      </c>
      <c r="AN11" s="1197"/>
      <c r="AO11" s="1197">
        <v>641</v>
      </c>
      <c r="AP11" s="1197" t="s">
        <v>1357</v>
      </c>
      <c r="AQ11" s="1197" t="s">
        <v>1383</v>
      </c>
      <c r="AR11" s="1201">
        <f t="shared" si="3"/>
        <v>0</v>
      </c>
      <c r="AS11" s="1198">
        <f t="shared" si="4"/>
        <v>0</v>
      </c>
      <c r="AT11" s="1198">
        <f t="shared" si="5"/>
        <v>0</v>
      </c>
      <c r="AU11" s="1201">
        <f t="shared" si="6"/>
        <v>0</v>
      </c>
      <c r="AV11" s="1198">
        <f t="shared" si="7"/>
        <v>0</v>
      </c>
      <c r="AW11" s="1198">
        <f t="shared" si="8"/>
        <v>0</v>
      </c>
      <c r="AX11" s="1198">
        <f t="shared" si="9"/>
        <v>0</v>
      </c>
      <c r="AY11" s="1198">
        <f t="shared" si="10"/>
        <v>0</v>
      </c>
      <c r="AZ11" s="1198">
        <f t="shared" si="11"/>
        <v>0</v>
      </c>
      <c r="BA11" s="1198">
        <f t="shared" si="12"/>
        <v>0</v>
      </c>
      <c r="BB11" s="1198">
        <f t="shared" si="13"/>
        <v>0</v>
      </c>
      <c r="BC11" s="1198">
        <f t="shared" si="14"/>
        <v>0</v>
      </c>
      <c r="BD11" s="1198">
        <f t="shared" si="15"/>
        <v>0</v>
      </c>
      <c r="BE11" s="1198">
        <f t="shared" si="16"/>
        <v>0</v>
      </c>
    </row>
    <row r="12" spans="2:59" x14ac:dyDescent="0.25">
      <c r="B12" s="1221">
        <v>8</v>
      </c>
      <c r="C12" s="1181" t="s">
        <v>1050</v>
      </c>
      <c r="D12" s="1182" t="s">
        <v>1293</v>
      </c>
      <c r="E12" s="1199">
        <f>VLOOKUP($C12,[30]Dung!$C$2:$G$98,5,0)</f>
        <v>42583</v>
      </c>
      <c r="F12" s="1199">
        <v>44562</v>
      </c>
      <c r="G12" s="1194">
        <v>1</v>
      </c>
      <c r="H12" s="1199">
        <v>44774</v>
      </c>
      <c r="I12" s="1183">
        <f>VLOOKUP($C12,[30]NGọc!$B$3:$J$114,8,0)</f>
        <v>242727272</v>
      </c>
      <c r="J12" s="1183">
        <v>78333955.337440133</v>
      </c>
      <c r="K12" s="1194">
        <v>8</v>
      </c>
      <c r="L12" s="1194">
        <f t="shared" ref="L12:L22" si="20">DATEDIF(F12,H12,"d")</f>
        <v>212</v>
      </c>
      <c r="M12" s="1195">
        <f t="shared" si="1"/>
        <v>9791744.4171800166</v>
      </c>
      <c r="N12" s="1195">
        <f t="shared" si="17"/>
        <v>369499.78932754777</v>
      </c>
      <c r="O12" s="1196">
        <v>0</v>
      </c>
      <c r="P12" s="1194">
        <v>31</v>
      </c>
      <c r="Q12" s="1195">
        <f t="shared" si="2"/>
        <v>0</v>
      </c>
      <c r="R12" s="1195">
        <f t="shared" si="18"/>
        <v>78333955.337440133</v>
      </c>
      <c r="S12" s="1195">
        <f t="shared" si="19"/>
        <v>0</v>
      </c>
      <c r="T12" s="1194"/>
      <c r="U12" s="1194" t="s">
        <v>1040</v>
      </c>
      <c r="V12" s="1201">
        <f t="shared" ref="V12:V19" si="21">O12-Q12-S12</f>
        <v>0</v>
      </c>
      <c r="W12" s="1197"/>
      <c r="X12" s="1197"/>
      <c r="Y12" s="1197">
        <v>641</v>
      </c>
      <c r="Z12" s="1197" t="s">
        <v>1382</v>
      </c>
      <c r="AA12" s="1197"/>
      <c r="AB12" s="1202">
        <v>0</v>
      </c>
      <c r="AC12" s="1202">
        <v>0</v>
      </c>
      <c r="AD12" s="1202">
        <v>0</v>
      </c>
      <c r="AE12" s="1202">
        <v>0</v>
      </c>
      <c r="AF12" s="1202">
        <v>0</v>
      </c>
      <c r="AG12" s="1202">
        <v>0</v>
      </c>
      <c r="AH12" s="1202">
        <v>0</v>
      </c>
      <c r="AI12" s="1202">
        <v>0</v>
      </c>
      <c r="AJ12" s="1202">
        <v>0</v>
      </c>
      <c r="AK12" s="1202">
        <v>0</v>
      </c>
      <c r="AL12" s="1202">
        <v>0</v>
      </c>
      <c r="AM12" s="1202">
        <v>0</v>
      </c>
      <c r="AN12" s="1197"/>
      <c r="AO12" s="1197">
        <v>641</v>
      </c>
      <c r="AP12" s="1197" t="s">
        <v>1357</v>
      </c>
      <c r="AQ12" s="1197" t="s">
        <v>1383</v>
      </c>
      <c r="AR12" s="1201">
        <f t="shared" si="3"/>
        <v>0</v>
      </c>
      <c r="AS12" s="1198">
        <f t="shared" si="4"/>
        <v>0</v>
      </c>
      <c r="AT12" s="1198">
        <f t="shared" si="5"/>
        <v>117500933.0061602</v>
      </c>
      <c r="AU12" s="1201">
        <f t="shared" si="6"/>
        <v>0</v>
      </c>
      <c r="AV12" s="1198">
        <f t="shared" si="7"/>
        <v>0</v>
      </c>
      <c r="AW12" s="1198">
        <f t="shared" si="8"/>
        <v>0</v>
      </c>
      <c r="AX12" s="1198">
        <f t="shared" si="9"/>
        <v>0</v>
      </c>
      <c r="AY12" s="1198">
        <f t="shared" si="10"/>
        <v>0</v>
      </c>
      <c r="AZ12" s="1198">
        <f t="shared" si="11"/>
        <v>0</v>
      </c>
      <c r="BA12" s="1198">
        <f t="shared" si="12"/>
        <v>0</v>
      </c>
      <c r="BB12" s="1198">
        <f t="shared" si="13"/>
        <v>0</v>
      </c>
      <c r="BC12" s="1198">
        <f t="shared" si="14"/>
        <v>0</v>
      </c>
      <c r="BD12" s="1198">
        <f t="shared" si="15"/>
        <v>0</v>
      </c>
      <c r="BE12" s="1198">
        <f t="shared" si="16"/>
        <v>0</v>
      </c>
    </row>
    <row r="13" spans="2:59" x14ac:dyDescent="0.25">
      <c r="B13" s="1221">
        <v>9</v>
      </c>
      <c r="C13" s="1181" t="s">
        <v>1051</v>
      </c>
      <c r="D13" s="1182" t="s">
        <v>1294</v>
      </c>
      <c r="E13" s="1199">
        <f>VLOOKUP($C13,[30]Dung!$C$2:$G$98,5,0)</f>
        <v>42552</v>
      </c>
      <c r="F13" s="1199">
        <v>44562</v>
      </c>
      <c r="G13" s="1194">
        <v>1</v>
      </c>
      <c r="H13" s="1199">
        <v>44926</v>
      </c>
      <c r="I13" s="1183">
        <f>VLOOKUP($C13,[30]NGọc!$B$3:$J$114,8,0)</f>
        <v>259090909</v>
      </c>
      <c r="J13" s="1183">
        <v>80866156.402464062</v>
      </c>
      <c r="K13" s="1194">
        <f t="shared" ref="K13:K22" si="22">DATEDIF(F13,H13,"m")</f>
        <v>11</v>
      </c>
      <c r="L13" s="1194">
        <f t="shared" si="20"/>
        <v>364</v>
      </c>
      <c r="M13" s="1195">
        <f t="shared" si="1"/>
        <v>7351468.7638603691</v>
      </c>
      <c r="N13" s="1195">
        <f t="shared" si="17"/>
        <v>222159.77033643972</v>
      </c>
      <c r="O13" s="1196">
        <v>0</v>
      </c>
      <c r="P13" s="1194">
        <v>31</v>
      </c>
      <c r="Q13" s="1195">
        <f t="shared" si="2"/>
        <v>0</v>
      </c>
      <c r="R13" s="1195">
        <f t="shared" si="18"/>
        <v>80866156.402464062</v>
      </c>
      <c r="S13" s="1195">
        <f t="shared" si="19"/>
        <v>0</v>
      </c>
      <c r="T13" s="1194">
        <v>1</v>
      </c>
      <c r="U13" s="1194" t="s">
        <v>1040</v>
      </c>
      <c r="V13" s="1201">
        <f t="shared" si="21"/>
        <v>0</v>
      </c>
      <c r="W13" s="1197"/>
      <c r="X13" s="1197"/>
      <c r="Y13" s="1197">
        <v>627</v>
      </c>
      <c r="Z13" s="1197" t="s">
        <v>1382</v>
      </c>
      <c r="AA13" s="1197"/>
      <c r="AB13" s="1202">
        <v>0</v>
      </c>
      <c r="AC13" s="1202">
        <v>0</v>
      </c>
      <c r="AD13" s="1202">
        <v>0</v>
      </c>
      <c r="AE13" s="1202">
        <v>0</v>
      </c>
      <c r="AF13" s="1202">
        <v>0</v>
      </c>
      <c r="AG13" s="1202">
        <v>0</v>
      </c>
      <c r="AH13" s="1202">
        <v>0</v>
      </c>
      <c r="AI13" s="1202">
        <v>0</v>
      </c>
      <c r="AJ13" s="1202">
        <v>0</v>
      </c>
      <c r="AK13" s="1202">
        <v>0</v>
      </c>
      <c r="AL13" s="1202">
        <v>0</v>
      </c>
      <c r="AM13" s="1202">
        <v>0</v>
      </c>
      <c r="AN13" s="1197"/>
      <c r="AO13" s="1197">
        <v>641</v>
      </c>
      <c r="AP13" s="1197" t="s">
        <v>1357</v>
      </c>
      <c r="AQ13" s="1197" t="s">
        <v>1383</v>
      </c>
      <c r="AR13" s="1201">
        <f t="shared" si="3"/>
        <v>0</v>
      </c>
      <c r="AS13" s="1198">
        <f t="shared" si="4"/>
        <v>0</v>
      </c>
      <c r="AT13" s="1198">
        <f t="shared" si="5"/>
        <v>88217625.166324437</v>
      </c>
      <c r="AU13" s="1201">
        <f t="shared" si="6"/>
        <v>0</v>
      </c>
      <c r="AV13" s="1198">
        <f t="shared" si="7"/>
        <v>0</v>
      </c>
      <c r="AW13" s="1198">
        <f t="shared" si="8"/>
        <v>0</v>
      </c>
      <c r="AX13" s="1198">
        <f t="shared" si="9"/>
        <v>0</v>
      </c>
      <c r="AY13" s="1198">
        <f t="shared" si="10"/>
        <v>0</v>
      </c>
      <c r="AZ13" s="1198">
        <f t="shared" si="11"/>
        <v>0</v>
      </c>
      <c r="BA13" s="1198">
        <f t="shared" si="12"/>
        <v>0</v>
      </c>
      <c r="BB13" s="1198">
        <f t="shared" si="13"/>
        <v>0</v>
      </c>
      <c r="BC13" s="1198">
        <f t="shared" si="14"/>
        <v>0</v>
      </c>
      <c r="BD13" s="1198">
        <f t="shared" si="15"/>
        <v>0</v>
      </c>
      <c r="BE13" s="1198">
        <f t="shared" si="16"/>
        <v>0</v>
      </c>
    </row>
    <row r="14" spans="2:59" x14ac:dyDescent="0.25">
      <c r="B14" s="1221">
        <v>10</v>
      </c>
      <c r="C14" s="1181" t="s">
        <v>1052</v>
      </c>
      <c r="D14" s="1182" t="s">
        <v>1295</v>
      </c>
      <c r="E14" s="1199">
        <f>VLOOKUP($C14,[30]Dung!$C$2:$G$98,5,0)</f>
        <v>42552</v>
      </c>
      <c r="F14" s="1199">
        <v>44562</v>
      </c>
      <c r="G14" s="1194">
        <v>1</v>
      </c>
      <c r="H14" s="1199">
        <v>44926</v>
      </c>
      <c r="I14" s="1183">
        <f>VLOOKUP($C14,[30]NGọc!$B$3:$J$114,8,0)</f>
        <v>259090909</v>
      </c>
      <c r="J14" s="1183">
        <v>80866156.402464062</v>
      </c>
      <c r="K14" s="1194">
        <f t="shared" si="22"/>
        <v>11</v>
      </c>
      <c r="L14" s="1194">
        <f t="shared" si="20"/>
        <v>364</v>
      </c>
      <c r="M14" s="1195">
        <f t="shared" si="1"/>
        <v>7351468.7638603691</v>
      </c>
      <c r="N14" s="1195">
        <f t="shared" si="17"/>
        <v>222159.77033643972</v>
      </c>
      <c r="O14" s="1196">
        <v>0</v>
      </c>
      <c r="P14" s="1194">
        <v>31</v>
      </c>
      <c r="Q14" s="1195">
        <f t="shared" si="2"/>
        <v>0</v>
      </c>
      <c r="R14" s="1195">
        <f t="shared" si="18"/>
        <v>80866156.402464062</v>
      </c>
      <c r="S14" s="1195">
        <f t="shared" si="19"/>
        <v>0</v>
      </c>
      <c r="T14" s="1194">
        <v>1</v>
      </c>
      <c r="U14" s="1194" t="s">
        <v>1040</v>
      </c>
      <c r="V14" s="1201">
        <f t="shared" si="21"/>
        <v>0</v>
      </c>
      <c r="W14" s="1197"/>
      <c r="X14" s="1197"/>
      <c r="Y14" s="1197">
        <v>627</v>
      </c>
      <c r="Z14" s="1197" t="s">
        <v>1382</v>
      </c>
      <c r="AA14" s="1197"/>
      <c r="AB14" s="1202">
        <v>0</v>
      </c>
      <c r="AC14" s="1202">
        <v>0</v>
      </c>
      <c r="AD14" s="1202">
        <v>0</v>
      </c>
      <c r="AE14" s="1202">
        <v>0</v>
      </c>
      <c r="AF14" s="1202">
        <v>0</v>
      </c>
      <c r="AG14" s="1202">
        <v>0</v>
      </c>
      <c r="AH14" s="1202">
        <v>0</v>
      </c>
      <c r="AI14" s="1202">
        <v>0</v>
      </c>
      <c r="AJ14" s="1202">
        <v>0</v>
      </c>
      <c r="AK14" s="1202">
        <v>0</v>
      </c>
      <c r="AL14" s="1202">
        <v>0</v>
      </c>
      <c r="AM14" s="1202">
        <v>0</v>
      </c>
      <c r="AN14" s="1197"/>
      <c r="AO14" s="1197">
        <v>641</v>
      </c>
      <c r="AP14" s="1197" t="s">
        <v>1357</v>
      </c>
      <c r="AQ14" s="1197" t="s">
        <v>1383</v>
      </c>
      <c r="AR14" s="1201">
        <f t="shared" si="3"/>
        <v>0</v>
      </c>
      <c r="AS14" s="1198">
        <f t="shared" si="4"/>
        <v>0</v>
      </c>
      <c r="AT14" s="1198">
        <f t="shared" si="5"/>
        <v>88217625.166324437</v>
      </c>
      <c r="AU14" s="1201">
        <f t="shared" si="6"/>
        <v>0</v>
      </c>
      <c r="AV14" s="1198">
        <f t="shared" si="7"/>
        <v>0</v>
      </c>
      <c r="AW14" s="1198">
        <f t="shared" si="8"/>
        <v>0</v>
      </c>
      <c r="AX14" s="1198">
        <f t="shared" si="9"/>
        <v>0</v>
      </c>
      <c r="AY14" s="1198">
        <f t="shared" si="10"/>
        <v>0</v>
      </c>
      <c r="AZ14" s="1198">
        <f t="shared" si="11"/>
        <v>0</v>
      </c>
      <c r="BA14" s="1198">
        <f t="shared" si="12"/>
        <v>0</v>
      </c>
      <c r="BB14" s="1198">
        <f t="shared" si="13"/>
        <v>0</v>
      </c>
      <c r="BC14" s="1198">
        <f t="shared" si="14"/>
        <v>0</v>
      </c>
      <c r="BD14" s="1198">
        <f t="shared" si="15"/>
        <v>0</v>
      </c>
      <c r="BE14" s="1198">
        <f t="shared" si="16"/>
        <v>0</v>
      </c>
    </row>
    <row r="15" spans="2:59" x14ac:dyDescent="0.25">
      <c r="B15" s="1221">
        <v>11</v>
      </c>
      <c r="C15" s="1181" t="s">
        <v>1053</v>
      </c>
      <c r="D15" s="1182" t="s">
        <v>1296</v>
      </c>
      <c r="E15" s="1199">
        <f>VLOOKUP($C15,[30]Dung!$C$2:$G$98,5,0)</f>
        <v>42095</v>
      </c>
      <c r="F15" s="1199">
        <v>44562</v>
      </c>
      <c r="G15" s="1194">
        <v>1</v>
      </c>
      <c r="H15" s="1199">
        <v>44926</v>
      </c>
      <c r="I15" s="1183">
        <f>VLOOKUP($C15,[30]NGọc!$B$3:$J$114,8,0)</f>
        <v>292727273</v>
      </c>
      <c r="J15" s="1183">
        <v>45582104.45414114</v>
      </c>
      <c r="K15" s="1194">
        <f t="shared" si="22"/>
        <v>11</v>
      </c>
      <c r="L15" s="1194">
        <f t="shared" si="20"/>
        <v>364</v>
      </c>
      <c r="M15" s="1195">
        <f t="shared" si="1"/>
        <v>4143827.6776491944</v>
      </c>
      <c r="N15" s="1195">
        <f t="shared" si="17"/>
        <v>125225.56168720093</v>
      </c>
      <c r="O15" s="1196">
        <v>0</v>
      </c>
      <c r="P15" s="1194">
        <v>31</v>
      </c>
      <c r="Q15" s="1195">
        <f t="shared" si="2"/>
        <v>0</v>
      </c>
      <c r="R15" s="1195">
        <f t="shared" si="18"/>
        <v>45582104.45414114</v>
      </c>
      <c r="S15" s="1195">
        <f t="shared" si="19"/>
        <v>0</v>
      </c>
      <c r="T15" s="1194">
        <v>1</v>
      </c>
      <c r="U15" s="1194" t="s">
        <v>1040</v>
      </c>
      <c r="V15" s="1201">
        <f t="shared" si="21"/>
        <v>0</v>
      </c>
      <c r="W15" s="1197"/>
      <c r="X15" s="1197"/>
      <c r="Y15" s="1197">
        <v>627</v>
      </c>
      <c r="Z15" s="1197" t="s">
        <v>1382</v>
      </c>
      <c r="AA15" s="1197"/>
      <c r="AB15" s="1202">
        <v>0</v>
      </c>
      <c r="AC15" s="1202">
        <v>0</v>
      </c>
      <c r="AD15" s="1202">
        <v>0</v>
      </c>
      <c r="AE15" s="1202">
        <v>0</v>
      </c>
      <c r="AF15" s="1202">
        <v>0</v>
      </c>
      <c r="AG15" s="1202">
        <v>0</v>
      </c>
      <c r="AH15" s="1202">
        <v>0</v>
      </c>
      <c r="AI15" s="1202">
        <v>0</v>
      </c>
      <c r="AJ15" s="1202">
        <v>0</v>
      </c>
      <c r="AK15" s="1202">
        <v>0</v>
      </c>
      <c r="AL15" s="1202">
        <v>0</v>
      </c>
      <c r="AM15" s="1202">
        <v>0</v>
      </c>
      <c r="AN15" s="1197"/>
      <c r="AO15" s="1197">
        <v>641</v>
      </c>
      <c r="AP15" s="1197" t="s">
        <v>1357</v>
      </c>
      <c r="AQ15" s="1197" t="s">
        <v>1383</v>
      </c>
      <c r="AR15" s="1201">
        <f t="shared" si="3"/>
        <v>0</v>
      </c>
      <c r="AS15" s="1198">
        <f t="shared" si="4"/>
        <v>0</v>
      </c>
      <c r="AT15" s="1198">
        <f t="shared" si="5"/>
        <v>49725932.131790332</v>
      </c>
      <c r="AU15" s="1201">
        <f t="shared" si="6"/>
        <v>0</v>
      </c>
      <c r="AV15" s="1198">
        <f t="shared" si="7"/>
        <v>0</v>
      </c>
      <c r="AW15" s="1198">
        <f t="shared" si="8"/>
        <v>0</v>
      </c>
      <c r="AX15" s="1198">
        <f t="shared" si="9"/>
        <v>0</v>
      </c>
      <c r="AY15" s="1198">
        <f t="shared" si="10"/>
        <v>0</v>
      </c>
      <c r="AZ15" s="1198">
        <f t="shared" si="11"/>
        <v>0</v>
      </c>
      <c r="BA15" s="1198">
        <f t="shared" si="12"/>
        <v>0</v>
      </c>
      <c r="BB15" s="1198">
        <f t="shared" si="13"/>
        <v>0</v>
      </c>
      <c r="BC15" s="1198">
        <f t="shared" si="14"/>
        <v>0</v>
      </c>
      <c r="BD15" s="1198">
        <f t="shared" si="15"/>
        <v>0</v>
      </c>
      <c r="BE15" s="1198">
        <f t="shared" si="16"/>
        <v>0</v>
      </c>
    </row>
    <row r="16" spans="2:59" x14ac:dyDescent="0.25">
      <c r="B16" s="1221">
        <v>12</v>
      </c>
      <c r="C16" s="1181" t="s">
        <v>1054</v>
      </c>
      <c r="D16" s="1182" t="s">
        <v>1297</v>
      </c>
      <c r="E16" s="1199">
        <f>VLOOKUP($C16,[30]Dung!$C$2:$G$98,5,0)</f>
        <v>42583</v>
      </c>
      <c r="F16" s="1199">
        <v>44562</v>
      </c>
      <c r="G16" s="1194">
        <v>1</v>
      </c>
      <c r="H16" s="1199">
        <v>44926</v>
      </c>
      <c r="I16" s="1183">
        <f>VLOOKUP($C16,[30]NGọc!$B$3:$J$114,8,0)</f>
        <v>292727273</v>
      </c>
      <c r="J16" s="1183">
        <v>94470163.736824244</v>
      </c>
      <c r="K16" s="1194">
        <f t="shared" si="22"/>
        <v>11</v>
      </c>
      <c r="L16" s="1194">
        <f t="shared" si="20"/>
        <v>364</v>
      </c>
      <c r="M16" s="1195">
        <f t="shared" si="1"/>
        <v>8588196.7033476587</v>
      </c>
      <c r="N16" s="1195">
        <f t="shared" si="17"/>
        <v>259533.41685940727</v>
      </c>
      <c r="O16" s="1196">
        <v>0</v>
      </c>
      <c r="P16" s="1194">
        <v>31</v>
      </c>
      <c r="Q16" s="1195">
        <f t="shared" si="2"/>
        <v>0</v>
      </c>
      <c r="R16" s="1195">
        <f t="shared" si="18"/>
        <v>94470163.736824244</v>
      </c>
      <c r="S16" s="1195">
        <f t="shared" si="19"/>
        <v>0</v>
      </c>
      <c r="T16" s="1194">
        <v>1</v>
      </c>
      <c r="U16" s="1194" t="s">
        <v>1040</v>
      </c>
      <c r="V16" s="1201">
        <f t="shared" si="21"/>
        <v>0</v>
      </c>
      <c r="W16" s="1197"/>
      <c r="X16" s="1197"/>
      <c r="Y16" s="1197">
        <v>627</v>
      </c>
      <c r="Z16" s="1197" t="s">
        <v>1382</v>
      </c>
      <c r="AA16" s="1197"/>
      <c r="AB16" s="1202">
        <v>0</v>
      </c>
      <c r="AC16" s="1202">
        <v>0</v>
      </c>
      <c r="AD16" s="1202">
        <v>0</v>
      </c>
      <c r="AE16" s="1202">
        <v>0</v>
      </c>
      <c r="AF16" s="1202">
        <v>0</v>
      </c>
      <c r="AG16" s="1202">
        <v>0</v>
      </c>
      <c r="AH16" s="1202">
        <v>0</v>
      </c>
      <c r="AI16" s="1202">
        <v>0</v>
      </c>
      <c r="AJ16" s="1202">
        <v>0</v>
      </c>
      <c r="AK16" s="1202">
        <v>0</v>
      </c>
      <c r="AL16" s="1202">
        <v>0</v>
      </c>
      <c r="AM16" s="1202">
        <v>0</v>
      </c>
      <c r="AN16" s="1197"/>
      <c r="AO16" s="1197">
        <v>641</v>
      </c>
      <c r="AP16" s="1197" t="s">
        <v>1357</v>
      </c>
      <c r="AQ16" s="1197" t="s">
        <v>1383</v>
      </c>
      <c r="AR16" s="1201">
        <f t="shared" si="3"/>
        <v>0</v>
      </c>
      <c r="AS16" s="1198">
        <f t="shared" si="4"/>
        <v>0</v>
      </c>
      <c r="AT16" s="1198">
        <f t="shared" si="5"/>
        <v>103058360.4401719</v>
      </c>
      <c r="AU16" s="1201">
        <f t="shared" si="6"/>
        <v>0</v>
      </c>
      <c r="AV16" s="1198">
        <f t="shared" si="7"/>
        <v>0</v>
      </c>
      <c r="AW16" s="1198">
        <f t="shared" si="8"/>
        <v>0</v>
      </c>
      <c r="AX16" s="1198">
        <f t="shared" si="9"/>
        <v>0</v>
      </c>
      <c r="AY16" s="1198">
        <f t="shared" si="10"/>
        <v>0</v>
      </c>
      <c r="AZ16" s="1198">
        <f t="shared" si="11"/>
        <v>0</v>
      </c>
      <c r="BA16" s="1198">
        <f t="shared" si="12"/>
        <v>0</v>
      </c>
      <c r="BB16" s="1198">
        <f t="shared" si="13"/>
        <v>0</v>
      </c>
      <c r="BC16" s="1198">
        <f t="shared" si="14"/>
        <v>0</v>
      </c>
      <c r="BD16" s="1198">
        <f t="shared" si="15"/>
        <v>0</v>
      </c>
      <c r="BE16" s="1198">
        <f t="shared" si="16"/>
        <v>0</v>
      </c>
    </row>
    <row r="17" spans="2:57" x14ac:dyDescent="0.25">
      <c r="B17" s="1221">
        <v>13</v>
      </c>
      <c r="C17" s="1181" t="s">
        <v>1055</v>
      </c>
      <c r="D17" s="1182" t="s">
        <v>1298</v>
      </c>
      <c r="E17" s="1199">
        <f>VLOOKUP($C17,[30]Dung!$C$2:$G$98,5,0)</f>
        <v>42095</v>
      </c>
      <c r="F17" s="1199">
        <v>44562</v>
      </c>
      <c r="G17" s="1194">
        <v>1</v>
      </c>
      <c r="H17" s="1199">
        <v>44926</v>
      </c>
      <c r="I17" s="1183">
        <f>VLOOKUP($C17,[30]NGọc!$B$3:$J$114,8,0)</f>
        <v>292727273</v>
      </c>
      <c r="J17" s="1183">
        <v>45582104.45414114</v>
      </c>
      <c r="K17" s="1194">
        <f t="shared" si="22"/>
        <v>11</v>
      </c>
      <c r="L17" s="1194">
        <f t="shared" si="20"/>
        <v>364</v>
      </c>
      <c r="M17" s="1195">
        <f t="shared" si="1"/>
        <v>4143827.6776491944</v>
      </c>
      <c r="N17" s="1195">
        <f t="shared" si="17"/>
        <v>125225.56168720093</v>
      </c>
      <c r="O17" s="1196">
        <v>0</v>
      </c>
      <c r="P17" s="1194">
        <v>31</v>
      </c>
      <c r="Q17" s="1195">
        <f t="shared" si="2"/>
        <v>0</v>
      </c>
      <c r="R17" s="1195">
        <f t="shared" si="18"/>
        <v>45582104.45414114</v>
      </c>
      <c r="S17" s="1195">
        <f t="shared" si="19"/>
        <v>0</v>
      </c>
      <c r="T17" s="1194">
        <v>1</v>
      </c>
      <c r="U17" s="1194" t="s">
        <v>1040</v>
      </c>
      <c r="V17" s="1201">
        <f t="shared" si="21"/>
        <v>0</v>
      </c>
      <c r="W17" s="1197"/>
      <c r="X17" s="1197"/>
      <c r="Y17" s="1197">
        <v>627</v>
      </c>
      <c r="Z17" s="1197" t="s">
        <v>1382</v>
      </c>
      <c r="AA17" s="1197"/>
      <c r="AB17" s="1202">
        <v>0</v>
      </c>
      <c r="AC17" s="1202">
        <v>0</v>
      </c>
      <c r="AD17" s="1202">
        <v>0</v>
      </c>
      <c r="AE17" s="1202">
        <v>0</v>
      </c>
      <c r="AF17" s="1202">
        <v>0</v>
      </c>
      <c r="AG17" s="1202">
        <v>0</v>
      </c>
      <c r="AH17" s="1202">
        <v>0</v>
      </c>
      <c r="AI17" s="1202">
        <v>0</v>
      </c>
      <c r="AJ17" s="1202">
        <v>0</v>
      </c>
      <c r="AK17" s="1202">
        <v>0</v>
      </c>
      <c r="AL17" s="1202">
        <v>0</v>
      </c>
      <c r="AM17" s="1202">
        <v>0</v>
      </c>
      <c r="AN17" s="1197"/>
      <c r="AO17" s="1197">
        <v>641</v>
      </c>
      <c r="AP17" s="1197" t="s">
        <v>1357</v>
      </c>
      <c r="AQ17" s="1197" t="s">
        <v>1383</v>
      </c>
      <c r="AR17" s="1201">
        <f t="shared" si="3"/>
        <v>0</v>
      </c>
      <c r="AS17" s="1198">
        <f t="shared" si="4"/>
        <v>0</v>
      </c>
      <c r="AT17" s="1198">
        <f t="shared" si="5"/>
        <v>49725932.131790332</v>
      </c>
      <c r="AU17" s="1201">
        <f t="shared" si="6"/>
        <v>0</v>
      </c>
      <c r="AV17" s="1198">
        <f t="shared" si="7"/>
        <v>0</v>
      </c>
      <c r="AW17" s="1198">
        <f t="shared" si="8"/>
        <v>0</v>
      </c>
      <c r="AX17" s="1198">
        <f t="shared" si="9"/>
        <v>0</v>
      </c>
      <c r="AY17" s="1198">
        <f t="shared" si="10"/>
        <v>0</v>
      </c>
      <c r="AZ17" s="1198">
        <f t="shared" si="11"/>
        <v>0</v>
      </c>
      <c r="BA17" s="1198">
        <f t="shared" si="12"/>
        <v>0</v>
      </c>
      <c r="BB17" s="1198">
        <f t="shared" si="13"/>
        <v>0</v>
      </c>
      <c r="BC17" s="1198">
        <f t="shared" si="14"/>
        <v>0</v>
      </c>
      <c r="BD17" s="1198">
        <f t="shared" si="15"/>
        <v>0</v>
      </c>
      <c r="BE17" s="1198">
        <f t="shared" si="16"/>
        <v>0</v>
      </c>
    </row>
    <row r="18" spans="2:57" x14ac:dyDescent="0.25">
      <c r="B18" s="1221">
        <v>14</v>
      </c>
      <c r="C18" s="1181" t="s">
        <v>1056</v>
      </c>
      <c r="D18" s="1182" t="s">
        <v>1299</v>
      </c>
      <c r="E18" s="1199">
        <f>VLOOKUP($C18,[30]Dung!$C$2:$G$98,5,0)</f>
        <v>42220</v>
      </c>
      <c r="F18" s="1199">
        <v>44562</v>
      </c>
      <c r="G18" s="1194">
        <v>1</v>
      </c>
      <c r="H18" s="1199">
        <v>44926</v>
      </c>
      <c r="I18" s="1183">
        <f>VLOOKUP($C18,[30]NGọc!$B$3:$J$114,8,0)</f>
        <v>318181818</v>
      </c>
      <c r="J18" s="1183">
        <v>63157239.712525725</v>
      </c>
      <c r="K18" s="1194">
        <f t="shared" si="22"/>
        <v>11</v>
      </c>
      <c r="L18" s="1194">
        <f t="shared" si="20"/>
        <v>364</v>
      </c>
      <c r="M18" s="1195">
        <f t="shared" si="1"/>
        <v>5741567.2465932481</v>
      </c>
      <c r="N18" s="1195">
        <f t="shared" si="17"/>
        <v>173508.9003091366</v>
      </c>
      <c r="O18" s="1196">
        <v>0</v>
      </c>
      <c r="P18" s="1194">
        <v>31</v>
      </c>
      <c r="Q18" s="1195">
        <f t="shared" si="2"/>
        <v>0</v>
      </c>
      <c r="R18" s="1195">
        <f t="shared" si="18"/>
        <v>63157239.712525725</v>
      </c>
      <c r="S18" s="1195">
        <f t="shared" si="19"/>
        <v>0</v>
      </c>
      <c r="T18" s="1194">
        <v>1</v>
      </c>
      <c r="U18" s="1194" t="s">
        <v>1040</v>
      </c>
      <c r="V18" s="1201">
        <f t="shared" si="21"/>
        <v>0</v>
      </c>
      <c r="W18" s="1197"/>
      <c r="X18" s="1197"/>
      <c r="Y18" s="1197">
        <v>627</v>
      </c>
      <c r="Z18" s="1197" t="s">
        <v>1382</v>
      </c>
      <c r="AA18" s="1197"/>
      <c r="AB18" s="1202">
        <v>0</v>
      </c>
      <c r="AC18" s="1202">
        <v>0</v>
      </c>
      <c r="AD18" s="1202">
        <v>0</v>
      </c>
      <c r="AE18" s="1202">
        <v>0</v>
      </c>
      <c r="AF18" s="1202">
        <v>0</v>
      </c>
      <c r="AG18" s="1202">
        <v>0</v>
      </c>
      <c r="AH18" s="1202">
        <v>0</v>
      </c>
      <c r="AI18" s="1202">
        <v>0</v>
      </c>
      <c r="AJ18" s="1202">
        <v>0</v>
      </c>
      <c r="AK18" s="1202">
        <v>0</v>
      </c>
      <c r="AL18" s="1202">
        <v>0</v>
      </c>
      <c r="AM18" s="1202">
        <v>0</v>
      </c>
      <c r="AN18" s="1197"/>
      <c r="AO18" s="1197">
        <v>641</v>
      </c>
      <c r="AP18" s="1197" t="s">
        <v>1357</v>
      </c>
      <c r="AQ18" s="1197" t="s">
        <v>1383</v>
      </c>
      <c r="AR18" s="1201">
        <f t="shared" si="3"/>
        <v>0</v>
      </c>
      <c r="AS18" s="1198">
        <f t="shared" si="4"/>
        <v>0</v>
      </c>
      <c r="AT18" s="1198">
        <f t="shared" si="5"/>
        <v>68898806.959118977</v>
      </c>
      <c r="AU18" s="1201">
        <f t="shared" si="6"/>
        <v>0</v>
      </c>
      <c r="AV18" s="1198">
        <f t="shared" si="7"/>
        <v>0</v>
      </c>
      <c r="AW18" s="1198">
        <f t="shared" si="8"/>
        <v>0</v>
      </c>
      <c r="AX18" s="1198">
        <f t="shared" si="9"/>
        <v>0</v>
      </c>
      <c r="AY18" s="1198">
        <f t="shared" si="10"/>
        <v>0</v>
      </c>
      <c r="AZ18" s="1198">
        <f t="shared" si="11"/>
        <v>0</v>
      </c>
      <c r="BA18" s="1198">
        <f t="shared" si="12"/>
        <v>0</v>
      </c>
      <c r="BB18" s="1198">
        <f t="shared" si="13"/>
        <v>0</v>
      </c>
      <c r="BC18" s="1198">
        <f t="shared" si="14"/>
        <v>0</v>
      </c>
      <c r="BD18" s="1198">
        <f t="shared" si="15"/>
        <v>0</v>
      </c>
      <c r="BE18" s="1198">
        <f t="shared" si="16"/>
        <v>0</v>
      </c>
    </row>
    <row r="19" spans="2:57" x14ac:dyDescent="0.25">
      <c r="B19" s="1221">
        <v>15</v>
      </c>
      <c r="C19" s="1181" t="s">
        <v>1057</v>
      </c>
      <c r="D19" s="1182" t="s">
        <v>1300</v>
      </c>
      <c r="E19" s="1199">
        <f>VLOOKUP($C19,[30]Dung!$C$2:$G$98,5,0)</f>
        <v>42220</v>
      </c>
      <c r="F19" s="1199">
        <v>44562</v>
      </c>
      <c r="G19" s="1194">
        <v>1</v>
      </c>
      <c r="H19" s="1199">
        <v>44926</v>
      </c>
      <c r="I19" s="1183">
        <f>VLOOKUP($C19,[30]NGọc!$B$3:$J$114,8,0)</f>
        <v>318181818</v>
      </c>
      <c r="J19" s="1183">
        <v>63157239.712525725</v>
      </c>
      <c r="K19" s="1194">
        <f t="shared" si="22"/>
        <v>11</v>
      </c>
      <c r="L19" s="1194">
        <f t="shared" si="20"/>
        <v>364</v>
      </c>
      <c r="M19" s="1195">
        <f t="shared" si="1"/>
        <v>5741567.2465932481</v>
      </c>
      <c r="N19" s="1195">
        <f t="shared" si="17"/>
        <v>173508.9003091366</v>
      </c>
      <c r="O19" s="1196">
        <v>0</v>
      </c>
      <c r="P19" s="1194">
        <v>31</v>
      </c>
      <c r="Q19" s="1195">
        <f t="shared" si="2"/>
        <v>0</v>
      </c>
      <c r="R19" s="1195">
        <f t="shared" si="18"/>
        <v>63157239.712525725</v>
      </c>
      <c r="S19" s="1195">
        <f t="shared" si="19"/>
        <v>0</v>
      </c>
      <c r="T19" s="1194">
        <v>1</v>
      </c>
      <c r="U19" s="1194" t="s">
        <v>1040</v>
      </c>
      <c r="V19" s="1201">
        <f t="shared" si="21"/>
        <v>0</v>
      </c>
      <c r="W19" s="1197"/>
      <c r="X19" s="1197"/>
      <c r="Y19" s="1197">
        <v>627</v>
      </c>
      <c r="Z19" s="1197" t="s">
        <v>1382</v>
      </c>
      <c r="AA19" s="1197"/>
      <c r="AB19" s="1202">
        <v>0</v>
      </c>
      <c r="AC19" s="1202">
        <v>0</v>
      </c>
      <c r="AD19" s="1202">
        <v>0</v>
      </c>
      <c r="AE19" s="1202">
        <v>0</v>
      </c>
      <c r="AF19" s="1202">
        <v>0</v>
      </c>
      <c r="AG19" s="1202">
        <v>0</v>
      </c>
      <c r="AH19" s="1202">
        <v>0</v>
      </c>
      <c r="AI19" s="1202">
        <v>0</v>
      </c>
      <c r="AJ19" s="1202">
        <v>0</v>
      </c>
      <c r="AK19" s="1202">
        <v>0</v>
      </c>
      <c r="AL19" s="1202">
        <v>0</v>
      </c>
      <c r="AM19" s="1202">
        <v>0</v>
      </c>
      <c r="AN19" s="1197"/>
      <c r="AO19" s="1197">
        <v>641</v>
      </c>
      <c r="AP19" s="1197" t="s">
        <v>1357</v>
      </c>
      <c r="AQ19" s="1197" t="s">
        <v>1383</v>
      </c>
      <c r="AR19" s="1201">
        <f t="shared" si="3"/>
        <v>0</v>
      </c>
      <c r="AS19" s="1198">
        <f t="shared" si="4"/>
        <v>0</v>
      </c>
      <c r="AT19" s="1198">
        <f t="shared" si="5"/>
        <v>68898806.959118977</v>
      </c>
      <c r="AU19" s="1201">
        <f t="shared" si="6"/>
        <v>0</v>
      </c>
      <c r="AV19" s="1198">
        <f t="shared" si="7"/>
        <v>0</v>
      </c>
      <c r="AW19" s="1198">
        <f t="shared" si="8"/>
        <v>0</v>
      </c>
      <c r="AX19" s="1198">
        <f t="shared" si="9"/>
        <v>0</v>
      </c>
      <c r="AY19" s="1198">
        <f t="shared" si="10"/>
        <v>0</v>
      </c>
      <c r="AZ19" s="1198">
        <f t="shared" si="11"/>
        <v>0</v>
      </c>
      <c r="BA19" s="1198">
        <f t="shared" si="12"/>
        <v>0</v>
      </c>
      <c r="BB19" s="1198">
        <f t="shared" si="13"/>
        <v>0</v>
      </c>
      <c r="BC19" s="1198">
        <f t="shared" si="14"/>
        <v>0</v>
      </c>
      <c r="BD19" s="1198">
        <f t="shared" si="15"/>
        <v>0</v>
      </c>
      <c r="BE19" s="1198">
        <f t="shared" si="16"/>
        <v>0</v>
      </c>
    </row>
    <row r="20" spans="2:57" x14ac:dyDescent="0.25">
      <c r="B20" s="1221">
        <v>16</v>
      </c>
      <c r="C20" s="1181" t="s">
        <v>1058</v>
      </c>
      <c r="D20" s="1182" t="s">
        <v>1301</v>
      </c>
      <c r="E20" s="1199">
        <f>VLOOKUP($C20,[30]Dung!$C$2:$G$98,5,0)</f>
        <v>42583</v>
      </c>
      <c r="F20" s="1199">
        <v>44562</v>
      </c>
      <c r="G20" s="1194">
        <v>1</v>
      </c>
      <c r="H20" s="1199">
        <v>44926</v>
      </c>
      <c r="I20" s="1183">
        <f>VLOOKUP($C20,[30]NGọc!$B$3:$J$114,8,0)</f>
        <v>292727273</v>
      </c>
      <c r="J20" s="1183">
        <v>94470163.736824244</v>
      </c>
      <c r="K20" s="1194">
        <f t="shared" si="22"/>
        <v>11</v>
      </c>
      <c r="L20" s="1194">
        <f t="shared" si="20"/>
        <v>364</v>
      </c>
      <c r="M20" s="1195">
        <f t="shared" si="1"/>
        <v>8588196.7033476587</v>
      </c>
      <c r="N20" s="1195">
        <f t="shared" si="17"/>
        <v>259533.41685940727</v>
      </c>
      <c r="O20" s="1196">
        <v>0</v>
      </c>
      <c r="P20" s="1194">
        <v>31</v>
      </c>
      <c r="Q20" s="1195">
        <f t="shared" si="2"/>
        <v>0</v>
      </c>
      <c r="R20" s="1195">
        <f t="shared" si="18"/>
        <v>94470163.736824244</v>
      </c>
      <c r="S20" s="1195">
        <f t="shared" si="19"/>
        <v>0</v>
      </c>
      <c r="T20" s="1194">
        <v>1</v>
      </c>
      <c r="U20" s="1194" t="s">
        <v>1047</v>
      </c>
      <c r="V20" s="1201" t="s">
        <v>1043</v>
      </c>
      <c r="W20" s="1197"/>
      <c r="X20" s="1197"/>
      <c r="Y20" s="1197">
        <v>627</v>
      </c>
      <c r="Z20" s="1197" t="s">
        <v>1048</v>
      </c>
      <c r="AA20" s="1197"/>
      <c r="AB20" s="1202">
        <v>0</v>
      </c>
      <c r="AC20" s="1202">
        <v>0</v>
      </c>
      <c r="AD20" s="1202">
        <v>0</v>
      </c>
      <c r="AE20" s="1202">
        <v>0</v>
      </c>
      <c r="AF20" s="1202">
        <v>0</v>
      </c>
      <c r="AG20" s="1202">
        <v>0</v>
      </c>
      <c r="AH20" s="1202">
        <v>0</v>
      </c>
      <c r="AI20" s="1202">
        <v>0</v>
      </c>
      <c r="AJ20" s="1202">
        <v>0</v>
      </c>
      <c r="AK20" s="1202">
        <v>0</v>
      </c>
      <c r="AL20" s="1202">
        <v>0</v>
      </c>
      <c r="AM20" s="1202">
        <v>0</v>
      </c>
      <c r="AN20" s="1197"/>
      <c r="AO20" s="1197">
        <v>641</v>
      </c>
      <c r="AP20" s="1197" t="s">
        <v>1357</v>
      </c>
      <c r="AQ20" s="1197" t="s">
        <v>1383</v>
      </c>
      <c r="AR20" s="1201">
        <f t="shared" si="3"/>
        <v>0</v>
      </c>
      <c r="AS20" s="1198">
        <f t="shared" si="4"/>
        <v>0</v>
      </c>
      <c r="AT20" s="1198">
        <f t="shared" si="5"/>
        <v>103058360.4401719</v>
      </c>
      <c r="AU20" s="1201">
        <f t="shared" si="6"/>
        <v>0</v>
      </c>
      <c r="AV20" s="1198">
        <f t="shared" si="7"/>
        <v>0</v>
      </c>
      <c r="AW20" s="1198">
        <f t="shared" si="8"/>
        <v>0</v>
      </c>
      <c r="AX20" s="1198">
        <f t="shared" si="9"/>
        <v>0</v>
      </c>
      <c r="AY20" s="1198">
        <f t="shared" si="10"/>
        <v>0</v>
      </c>
      <c r="AZ20" s="1198">
        <f t="shared" si="11"/>
        <v>0</v>
      </c>
      <c r="BA20" s="1198">
        <f t="shared" si="12"/>
        <v>0</v>
      </c>
      <c r="BB20" s="1198">
        <f t="shared" si="13"/>
        <v>0</v>
      </c>
      <c r="BC20" s="1198">
        <f t="shared" si="14"/>
        <v>0</v>
      </c>
      <c r="BD20" s="1198">
        <f t="shared" si="15"/>
        <v>0</v>
      </c>
      <c r="BE20" s="1198">
        <f t="shared" si="16"/>
        <v>0</v>
      </c>
    </row>
    <row r="21" spans="2:57" x14ac:dyDescent="0.25">
      <c r="B21" s="1221">
        <v>17</v>
      </c>
      <c r="C21" s="1181" t="s">
        <v>1059</v>
      </c>
      <c r="D21" s="1182" t="s">
        <v>1302</v>
      </c>
      <c r="E21" s="1199">
        <f>VLOOKUP($C21,[30]Dung!$C$2:$G$98,5,0)</f>
        <v>42278</v>
      </c>
      <c r="F21" s="1199">
        <v>44562</v>
      </c>
      <c r="G21" s="1194">
        <v>1</v>
      </c>
      <c r="H21" s="1199">
        <v>44926</v>
      </c>
      <c r="I21" s="1183">
        <f>VLOOKUP($C21,[30]NGọc!$B$3:$J$114,8,0)</f>
        <v>292727273</v>
      </c>
      <c r="J21" s="1183">
        <v>63915126.685147315</v>
      </c>
      <c r="K21" s="1194">
        <f t="shared" si="22"/>
        <v>11</v>
      </c>
      <c r="L21" s="1194">
        <f t="shared" si="20"/>
        <v>364</v>
      </c>
      <c r="M21" s="1195">
        <f t="shared" si="1"/>
        <v>5810466.0622861199</v>
      </c>
      <c r="N21" s="1195">
        <f t="shared" si="17"/>
        <v>175591.00737677835</v>
      </c>
      <c r="O21" s="1196">
        <v>0</v>
      </c>
      <c r="P21" s="1194">
        <v>31</v>
      </c>
      <c r="Q21" s="1195">
        <f t="shared" si="2"/>
        <v>0</v>
      </c>
      <c r="R21" s="1195">
        <f t="shared" si="18"/>
        <v>63915126.685147315</v>
      </c>
      <c r="S21" s="1195">
        <f t="shared" si="19"/>
        <v>0</v>
      </c>
      <c r="T21" s="1194">
        <v>3</v>
      </c>
      <c r="U21" s="1194" t="s">
        <v>1047</v>
      </c>
      <c r="V21" s="1201" t="s">
        <v>1043</v>
      </c>
      <c r="W21" s="1197"/>
      <c r="X21" s="1197"/>
      <c r="Y21" s="1197">
        <v>627</v>
      </c>
      <c r="Z21" s="1197" t="s">
        <v>1048</v>
      </c>
      <c r="AA21" s="1197"/>
      <c r="AB21" s="1202">
        <v>0</v>
      </c>
      <c r="AC21" s="1202">
        <v>0</v>
      </c>
      <c r="AD21" s="1202">
        <v>0</v>
      </c>
      <c r="AE21" s="1202">
        <v>0</v>
      </c>
      <c r="AF21" s="1202">
        <v>0</v>
      </c>
      <c r="AG21" s="1202">
        <v>0</v>
      </c>
      <c r="AH21" s="1202">
        <v>0</v>
      </c>
      <c r="AI21" s="1202">
        <v>0</v>
      </c>
      <c r="AJ21" s="1202">
        <v>0</v>
      </c>
      <c r="AK21" s="1202">
        <v>0</v>
      </c>
      <c r="AL21" s="1202">
        <v>0</v>
      </c>
      <c r="AM21" s="1202">
        <v>0</v>
      </c>
      <c r="AN21" s="1197"/>
      <c r="AO21" s="1197">
        <v>641</v>
      </c>
      <c r="AP21" s="1197" t="s">
        <v>1357</v>
      </c>
      <c r="AQ21" s="1197" t="s">
        <v>1383</v>
      </c>
      <c r="AR21" s="1201">
        <f t="shared" si="3"/>
        <v>0</v>
      </c>
      <c r="AS21" s="1198">
        <f t="shared" si="4"/>
        <v>0</v>
      </c>
      <c r="AT21" s="1198">
        <f t="shared" si="5"/>
        <v>69725592.747433439</v>
      </c>
      <c r="AU21" s="1201">
        <f t="shared" si="6"/>
        <v>0</v>
      </c>
      <c r="AV21" s="1198">
        <f t="shared" si="7"/>
        <v>0</v>
      </c>
      <c r="AW21" s="1198">
        <f t="shared" si="8"/>
        <v>0</v>
      </c>
      <c r="AX21" s="1198">
        <f t="shared" si="9"/>
        <v>0</v>
      </c>
      <c r="AY21" s="1198">
        <f t="shared" si="10"/>
        <v>0</v>
      </c>
      <c r="AZ21" s="1198">
        <f t="shared" si="11"/>
        <v>0</v>
      </c>
      <c r="BA21" s="1198">
        <f t="shared" si="12"/>
        <v>0</v>
      </c>
      <c r="BB21" s="1198">
        <f t="shared" si="13"/>
        <v>0</v>
      </c>
      <c r="BC21" s="1198">
        <f t="shared" si="14"/>
        <v>0</v>
      </c>
      <c r="BD21" s="1198">
        <f t="shared" si="15"/>
        <v>0</v>
      </c>
      <c r="BE21" s="1198">
        <f t="shared" si="16"/>
        <v>0</v>
      </c>
    </row>
    <row r="22" spans="2:57" x14ac:dyDescent="0.25">
      <c r="B22" s="1221">
        <v>18</v>
      </c>
      <c r="C22" s="1181" t="s">
        <v>1060</v>
      </c>
      <c r="D22" s="1182" t="s">
        <v>1303</v>
      </c>
      <c r="E22" s="1199">
        <f>VLOOKUP($C22,[30]Dung!$C$2:$G$98,5,0)</f>
        <v>42095</v>
      </c>
      <c r="F22" s="1199">
        <v>44562</v>
      </c>
      <c r="G22" s="1194">
        <v>1</v>
      </c>
      <c r="H22" s="1199">
        <v>44926</v>
      </c>
      <c r="I22" s="1183">
        <f>VLOOKUP($C22,[30]NGọc!$B$3:$J$114,8,0)</f>
        <v>292727273</v>
      </c>
      <c r="J22" s="1183">
        <v>45582104.45414114</v>
      </c>
      <c r="K22" s="1194">
        <f t="shared" si="22"/>
        <v>11</v>
      </c>
      <c r="L22" s="1194">
        <f t="shared" si="20"/>
        <v>364</v>
      </c>
      <c r="M22" s="1195">
        <f t="shared" si="1"/>
        <v>4143827.6776491944</v>
      </c>
      <c r="N22" s="1195">
        <f t="shared" si="17"/>
        <v>125225.56168720093</v>
      </c>
      <c r="O22" s="1196">
        <v>0</v>
      </c>
      <c r="P22" s="1194">
        <v>31</v>
      </c>
      <c r="Q22" s="1195">
        <f t="shared" si="2"/>
        <v>0</v>
      </c>
      <c r="R22" s="1195">
        <f t="shared" si="18"/>
        <v>45582104.45414114</v>
      </c>
      <c r="S22" s="1195">
        <f t="shared" si="19"/>
        <v>0</v>
      </c>
      <c r="T22" s="1194">
        <v>3</v>
      </c>
      <c r="U22" s="1194" t="s">
        <v>1045</v>
      </c>
      <c r="V22" s="1201" t="s">
        <v>1043</v>
      </c>
      <c r="W22" s="1197"/>
      <c r="X22" s="1197"/>
      <c r="Y22" s="1197">
        <v>627</v>
      </c>
      <c r="Z22" s="1197" t="s">
        <v>1382</v>
      </c>
      <c r="AA22" s="1197"/>
      <c r="AB22" s="1202">
        <v>0</v>
      </c>
      <c r="AC22" s="1202">
        <v>0</v>
      </c>
      <c r="AD22" s="1202">
        <v>0</v>
      </c>
      <c r="AE22" s="1202">
        <v>0</v>
      </c>
      <c r="AF22" s="1202">
        <v>0</v>
      </c>
      <c r="AG22" s="1202">
        <v>0</v>
      </c>
      <c r="AH22" s="1202">
        <v>0</v>
      </c>
      <c r="AI22" s="1202">
        <v>0</v>
      </c>
      <c r="AJ22" s="1202">
        <v>0</v>
      </c>
      <c r="AK22" s="1202">
        <v>0</v>
      </c>
      <c r="AL22" s="1202">
        <v>0</v>
      </c>
      <c r="AM22" s="1202">
        <v>0</v>
      </c>
      <c r="AN22" s="1197"/>
      <c r="AO22" s="1197">
        <v>641</v>
      </c>
      <c r="AP22" s="1197" t="s">
        <v>1357</v>
      </c>
      <c r="AQ22" s="1197" t="s">
        <v>1383</v>
      </c>
      <c r="AR22" s="1201">
        <f t="shared" si="3"/>
        <v>0</v>
      </c>
      <c r="AS22" s="1198">
        <f t="shared" si="4"/>
        <v>0</v>
      </c>
      <c r="AT22" s="1198">
        <f t="shared" si="5"/>
        <v>49725932.131790332</v>
      </c>
      <c r="AU22" s="1201">
        <f t="shared" si="6"/>
        <v>0</v>
      </c>
      <c r="AV22" s="1198">
        <f t="shared" si="7"/>
        <v>0</v>
      </c>
      <c r="AW22" s="1198">
        <f t="shared" si="8"/>
        <v>0</v>
      </c>
      <c r="AX22" s="1198">
        <f t="shared" si="9"/>
        <v>0</v>
      </c>
      <c r="AY22" s="1198">
        <f t="shared" si="10"/>
        <v>0</v>
      </c>
      <c r="AZ22" s="1198">
        <f t="shared" si="11"/>
        <v>0</v>
      </c>
      <c r="BA22" s="1198">
        <f t="shared" si="12"/>
        <v>0</v>
      </c>
      <c r="BB22" s="1198">
        <f t="shared" si="13"/>
        <v>0</v>
      </c>
      <c r="BC22" s="1198">
        <f t="shared" si="14"/>
        <v>0</v>
      </c>
      <c r="BD22" s="1198">
        <f t="shared" si="15"/>
        <v>0</v>
      </c>
      <c r="BE22" s="1198">
        <f t="shared" si="16"/>
        <v>0</v>
      </c>
    </row>
    <row r="23" spans="2:57" x14ac:dyDescent="0.25">
      <c r="B23" s="1221">
        <v>19</v>
      </c>
      <c r="C23" s="1181" t="s">
        <v>1061</v>
      </c>
      <c r="D23" s="1182" t="s">
        <v>1304</v>
      </c>
      <c r="E23" s="1199">
        <f>VLOOKUP($C23,[30]Dung!$C$2:$G$98,5,0)</f>
        <v>41101</v>
      </c>
      <c r="F23" s="1199">
        <v>44562</v>
      </c>
      <c r="G23" s="1194">
        <v>1</v>
      </c>
      <c r="H23" s="1199">
        <v>44023</v>
      </c>
      <c r="I23" s="1183">
        <f>VLOOKUP($C23,[30]NGọc!$B$3:$J$114,8,0)</f>
        <v>190909091</v>
      </c>
      <c r="J23" s="1183">
        <v>0</v>
      </c>
      <c r="K23" s="1194">
        <v>96</v>
      </c>
      <c r="L23" s="1194">
        <v>2922</v>
      </c>
      <c r="M23" s="1195">
        <f t="shared" si="1"/>
        <v>0</v>
      </c>
      <c r="N23" s="1195">
        <f t="shared" si="17"/>
        <v>0</v>
      </c>
      <c r="O23" s="1196">
        <v>0</v>
      </c>
      <c r="P23" s="1194">
        <v>31</v>
      </c>
      <c r="Q23" s="1195">
        <f t="shared" si="2"/>
        <v>0</v>
      </c>
      <c r="R23" s="1195">
        <f t="shared" si="18"/>
        <v>0</v>
      </c>
      <c r="S23" s="1195">
        <f t="shared" si="19"/>
        <v>0</v>
      </c>
      <c r="T23" s="1194">
        <v>3</v>
      </c>
      <c r="U23" s="1194" t="s">
        <v>1045</v>
      </c>
      <c r="V23" s="1201" t="s">
        <v>1043</v>
      </c>
      <c r="W23" s="1197"/>
      <c r="X23" s="1197"/>
      <c r="Y23" s="1197">
        <v>627</v>
      </c>
      <c r="Z23" s="1197" t="s">
        <v>1382</v>
      </c>
      <c r="AA23" s="1197"/>
      <c r="AB23" s="1202">
        <v>0</v>
      </c>
      <c r="AC23" s="1202">
        <v>0</v>
      </c>
      <c r="AD23" s="1202">
        <v>0</v>
      </c>
      <c r="AE23" s="1202">
        <v>0</v>
      </c>
      <c r="AF23" s="1202">
        <v>0</v>
      </c>
      <c r="AG23" s="1202">
        <v>0</v>
      </c>
      <c r="AH23" s="1202">
        <v>0</v>
      </c>
      <c r="AI23" s="1202">
        <v>0</v>
      </c>
      <c r="AJ23" s="1202">
        <v>0</v>
      </c>
      <c r="AK23" s="1202">
        <v>0</v>
      </c>
      <c r="AL23" s="1202">
        <v>0</v>
      </c>
      <c r="AM23" s="1202">
        <v>0</v>
      </c>
      <c r="AN23" s="1197"/>
      <c r="AO23" s="1197">
        <v>641</v>
      </c>
      <c r="AP23" s="1197" t="s">
        <v>1357</v>
      </c>
      <c r="AQ23" s="1197" t="s">
        <v>1383</v>
      </c>
      <c r="AR23" s="1201">
        <f t="shared" si="3"/>
        <v>0</v>
      </c>
      <c r="AS23" s="1198">
        <f t="shared" si="4"/>
        <v>0</v>
      </c>
      <c r="AT23" s="1198">
        <f t="shared" si="5"/>
        <v>0</v>
      </c>
      <c r="AU23" s="1201">
        <f t="shared" si="6"/>
        <v>0</v>
      </c>
      <c r="AV23" s="1198">
        <f t="shared" si="7"/>
        <v>0</v>
      </c>
      <c r="AW23" s="1198">
        <f t="shared" si="8"/>
        <v>0</v>
      </c>
      <c r="AX23" s="1198">
        <f t="shared" si="9"/>
        <v>0</v>
      </c>
      <c r="AY23" s="1198">
        <f t="shared" si="10"/>
        <v>0</v>
      </c>
      <c r="AZ23" s="1198">
        <f t="shared" si="11"/>
        <v>0</v>
      </c>
      <c r="BA23" s="1198">
        <f t="shared" si="12"/>
        <v>0</v>
      </c>
      <c r="BB23" s="1198">
        <f t="shared" si="13"/>
        <v>0</v>
      </c>
      <c r="BC23" s="1198">
        <f t="shared" si="14"/>
        <v>0</v>
      </c>
      <c r="BD23" s="1198">
        <f t="shared" si="15"/>
        <v>0</v>
      </c>
      <c r="BE23" s="1198">
        <f t="shared" si="16"/>
        <v>0</v>
      </c>
    </row>
    <row r="24" spans="2:57" x14ac:dyDescent="0.25">
      <c r="B24" s="1221">
        <v>20</v>
      </c>
      <c r="C24" s="1181" t="s">
        <v>1062</v>
      </c>
      <c r="D24" s="1182" t="s">
        <v>1305</v>
      </c>
      <c r="E24" s="1199">
        <f>VLOOKUP($C24,[30]Dung!$C$2:$G$98,5,0)</f>
        <v>41106</v>
      </c>
      <c r="F24" s="1199">
        <v>44562</v>
      </c>
      <c r="G24" s="1194">
        <v>1</v>
      </c>
      <c r="H24" s="1199">
        <v>44029</v>
      </c>
      <c r="I24" s="1183">
        <f>VLOOKUP($C24,[30]NGọc!$B$3:$J$114,8,0)</f>
        <v>359090909</v>
      </c>
      <c r="J24" s="1183">
        <v>0</v>
      </c>
      <c r="K24" s="1194">
        <v>96</v>
      </c>
      <c r="L24" s="1194">
        <v>2922</v>
      </c>
      <c r="M24" s="1195">
        <f t="shared" si="1"/>
        <v>0</v>
      </c>
      <c r="N24" s="1195">
        <f t="shared" si="17"/>
        <v>0</v>
      </c>
      <c r="O24" s="1196">
        <v>0</v>
      </c>
      <c r="P24" s="1194">
        <v>31</v>
      </c>
      <c r="Q24" s="1195">
        <f t="shared" si="2"/>
        <v>0</v>
      </c>
      <c r="R24" s="1195">
        <f t="shared" si="18"/>
        <v>0</v>
      </c>
      <c r="S24" s="1195">
        <f t="shared" si="19"/>
        <v>0</v>
      </c>
      <c r="T24" s="1194" t="s">
        <v>1037</v>
      </c>
      <c r="U24" s="1194" t="s">
        <v>1037</v>
      </c>
      <c r="V24" s="1201">
        <f>O24-Q24-S24</f>
        <v>0</v>
      </c>
      <c r="W24" s="1197"/>
      <c r="X24" s="1197"/>
      <c r="Y24" s="1197">
        <v>641</v>
      </c>
      <c r="Z24" s="1197" t="s">
        <v>1038</v>
      </c>
      <c r="AA24" s="1197"/>
      <c r="AB24" s="1202">
        <v>0</v>
      </c>
      <c r="AC24" s="1202">
        <v>0</v>
      </c>
      <c r="AD24" s="1202">
        <v>0</v>
      </c>
      <c r="AE24" s="1202">
        <v>0</v>
      </c>
      <c r="AF24" s="1202">
        <v>0</v>
      </c>
      <c r="AG24" s="1202">
        <v>0</v>
      </c>
      <c r="AH24" s="1202">
        <v>0</v>
      </c>
      <c r="AI24" s="1202">
        <v>0</v>
      </c>
      <c r="AJ24" s="1202">
        <v>0</v>
      </c>
      <c r="AK24" s="1202">
        <v>0</v>
      </c>
      <c r="AL24" s="1202">
        <v>0</v>
      </c>
      <c r="AM24" s="1202">
        <v>0</v>
      </c>
      <c r="AN24" s="1197"/>
      <c r="AO24" s="1197">
        <v>641</v>
      </c>
      <c r="AP24" s="1197" t="s">
        <v>1357</v>
      </c>
      <c r="AQ24" s="1197" t="s">
        <v>1038</v>
      </c>
      <c r="AR24" s="1201">
        <f t="shared" si="3"/>
        <v>0</v>
      </c>
      <c r="AS24" s="1198">
        <f t="shared" si="4"/>
        <v>0</v>
      </c>
      <c r="AT24" s="1198">
        <f t="shared" si="5"/>
        <v>0</v>
      </c>
      <c r="AU24" s="1201">
        <f t="shared" si="6"/>
        <v>0</v>
      </c>
      <c r="AV24" s="1198">
        <f t="shared" si="7"/>
        <v>0</v>
      </c>
      <c r="AW24" s="1198">
        <f t="shared" si="8"/>
        <v>0</v>
      </c>
      <c r="AX24" s="1198">
        <f t="shared" si="9"/>
        <v>0</v>
      </c>
      <c r="AY24" s="1198">
        <f t="shared" si="10"/>
        <v>0</v>
      </c>
      <c r="AZ24" s="1198">
        <f t="shared" si="11"/>
        <v>0</v>
      </c>
      <c r="BA24" s="1198">
        <f t="shared" si="12"/>
        <v>0</v>
      </c>
      <c r="BB24" s="1198">
        <f t="shared" si="13"/>
        <v>0</v>
      </c>
      <c r="BC24" s="1198">
        <f t="shared" si="14"/>
        <v>0</v>
      </c>
      <c r="BD24" s="1198">
        <f t="shared" si="15"/>
        <v>0</v>
      </c>
      <c r="BE24" s="1198">
        <f t="shared" si="16"/>
        <v>0</v>
      </c>
    </row>
    <row r="25" spans="2:57" x14ac:dyDescent="0.25">
      <c r="B25" s="1221">
        <v>21</v>
      </c>
      <c r="C25" s="1181" t="s">
        <v>1063</v>
      </c>
      <c r="D25" s="1182" t="s">
        <v>1306</v>
      </c>
      <c r="E25" s="1199">
        <f>VLOOKUP($C25,[30]Dung!$C$2:$G$98,5,0)</f>
        <v>42297</v>
      </c>
      <c r="F25" s="1199">
        <v>44562</v>
      </c>
      <c r="G25" s="1194">
        <v>1</v>
      </c>
      <c r="H25" s="1199">
        <v>44926</v>
      </c>
      <c r="I25" s="1183">
        <f>VLOOKUP($C25,[30]NGọc!$B$3:$J$114,8,0)</f>
        <v>242727272</v>
      </c>
      <c r="J25" s="1183">
        <v>54576255.203285456</v>
      </c>
      <c r="K25" s="1194">
        <f>DATEDIF(F25,H25,"m")</f>
        <v>11</v>
      </c>
      <c r="L25" s="1194">
        <f>DATEDIF(F25,H25,"d")</f>
        <v>364</v>
      </c>
      <c r="M25" s="1195">
        <f t="shared" si="1"/>
        <v>4961477.7457532231</v>
      </c>
      <c r="N25" s="1195">
        <f t="shared" si="17"/>
        <v>149934.76704199301</v>
      </c>
      <c r="O25" s="1196">
        <v>0</v>
      </c>
      <c r="P25" s="1194">
        <v>31</v>
      </c>
      <c r="Q25" s="1195">
        <f t="shared" si="2"/>
        <v>0</v>
      </c>
      <c r="R25" s="1195">
        <f t="shared" si="18"/>
        <v>54576255.203285456</v>
      </c>
      <c r="S25" s="1195">
        <f t="shared" si="19"/>
        <v>0</v>
      </c>
      <c r="T25" s="1194"/>
      <c r="U25" s="1194" t="s">
        <v>1045</v>
      </c>
      <c r="V25" s="1201" t="s">
        <v>1043</v>
      </c>
      <c r="W25" s="1197"/>
      <c r="X25" s="1197"/>
      <c r="Y25" s="1197">
        <v>641</v>
      </c>
      <c r="Z25" s="1197" t="s">
        <v>1382</v>
      </c>
      <c r="AA25" s="1197"/>
      <c r="AB25" s="1202">
        <v>0</v>
      </c>
      <c r="AC25" s="1202">
        <v>0</v>
      </c>
      <c r="AD25" s="1202">
        <v>0</v>
      </c>
      <c r="AE25" s="1202">
        <v>0</v>
      </c>
      <c r="AF25" s="1202">
        <v>0</v>
      </c>
      <c r="AG25" s="1202">
        <v>0</v>
      </c>
      <c r="AH25" s="1202">
        <v>0</v>
      </c>
      <c r="AI25" s="1202">
        <v>0</v>
      </c>
      <c r="AJ25" s="1202">
        <v>0</v>
      </c>
      <c r="AK25" s="1202">
        <v>0</v>
      </c>
      <c r="AL25" s="1202">
        <v>0</v>
      </c>
      <c r="AM25" s="1202">
        <v>0</v>
      </c>
      <c r="AN25" s="1197"/>
      <c r="AO25" s="1197">
        <v>641</v>
      </c>
      <c r="AP25" s="1197" t="s">
        <v>1357</v>
      </c>
      <c r="AQ25" s="1197" t="s">
        <v>1382</v>
      </c>
      <c r="AR25" s="1201">
        <f t="shared" si="3"/>
        <v>0</v>
      </c>
      <c r="AS25" s="1198">
        <f t="shared" si="4"/>
        <v>0</v>
      </c>
      <c r="AT25" s="1198">
        <f t="shared" si="5"/>
        <v>59537732.949038677</v>
      </c>
      <c r="AU25" s="1201">
        <f t="shared" si="6"/>
        <v>0</v>
      </c>
      <c r="AV25" s="1198">
        <f t="shared" si="7"/>
        <v>0</v>
      </c>
      <c r="AW25" s="1198">
        <f t="shared" si="8"/>
        <v>0</v>
      </c>
      <c r="AX25" s="1198">
        <f t="shared" si="9"/>
        <v>0</v>
      </c>
      <c r="AY25" s="1198">
        <f t="shared" si="10"/>
        <v>0</v>
      </c>
      <c r="AZ25" s="1198">
        <f t="shared" si="11"/>
        <v>0</v>
      </c>
      <c r="BA25" s="1198">
        <f t="shared" si="12"/>
        <v>0</v>
      </c>
      <c r="BB25" s="1198">
        <f t="shared" si="13"/>
        <v>0</v>
      </c>
      <c r="BC25" s="1198">
        <f t="shared" si="14"/>
        <v>0</v>
      </c>
      <c r="BD25" s="1198">
        <f t="shared" si="15"/>
        <v>0</v>
      </c>
      <c r="BE25" s="1198">
        <f t="shared" si="16"/>
        <v>0</v>
      </c>
    </row>
    <row r="26" spans="2:57" x14ac:dyDescent="0.25">
      <c r="B26" s="1221">
        <v>22</v>
      </c>
      <c r="C26" s="1181" t="s">
        <v>1064</v>
      </c>
      <c r="D26" s="1182" t="s">
        <v>1307</v>
      </c>
      <c r="E26" s="1199">
        <f>VLOOKUP($C26,[30]Dung!$C$2:$G$98,5,0)</f>
        <v>42094</v>
      </c>
      <c r="F26" s="1199">
        <v>44562</v>
      </c>
      <c r="G26" s="1194">
        <v>1</v>
      </c>
      <c r="H26" s="1199">
        <v>44926</v>
      </c>
      <c r="I26" s="1183">
        <f>VLOOKUP($C26,[30]NGọc!$B$3:$J$114,8,0)</f>
        <v>227272727</v>
      </c>
      <c r="J26" s="1183">
        <v>35312052.723477155</v>
      </c>
      <c r="K26" s="1194">
        <f>DATEDIF(F26,H26,"m")</f>
        <v>11</v>
      </c>
      <c r="L26" s="1194">
        <f>DATEDIF(F26,H26,"d")</f>
        <v>364</v>
      </c>
      <c r="M26" s="1195">
        <f t="shared" si="1"/>
        <v>3210186.6112251957</v>
      </c>
      <c r="N26" s="1195">
        <f t="shared" si="17"/>
        <v>97011.133855706474</v>
      </c>
      <c r="O26" s="1196">
        <v>0</v>
      </c>
      <c r="P26" s="1194">
        <v>31</v>
      </c>
      <c r="Q26" s="1195">
        <f t="shared" si="2"/>
        <v>0</v>
      </c>
      <c r="R26" s="1195">
        <f t="shared" si="18"/>
        <v>35312052.723477155</v>
      </c>
      <c r="S26" s="1195">
        <f t="shared" si="19"/>
        <v>0</v>
      </c>
      <c r="T26" s="1194"/>
      <c r="U26" s="1194" t="s">
        <v>1045</v>
      </c>
      <c r="V26" s="1201" t="s">
        <v>1043</v>
      </c>
      <c r="W26" s="1197"/>
      <c r="X26" s="1197"/>
      <c r="Y26" s="1197">
        <v>641</v>
      </c>
      <c r="Z26" s="1197" t="s">
        <v>1382</v>
      </c>
      <c r="AA26" s="1197"/>
      <c r="AB26" s="1202">
        <v>0</v>
      </c>
      <c r="AC26" s="1202">
        <v>0</v>
      </c>
      <c r="AD26" s="1202">
        <v>0</v>
      </c>
      <c r="AE26" s="1202">
        <v>0</v>
      </c>
      <c r="AF26" s="1202">
        <v>0</v>
      </c>
      <c r="AG26" s="1202">
        <v>0</v>
      </c>
      <c r="AH26" s="1202">
        <v>0</v>
      </c>
      <c r="AI26" s="1202">
        <v>0</v>
      </c>
      <c r="AJ26" s="1202">
        <v>0</v>
      </c>
      <c r="AK26" s="1202">
        <v>0</v>
      </c>
      <c r="AL26" s="1202">
        <v>0</v>
      </c>
      <c r="AM26" s="1202">
        <v>0</v>
      </c>
      <c r="AN26" s="1197"/>
      <c r="AO26" s="1197">
        <v>641</v>
      </c>
      <c r="AP26" s="1197" t="s">
        <v>1357</v>
      </c>
      <c r="AQ26" s="1197" t="s">
        <v>1382</v>
      </c>
      <c r="AR26" s="1201">
        <f t="shared" si="3"/>
        <v>0</v>
      </c>
      <c r="AS26" s="1198">
        <f t="shared" si="4"/>
        <v>0</v>
      </c>
      <c r="AT26" s="1198">
        <f t="shared" si="5"/>
        <v>38522239.33470235</v>
      </c>
      <c r="AU26" s="1201">
        <f t="shared" si="6"/>
        <v>0</v>
      </c>
      <c r="AV26" s="1198">
        <f t="shared" si="7"/>
        <v>0</v>
      </c>
      <c r="AW26" s="1198">
        <f t="shared" si="8"/>
        <v>0</v>
      </c>
      <c r="AX26" s="1198">
        <f t="shared" si="9"/>
        <v>0</v>
      </c>
      <c r="AY26" s="1198">
        <f t="shared" si="10"/>
        <v>0</v>
      </c>
      <c r="AZ26" s="1198">
        <f t="shared" si="11"/>
        <v>0</v>
      </c>
      <c r="BA26" s="1198">
        <f t="shared" si="12"/>
        <v>0</v>
      </c>
      <c r="BB26" s="1198">
        <f t="shared" si="13"/>
        <v>0</v>
      </c>
      <c r="BC26" s="1198">
        <f t="shared" si="14"/>
        <v>0</v>
      </c>
      <c r="BD26" s="1198">
        <f t="shared" si="15"/>
        <v>0</v>
      </c>
      <c r="BE26" s="1198">
        <f t="shared" si="16"/>
        <v>0</v>
      </c>
    </row>
    <row r="27" spans="2:57" x14ac:dyDescent="0.25">
      <c r="B27" s="1221">
        <v>23</v>
      </c>
      <c r="C27" s="1181" t="s">
        <v>1065</v>
      </c>
      <c r="D27" s="1182" t="s">
        <v>1305</v>
      </c>
      <c r="E27" s="1199">
        <f>VLOOKUP($C27,[30]Dung!$C$2:$G$98,5,0)</f>
        <v>41055</v>
      </c>
      <c r="F27" s="1199">
        <v>44562</v>
      </c>
      <c r="G27" s="1194">
        <v>1</v>
      </c>
      <c r="H27" s="1199">
        <v>43977</v>
      </c>
      <c r="I27" s="1183">
        <f>VLOOKUP($C27,[30]NGọc!$B$3:$J$114,8,0)</f>
        <v>342727273</v>
      </c>
      <c r="J27" s="1183">
        <v>0</v>
      </c>
      <c r="K27" s="1194">
        <v>96</v>
      </c>
      <c r="L27" s="1194">
        <v>2922</v>
      </c>
      <c r="M27" s="1195">
        <f t="shared" si="1"/>
        <v>0</v>
      </c>
      <c r="N27" s="1195">
        <f t="shared" si="17"/>
        <v>0</v>
      </c>
      <c r="O27" s="1196">
        <v>0</v>
      </c>
      <c r="P27" s="1194">
        <v>31</v>
      </c>
      <c r="Q27" s="1195">
        <f t="shared" si="2"/>
        <v>0</v>
      </c>
      <c r="R27" s="1195">
        <f t="shared" si="18"/>
        <v>0</v>
      </c>
      <c r="S27" s="1195">
        <f t="shared" si="19"/>
        <v>0</v>
      </c>
      <c r="T27" s="1194">
        <v>1</v>
      </c>
      <c r="U27" s="1194" t="s">
        <v>1066</v>
      </c>
      <c r="V27" s="1201">
        <f>O27-Q27-S27</f>
        <v>0</v>
      </c>
      <c r="W27" s="1197"/>
      <c r="X27" s="1197"/>
      <c r="Y27" s="1197">
        <v>641</v>
      </c>
      <c r="Z27" s="1197" t="s">
        <v>1038</v>
      </c>
      <c r="AA27" s="1197"/>
      <c r="AB27" s="1202">
        <v>0</v>
      </c>
      <c r="AC27" s="1202">
        <v>0</v>
      </c>
      <c r="AD27" s="1202">
        <v>0</v>
      </c>
      <c r="AE27" s="1202">
        <v>0</v>
      </c>
      <c r="AF27" s="1202">
        <v>0</v>
      </c>
      <c r="AG27" s="1202">
        <v>0</v>
      </c>
      <c r="AH27" s="1202">
        <v>0</v>
      </c>
      <c r="AI27" s="1202">
        <v>0</v>
      </c>
      <c r="AJ27" s="1202">
        <v>0</v>
      </c>
      <c r="AK27" s="1202">
        <v>0</v>
      </c>
      <c r="AL27" s="1202">
        <v>0</v>
      </c>
      <c r="AM27" s="1202">
        <v>0</v>
      </c>
      <c r="AN27" s="1197"/>
      <c r="AO27" s="1197">
        <v>641</v>
      </c>
      <c r="AP27" s="1197" t="s">
        <v>1357</v>
      </c>
      <c r="AQ27" s="1197" t="s">
        <v>1038</v>
      </c>
      <c r="AR27" s="1201">
        <f t="shared" si="3"/>
        <v>0</v>
      </c>
      <c r="AS27" s="1198">
        <f t="shared" si="4"/>
        <v>0</v>
      </c>
      <c r="AT27" s="1198">
        <f t="shared" si="5"/>
        <v>0</v>
      </c>
      <c r="AU27" s="1201">
        <f t="shared" si="6"/>
        <v>0</v>
      </c>
      <c r="AV27" s="1198">
        <f t="shared" si="7"/>
        <v>0</v>
      </c>
      <c r="AW27" s="1198">
        <f t="shared" si="8"/>
        <v>0</v>
      </c>
      <c r="AX27" s="1198">
        <f t="shared" si="9"/>
        <v>0</v>
      </c>
      <c r="AY27" s="1198">
        <f t="shared" si="10"/>
        <v>0</v>
      </c>
      <c r="AZ27" s="1198">
        <f t="shared" si="11"/>
        <v>0</v>
      </c>
      <c r="BA27" s="1198">
        <f t="shared" si="12"/>
        <v>0</v>
      </c>
      <c r="BB27" s="1198">
        <f t="shared" si="13"/>
        <v>0</v>
      </c>
      <c r="BC27" s="1198">
        <f t="shared" si="14"/>
        <v>0</v>
      </c>
      <c r="BD27" s="1198">
        <f t="shared" si="15"/>
        <v>0</v>
      </c>
      <c r="BE27" s="1198">
        <f t="shared" si="16"/>
        <v>0</v>
      </c>
    </row>
    <row r="28" spans="2:57" x14ac:dyDescent="0.25">
      <c r="B28" s="1221">
        <v>24</v>
      </c>
      <c r="C28" s="1181" t="s">
        <v>1067</v>
      </c>
      <c r="D28" s="1182" t="s">
        <v>1308</v>
      </c>
      <c r="E28" s="1199">
        <f>VLOOKUP($C28,[30]Dung!$C$2:$G$98,5,0)</f>
        <v>42583</v>
      </c>
      <c r="F28" s="1199">
        <v>44562</v>
      </c>
      <c r="G28" s="1194">
        <v>1</v>
      </c>
      <c r="H28" s="1199">
        <v>44926</v>
      </c>
      <c r="I28" s="1183">
        <f>VLOOKUP($C28,[30]NGọc!$B$3:$J$114,8,0)</f>
        <v>292727273</v>
      </c>
      <c r="J28" s="1183">
        <v>94470163.736824244</v>
      </c>
      <c r="K28" s="1194">
        <f t="shared" ref="K28:K39" si="23">DATEDIF(F28,H28,"m")</f>
        <v>11</v>
      </c>
      <c r="L28" s="1194">
        <f t="shared" ref="L28:L39" si="24">DATEDIF(F28,H28,"d")</f>
        <v>364</v>
      </c>
      <c r="M28" s="1195">
        <f t="shared" si="1"/>
        <v>8588196.7033476587</v>
      </c>
      <c r="N28" s="1195">
        <f t="shared" si="17"/>
        <v>259533.41685940727</v>
      </c>
      <c r="O28" s="1196">
        <v>0</v>
      </c>
      <c r="P28" s="1194">
        <v>31</v>
      </c>
      <c r="Q28" s="1195">
        <f t="shared" si="2"/>
        <v>0</v>
      </c>
      <c r="R28" s="1195">
        <f t="shared" si="18"/>
        <v>94470163.736824244</v>
      </c>
      <c r="S28" s="1195">
        <f t="shared" si="19"/>
        <v>0</v>
      </c>
      <c r="T28" s="1194">
        <v>3</v>
      </c>
      <c r="U28" s="1194" t="s">
        <v>1045</v>
      </c>
      <c r="V28" s="1201" t="s">
        <v>1043</v>
      </c>
      <c r="W28" s="1197"/>
      <c r="X28" s="1197"/>
      <c r="Y28" s="1197">
        <v>627</v>
      </c>
      <c r="Z28" s="1197" t="s">
        <v>1382</v>
      </c>
      <c r="AA28" s="1197"/>
      <c r="AB28" s="1202">
        <v>0</v>
      </c>
      <c r="AC28" s="1202">
        <v>0</v>
      </c>
      <c r="AD28" s="1202">
        <v>0</v>
      </c>
      <c r="AE28" s="1202">
        <v>0</v>
      </c>
      <c r="AF28" s="1202">
        <v>0</v>
      </c>
      <c r="AG28" s="1202">
        <v>0</v>
      </c>
      <c r="AH28" s="1202">
        <v>0</v>
      </c>
      <c r="AI28" s="1202">
        <v>0</v>
      </c>
      <c r="AJ28" s="1202">
        <v>0</v>
      </c>
      <c r="AK28" s="1202">
        <v>0</v>
      </c>
      <c r="AL28" s="1202">
        <v>0</v>
      </c>
      <c r="AM28" s="1202">
        <v>0</v>
      </c>
      <c r="AN28" s="1197"/>
      <c r="AO28" s="1197">
        <v>641</v>
      </c>
      <c r="AP28" s="1197" t="s">
        <v>1357</v>
      </c>
      <c r="AQ28" s="1197" t="s">
        <v>1383</v>
      </c>
      <c r="AR28" s="1201">
        <f t="shared" si="3"/>
        <v>0</v>
      </c>
      <c r="AS28" s="1198">
        <f t="shared" si="4"/>
        <v>0</v>
      </c>
      <c r="AT28" s="1198">
        <f t="shared" si="5"/>
        <v>103058360.4401719</v>
      </c>
      <c r="AU28" s="1201">
        <f t="shared" si="6"/>
        <v>0</v>
      </c>
      <c r="AV28" s="1198">
        <f t="shared" si="7"/>
        <v>0</v>
      </c>
      <c r="AW28" s="1198">
        <f t="shared" si="8"/>
        <v>0</v>
      </c>
      <c r="AX28" s="1198">
        <f t="shared" si="9"/>
        <v>0</v>
      </c>
      <c r="AY28" s="1198">
        <f t="shared" si="10"/>
        <v>0</v>
      </c>
      <c r="AZ28" s="1198">
        <f t="shared" si="11"/>
        <v>0</v>
      </c>
      <c r="BA28" s="1198">
        <f t="shared" si="12"/>
        <v>0</v>
      </c>
      <c r="BB28" s="1198">
        <f t="shared" si="13"/>
        <v>0</v>
      </c>
      <c r="BC28" s="1198">
        <f t="shared" si="14"/>
        <v>0</v>
      </c>
      <c r="BD28" s="1198">
        <f t="shared" si="15"/>
        <v>0</v>
      </c>
      <c r="BE28" s="1198">
        <f t="shared" si="16"/>
        <v>0</v>
      </c>
    </row>
    <row r="29" spans="2:57" x14ac:dyDescent="0.25">
      <c r="B29" s="1221">
        <v>25</v>
      </c>
      <c r="C29" s="1181" t="s">
        <v>1068</v>
      </c>
      <c r="D29" s="1182" t="s">
        <v>1309</v>
      </c>
      <c r="E29" s="1199">
        <f>VLOOKUP($C29,[30]Dung!$C$2:$G$98,5,0)</f>
        <v>42583</v>
      </c>
      <c r="F29" s="1199">
        <v>44562</v>
      </c>
      <c r="G29" s="1194">
        <v>1</v>
      </c>
      <c r="H29" s="1199">
        <v>44926</v>
      </c>
      <c r="I29" s="1183">
        <f>VLOOKUP($C29,[30]NGọc!$B$3:$J$114,8,0)</f>
        <v>292727273</v>
      </c>
      <c r="J29" s="1183">
        <v>94470163.736824244</v>
      </c>
      <c r="K29" s="1194">
        <f t="shared" si="23"/>
        <v>11</v>
      </c>
      <c r="L29" s="1194">
        <f t="shared" si="24"/>
        <v>364</v>
      </c>
      <c r="M29" s="1195">
        <f t="shared" si="1"/>
        <v>8588196.7033476587</v>
      </c>
      <c r="N29" s="1195">
        <f t="shared" si="17"/>
        <v>259533.41685940727</v>
      </c>
      <c r="O29" s="1196">
        <v>0</v>
      </c>
      <c r="P29" s="1194">
        <v>31</v>
      </c>
      <c r="Q29" s="1195">
        <f t="shared" si="2"/>
        <v>0</v>
      </c>
      <c r="R29" s="1195">
        <f t="shared" si="18"/>
        <v>94470163.736824244</v>
      </c>
      <c r="S29" s="1195">
        <f t="shared" si="19"/>
        <v>0</v>
      </c>
      <c r="T29" s="1194">
        <v>3</v>
      </c>
      <c r="U29" s="1194" t="s">
        <v>1045</v>
      </c>
      <c r="V29" s="1201" t="s">
        <v>1043</v>
      </c>
      <c r="W29" s="1197"/>
      <c r="X29" s="1197"/>
      <c r="Y29" s="1197">
        <v>627</v>
      </c>
      <c r="Z29" s="1197" t="s">
        <v>1382</v>
      </c>
      <c r="AA29" s="1197"/>
      <c r="AB29" s="1202">
        <v>0</v>
      </c>
      <c r="AC29" s="1202">
        <v>0</v>
      </c>
      <c r="AD29" s="1202">
        <v>0</v>
      </c>
      <c r="AE29" s="1202">
        <v>0</v>
      </c>
      <c r="AF29" s="1202">
        <v>0</v>
      </c>
      <c r="AG29" s="1202">
        <v>0</v>
      </c>
      <c r="AH29" s="1202">
        <v>0</v>
      </c>
      <c r="AI29" s="1202">
        <v>0</v>
      </c>
      <c r="AJ29" s="1202">
        <v>0</v>
      </c>
      <c r="AK29" s="1202">
        <v>0</v>
      </c>
      <c r="AL29" s="1202">
        <v>0</v>
      </c>
      <c r="AM29" s="1202">
        <v>0</v>
      </c>
      <c r="AN29" s="1197"/>
      <c r="AO29" s="1197">
        <v>641</v>
      </c>
      <c r="AP29" s="1197" t="s">
        <v>1357</v>
      </c>
      <c r="AQ29" s="1197" t="s">
        <v>1383</v>
      </c>
      <c r="AR29" s="1201">
        <f t="shared" si="3"/>
        <v>0</v>
      </c>
      <c r="AS29" s="1198">
        <f t="shared" si="4"/>
        <v>0</v>
      </c>
      <c r="AT29" s="1198">
        <f t="shared" si="5"/>
        <v>103058360.4401719</v>
      </c>
      <c r="AU29" s="1201">
        <f t="shared" si="6"/>
        <v>0</v>
      </c>
      <c r="AV29" s="1198">
        <f t="shared" si="7"/>
        <v>0</v>
      </c>
      <c r="AW29" s="1198">
        <f t="shared" si="8"/>
        <v>0</v>
      </c>
      <c r="AX29" s="1198">
        <f t="shared" si="9"/>
        <v>0</v>
      </c>
      <c r="AY29" s="1198">
        <f t="shared" si="10"/>
        <v>0</v>
      </c>
      <c r="AZ29" s="1198">
        <f t="shared" si="11"/>
        <v>0</v>
      </c>
      <c r="BA29" s="1198">
        <f t="shared" si="12"/>
        <v>0</v>
      </c>
      <c r="BB29" s="1198">
        <f t="shared" si="13"/>
        <v>0</v>
      </c>
      <c r="BC29" s="1198">
        <f t="shared" si="14"/>
        <v>0</v>
      </c>
      <c r="BD29" s="1198">
        <f t="shared" si="15"/>
        <v>0</v>
      </c>
      <c r="BE29" s="1198">
        <f t="shared" si="16"/>
        <v>0</v>
      </c>
    </row>
    <row r="30" spans="2:57" x14ac:dyDescent="0.25">
      <c r="B30" s="1221">
        <v>26</v>
      </c>
      <c r="C30" s="1181" t="s">
        <v>1069</v>
      </c>
      <c r="D30" s="1182" t="s">
        <v>1310</v>
      </c>
      <c r="E30" s="1199">
        <f>VLOOKUP($C30,[30]Dung!$C$2:$G$98,5,0)</f>
        <v>42278</v>
      </c>
      <c r="F30" s="1199">
        <v>44562</v>
      </c>
      <c r="G30" s="1194">
        <v>1</v>
      </c>
      <c r="H30" s="1199">
        <v>44926</v>
      </c>
      <c r="I30" s="1183">
        <f>VLOOKUP($C30,[30]NGọc!$B$3:$J$114,8,0)</f>
        <v>292727273</v>
      </c>
      <c r="J30" s="1183">
        <v>63915126.685147315</v>
      </c>
      <c r="K30" s="1194">
        <f t="shared" si="23"/>
        <v>11</v>
      </c>
      <c r="L30" s="1194">
        <f t="shared" si="24"/>
        <v>364</v>
      </c>
      <c r="M30" s="1195">
        <f t="shared" si="1"/>
        <v>5810466.0622861199</v>
      </c>
      <c r="N30" s="1195">
        <f t="shared" si="17"/>
        <v>175591.00737677835</v>
      </c>
      <c r="O30" s="1196">
        <v>0</v>
      </c>
      <c r="P30" s="1194">
        <v>31</v>
      </c>
      <c r="Q30" s="1195">
        <f t="shared" si="2"/>
        <v>0</v>
      </c>
      <c r="R30" s="1195">
        <f t="shared" si="18"/>
        <v>63915126.685147315</v>
      </c>
      <c r="S30" s="1195">
        <f t="shared" si="19"/>
        <v>0</v>
      </c>
      <c r="T30" s="1194">
        <v>3</v>
      </c>
      <c r="U30" s="1194" t="s">
        <v>1045</v>
      </c>
      <c r="V30" s="1201" t="s">
        <v>1043</v>
      </c>
      <c r="W30" s="1197"/>
      <c r="X30" s="1197"/>
      <c r="Y30" s="1197">
        <v>627</v>
      </c>
      <c r="Z30" s="1197" t="s">
        <v>1382</v>
      </c>
      <c r="AA30" s="1197"/>
      <c r="AB30" s="1202">
        <v>0</v>
      </c>
      <c r="AC30" s="1202">
        <v>0</v>
      </c>
      <c r="AD30" s="1202">
        <v>0</v>
      </c>
      <c r="AE30" s="1202">
        <v>0</v>
      </c>
      <c r="AF30" s="1202">
        <v>0</v>
      </c>
      <c r="AG30" s="1202">
        <v>0</v>
      </c>
      <c r="AH30" s="1202">
        <v>0</v>
      </c>
      <c r="AI30" s="1202">
        <v>0</v>
      </c>
      <c r="AJ30" s="1202">
        <v>0</v>
      </c>
      <c r="AK30" s="1202">
        <v>0</v>
      </c>
      <c r="AL30" s="1202">
        <v>0</v>
      </c>
      <c r="AM30" s="1202">
        <v>0</v>
      </c>
      <c r="AN30" s="1197"/>
      <c r="AO30" s="1197">
        <v>641</v>
      </c>
      <c r="AP30" s="1197" t="s">
        <v>1357</v>
      </c>
      <c r="AQ30" s="1197" t="s">
        <v>1383</v>
      </c>
      <c r="AR30" s="1201">
        <f t="shared" si="3"/>
        <v>0</v>
      </c>
      <c r="AS30" s="1198">
        <f t="shared" si="4"/>
        <v>0</v>
      </c>
      <c r="AT30" s="1198">
        <f t="shared" si="5"/>
        <v>69725592.747433439</v>
      </c>
      <c r="AU30" s="1201">
        <f t="shared" si="6"/>
        <v>0</v>
      </c>
      <c r="AV30" s="1198">
        <f t="shared" si="7"/>
        <v>0</v>
      </c>
      <c r="AW30" s="1198">
        <f t="shared" si="8"/>
        <v>0</v>
      </c>
      <c r="AX30" s="1198">
        <f t="shared" si="9"/>
        <v>0</v>
      </c>
      <c r="AY30" s="1198">
        <f t="shared" si="10"/>
        <v>0</v>
      </c>
      <c r="AZ30" s="1198">
        <f t="shared" si="11"/>
        <v>0</v>
      </c>
      <c r="BA30" s="1198">
        <f t="shared" si="12"/>
        <v>0</v>
      </c>
      <c r="BB30" s="1198">
        <f t="shared" si="13"/>
        <v>0</v>
      </c>
      <c r="BC30" s="1198">
        <f t="shared" si="14"/>
        <v>0</v>
      </c>
      <c r="BD30" s="1198">
        <f t="shared" si="15"/>
        <v>0</v>
      </c>
      <c r="BE30" s="1198">
        <f t="shared" si="16"/>
        <v>0</v>
      </c>
    </row>
    <row r="31" spans="2:57" x14ac:dyDescent="0.25">
      <c r="B31" s="1221">
        <v>27</v>
      </c>
      <c r="C31" s="1181" t="s">
        <v>1070</v>
      </c>
      <c r="D31" s="1182" t="s">
        <v>1311</v>
      </c>
      <c r="E31" s="1199">
        <f>VLOOKUP($C31,[30]Dung!$C$2:$G$98,5,0)</f>
        <v>42220</v>
      </c>
      <c r="F31" s="1199">
        <v>44562</v>
      </c>
      <c r="G31" s="1194">
        <v>1</v>
      </c>
      <c r="H31" s="1199">
        <v>44926</v>
      </c>
      <c r="I31" s="1183">
        <f>VLOOKUP($C31,[30]NGọc!$B$3:$J$114,8,0)</f>
        <v>318181818</v>
      </c>
      <c r="J31" s="1183">
        <v>63157239.712525725</v>
      </c>
      <c r="K31" s="1194">
        <f t="shared" si="23"/>
        <v>11</v>
      </c>
      <c r="L31" s="1194">
        <f t="shared" si="24"/>
        <v>364</v>
      </c>
      <c r="M31" s="1195">
        <f t="shared" si="1"/>
        <v>5741567.2465932481</v>
      </c>
      <c r="N31" s="1195">
        <f t="shared" si="17"/>
        <v>173508.9003091366</v>
      </c>
      <c r="O31" s="1196">
        <v>0</v>
      </c>
      <c r="P31" s="1194">
        <v>31</v>
      </c>
      <c r="Q31" s="1195">
        <f t="shared" si="2"/>
        <v>0</v>
      </c>
      <c r="R31" s="1195">
        <f t="shared" si="18"/>
        <v>63157239.712525725</v>
      </c>
      <c r="S31" s="1195">
        <f t="shared" si="19"/>
        <v>0</v>
      </c>
      <c r="T31" s="1194" t="s">
        <v>1071</v>
      </c>
      <c r="U31" s="1194" t="s">
        <v>1045</v>
      </c>
      <c r="V31" s="1201" t="s">
        <v>1043</v>
      </c>
      <c r="W31" s="1197"/>
      <c r="X31" s="1197"/>
      <c r="Y31" s="1197">
        <v>627</v>
      </c>
      <c r="Z31" s="1197" t="s">
        <v>1382</v>
      </c>
      <c r="AA31" s="1197"/>
      <c r="AB31" s="1202">
        <v>0</v>
      </c>
      <c r="AC31" s="1202">
        <v>0</v>
      </c>
      <c r="AD31" s="1202">
        <v>0</v>
      </c>
      <c r="AE31" s="1202">
        <v>0</v>
      </c>
      <c r="AF31" s="1202">
        <v>0</v>
      </c>
      <c r="AG31" s="1202">
        <v>0</v>
      </c>
      <c r="AH31" s="1202">
        <v>0</v>
      </c>
      <c r="AI31" s="1202">
        <v>0</v>
      </c>
      <c r="AJ31" s="1202">
        <v>0</v>
      </c>
      <c r="AK31" s="1202">
        <v>0</v>
      </c>
      <c r="AL31" s="1202">
        <v>0</v>
      </c>
      <c r="AM31" s="1202">
        <v>0</v>
      </c>
      <c r="AN31" s="1197"/>
      <c r="AO31" s="1197">
        <v>641</v>
      </c>
      <c r="AP31" s="1197" t="s">
        <v>1357</v>
      </c>
      <c r="AQ31" s="1197" t="s">
        <v>1383</v>
      </c>
      <c r="AR31" s="1201">
        <f t="shared" si="3"/>
        <v>0</v>
      </c>
      <c r="AS31" s="1198">
        <f t="shared" si="4"/>
        <v>0</v>
      </c>
      <c r="AT31" s="1198">
        <f t="shared" si="5"/>
        <v>68898806.959118977</v>
      </c>
      <c r="AU31" s="1201">
        <f t="shared" si="6"/>
        <v>0</v>
      </c>
      <c r="AV31" s="1198">
        <f t="shared" si="7"/>
        <v>0</v>
      </c>
      <c r="AW31" s="1198">
        <f t="shared" si="8"/>
        <v>0</v>
      </c>
      <c r="AX31" s="1198">
        <f t="shared" si="9"/>
        <v>0</v>
      </c>
      <c r="AY31" s="1198">
        <f t="shared" si="10"/>
        <v>0</v>
      </c>
      <c r="AZ31" s="1198">
        <f t="shared" si="11"/>
        <v>0</v>
      </c>
      <c r="BA31" s="1198">
        <f t="shared" si="12"/>
        <v>0</v>
      </c>
      <c r="BB31" s="1198">
        <f t="shared" si="13"/>
        <v>0</v>
      </c>
      <c r="BC31" s="1198">
        <f t="shared" si="14"/>
        <v>0</v>
      </c>
      <c r="BD31" s="1198">
        <f t="shared" si="15"/>
        <v>0</v>
      </c>
      <c r="BE31" s="1198">
        <f t="shared" si="16"/>
        <v>0</v>
      </c>
    </row>
    <row r="32" spans="2:57" x14ac:dyDescent="0.25">
      <c r="B32" s="1221">
        <v>28</v>
      </c>
      <c r="C32" s="1181" t="s">
        <v>1072</v>
      </c>
      <c r="D32" s="1182" t="s">
        <v>1312</v>
      </c>
      <c r="E32" s="1199">
        <f>VLOOKUP($C32,[30]Dung!$C$2:$G$98,5,0)</f>
        <v>42583</v>
      </c>
      <c r="F32" s="1199">
        <v>44562</v>
      </c>
      <c r="G32" s="1194">
        <v>1</v>
      </c>
      <c r="H32" s="1199">
        <v>44926</v>
      </c>
      <c r="I32" s="1183">
        <f>VLOOKUP($C32,[30]NGọc!$B$3:$J$114,8,0)</f>
        <v>292727273</v>
      </c>
      <c r="J32" s="1183">
        <v>94470163.736824244</v>
      </c>
      <c r="K32" s="1194">
        <f t="shared" si="23"/>
        <v>11</v>
      </c>
      <c r="L32" s="1194">
        <f t="shared" si="24"/>
        <v>364</v>
      </c>
      <c r="M32" s="1195">
        <f t="shared" si="1"/>
        <v>8588196.7033476587</v>
      </c>
      <c r="N32" s="1195">
        <f t="shared" si="17"/>
        <v>259533.41685940727</v>
      </c>
      <c r="O32" s="1196">
        <v>0</v>
      </c>
      <c r="P32" s="1194">
        <v>31</v>
      </c>
      <c r="Q32" s="1195">
        <f t="shared" si="2"/>
        <v>0</v>
      </c>
      <c r="R32" s="1195">
        <f t="shared" si="18"/>
        <v>94470163.736824244</v>
      </c>
      <c r="S32" s="1195">
        <f t="shared" si="19"/>
        <v>0</v>
      </c>
      <c r="T32" s="1194" t="s">
        <v>1073</v>
      </c>
      <c r="U32" s="1194" t="s">
        <v>1045</v>
      </c>
      <c r="V32" s="1201" t="s">
        <v>1043</v>
      </c>
      <c r="W32" s="1197"/>
      <c r="X32" s="1197"/>
      <c r="Y32" s="1197">
        <v>627</v>
      </c>
      <c r="Z32" s="1197" t="s">
        <v>1382</v>
      </c>
      <c r="AA32" s="1197"/>
      <c r="AB32" s="1202">
        <v>0</v>
      </c>
      <c r="AC32" s="1202">
        <v>0</v>
      </c>
      <c r="AD32" s="1202">
        <v>0</v>
      </c>
      <c r="AE32" s="1202">
        <v>0</v>
      </c>
      <c r="AF32" s="1202">
        <v>0</v>
      </c>
      <c r="AG32" s="1202">
        <v>0</v>
      </c>
      <c r="AH32" s="1202">
        <v>0</v>
      </c>
      <c r="AI32" s="1202">
        <v>0</v>
      </c>
      <c r="AJ32" s="1202">
        <v>0</v>
      </c>
      <c r="AK32" s="1202">
        <v>0</v>
      </c>
      <c r="AL32" s="1202">
        <v>0</v>
      </c>
      <c r="AM32" s="1202">
        <v>0</v>
      </c>
      <c r="AN32" s="1197"/>
      <c r="AO32" s="1197">
        <v>641</v>
      </c>
      <c r="AP32" s="1197" t="s">
        <v>1357</v>
      </c>
      <c r="AQ32" s="1197" t="s">
        <v>1383</v>
      </c>
      <c r="AR32" s="1201">
        <f t="shared" si="3"/>
        <v>0</v>
      </c>
      <c r="AS32" s="1198">
        <f t="shared" si="4"/>
        <v>0</v>
      </c>
      <c r="AT32" s="1198">
        <f t="shared" si="5"/>
        <v>103058360.4401719</v>
      </c>
      <c r="AU32" s="1201">
        <f t="shared" si="6"/>
        <v>0</v>
      </c>
      <c r="AV32" s="1198">
        <f t="shared" si="7"/>
        <v>0</v>
      </c>
      <c r="AW32" s="1198">
        <f t="shared" si="8"/>
        <v>0</v>
      </c>
      <c r="AX32" s="1198">
        <f t="shared" si="9"/>
        <v>0</v>
      </c>
      <c r="AY32" s="1198">
        <f t="shared" si="10"/>
        <v>0</v>
      </c>
      <c r="AZ32" s="1198">
        <f t="shared" si="11"/>
        <v>0</v>
      </c>
      <c r="BA32" s="1198">
        <f t="shared" si="12"/>
        <v>0</v>
      </c>
      <c r="BB32" s="1198">
        <f t="shared" si="13"/>
        <v>0</v>
      </c>
      <c r="BC32" s="1198">
        <f t="shared" si="14"/>
        <v>0</v>
      </c>
      <c r="BD32" s="1198">
        <f t="shared" si="15"/>
        <v>0</v>
      </c>
      <c r="BE32" s="1198">
        <f t="shared" si="16"/>
        <v>0</v>
      </c>
    </row>
    <row r="33" spans="2:57" ht="31.5" x14ac:dyDescent="0.25">
      <c r="B33" s="1221">
        <v>29</v>
      </c>
      <c r="C33" s="1181" t="s">
        <v>1074</v>
      </c>
      <c r="D33" s="1182" t="s">
        <v>1313</v>
      </c>
      <c r="E33" s="1199">
        <v>43465</v>
      </c>
      <c r="F33" s="1199">
        <v>44562</v>
      </c>
      <c r="G33" s="1194">
        <v>1</v>
      </c>
      <c r="H33" s="1199">
        <v>45291</v>
      </c>
      <c r="I33" s="1183">
        <f>VLOOKUP($C33,[30]NGọc!$B$3:$J$114,8,0)</f>
        <v>0</v>
      </c>
      <c r="J33" s="1183">
        <v>0</v>
      </c>
      <c r="K33" s="1194">
        <f t="shared" si="23"/>
        <v>23</v>
      </c>
      <c r="L33" s="1194">
        <f t="shared" si="24"/>
        <v>729</v>
      </c>
      <c r="M33" s="1195">
        <f t="shared" si="1"/>
        <v>0</v>
      </c>
      <c r="N33" s="1195">
        <f t="shared" si="17"/>
        <v>0</v>
      </c>
      <c r="O33" s="1196">
        <v>0</v>
      </c>
      <c r="P33" s="1194">
        <v>31</v>
      </c>
      <c r="Q33" s="1195">
        <f t="shared" si="2"/>
        <v>0</v>
      </c>
      <c r="R33" s="1195">
        <f t="shared" si="18"/>
        <v>0</v>
      </c>
      <c r="S33" s="1195">
        <f t="shared" si="19"/>
        <v>0</v>
      </c>
      <c r="T33" s="1194"/>
      <c r="U33" s="1194" t="s">
        <v>1045</v>
      </c>
      <c r="V33" s="1201" t="s">
        <v>1043</v>
      </c>
      <c r="W33" s="1197"/>
      <c r="X33" s="1197"/>
      <c r="Y33" s="1197">
        <v>627</v>
      </c>
      <c r="Z33" s="1197" t="s">
        <v>1382</v>
      </c>
      <c r="AA33" s="1197"/>
      <c r="AB33" s="1202">
        <v>0</v>
      </c>
      <c r="AC33" s="1202">
        <v>0</v>
      </c>
      <c r="AD33" s="1202">
        <v>0</v>
      </c>
      <c r="AE33" s="1202">
        <v>0</v>
      </c>
      <c r="AF33" s="1202">
        <v>0</v>
      </c>
      <c r="AG33" s="1202">
        <v>0</v>
      </c>
      <c r="AH33" s="1202">
        <v>0</v>
      </c>
      <c r="AI33" s="1202">
        <v>0</v>
      </c>
      <c r="AJ33" s="1202">
        <v>0</v>
      </c>
      <c r="AK33" s="1202">
        <v>0</v>
      </c>
      <c r="AL33" s="1202">
        <v>0</v>
      </c>
      <c r="AM33" s="1202">
        <v>0</v>
      </c>
      <c r="AN33" s="1197"/>
      <c r="AO33" s="1197">
        <v>641</v>
      </c>
      <c r="AP33" s="1197" t="s">
        <v>1357</v>
      </c>
      <c r="AQ33" s="1197" t="s">
        <v>1382</v>
      </c>
      <c r="AR33" s="1201">
        <f t="shared" si="3"/>
        <v>0</v>
      </c>
      <c r="AS33" s="1198">
        <f t="shared" si="4"/>
        <v>0</v>
      </c>
      <c r="AT33" s="1198">
        <f t="shared" si="5"/>
        <v>0</v>
      </c>
      <c r="AU33" s="1201">
        <f t="shared" si="6"/>
        <v>0</v>
      </c>
      <c r="AV33" s="1198">
        <f t="shared" si="7"/>
        <v>0</v>
      </c>
      <c r="AW33" s="1198">
        <f t="shared" si="8"/>
        <v>0</v>
      </c>
      <c r="AX33" s="1198">
        <f t="shared" si="9"/>
        <v>0</v>
      </c>
      <c r="AY33" s="1198">
        <f t="shared" si="10"/>
        <v>0</v>
      </c>
      <c r="AZ33" s="1198">
        <f t="shared" si="11"/>
        <v>0</v>
      </c>
      <c r="BA33" s="1198">
        <f t="shared" si="12"/>
        <v>0</v>
      </c>
      <c r="BB33" s="1198">
        <f t="shared" si="13"/>
        <v>0</v>
      </c>
      <c r="BC33" s="1198">
        <f t="shared" si="14"/>
        <v>0</v>
      </c>
      <c r="BD33" s="1198">
        <f t="shared" si="15"/>
        <v>0</v>
      </c>
      <c r="BE33" s="1198">
        <f t="shared" si="16"/>
        <v>0</v>
      </c>
    </row>
    <row r="34" spans="2:57" x14ac:dyDescent="0.25">
      <c r="B34" s="1221">
        <v>30</v>
      </c>
      <c r="C34" s="1181" t="s">
        <v>1075</v>
      </c>
      <c r="D34" s="1182" t="s">
        <v>1314</v>
      </c>
      <c r="E34" s="1199">
        <v>43749</v>
      </c>
      <c r="F34" s="1199">
        <v>44562</v>
      </c>
      <c r="G34" s="1194">
        <v>1</v>
      </c>
      <c r="H34" s="1199">
        <v>46671</v>
      </c>
      <c r="I34" s="1183">
        <f>VLOOKUP($C34,[30]NGọc!$B$3:$J$114,8,0)</f>
        <v>0</v>
      </c>
      <c r="J34" s="1183">
        <v>0</v>
      </c>
      <c r="K34" s="1194">
        <f t="shared" si="23"/>
        <v>69</v>
      </c>
      <c r="L34" s="1194">
        <f t="shared" si="24"/>
        <v>2109</v>
      </c>
      <c r="M34" s="1195">
        <f t="shared" si="1"/>
        <v>0</v>
      </c>
      <c r="N34" s="1195">
        <f t="shared" si="17"/>
        <v>0</v>
      </c>
      <c r="O34" s="1196">
        <v>0</v>
      </c>
      <c r="P34" s="1194">
        <v>31</v>
      </c>
      <c r="Q34" s="1195">
        <f t="shared" si="2"/>
        <v>0</v>
      </c>
      <c r="R34" s="1195">
        <f t="shared" si="18"/>
        <v>0</v>
      </c>
      <c r="S34" s="1195">
        <f t="shared" si="19"/>
        <v>0</v>
      </c>
      <c r="T34" s="1194"/>
      <c r="U34" s="1194" t="s">
        <v>1045</v>
      </c>
      <c r="V34" s="1201" t="s">
        <v>1043</v>
      </c>
      <c r="W34" s="1197"/>
      <c r="X34" s="1197"/>
      <c r="Y34" s="1197">
        <v>627</v>
      </c>
      <c r="Z34" s="1197" t="s">
        <v>1382</v>
      </c>
      <c r="AA34" s="1197"/>
      <c r="AB34" s="1202">
        <v>0</v>
      </c>
      <c r="AC34" s="1202">
        <v>0</v>
      </c>
      <c r="AD34" s="1202">
        <v>0</v>
      </c>
      <c r="AE34" s="1202">
        <v>0</v>
      </c>
      <c r="AF34" s="1202">
        <v>0</v>
      </c>
      <c r="AG34" s="1202">
        <v>0</v>
      </c>
      <c r="AH34" s="1202">
        <v>0</v>
      </c>
      <c r="AI34" s="1202">
        <v>0</v>
      </c>
      <c r="AJ34" s="1202">
        <v>0</v>
      </c>
      <c r="AK34" s="1202">
        <v>0</v>
      </c>
      <c r="AL34" s="1202">
        <v>0</v>
      </c>
      <c r="AM34" s="1202">
        <v>0</v>
      </c>
      <c r="AN34" s="1197"/>
      <c r="AO34" s="1197">
        <v>641</v>
      </c>
      <c r="AP34" s="1197" t="s">
        <v>1357</v>
      </c>
      <c r="AQ34" s="1197" t="s">
        <v>1382</v>
      </c>
      <c r="AR34" s="1201">
        <f t="shared" si="3"/>
        <v>0</v>
      </c>
      <c r="AS34" s="1198">
        <f t="shared" si="4"/>
        <v>0</v>
      </c>
      <c r="AT34" s="1198">
        <f t="shared" si="5"/>
        <v>0</v>
      </c>
      <c r="AU34" s="1201">
        <f t="shared" si="6"/>
        <v>0</v>
      </c>
      <c r="AV34" s="1198">
        <f t="shared" si="7"/>
        <v>0</v>
      </c>
      <c r="AW34" s="1198">
        <f t="shared" si="8"/>
        <v>0</v>
      </c>
      <c r="AX34" s="1198">
        <f t="shared" si="9"/>
        <v>0</v>
      </c>
      <c r="AY34" s="1198">
        <f t="shared" si="10"/>
        <v>0</v>
      </c>
      <c r="AZ34" s="1198">
        <f t="shared" si="11"/>
        <v>0</v>
      </c>
      <c r="BA34" s="1198">
        <f t="shared" si="12"/>
        <v>0</v>
      </c>
      <c r="BB34" s="1198">
        <f t="shared" si="13"/>
        <v>0</v>
      </c>
      <c r="BC34" s="1198">
        <f t="shared" si="14"/>
        <v>0</v>
      </c>
      <c r="BD34" s="1198">
        <f t="shared" si="15"/>
        <v>0</v>
      </c>
      <c r="BE34" s="1198">
        <f t="shared" si="16"/>
        <v>0</v>
      </c>
    </row>
    <row r="35" spans="2:57" x14ac:dyDescent="0.25">
      <c r="B35" s="1221">
        <v>31</v>
      </c>
      <c r="C35" s="1181" t="s">
        <v>1076</v>
      </c>
      <c r="D35" s="1182" t="s">
        <v>1293</v>
      </c>
      <c r="E35" s="1199">
        <f>VLOOKUP($C35,[30]Dung!$C$2:$G$98,5,0)</f>
        <v>43530</v>
      </c>
      <c r="F35" s="1199">
        <v>44562</v>
      </c>
      <c r="G35" s="1194">
        <v>1</v>
      </c>
      <c r="H35" s="1199">
        <v>45657</v>
      </c>
      <c r="I35" s="1183">
        <f>VLOOKUP($C35,[30]NGọc!$B$3:$J$114,8,0)</f>
        <v>268000000</v>
      </c>
      <c r="J35" s="1183">
        <v>173347022.58726898</v>
      </c>
      <c r="K35" s="1194">
        <f t="shared" si="23"/>
        <v>35</v>
      </c>
      <c r="L35" s="1194">
        <f t="shared" si="24"/>
        <v>1095</v>
      </c>
      <c r="M35" s="1195">
        <f t="shared" si="1"/>
        <v>4952772.073921971</v>
      </c>
      <c r="N35" s="1195">
        <f t="shared" si="17"/>
        <v>158307.78318472052</v>
      </c>
      <c r="O35" s="1196">
        <v>62689882.141149238</v>
      </c>
      <c r="P35" s="1194">
        <v>31</v>
      </c>
      <c r="Q35" s="1195">
        <f t="shared" si="2"/>
        <v>4907541.2787263365</v>
      </c>
      <c r="R35" s="1195">
        <f t="shared" si="18"/>
        <v>115564681.72484608</v>
      </c>
      <c r="S35" s="1195">
        <f t="shared" si="19"/>
        <v>57782340.862422898</v>
      </c>
      <c r="T35" s="1194"/>
      <c r="U35" s="1194" t="s">
        <v>1045</v>
      </c>
      <c r="V35" s="1201" t="s">
        <v>1043</v>
      </c>
      <c r="W35" s="1197"/>
      <c r="X35" s="1197"/>
      <c r="Y35" s="1197">
        <v>641</v>
      </c>
      <c r="Z35" s="1197" t="s">
        <v>1382</v>
      </c>
      <c r="AA35" s="1197"/>
      <c r="AB35" s="1202">
        <v>4907541.2787263365</v>
      </c>
      <c r="AC35" s="1202">
        <v>4432617.929172175</v>
      </c>
      <c r="AD35" s="1202">
        <v>4907541.2787263365</v>
      </c>
      <c r="AE35" s="1202">
        <v>4749233.4955416154</v>
      </c>
      <c r="AF35" s="1202">
        <v>4907541.2787263365</v>
      </c>
      <c r="AG35" s="1202">
        <v>4749233.4955416154</v>
      </c>
      <c r="AH35" s="1202">
        <v>4907541.2787263365</v>
      </c>
      <c r="AI35" s="1202">
        <v>4907541.2787263365</v>
      </c>
      <c r="AJ35" s="1202">
        <v>4749233.4955416154</v>
      </c>
      <c r="AK35" s="1202">
        <v>4907541.2787263365</v>
      </c>
      <c r="AL35" s="1202">
        <v>4749233.4955416154</v>
      </c>
      <c r="AM35" s="1202">
        <v>4907541.2787263365</v>
      </c>
      <c r="AN35" s="1197"/>
      <c r="AO35" s="1197">
        <v>641</v>
      </c>
      <c r="AP35" s="1197" t="s">
        <v>1357</v>
      </c>
      <c r="AQ35" s="1197" t="s">
        <v>1382</v>
      </c>
      <c r="AR35" s="1201">
        <f t="shared" si="3"/>
        <v>0</v>
      </c>
      <c r="AS35" s="1198">
        <f t="shared" si="4"/>
        <v>57782340.862422898</v>
      </c>
      <c r="AT35" s="1198">
        <f t="shared" si="5"/>
        <v>59433264.887063652</v>
      </c>
      <c r="AU35" s="1201">
        <f t="shared" si="6"/>
        <v>57782340.862423003</v>
      </c>
      <c r="AV35" s="1198">
        <f t="shared" si="7"/>
        <v>57782340.862422898</v>
      </c>
      <c r="AW35" s="1198">
        <f t="shared" si="8"/>
        <v>0</v>
      </c>
      <c r="AX35" s="1198">
        <f t="shared" si="9"/>
        <v>0</v>
      </c>
      <c r="AY35" s="1198">
        <f t="shared" si="10"/>
        <v>0</v>
      </c>
      <c r="AZ35" s="1198">
        <f t="shared" si="11"/>
        <v>0</v>
      </c>
      <c r="BA35" s="1198">
        <f t="shared" si="12"/>
        <v>0</v>
      </c>
      <c r="BB35" s="1198">
        <f t="shared" si="13"/>
        <v>0</v>
      </c>
      <c r="BC35" s="1198">
        <f t="shared" si="14"/>
        <v>0</v>
      </c>
      <c r="BD35" s="1198">
        <f t="shared" si="15"/>
        <v>0</v>
      </c>
      <c r="BE35" s="1198">
        <f t="shared" si="16"/>
        <v>0</v>
      </c>
    </row>
    <row r="36" spans="2:57" x14ac:dyDescent="0.25">
      <c r="B36" s="1221">
        <v>32</v>
      </c>
      <c r="C36" s="1181" t="s">
        <v>1077</v>
      </c>
      <c r="D36" s="1182" t="s">
        <v>1293</v>
      </c>
      <c r="E36" s="1199">
        <f>VLOOKUP($C36,[30]Dung!$C$2:$G$98,5,0)</f>
        <v>42583</v>
      </c>
      <c r="F36" s="1199">
        <v>44562</v>
      </c>
      <c r="G36" s="1194">
        <v>1</v>
      </c>
      <c r="H36" s="1199">
        <v>44926</v>
      </c>
      <c r="I36" s="1183">
        <f>VLOOKUP($C36,[30]NGọc!$B$3:$J$114,8,0)</f>
        <v>80000000</v>
      </c>
      <c r="J36" s="1183">
        <v>25817932.922655717</v>
      </c>
      <c r="K36" s="1194">
        <f t="shared" si="23"/>
        <v>11</v>
      </c>
      <c r="L36" s="1194">
        <f t="shared" si="24"/>
        <v>364</v>
      </c>
      <c r="M36" s="1195">
        <f t="shared" si="1"/>
        <v>2347084.8111505196</v>
      </c>
      <c r="N36" s="1195">
        <f t="shared" si="17"/>
        <v>70928.387150153067</v>
      </c>
      <c r="O36" s="1196">
        <v>0</v>
      </c>
      <c r="P36" s="1194">
        <v>31</v>
      </c>
      <c r="Q36" s="1195">
        <f t="shared" si="2"/>
        <v>0</v>
      </c>
      <c r="R36" s="1195">
        <f t="shared" si="18"/>
        <v>25817932.922655717</v>
      </c>
      <c r="S36" s="1195">
        <f t="shared" si="19"/>
        <v>0</v>
      </c>
      <c r="T36" s="1194"/>
      <c r="U36" s="1194" t="s">
        <v>1040</v>
      </c>
      <c r="V36" s="1201">
        <f>O36-Q36-S36</f>
        <v>0</v>
      </c>
      <c r="W36" s="1197"/>
      <c r="X36" s="1197"/>
      <c r="Y36" s="1197">
        <v>641</v>
      </c>
      <c r="Z36" s="1197" t="s">
        <v>1382</v>
      </c>
      <c r="AA36" s="1197"/>
      <c r="AB36" s="1202">
        <v>0</v>
      </c>
      <c r="AC36" s="1202">
        <v>0</v>
      </c>
      <c r="AD36" s="1202">
        <v>0</v>
      </c>
      <c r="AE36" s="1202">
        <v>0</v>
      </c>
      <c r="AF36" s="1202">
        <v>0</v>
      </c>
      <c r="AG36" s="1202">
        <v>0</v>
      </c>
      <c r="AH36" s="1202">
        <v>0</v>
      </c>
      <c r="AI36" s="1202">
        <v>0</v>
      </c>
      <c r="AJ36" s="1202">
        <v>0</v>
      </c>
      <c r="AK36" s="1202">
        <v>0</v>
      </c>
      <c r="AL36" s="1202">
        <v>0</v>
      </c>
      <c r="AM36" s="1202">
        <v>0</v>
      </c>
      <c r="AN36" s="1197"/>
      <c r="AO36" s="1197">
        <v>641</v>
      </c>
      <c r="AP36" s="1197" t="s">
        <v>1357</v>
      </c>
      <c r="AQ36" s="1197" t="s">
        <v>1383</v>
      </c>
      <c r="AR36" s="1201">
        <f t="shared" si="3"/>
        <v>0</v>
      </c>
      <c r="AS36" s="1198">
        <f t="shared" si="4"/>
        <v>0</v>
      </c>
      <c r="AT36" s="1198">
        <f t="shared" si="5"/>
        <v>28165017.733806238</v>
      </c>
      <c r="AU36" s="1201">
        <f t="shared" si="6"/>
        <v>0</v>
      </c>
      <c r="AV36" s="1198">
        <f t="shared" si="7"/>
        <v>0</v>
      </c>
      <c r="AW36" s="1198">
        <f t="shared" si="8"/>
        <v>0</v>
      </c>
      <c r="AX36" s="1198">
        <f t="shared" si="9"/>
        <v>0</v>
      </c>
      <c r="AY36" s="1198">
        <f t="shared" si="10"/>
        <v>0</v>
      </c>
      <c r="AZ36" s="1198">
        <f t="shared" si="11"/>
        <v>0</v>
      </c>
      <c r="BA36" s="1198">
        <f t="shared" si="12"/>
        <v>0</v>
      </c>
      <c r="BB36" s="1198">
        <f t="shared" si="13"/>
        <v>0</v>
      </c>
      <c r="BC36" s="1198">
        <f t="shared" si="14"/>
        <v>0</v>
      </c>
      <c r="BD36" s="1198">
        <f t="shared" si="15"/>
        <v>0</v>
      </c>
      <c r="BE36" s="1198">
        <f t="shared" si="16"/>
        <v>0</v>
      </c>
    </row>
    <row r="37" spans="2:57" x14ac:dyDescent="0.25">
      <c r="B37" s="1221">
        <v>33</v>
      </c>
      <c r="C37" s="1181" t="s">
        <v>1078</v>
      </c>
      <c r="D37" s="1182" t="s">
        <v>1315</v>
      </c>
      <c r="E37" s="1199">
        <f>VLOOKUP($C37,[30]Dung!$C$2:$G$98,5,0)</f>
        <v>42583</v>
      </c>
      <c r="F37" s="1199">
        <v>44562</v>
      </c>
      <c r="G37" s="1194">
        <v>1</v>
      </c>
      <c r="H37" s="1199">
        <v>44926</v>
      </c>
      <c r="I37" s="1183">
        <f>VLOOKUP($C37,[30]NGọc!$B$3:$J$114,8,0)</f>
        <v>216363636</v>
      </c>
      <c r="J37" s="1183">
        <v>69825773.01437372</v>
      </c>
      <c r="K37" s="1194">
        <f t="shared" si="23"/>
        <v>11</v>
      </c>
      <c r="L37" s="1194">
        <f t="shared" si="24"/>
        <v>364</v>
      </c>
      <c r="M37" s="1195">
        <f t="shared" si="1"/>
        <v>6347797.5467612473</v>
      </c>
      <c r="N37" s="1195">
        <f t="shared" si="17"/>
        <v>191829.04674278494</v>
      </c>
      <c r="O37" s="1196">
        <v>0</v>
      </c>
      <c r="P37" s="1194">
        <v>31</v>
      </c>
      <c r="Q37" s="1195">
        <f t="shared" si="2"/>
        <v>0</v>
      </c>
      <c r="R37" s="1195">
        <f t="shared" si="18"/>
        <v>69825773.01437372</v>
      </c>
      <c r="S37" s="1195">
        <f t="shared" si="19"/>
        <v>0</v>
      </c>
      <c r="T37" s="1194"/>
      <c r="U37" s="1194" t="s">
        <v>1079</v>
      </c>
      <c r="V37" s="1201" t="s">
        <v>1043</v>
      </c>
      <c r="W37" s="1197"/>
      <c r="X37" s="1197"/>
      <c r="Y37" s="1197">
        <v>641</v>
      </c>
      <c r="Z37" s="1197" t="s">
        <v>1382</v>
      </c>
      <c r="AA37" s="1197"/>
      <c r="AB37" s="1202">
        <v>0</v>
      </c>
      <c r="AC37" s="1202">
        <v>0</v>
      </c>
      <c r="AD37" s="1202">
        <v>0</v>
      </c>
      <c r="AE37" s="1202">
        <v>0</v>
      </c>
      <c r="AF37" s="1202">
        <v>0</v>
      </c>
      <c r="AG37" s="1202">
        <v>0</v>
      </c>
      <c r="AH37" s="1202">
        <v>0</v>
      </c>
      <c r="AI37" s="1202">
        <v>0</v>
      </c>
      <c r="AJ37" s="1202">
        <v>0</v>
      </c>
      <c r="AK37" s="1202">
        <v>0</v>
      </c>
      <c r="AL37" s="1202">
        <v>0</v>
      </c>
      <c r="AM37" s="1202">
        <v>0</v>
      </c>
      <c r="AN37" s="1197"/>
      <c r="AO37" s="1197">
        <v>641</v>
      </c>
      <c r="AP37" s="1197" t="s">
        <v>1357</v>
      </c>
      <c r="AQ37" s="1197" t="s">
        <v>1382</v>
      </c>
      <c r="AR37" s="1201">
        <f t="shared" ref="AR37:AR68" si="25">AS37-SUM(AV37:BE37)</f>
        <v>0</v>
      </c>
      <c r="AS37" s="1198">
        <f t="shared" ref="AS37:AS68" si="26">S37</f>
        <v>0</v>
      </c>
      <c r="AT37" s="1198">
        <f t="shared" ref="AT37:AT68" si="27">M37*12</f>
        <v>76173570.561134964</v>
      </c>
      <c r="AU37" s="1201">
        <f t="shared" ref="AU37:AU68" si="28">SUM(AB37:AM37)</f>
        <v>0</v>
      </c>
      <c r="AV37" s="1198">
        <f t="shared" si="7"/>
        <v>0</v>
      </c>
      <c r="AW37" s="1198">
        <f t="shared" si="8"/>
        <v>0</v>
      </c>
      <c r="AX37" s="1198">
        <f t="shared" si="9"/>
        <v>0</v>
      </c>
      <c r="AY37" s="1198">
        <f t="shared" si="10"/>
        <v>0</v>
      </c>
      <c r="AZ37" s="1198">
        <f t="shared" si="11"/>
        <v>0</v>
      </c>
      <c r="BA37" s="1198">
        <f t="shared" si="12"/>
        <v>0</v>
      </c>
      <c r="BB37" s="1198">
        <f t="shared" si="13"/>
        <v>0</v>
      </c>
      <c r="BC37" s="1198">
        <f t="shared" si="14"/>
        <v>0</v>
      </c>
      <c r="BD37" s="1198">
        <f t="shared" si="15"/>
        <v>0</v>
      </c>
      <c r="BE37" s="1198">
        <f t="shared" si="16"/>
        <v>0</v>
      </c>
    </row>
    <row r="38" spans="2:57" x14ac:dyDescent="0.25">
      <c r="B38" s="1221">
        <v>34</v>
      </c>
      <c r="C38" s="1181" t="s">
        <v>1080</v>
      </c>
      <c r="D38" s="1182" t="s">
        <v>1316</v>
      </c>
      <c r="E38" s="1199">
        <f>VLOOKUP($C38,[30]Dung!$C$2:$G$98,5,0)</f>
        <v>42224</v>
      </c>
      <c r="F38" s="1199">
        <v>44562</v>
      </c>
      <c r="G38" s="1194">
        <v>1</v>
      </c>
      <c r="H38" s="1199">
        <v>44926</v>
      </c>
      <c r="I38" s="1183">
        <f>VLOOKUP($C38,[30]NGọc!$B$3:$J$114,8,0)</f>
        <v>216363636</v>
      </c>
      <c r="J38" s="1183">
        <v>43243108.632443547</v>
      </c>
      <c r="K38" s="1194">
        <f t="shared" si="23"/>
        <v>11</v>
      </c>
      <c r="L38" s="1194">
        <f t="shared" si="24"/>
        <v>364</v>
      </c>
      <c r="M38" s="1195">
        <f t="shared" si="1"/>
        <v>3931191.6938585043</v>
      </c>
      <c r="N38" s="1195">
        <f t="shared" si="17"/>
        <v>118799.74899022952</v>
      </c>
      <c r="O38" s="1196">
        <v>0</v>
      </c>
      <c r="P38" s="1194">
        <v>31</v>
      </c>
      <c r="Q38" s="1195">
        <f t="shared" si="2"/>
        <v>0</v>
      </c>
      <c r="R38" s="1195">
        <f t="shared" si="18"/>
        <v>43243108.632443547</v>
      </c>
      <c r="S38" s="1195">
        <f t="shared" si="19"/>
        <v>0</v>
      </c>
      <c r="T38" s="1194"/>
      <c r="U38" s="1194" t="s">
        <v>1079</v>
      </c>
      <c r="V38" s="1201" t="s">
        <v>1043</v>
      </c>
      <c r="W38" s="1197"/>
      <c r="X38" s="1197"/>
      <c r="Y38" s="1197">
        <v>641</v>
      </c>
      <c r="Z38" s="1197" t="s">
        <v>1382</v>
      </c>
      <c r="AA38" s="1197"/>
      <c r="AB38" s="1202">
        <v>0</v>
      </c>
      <c r="AC38" s="1202">
        <v>0</v>
      </c>
      <c r="AD38" s="1202">
        <v>0</v>
      </c>
      <c r="AE38" s="1202">
        <v>0</v>
      </c>
      <c r="AF38" s="1202">
        <v>0</v>
      </c>
      <c r="AG38" s="1202">
        <v>0</v>
      </c>
      <c r="AH38" s="1202">
        <v>0</v>
      </c>
      <c r="AI38" s="1202">
        <v>0</v>
      </c>
      <c r="AJ38" s="1202">
        <v>0</v>
      </c>
      <c r="AK38" s="1202">
        <v>0</v>
      </c>
      <c r="AL38" s="1202">
        <v>0</v>
      </c>
      <c r="AM38" s="1202">
        <v>0</v>
      </c>
      <c r="AN38" s="1197"/>
      <c r="AO38" s="1197">
        <v>641</v>
      </c>
      <c r="AP38" s="1197" t="s">
        <v>1357</v>
      </c>
      <c r="AQ38" s="1197" t="s">
        <v>1382</v>
      </c>
      <c r="AR38" s="1201">
        <f t="shared" si="25"/>
        <v>0</v>
      </c>
      <c r="AS38" s="1198">
        <f t="shared" si="26"/>
        <v>0</v>
      </c>
      <c r="AT38" s="1198">
        <f t="shared" si="27"/>
        <v>47174300.326302052</v>
      </c>
      <c r="AU38" s="1201">
        <f t="shared" si="28"/>
        <v>0</v>
      </c>
      <c r="AV38" s="1198">
        <f t="shared" si="7"/>
        <v>0</v>
      </c>
      <c r="AW38" s="1198">
        <f t="shared" si="8"/>
        <v>0</v>
      </c>
      <c r="AX38" s="1198">
        <f t="shared" si="9"/>
        <v>0</v>
      </c>
      <c r="AY38" s="1198">
        <f t="shared" si="10"/>
        <v>0</v>
      </c>
      <c r="AZ38" s="1198">
        <f t="shared" si="11"/>
        <v>0</v>
      </c>
      <c r="BA38" s="1198">
        <f t="shared" si="12"/>
        <v>0</v>
      </c>
      <c r="BB38" s="1198">
        <f t="shared" si="13"/>
        <v>0</v>
      </c>
      <c r="BC38" s="1198">
        <f t="shared" si="14"/>
        <v>0</v>
      </c>
      <c r="BD38" s="1198">
        <f t="shared" si="15"/>
        <v>0</v>
      </c>
      <c r="BE38" s="1198">
        <f t="shared" si="16"/>
        <v>0</v>
      </c>
    </row>
    <row r="39" spans="2:57" x14ac:dyDescent="0.25">
      <c r="B39" s="1221">
        <v>35</v>
      </c>
      <c r="C39" s="1181" t="s">
        <v>1081</v>
      </c>
      <c r="D39" s="1182" t="s">
        <v>1293</v>
      </c>
      <c r="E39" s="1199">
        <f>VLOOKUP($C39,[30]Dung!$C$2:$G$98,5,0)</f>
        <v>42583</v>
      </c>
      <c r="F39" s="1199">
        <v>44562</v>
      </c>
      <c r="G39" s="1194">
        <v>1</v>
      </c>
      <c r="H39" s="1199">
        <v>44926</v>
      </c>
      <c r="I39" s="1183">
        <f>VLOOKUP($C39,[30]NGọc!$B$3:$J$114,8,0)</f>
        <v>227272727</v>
      </c>
      <c r="J39" s="1183">
        <v>73346400.260438114</v>
      </c>
      <c r="K39" s="1194">
        <f t="shared" si="23"/>
        <v>11</v>
      </c>
      <c r="L39" s="1194">
        <f t="shared" si="24"/>
        <v>364</v>
      </c>
      <c r="M39" s="1195">
        <f t="shared" si="1"/>
        <v>6667854.5691307373</v>
      </c>
      <c r="N39" s="1195">
        <f t="shared" si="17"/>
        <v>201501.09961658824</v>
      </c>
      <c r="O39" s="1196">
        <v>0</v>
      </c>
      <c r="P39" s="1194">
        <v>31</v>
      </c>
      <c r="Q39" s="1195">
        <f t="shared" si="2"/>
        <v>0</v>
      </c>
      <c r="R39" s="1195">
        <f t="shared" si="18"/>
        <v>73346400.260438114</v>
      </c>
      <c r="S39" s="1195">
        <f t="shared" si="19"/>
        <v>0</v>
      </c>
      <c r="T39" s="1194"/>
      <c r="U39" s="1194" t="s">
        <v>1079</v>
      </c>
      <c r="V39" s="1201" t="s">
        <v>1043</v>
      </c>
      <c r="W39" s="1197"/>
      <c r="X39" s="1197"/>
      <c r="Y39" s="1197">
        <v>641</v>
      </c>
      <c r="Z39" s="1197" t="s">
        <v>1382</v>
      </c>
      <c r="AA39" s="1197"/>
      <c r="AB39" s="1202">
        <v>0</v>
      </c>
      <c r="AC39" s="1202">
        <v>0</v>
      </c>
      <c r="AD39" s="1202">
        <v>0</v>
      </c>
      <c r="AE39" s="1202">
        <v>0</v>
      </c>
      <c r="AF39" s="1202">
        <v>0</v>
      </c>
      <c r="AG39" s="1202">
        <v>0</v>
      </c>
      <c r="AH39" s="1202">
        <v>0</v>
      </c>
      <c r="AI39" s="1202">
        <v>0</v>
      </c>
      <c r="AJ39" s="1202">
        <v>0</v>
      </c>
      <c r="AK39" s="1202">
        <v>0</v>
      </c>
      <c r="AL39" s="1202">
        <v>0</v>
      </c>
      <c r="AM39" s="1202">
        <v>0</v>
      </c>
      <c r="AN39" s="1197"/>
      <c r="AO39" s="1197">
        <v>641</v>
      </c>
      <c r="AP39" s="1197" t="s">
        <v>1357</v>
      </c>
      <c r="AQ39" s="1197" t="s">
        <v>1382</v>
      </c>
      <c r="AR39" s="1201">
        <f t="shared" si="25"/>
        <v>0</v>
      </c>
      <c r="AS39" s="1198">
        <f t="shared" si="26"/>
        <v>0</v>
      </c>
      <c r="AT39" s="1198">
        <f t="shared" si="27"/>
        <v>80014254.829568848</v>
      </c>
      <c r="AU39" s="1201">
        <f t="shared" si="28"/>
        <v>0</v>
      </c>
      <c r="AV39" s="1198">
        <f t="shared" si="7"/>
        <v>0</v>
      </c>
      <c r="AW39" s="1198">
        <f t="shared" si="8"/>
        <v>0</v>
      </c>
      <c r="AX39" s="1198">
        <f t="shared" si="9"/>
        <v>0</v>
      </c>
      <c r="AY39" s="1198">
        <f t="shared" si="10"/>
        <v>0</v>
      </c>
      <c r="AZ39" s="1198">
        <f t="shared" si="11"/>
        <v>0</v>
      </c>
      <c r="BA39" s="1198">
        <f t="shared" si="12"/>
        <v>0</v>
      </c>
      <c r="BB39" s="1198">
        <f t="shared" si="13"/>
        <v>0</v>
      </c>
      <c r="BC39" s="1198">
        <f t="shared" si="14"/>
        <v>0</v>
      </c>
      <c r="BD39" s="1198">
        <f t="shared" si="15"/>
        <v>0</v>
      </c>
      <c r="BE39" s="1198">
        <f t="shared" si="16"/>
        <v>0</v>
      </c>
    </row>
    <row r="40" spans="2:57" x14ac:dyDescent="0.25">
      <c r="B40" s="1221">
        <v>36</v>
      </c>
      <c r="C40" s="1181" t="s">
        <v>1082</v>
      </c>
      <c r="D40" s="1182" t="s">
        <v>1317</v>
      </c>
      <c r="E40" s="1199">
        <f>VLOOKUP($C40,[30]Dung!$C$2:$G$98,5,0)</f>
        <v>41101</v>
      </c>
      <c r="F40" s="1199">
        <v>44562</v>
      </c>
      <c r="G40" s="1194">
        <v>1</v>
      </c>
      <c r="H40" s="1199">
        <v>44023</v>
      </c>
      <c r="I40" s="1183">
        <f>VLOOKUP($C40,[30]NGọc!$B$3:$J$114,8,0)</f>
        <v>292727273</v>
      </c>
      <c r="J40" s="1183">
        <v>0</v>
      </c>
      <c r="K40" s="1194">
        <v>96</v>
      </c>
      <c r="L40" s="1194">
        <v>2922</v>
      </c>
      <c r="M40" s="1195">
        <f t="shared" si="1"/>
        <v>0</v>
      </c>
      <c r="N40" s="1195">
        <f t="shared" si="17"/>
        <v>0</v>
      </c>
      <c r="O40" s="1196">
        <v>0</v>
      </c>
      <c r="P40" s="1194">
        <v>31</v>
      </c>
      <c r="Q40" s="1195">
        <f t="shared" si="2"/>
        <v>0</v>
      </c>
      <c r="R40" s="1195">
        <f t="shared" si="18"/>
        <v>0</v>
      </c>
      <c r="S40" s="1195">
        <f t="shared" si="19"/>
        <v>0</v>
      </c>
      <c r="T40" s="1194">
        <v>4</v>
      </c>
      <c r="U40" s="1194" t="s">
        <v>1045</v>
      </c>
      <c r="V40" s="1201" t="s">
        <v>1043</v>
      </c>
      <c r="W40" s="1197"/>
      <c r="X40" s="1197"/>
      <c r="Y40" s="1197">
        <v>627</v>
      </c>
      <c r="Z40" s="1197" t="s">
        <v>1382</v>
      </c>
      <c r="AA40" s="1197"/>
      <c r="AB40" s="1202">
        <v>0</v>
      </c>
      <c r="AC40" s="1202">
        <v>0</v>
      </c>
      <c r="AD40" s="1202">
        <v>0</v>
      </c>
      <c r="AE40" s="1202">
        <v>0</v>
      </c>
      <c r="AF40" s="1202">
        <v>0</v>
      </c>
      <c r="AG40" s="1202">
        <v>0</v>
      </c>
      <c r="AH40" s="1202">
        <v>0</v>
      </c>
      <c r="AI40" s="1202">
        <v>0</v>
      </c>
      <c r="AJ40" s="1202">
        <v>0</v>
      </c>
      <c r="AK40" s="1202">
        <v>0</v>
      </c>
      <c r="AL40" s="1202">
        <v>0</v>
      </c>
      <c r="AM40" s="1202">
        <v>0</v>
      </c>
      <c r="AN40" s="1197"/>
      <c r="AO40" s="1197">
        <v>641</v>
      </c>
      <c r="AP40" s="1197" t="s">
        <v>1357</v>
      </c>
      <c r="AQ40" s="1197" t="s">
        <v>1383</v>
      </c>
      <c r="AR40" s="1201">
        <f t="shared" si="25"/>
        <v>0</v>
      </c>
      <c r="AS40" s="1198">
        <f t="shared" si="26"/>
        <v>0</v>
      </c>
      <c r="AT40" s="1198">
        <f t="shared" si="27"/>
        <v>0</v>
      </c>
      <c r="AU40" s="1201">
        <f t="shared" si="28"/>
        <v>0</v>
      </c>
      <c r="AV40" s="1198">
        <f t="shared" si="7"/>
        <v>0</v>
      </c>
      <c r="AW40" s="1198">
        <f t="shared" si="8"/>
        <v>0</v>
      </c>
      <c r="AX40" s="1198">
        <f t="shared" si="9"/>
        <v>0</v>
      </c>
      <c r="AY40" s="1198">
        <f t="shared" si="10"/>
        <v>0</v>
      </c>
      <c r="AZ40" s="1198">
        <f t="shared" si="11"/>
        <v>0</v>
      </c>
      <c r="BA40" s="1198">
        <f t="shared" si="12"/>
        <v>0</v>
      </c>
      <c r="BB40" s="1198">
        <f t="shared" si="13"/>
        <v>0</v>
      </c>
      <c r="BC40" s="1198">
        <f t="shared" si="14"/>
        <v>0</v>
      </c>
      <c r="BD40" s="1198">
        <f t="shared" si="15"/>
        <v>0</v>
      </c>
      <c r="BE40" s="1198">
        <f t="shared" si="16"/>
        <v>0</v>
      </c>
    </row>
    <row r="41" spans="2:57" x14ac:dyDescent="0.25">
      <c r="B41" s="1221">
        <v>37</v>
      </c>
      <c r="C41" s="1181" t="s">
        <v>1083</v>
      </c>
      <c r="D41" s="1182" t="s">
        <v>1318</v>
      </c>
      <c r="E41" s="1199">
        <f>VLOOKUP($C41,[30]Dung!$C$2:$G$98,5,0)</f>
        <v>43282</v>
      </c>
      <c r="F41" s="1199">
        <v>44562</v>
      </c>
      <c r="G41" s="1194">
        <v>1</v>
      </c>
      <c r="H41" s="1199">
        <v>45291</v>
      </c>
      <c r="I41" s="1183">
        <f>VLOOKUP($C41,[30]NGọc!$B$3:$J$114,8,0)</f>
        <v>280000000</v>
      </c>
      <c r="J41" s="1183">
        <v>157344284.73648188</v>
      </c>
      <c r="K41" s="1194">
        <f t="shared" ref="K41:K48" si="29">DATEDIF(F41,H41,"m")</f>
        <v>23</v>
      </c>
      <c r="L41" s="1194">
        <f t="shared" ref="L41:L48" si="30">DATEDIF(F41,H41,"d")</f>
        <v>729</v>
      </c>
      <c r="M41" s="1195">
        <f t="shared" si="1"/>
        <v>6841055.8581079077</v>
      </c>
      <c r="N41" s="1195">
        <f t="shared" si="17"/>
        <v>215835.78153152519</v>
      </c>
      <c r="O41" s="1196">
        <v>6475073.4459457397</v>
      </c>
      <c r="P41" s="1194">
        <v>31</v>
      </c>
      <c r="Q41" s="1195">
        <f t="shared" si="2"/>
        <v>6475073.4459457397</v>
      </c>
      <c r="R41" s="1195">
        <f t="shared" si="18"/>
        <v>157344284.73648188</v>
      </c>
      <c r="S41" s="1195">
        <f t="shared" si="19"/>
        <v>0</v>
      </c>
      <c r="T41" s="1194">
        <v>4</v>
      </c>
      <c r="U41" s="1194" t="s">
        <v>1045</v>
      </c>
      <c r="V41" s="1201" t="s">
        <v>1043</v>
      </c>
      <c r="W41" s="1197"/>
      <c r="X41" s="1197"/>
      <c r="Y41" s="1197">
        <v>627</v>
      </c>
      <c r="Z41" s="1197" t="s">
        <v>1382</v>
      </c>
      <c r="AA41" s="1197"/>
      <c r="AB41" s="1202">
        <v>6690909.2274772814</v>
      </c>
      <c r="AC41" s="1202">
        <v>6043401.882882705</v>
      </c>
      <c r="AD41" s="1202">
        <v>6690909.2274772814</v>
      </c>
      <c r="AE41" s="1202">
        <v>6475073.4459457556</v>
      </c>
      <c r="AF41" s="1202">
        <v>6690909.2274772814</v>
      </c>
      <c r="AG41" s="1202">
        <v>6475073.4459457556</v>
      </c>
      <c r="AH41" s="1202">
        <v>6690909.2274772814</v>
      </c>
      <c r="AI41" s="1202">
        <v>6690909.2274772814</v>
      </c>
      <c r="AJ41" s="1202">
        <v>6475073.4459457556</v>
      </c>
      <c r="AK41" s="1202">
        <v>6690909.2274772814</v>
      </c>
      <c r="AL41" s="1202">
        <v>6475073.4459457556</v>
      </c>
      <c r="AM41" s="1202">
        <v>6475073.4459457397</v>
      </c>
      <c r="AN41" s="1197"/>
      <c r="AO41" s="1197">
        <v>641</v>
      </c>
      <c r="AP41" s="1197" t="s">
        <v>1357</v>
      </c>
      <c r="AQ41" s="1197" t="s">
        <v>1383</v>
      </c>
      <c r="AR41" s="1201">
        <f t="shared" si="25"/>
        <v>0</v>
      </c>
      <c r="AS41" s="1198">
        <f t="shared" si="26"/>
        <v>0</v>
      </c>
      <c r="AT41" s="1198">
        <f t="shared" si="27"/>
        <v>82092670.297294885</v>
      </c>
      <c r="AU41" s="1201">
        <f t="shared" si="28"/>
        <v>78564224.477475166</v>
      </c>
      <c r="AV41" s="1198">
        <f t="shared" si="7"/>
        <v>0</v>
      </c>
      <c r="AW41" s="1198">
        <f t="shared" si="8"/>
        <v>0</v>
      </c>
      <c r="AX41" s="1198">
        <f t="shared" si="9"/>
        <v>0</v>
      </c>
      <c r="AY41" s="1198">
        <f t="shared" si="10"/>
        <v>0</v>
      </c>
      <c r="AZ41" s="1198">
        <f t="shared" si="11"/>
        <v>0</v>
      </c>
      <c r="BA41" s="1198">
        <f t="shared" si="12"/>
        <v>0</v>
      </c>
      <c r="BB41" s="1198">
        <f t="shared" si="13"/>
        <v>0</v>
      </c>
      <c r="BC41" s="1198">
        <f t="shared" si="14"/>
        <v>0</v>
      </c>
      <c r="BD41" s="1198">
        <f t="shared" si="15"/>
        <v>0</v>
      </c>
      <c r="BE41" s="1198">
        <f t="shared" si="16"/>
        <v>0</v>
      </c>
    </row>
    <row r="42" spans="2:57" x14ac:dyDescent="0.25">
      <c r="B42" s="1221">
        <v>38</v>
      </c>
      <c r="C42" s="1181" t="s">
        <v>1084</v>
      </c>
      <c r="D42" s="1182" t="s">
        <v>1319</v>
      </c>
      <c r="E42" s="1199">
        <f>VLOOKUP($C42,[30]Dung!$C$2:$G$98,5,0)</f>
        <v>42583</v>
      </c>
      <c r="F42" s="1199">
        <v>44562</v>
      </c>
      <c r="G42" s="1194">
        <v>1</v>
      </c>
      <c r="H42" s="1199">
        <v>44926</v>
      </c>
      <c r="I42" s="1183">
        <f>VLOOKUP($C42,[30]NGọc!$B$3:$J$114,8,0)</f>
        <v>292727273</v>
      </c>
      <c r="J42" s="1183">
        <v>94470163.736824244</v>
      </c>
      <c r="K42" s="1194">
        <f t="shared" si="29"/>
        <v>11</v>
      </c>
      <c r="L42" s="1194">
        <f t="shared" si="30"/>
        <v>364</v>
      </c>
      <c r="M42" s="1195">
        <f t="shared" si="1"/>
        <v>8588196.7033476587</v>
      </c>
      <c r="N42" s="1195">
        <f t="shared" si="17"/>
        <v>259533.41685940727</v>
      </c>
      <c r="O42" s="1196">
        <v>0</v>
      </c>
      <c r="P42" s="1194">
        <v>31</v>
      </c>
      <c r="Q42" s="1195">
        <f t="shared" si="2"/>
        <v>0</v>
      </c>
      <c r="R42" s="1195">
        <f t="shared" si="18"/>
        <v>94470163.736824244</v>
      </c>
      <c r="S42" s="1195">
        <f t="shared" si="19"/>
        <v>0</v>
      </c>
      <c r="T42" s="1194">
        <v>4</v>
      </c>
      <c r="U42" s="1194" t="s">
        <v>1079</v>
      </c>
      <c r="V42" s="1201" t="s">
        <v>1043</v>
      </c>
      <c r="W42" s="1197"/>
      <c r="X42" s="1197"/>
      <c r="Y42" s="1197">
        <v>627</v>
      </c>
      <c r="Z42" s="1197" t="s">
        <v>1382</v>
      </c>
      <c r="AA42" s="1197"/>
      <c r="AB42" s="1202">
        <v>0</v>
      </c>
      <c r="AC42" s="1202">
        <v>0</v>
      </c>
      <c r="AD42" s="1202">
        <v>0</v>
      </c>
      <c r="AE42" s="1202">
        <v>0</v>
      </c>
      <c r="AF42" s="1202">
        <v>0</v>
      </c>
      <c r="AG42" s="1202">
        <v>0</v>
      </c>
      <c r="AH42" s="1202">
        <v>0</v>
      </c>
      <c r="AI42" s="1202">
        <v>0</v>
      </c>
      <c r="AJ42" s="1202">
        <v>0</v>
      </c>
      <c r="AK42" s="1202">
        <v>0</v>
      </c>
      <c r="AL42" s="1202">
        <v>0</v>
      </c>
      <c r="AM42" s="1202">
        <v>0</v>
      </c>
      <c r="AN42" s="1197"/>
      <c r="AO42" s="1197">
        <v>641</v>
      </c>
      <c r="AP42" s="1197" t="s">
        <v>1357</v>
      </c>
      <c r="AQ42" s="1197" t="s">
        <v>1383</v>
      </c>
      <c r="AR42" s="1201">
        <f t="shared" si="25"/>
        <v>0</v>
      </c>
      <c r="AS42" s="1198">
        <f t="shared" si="26"/>
        <v>0</v>
      </c>
      <c r="AT42" s="1198">
        <f t="shared" si="27"/>
        <v>103058360.4401719</v>
      </c>
      <c r="AU42" s="1201">
        <f t="shared" si="28"/>
        <v>0</v>
      </c>
      <c r="AV42" s="1198">
        <f t="shared" si="7"/>
        <v>0</v>
      </c>
      <c r="AW42" s="1198">
        <f t="shared" si="8"/>
        <v>0</v>
      </c>
      <c r="AX42" s="1198">
        <f t="shared" si="9"/>
        <v>0</v>
      </c>
      <c r="AY42" s="1198">
        <f t="shared" si="10"/>
        <v>0</v>
      </c>
      <c r="AZ42" s="1198">
        <f t="shared" si="11"/>
        <v>0</v>
      </c>
      <c r="BA42" s="1198">
        <f t="shared" si="12"/>
        <v>0</v>
      </c>
      <c r="BB42" s="1198">
        <f t="shared" si="13"/>
        <v>0</v>
      </c>
      <c r="BC42" s="1198">
        <f t="shared" si="14"/>
        <v>0</v>
      </c>
      <c r="BD42" s="1198">
        <f t="shared" si="15"/>
        <v>0</v>
      </c>
      <c r="BE42" s="1198">
        <f t="shared" si="16"/>
        <v>0</v>
      </c>
    </row>
    <row r="43" spans="2:57" x14ac:dyDescent="0.25">
      <c r="B43" s="1221">
        <v>39</v>
      </c>
      <c r="C43" s="1181" t="s">
        <v>1085</v>
      </c>
      <c r="D43" s="1182" t="s">
        <v>1320</v>
      </c>
      <c r="E43" s="1199">
        <f>VLOOKUP($C43,[30]Dung!$C$2:$G$98,5,0)</f>
        <v>42583</v>
      </c>
      <c r="F43" s="1199">
        <v>44562</v>
      </c>
      <c r="G43" s="1194">
        <v>1</v>
      </c>
      <c r="H43" s="1199">
        <v>44926</v>
      </c>
      <c r="I43" s="1183">
        <f>VLOOKUP($C43,[30]NGọc!$B$3:$J$114,8,0)</f>
        <v>292727273</v>
      </c>
      <c r="J43" s="1183">
        <v>94470163.736824244</v>
      </c>
      <c r="K43" s="1194">
        <f t="shared" si="29"/>
        <v>11</v>
      </c>
      <c r="L43" s="1194">
        <f t="shared" si="30"/>
        <v>364</v>
      </c>
      <c r="M43" s="1195">
        <f t="shared" si="1"/>
        <v>8588196.7033476587</v>
      </c>
      <c r="N43" s="1195">
        <f t="shared" si="17"/>
        <v>259533.41685940727</v>
      </c>
      <c r="O43" s="1196">
        <v>0</v>
      </c>
      <c r="P43" s="1194">
        <v>31</v>
      </c>
      <c r="Q43" s="1195">
        <f t="shared" si="2"/>
        <v>0</v>
      </c>
      <c r="R43" s="1195">
        <f t="shared" si="18"/>
        <v>94470163.736824244</v>
      </c>
      <c r="S43" s="1195">
        <f t="shared" si="19"/>
        <v>0</v>
      </c>
      <c r="T43" s="1194">
        <v>4</v>
      </c>
      <c r="U43" s="1194" t="s">
        <v>1079</v>
      </c>
      <c r="V43" s="1201" t="s">
        <v>1043</v>
      </c>
      <c r="W43" s="1197"/>
      <c r="X43" s="1197"/>
      <c r="Y43" s="1197">
        <v>627</v>
      </c>
      <c r="Z43" s="1197" t="s">
        <v>1382</v>
      </c>
      <c r="AA43" s="1197"/>
      <c r="AB43" s="1202">
        <v>0</v>
      </c>
      <c r="AC43" s="1202">
        <v>0</v>
      </c>
      <c r="AD43" s="1202">
        <v>0</v>
      </c>
      <c r="AE43" s="1202">
        <v>0</v>
      </c>
      <c r="AF43" s="1202">
        <v>0</v>
      </c>
      <c r="AG43" s="1202">
        <v>0</v>
      </c>
      <c r="AH43" s="1202">
        <v>0</v>
      </c>
      <c r="AI43" s="1202">
        <v>0</v>
      </c>
      <c r="AJ43" s="1202">
        <v>0</v>
      </c>
      <c r="AK43" s="1202">
        <v>0</v>
      </c>
      <c r="AL43" s="1202">
        <v>0</v>
      </c>
      <c r="AM43" s="1202">
        <v>0</v>
      </c>
      <c r="AN43" s="1197"/>
      <c r="AO43" s="1197">
        <v>641</v>
      </c>
      <c r="AP43" s="1197" t="s">
        <v>1357</v>
      </c>
      <c r="AQ43" s="1197" t="s">
        <v>1383</v>
      </c>
      <c r="AR43" s="1201">
        <f t="shared" si="25"/>
        <v>0</v>
      </c>
      <c r="AS43" s="1198">
        <f t="shared" si="26"/>
        <v>0</v>
      </c>
      <c r="AT43" s="1198">
        <f t="shared" si="27"/>
        <v>103058360.4401719</v>
      </c>
      <c r="AU43" s="1201">
        <f t="shared" si="28"/>
        <v>0</v>
      </c>
      <c r="AV43" s="1198">
        <f t="shared" si="7"/>
        <v>0</v>
      </c>
      <c r="AW43" s="1198">
        <f t="shared" si="8"/>
        <v>0</v>
      </c>
      <c r="AX43" s="1198">
        <f t="shared" si="9"/>
        <v>0</v>
      </c>
      <c r="AY43" s="1198">
        <f t="shared" si="10"/>
        <v>0</v>
      </c>
      <c r="AZ43" s="1198">
        <f t="shared" si="11"/>
        <v>0</v>
      </c>
      <c r="BA43" s="1198">
        <f t="shared" si="12"/>
        <v>0</v>
      </c>
      <c r="BB43" s="1198">
        <f t="shared" si="13"/>
        <v>0</v>
      </c>
      <c r="BC43" s="1198">
        <f t="shared" si="14"/>
        <v>0</v>
      </c>
      <c r="BD43" s="1198">
        <f t="shared" si="15"/>
        <v>0</v>
      </c>
      <c r="BE43" s="1198">
        <f t="shared" si="16"/>
        <v>0</v>
      </c>
    </row>
    <row r="44" spans="2:57" x14ac:dyDescent="0.25">
      <c r="B44" s="1221">
        <v>40</v>
      </c>
      <c r="C44" s="1181" t="s">
        <v>1086</v>
      </c>
      <c r="D44" s="1182" t="s">
        <v>1321</v>
      </c>
      <c r="E44" s="1199">
        <f>VLOOKUP($C44,[30]Dung!$C$2:$G$98,5,0)</f>
        <v>42583</v>
      </c>
      <c r="F44" s="1199">
        <v>44562</v>
      </c>
      <c r="G44" s="1194">
        <v>1</v>
      </c>
      <c r="H44" s="1199">
        <v>44926</v>
      </c>
      <c r="I44" s="1183">
        <f>VLOOKUP($C44,[30]NGọc!$B$3:$J$114,8,0)</f>
        <v>292727273</v>
      </c>
      <c r="J44" s="1183">
        <v>94470163.736824244</v>
      </c>
      <c r="K44" s="1194">
        <f t="shared" si="29"/>
        <v>11</v>
      </c>
      <c r="L44" s="1194">
        <f t="shared" si="30"/>
        <v>364</v>
      </c>
      <c r="M44" s="1195">
        <f t="shared" si="1"/>
        <v>8588196.7033476587</v>
      </c>
      <c r="N44" s="1195">
        <f t="shared" si="17"/>
        <v>259533.41685940727</v>
      </c>
      <c r="O44" s="1196">
        <v>0</v>
      </c>
      <c r="P44" s="1194">
        <v>31</v>
      </c>
      <c r="Q44" s="1195">
        <f t="shared" si="2"/>
        <v>0</v>
      </c>
      <c r="R44" s="1195">
        <f t="shared" si="18"/>
        <v>94470163.736824244</v>
      </c>
      <c r="S44" s="1195">
        <f t="shared" si="19"/>
        <v>0</v>
      </c>
      <c r="T44" s="1194">
        <v>4</v>
      </c>
      <c r="U44" s="1194" t="s">
        <v>1079</v>
      </c>
      <c r="V44" s="1201" t="s">
        <v>1043</v>
      </c>
      <c r="W44" s="1197"/>
      <c r="X44" s="1197"/>
      <c r="Y44" s="1197">
        <v>627</v>
      </c>
      <c r="Z44" s="1197" t="s">
        <v>1382</v>
      </c>
      <c r="AA44" s="1197"/>
      <c r="AB44" s="1202">
        <v>0</v>
      </c>
      <c r="AC44" s="1202">
        <v>0</v>
      </c>
      <c r="AD44" s="1202">
        <v>0</v>
      </c>
      <c r="AE44" s="1202">
        <v>0</v>
      </c>
      <c r="AF44" s="1202">
        <v>0</v>
      </c>
      <c r="AG44" s="1202">
        <v>0</v>
      </c>
      <c r="AH44" s="1202">
        <v>0</v>
      </c>
      <c r="AI44" s="1202">
        <v>0</v>
      </c>
      <c r="AJ44" s="1202">
        <v>0</v>
      </c>
      <c r="AK44" s="1202">
        <v>0</v>
      </c>
      <c r="AL44" s="1202">
        <v>0</v>
      </c>
      <c r="AM44" s="1202">
        <v>0</v>
      </c>
      <c r="AN44" s="1197"/>
      <c r="AO44" s="1197">
        <v>641</v>
      </c>
      <c r="AP44" s="1197" t="s">
        <v>1357</v>
      </c>
      <c r="AQ44" s="1197" t="s">
        <v>1383</v>
      </c>
      <c r="AR44" s="1201">
        <f t="shared" si="25"/>
        <v>0</v>
      </c>
      <c r="AS44" s="1198">
        <f t="shared" si="26"/>
        <v>0</v>
      </c>
      <c r="AT44" s="1198">
        <f t="shared" si="27"/>
        <v>103058360.4401719</v>
      </c>
      <c r="AU44" s="1201">
        <f t="shared" si="28"/>
        <v>0</v>
      </c>
      <c r="AV44" s="1198">
        <f t="shared" si="7"/>
        <v>0</v>
      </c>
      <c r="AW44" s="1198">
        <f t="shared" si="8"/>
        <v>0</v>
      </c>
      <c r="AX44" s="1198">
        <f t="shared" si="9"/>
        <v>0</v>
      </c>
      <c r="AY44" s="1198">
        <f t="shared" si="10"/>
        <v>0</v>
      </c>
      <c r="AZ44" s="1198">
        <f t="shared" si="11"/>
        <v>0</v>
      </c>
      <c r="BA44" s="1198">
        <f t="shared" si="12"/>
        <v>0</v>
      </c>
      <c r="BB44" s="1198">
        <f t="shared" si="13"/>
        <v>0</v>
      </c>
      <c r="BC44" s="1198">
        <f t="shared" si="14"/>
        <v>0</v>
      </c>
      <c r="BD44" s="1198">
        <f t="shared" si="15"/>
        <v>0</v>
      </c>
      <c r="BE44" s="1198">
        <f t="shared" si="16"/>
        <v>0</v>
      </c>
    </row>
    <row r="45" spans="2:57" x14ac:dyDescent="0.25">
      <c r="B45" s="1221">
        <v>41</v>
      </c>
      <c r="C45" s="1181" t="s">
        <v>1087</v>
      </c>
      <c r="D45" s="1182" t="s">
        <v>1322</v>
      </c>
      <c r="E45" s="1199">
        <f>VLOOKUP($C45,[30]Dung!$C$2:$G$98,5,0)</f>
        <v>42401</v>
      </c>
      <c r="F45" s="1199">
        <v>44562</v>
      </c>
      <c r="G45" s="1194">
        <v>1</v>
      </c>
      <c r="H45" s="1199">
        <v>44926</v>
      </c>
      <c r="I45" s="1183">
        <f>VLOOKUP($C45,[30]NGọc!$B$3:$J$114,8,0)</f>
        <v>290909090</v>
      </c>
      <c r="J45" s="1183">
        <v>75763797.908966392</v>
      </c>
      <c r="K45" s="1194">
        <f t="shared" si="29"/>
        <v>11</v>
      </c>
      <c r="L45" s="1194">
        <f t="shared" si="30"/>
        <v>364</v>
      </c>
      <c r="M45" s="1195">
        <f t="shared" si="1"/>
        <v>6887617.9917242173</v>
      </c>
      <c r="N45" s="1195">
        <f t="shared" si="17"/>
        <v>208142.30194770987</v>
      </c>
      <c r="O45" s="1196">
        <v>0</v>
      </c>
      <c r="P45" s="1194">
        <v>31</v>
      </c>
      <c r="Q45" s="1195">
        <f t="shared" si="2"/>
        <v>0</v>
      </c>
      <c r="R45" s="1195">
        <f t="shared" si="18"/>
        <v>75763797.908966392</v>
      </c>
      <c r="S45" s="1195">
        <f t="shared" si="19"/>
        <v>0</v>
      </c>
      <c r="T45" s="1194">
        <v>4</v>
      </c>
      <c r="U45" s="1194" t="s">
        <v>1079</v>
      </c>
      <c r="V45" s="1201" t="s">
        <v>1043</v>
      </c>
      <c r="W45" s="1197"/>
      <c r="X45" s="1197"/>
      <c r="Y45" s="1197">
        <v>627</v>
      </c>
      <c r="Z45" s="1197" t="s">
        <v>1382</v>
      </c>
      <c r="AA45" s="1197"/>
      <c r="AB45" s="1202">
        <v>0</v>
      </c>
      <c r="AC45" s="1202">
        <v>0</v>
      </c>
      <c r="AD45" s="1202">
        <v>0</v>
      </c>
      <c r="AE45" s="1202">
        <v>0</v>
      </c>
      <c r="AF45" s="1202">
        <v>0</v>
      </c>
      <c r="AG45" s="1202">
        <v>0</v>
      </c>
      <c r="AH45" s="1202">
        <v>0</v>
      </c>
      <c r="AI45" s="1202">
        <v>0</v>
      </c>
      <c r="AJ45" s="1202">
        <v>0</v>
      </c>
      <c r="AK45" s="1202">
        <v>0</v>
      </c>
      <c r="AL45" s="1202">
        <v>0</v>
      </c>
      <c r="AM45" s="1202">
        <v>0</v>
      </c>
      <c r="AN45" s="1197"/>
      <c r="AO45" s="1197">
        <v>641</v>
      </c>
      <c r="AP45" s="1197" t="s">
        <v>1357</v>
      </c>
      <c r="AQ45" s="1197" t="s">
        <v>1383</v>
      </c>
      <c r="AR45" s="1201">
        <f t="shared" si="25"/>
        <v>0</v>
      </c>
      <c r="AS45" s="1198">
        <f t="shared" si="26"/>
        <v>0</v>
      </c>
      <c r="AT45" s="1198">
        <f t="shared" si="27"/>
        <v>82651415.900690615</v>
      </c>
      <c r="AU45" s="1201">
        <f t="shared" si="28"/>
        <v>0</v>
      </c>
      <c r="AV45" s="1198">
        <f t="shared" si="7"/>
        <v>0</v>
      </c>
      <c r="AW45" s="1198">
        <f t="shared" si="8"/>
        <v>0</v>
      </c>
      <c r="AX45" s="1198">
        <f t="shared" si="9"/>
        <v>0</v>
      </c>
      <c r="AY45" s="1198">
        <f t="shared" si="10"/>
        <v>0</v>
      </c>
      <c r="AZ45" s="1198">
        <f t="shared" si="11"/>
        <v>0</v>
      </c>
      <c r="BA45" s="1198">
        <f t="shared" si="12"/>
        <v>0</v>
      </c>
      <c r="BB45" s="1198">
        <f t="shared" si="13"/>
        <v>0</v>
      </c>
      <c r="BC45" s="1198">
        <f t="shared" si="14"/>
        <v>0</v>
      </c>
      <c r="BD45" s="1198">
        <f t="shared" si="15"/>
        <v>0</v>
      </c>
      <c r="BE45" s="1198">
        <f t="shared" si="16"/>
        <v>0</v>
      </c>
    </row>
    <row r="46" spans="2:57" x14ac:dyDescent="0.25">
      <c r="B46" s="1221">
        <v>42</v>
      </c>
      <c r="C46" s="1181" t="s">
        <v>1088</v>
      </c>
      <c r="D46" s="1182" t="s">
        <v>1323</v>
      </c>
      <c r="E46" s="1199">
        <f>VLOOKUP($C46,[30]Dung!$C$2:$G$98,5,0)</f>
        <v>42297</v>
      </c>
      <c r="F46" s="1199">
        <v>44562</v>
      </c>
      <c r="G46" s="1194">
        <v>1</v>
      </c>
      <c r="H46" s="1199">
        <v>44926</v>
      </c>
      <c r="I46" s="1183">
        <f>VLOOKUP($C46,[30]NGọc!$B$3:$J$114,8,0)</f>
        <v>242727272</v>
      </c>
      <c r="J46" s="1183">
        <v>54576255.203285456</v>
      </c>
      <c r="K46" s="1194">
        <f t="shared" si="29"/>
        <v>11</v>
      </c>
      <c r="L46" s="1194">
        <f t="shared" si="30"/>
        <v>364</v>
      </c>
      <c r="M46" s="1195">
        <f t="shared" si="1"/>
        <v>4961477.7457532231</v>
      </c>
      <c r="N46" s="1195">
        <f t="shared" si="17"/>
        <v>149934.76704199301</v>
      </c>
      <c r="O46" s="1196">
        <v>0</v>
      </c>
      <c r="P46" s="1194">
        <v>31</v>
      </c>
      <c r="Q46" s="1195">
        <f t="shared" si="2"/>
        <v>0</v>
      </c>
      <c r="R46" s="1195">
        <f t="shared" si="18"/>
        <v>54576255.203285456</v>
      </c>
      <c r="S46" s="1195">
        <f t="shared" si="19"/>
        <v>0</v>
      </c>
      <c r="T46" s="1194"/>
      <c r="U46" s="1194" t="s">
        <v>1079</v>
      </c>
      <c r="V46" s="1201" t="s">
        <v>1043</v>
      </c>
      <c r="W46" s="1197"/>
      <c r="X46" s="1197"/>
      <c r="Y46" s="1197">
        <v>641</v>
      </c>
      <c r="Z46" s="1197" t="s">
        <v>1382</v>
      </c>
      <c r="AA46" s="1197"/>
      <c r="AB46" s="1202">
        <v>0</v>
      </c>
      <c r="AC46" s="1202">
        <v>0</v>
      </c>
      <c r="AD46" s="1202">
        <v>0</v>
      </c>
      <c r="AE46" s="1202">
        <v>0</v>
      </c>
      <c r="AF46" s="1202">
        <v>0</v>
      </c>
      <c r="AG46" s="1202">
        <v>0</v>
      </c>
      <c r="AH46" s="1202">
        <v>0</v>
      </c>
      <c r="AI46" s="1202">
        <v>0</v>
      </c>
      <c r="AJ46" s="1202">
        <v>0</v>
      </c>
      <c r="AK46" s="1202">
        <v>0</v>
      </c>
      <c r="AL46" s="1202">
        <v>0</v>
      </c>
      <c r="AM46" s="1202">
        <v>0</v>
      </c>
      <c r="AN46" s="1197"/>
      <c r="AO46" s="1197">
        <v>641</v>
      </c>
      <c r="AP46" s="1197" t="s">
        <v>1357</v>
      </c>
      <c r="AQ46" s="1197" t="s">
        <v>1382</v>
      </c>
      <c r="AR46" s="1201">
        <f t="shared" si="25"/>
        <v>0</v>
      </c>
      <c r="AS46" s="1198">
        <f t="shared" si="26"/>
        <v>0</v>
      </c>
      <c r="AT46" s="1198">
        <f t="shared" si="27"/>
        <v>59537732.949038677</v>
      </c>
      <c r="AU46" s="1201">
        <f t="shared" si="28"/>
        <v>0</v>
      </c>
      <c r="AV46" s="1198">
        <f t="shared" si="7"/>
        <v>0</v>
      </c>
      <c r="AW46" s="1198">
        <f t="shared" si="8"/>
        <v>0</v>
      </c>
      <c r="AX46" s="1198">
        <f t="shared" si="9"/>
        <v>0</v>
      </c>
      <c r="AY46" s="1198">
        <f t="shared" si="10"/>
        <v>0</v>
      </c>
      <c r="AZ46" s="1198">
        <f t="shared" si="11"/>
        <v>0</v>
      </c>
      <c r="BA46" s="1198">
        <f t="shared" si="12"/>
        <v>0</v>
      </c>
      <c r="BB46" s="1198">
        <f t="shared" si="13"/>
        <v>0</v>
      </c>
      <c r="BC46" s="1198">
        <f t="shared" si="14"/>
        <v>0</v>
      </c>
      <c r="BD46" s="1198">
        <f t="shared" si="15"/>
        <v>0</v>
      </c>
      <c r="BE46" s="1198">
        <f t="shared" si="16"/>
        <v>0</v>
      </c>
    </row>
    <row r="47" spans="2:57" x14ac:dyDescent="0.25">
      <c r="B47" s="1221">
        <v>43</v>
      </c>
      <c r="C47" s="1181" t="s">
        <v>1089</v>
      </c>
      <c r="D47" s="1182" t="s">
        <v>1324</v>
      </c>
      <c r="E47" s="1199">
        <f>VLOOKUP($C47,[30]Dung!$C$2:$G$98,5,0)</f>
        <v>42583</v>
      </c>
      <c r="F47" s="1199">
        <v>44562</v>
      </c>
      <c r="G47" s="1194">
        <v>1</v>
      </c>
      <c r="H47" s="1199">
        <v>44926</v>
      </c>
      <c r="I47" s="1183">
        <f>VLOOKUP($C47,[30]NGọc!$B$3:$J$114,8,0)</f>
        <v>102000000</v>
      </c>
      <c r="J47" s="1183">
        <v>32917864.47638607</v>
      </c>
      <c r="K47" s="1194">
        <f t="shared" si="29"/>
        <v>11</v>
      </c>
      <c r="L47" s="1194">
        <f t="shared" si="30"/>
        <v>364</v>
      </c>
      <c r="M47" s="1195">
        <f t="shared" si="1"/>
        <v>2992533.1342169154</v>
      </c>
      <c r="N47" s="1195">
        <f t="shared" si="17"/>
        <v>90433.693616445249</v>
      </c>
      <c r="O47" s="1196">
        <v>0</v>
      </c>
      <c r="P47" s="1194">
        <v>31</v>
      </c>
      <c r="Q47" s="1195">
        <f t="shared" si="2"/>
        <v>0</v>
      </c>
      <c r="R47" s="1195">
        <f t="shared" si="18"/>
        <v>32917864.47638607</v>
      </c>
      <c r="S47" s="1195">
        <f t="shared" si="19"/>
        <v>0</v>
      </c>
      <c r="T47" s="1194"/>
      <c r="U47" s="1194" t="s">
        <v>1037</v>
      </c>
      <c r="V47" s="1201">
        <f>O47-Q47-S47</f>
        <v>0</v>
      </c>
      <c r="W47" s="1197"/>
      <c r="X47" s="1197"/>
      <c r="Y47" s="1197">
        <v>641</v>
      </c>
      <c r="Z47" s="1197" t="s">
        <v>1038</v>
      </c>
      <c r="AA47" s="1197"/>
      <c r="AB47" s="1202">
        <v>0</v>
      </c>
      <c r="AC47" s="1202">
        <v>0</v>
      </c>
      <c r="AD47" s="1202">
        <v>0</v>
      </c>
      <c r="AE47" s="1202">
        <v>0</v>
      </c>
      <c r="AF47" s="1202">
        <v>0</v>
      </c>
      <c r="AG47" s="1202">
        <v>0</v>
      </c>
      <c r="AH47" s="1202">
        <v>0</v>
      </c>
      <c r="AI47" s="1202">
        <v>0</v>
      </c>
      <c r="AJ47" s="1202">
        <v>0</v>
      </c>
      <c r="AK47" s="1202">
        <v>0</v>
      </c>
      <c r="AL47" s="1202">
        <v>0</v>
      </c>
      <c r="AM47" s="1202">
        <v>0</v>
      </c>
      <c r="AN47" s="1197"/>
      <c r="AO47" s="1197">
        <v>641</v>
      </c>
      <c r="AP47" s="1197" t="s">
        <v>1357</v>
      </c>
      <c r="AQ47" s="1197" t="s">
        <v>1038</v>
      </c>
      <c r="AR47" s="1201">
        <f t="shared" si="25"/>
        <v>0</v>
      </c>
      <c r="AS47" s="1198">
        <f t="shared" si="26"/>
        <v>0</v>
      </c>
      <c r="AT47" s="1198">
        <f t="shared" si="27"/>
        <v>35910397.610602982</v>
      </c>
      <c r="AU47" s="1201">
        <f t="shared" si="28"/>
        <v>0</v>
      </c>
      <c r="AV47" s="1198">
        <f t="shared" si="7"/>
        <v>0</v>
      </c>
      <c r="AW47" s="1198">
        <f t="shared" si="8"/>
        <v>0</v>
      </c>
      <c r="AX47" s="1198">
        <f t="shared" si="9"/>
        <v>0</v>
      </c>
      <c r="AY47" s="1198">
        <f t="shared" si="10"/>
        <v>0</v>
      </c>
      <c r="AZ47" s="1198">
        <f t="shared" si="11"/>
        <v>0</v>
      </c>
      <c r="BA47" s="1198">
        <f t="shared" si="12"/>
        <v>0</v>
      </c>
      <c r="BB47" s="1198">
        <f t="shared" si="13"/>
        <v>0</v>
      </c>
      <c r="BC47" s="1198">
        <f t="shared" si="14"/>
        <v>0</v>
      </c>
      <c r="BD47" s="1198">
        <f t="shared" si="15"/>
        <v>0</v>
      </c>
      <c r="BE47" s="1198">
        <f t="shared" si="16"/>
        <v>0</v>
      </c>
    </row>
    <row r="48" spans="2:57" x14ac:dyDescent="0.25">
      <c r="B48" s="1221">
        <v>44</v>
      </c>
      <c r="C48" s="1181" t="s">
        <v>1090</v>
      </c>
      <c r="D48" s="1182" t="s">
        <v>1325</v>
      </c>
      <c r="E48" s="1199">
        <f>VLOOKUP($C48,[30]Dung!$C$2:$G$98,5,0)</f>
        <v>42583</v>
      </c>
      <c r="F48" s="1199">
        <v>44562</v>
      </c>
      <c r="G48" s="1194">
        <v>1</v>
      </c>
      <c r="H48" s="1199">
        <v>44926</v>
      </c>
      <c r="I48" s="1183">
        <f>VLOOKUP($C48,[30]NGọc!$B$3:$J$114,8,0)</f>
        <v>102000000</v>
      </c>
      <c r="J48" s="1183">
        <v>32917864.47638607</v>
      </c>
      <c r="K48" s="1194">
        <f t="shared" si="29"/>
        <v>11</v>
      </c>
      <c r="L48" s="1194">
        <f t="shared" si="30"/>
        <v>364</v>
      </c>
      <c r="M48" s="1195">
        <f t="shared" si="1"/>
        <v>2992533.1342169154</v>
      </c>
      <c r="N48" s="1195">
        <f t="shared" si="17"/>
        <v>90433.693616445249</v>
      </c>
      <c r="O48" s="1196">
        <v>0</v>
      </c>
      <c r="P48" s="1194">
        <v>31</v>
      </c>
      <c r="Q48" s="1195">
        <f t="shared" si="2"/>
        <v>0</v>
      </c>
      <c r="R48" s="1195">
        <f t="shared" si="18"/>
        <v>32917864.47638607</v>
      </c>
      <c r="S48" s="1195">
        <f t="shared" si="19"/>
        <v>0</v>
      </c>
      <c r="T48" s="1194">
        <v>5</v>
      </c>
      <c r="U48" s="1194" t="s">
        <v>1037</v>
      </c>
      <c r="V48" s="1201">
        <f>O48-Q48-S48</f>
        <v>0</v>
      </c>
      <c r="W48" s="1197"/>
      <c r="X48" s="1197"/>
      <c r="Y48" s="1197">
        <v>641</v>
      </c>
      <c r="Z48" s="1197" t="s">
        <v>1038</v>
      </c>
      <c r="AA48" s="1197"/>
      <c r="AB48" s="1202">
        <v>0</v>
      </c>
      <c r="AC48" s="1202">
        <v>0</v>
      </c>
      <c r="AD48" s="1202">
        <v>0</v>
      </c>
      <c r="AE48" s="1202">
        <v>0</v>
      </c>
      <c r="AF48" s="1202">
        <v>0</v>
      </c>
      <c r="AG48" s="1202">
        <v>0</v>
      </c>
      <c r="AH48" s="1202">
        <v>0</v>
      </c>
      <c r="AI48" s="1202">
        <v>0</v>
      </c>
      <c r="AJ48" s="1202">
        <v>0</v>
      </c>
      <c r="AK48" s="1202">
        <v>0</v>
      </c>
      <c r="AL48" s="1202">
        <v>0</v>
      </c>
      <c r="AM48" s="1202">
        <v>0</v>
      </c>
      <c r="AN48" s="1197"/>
      <c r="AO48" s="1197">
        <v>641</v>
      </c>
      <c r="AP48" s="1197" t="s">
        <v>1357</v>
      </c>
      <c r="AQ48" s="1197" t="s">
        <v>1038</v>
      </c>
      <c r="AR48" s="1201">
        <f t="shared" si="25"/>
        <v>0</v>
      </c>
      <c r="AS48" s="1198">
        <f t="shared" si="26"/>
        <v>0</v>
      </c>
      <c r="AT48" s="1198">
        <f t="shared" si="27"/>
        <v>35910397.610602982</v>
      </c>
      <c r="AU48" s="1201">
        <f t="shared" si="28"/>
        <v>0</v>
      </c>
      <c r="AV48" s="1198">
        <f t="shared" si="7"/>
        <v>0</v>
      </c>
      <c r="AW48" s="1198">
        <f t="shared" si="8"/>
        <v>0</v>
      </c>
      <c r="AX48" s="1198">
        <f t="shared" si="9"/>
        <v>0</v>
      </c>
      <c r="AY48" s="1198">
        <f t="shared" si="10"/>
        <v>0</v>
      </c>
      <c r="AZ48" s="1198">
        <f t="shared" si="11"/>
        <v>0</v>
      </c>
      <c r="BA48" s="1198">
        <f t="shared" si="12"/>
        <v>0</v>
      </c>
      <c r="BB48" s="1198">
        <f t="shared" si="13"/>
        <v>0</v>
      </c>
      <c r="BC48" s="1198">
        <f t="shared" si="14"/>
        <v>0</v>
      </c>
      <c r="BD48" s="1198">
        <f t="shared" si="15"/>
        <v>0</v>
      </c>
      <c r="BE48" s="1198">
        <f t="shared" si="16"/>
        <v>0</v>
      </c>
    </row>
    <row r="49" spans="2:57" x14ac:dyDescent="0.25">
      <c r="B49" s="1221">
        <v>45</v>
      </c>
      <c r="C49" s="1181" t="s">
        <v>1091</v>
      </c>
      <c r="D49" s="1182" t="s">
        <v>1326</v>
      </c>
      <c r="E49" s="1199">
        <f>VLOOKUP($C49,[30]Dung!$C$2:$G$98,5,0)</f>
        <v>41358</v>
      </c>
      <c r="F49" s="1199">
        <v>44562</v>
      </c>
      <c r="G49" s="1194">
        <v>1</v>
      </c>
      <c r="H49" s="1199">
        <v>44280</v>
      </c>
      <c r="I49" s="1183">
        <f>VLOOKUP($C49,[30]NGọc!$B$3:$J$114,8,0)</f>
        <v>209090909</v>
      </c>
      <c r="J49" s="1183">
        <v>0</v>
      </c>
      <c r="K49" s="1194">
        <v>96</v>
      </c>
      <c r="L49" s="1194">
        <v>2922</v>
      </c>
      <c r="M49" s="1195">
        <f t="shared" si="1"/>
        <v>0</v>
      </c>
      <c r="N49" s="1195">
        <f t="shared" si="17"/>
        <v>0</v>
      </c>
      <c r="O49" s="1196">
        <v>0</v>
      </c>
      <c r="P49" s="1194">
        <v>31</v>
      </c>
      <c r="Q49" s="1195">
        <f t="shared" si="2"/>
        <v>0</v>
      </c>
      <c r="R49" s="1195">
        <f t="shared" si="18"/>
        <v>0</v>
      </c>
      <c r="S49" s="1195">
        <f t="shared" si="19"/>
        <v>0</v>
      </c>
      <c r="T49" s="1194">
        <v>5</v>
      </c>
      <c r="U49" s="1194" t="s">
        <v>1047</v>
      </c>
      <c r="V49" s="1201" t="s">
        <v>1043</v>
      </c>
      <c r="W49" s="1197"/>
      <c r="X49" s="1197"/>
      <c r="Y49" s="1197">
        <v>641</v>
      </c>
      <c r="Z49" s="1197" t="s">
        <v>1048</v>
      </c>
      <c r="AA49" s="1197"/>
      <c r="AB49" s="1202">
        <v>0</v>
      </c>
      <c r="AC49" s="1202">
        <v>0</v>
      </c>
      <c r="AD49" s="1202">
        <v>0</v>
      </c>
      <c r="AE49" s="1202">
        <v>0</v>
      </c>
      <c r="AF49" s="1202">
        <v>0</v>
      </c>
      <c r="AG49" s="1202">
        <v>0</v>
      </c>
      <c r="AH49" s="1202">
        <v>0</v>
      </c>
      <c r="AI49" s="1202">
        <v>0</v>
      </c>
      <c r="AJ49" s="1202">
        <v>0</v>
      </c>
      <c r="AK49" s="1202">
        <v>0</v>
      </c>
      <c r="AL49" s="1202">
        <v>0</v>
      </c>
      <c r="AM49" s="1202">
        <v>0</v>
      </c>
      <c r="AN49" s="1197"/>
      <c r="AO49" s="1197">
        <v>641</v>
      </c>
      <c r="AP49" s="1197" t="s">
        <v>1357</v>
      </c>
      <c r="AQ49" s="1197" t="s">
        <v>1383</v>
      </c>
      <c r="AR49" s="1201">
        <f t="shared" si="25"/>
        <v>0</v>
      </c>
      <c r="AS49" s="1198">
        <f t="shared" si="26"/>
        <v>0</v>
      </c>
      <c r="AT49" s="1198">
        <f t="shared" si="27"/>
        <v>0</v>
      </c>
      <c r="AU49" s="1201">
        <f t="shared" si="28"/>
        <v>0</v>
      </c>
      <c r="AV49" s="1198">
        <f t="shared" si="7"/>
        <v>0</v>
      </c>
      <c r="AW49" s="1198">
        <f t="shared" si="8"/>
        <v>0</v>
      </c>
      <c r="AX49" s="1198">
        <f t="shared" si="9"/>
        <v>0</v>
      </c>
      <c r="AY49" s="1198">
        <f t="shared" si="10"/>
        <v>0</v>
      </c>
      <c r="AZ49" s="1198">
        <f t="shared" si="11"/>
        <v>0</v>
      </c>
      <c r="BA49" s="1198">
        <f t="shared" si="12"/>
        <v>0</v>
      </c>
      <c r="BB49" s="1198">
        <f t="shared" si="13"/>
        <v>0</v>
      </c>
      <c r="BC49" s="1198">
        <f t="shared" si="14"/>
        <v>0</v>
      </c>
      <c r="BD49" s="1198">
        <f t="shared" si="15"/>
        <v>0</v>
      </c>
      <c r="BE49" s="1198">
        <f t="shared" si="16"/>
        <v>0</v>
      </c>
    </row>
    <row r="50" spans="2:57" x14ac:dyDescent="0.25">
      <c r="B50" s="1221">
        <v>46</v>
      </c>
      <c r="C50" s="1181" t="s">
        <v>1092</v>
      </c>
      <c r="D50" s="1182" t="s">
        <v>1327</v>
      </c>
      <c r="E50" s="1199">
        <f>VLOOKUP($C50,[30]Dung!$C$2:$G$98,5,0)</f>
        <v>41101</v>
      </c>
      <c r="F50" s="1199">
        <v>44562</v>
      </c>
      <c r="G50" s="1194">
        <v>1</v>
      </c>
      <c r="H50" s="1199">
        <v>44023</v>
      </c>
      <c r="I50" s="1183">
        <f>VLOOKUP($C50,[30]NGọc!$B$3:$J$114,8,0)</f>
        <v>75000000</v>
      </c>
      <c r="J50" s="1183">
        <v>0</v>
      </c>
      <c r="K50" s="1194">
        <v>96</v>
      </c>
      <c r="L50" s="1194">
        <v>2922</v>
      </c>
      <c r="M50" s="1195">
        <f t="shared" si="1"/>
        <v>0</v>
      </c>
      <c r="N50" s="1195">
        <f t="shared" si="17"/>
        <v>0</v>
      </c>
      <c r="O50" s="1196">
        <v>0</v>
      </c>
      <c r="P50" s="1194">
        <v>31</v>
      </c>
      <c r="Q50" s="1195">
        <f t="shared" si="2"/>
        <v>0</v>
      </c>
      <c r="R50" s="1195">
        <f t="shared" si="18"/>
        <v>0</v>
      </c>
      <c r="S50" s="1195">
        <f t="shared" si="19"/>
        <v>0</v>
      </c>
      <c r="T50" s="1194">
        <v>5</v>
      </c>
      <c r="U50" s="1194" t="s">
        <v>1037</v>
      </c>
      <c r="V50" s="1201">
        <f>O50-Q50-S50</f>
        <v>0</v>
      </c>
      <c r="W50" s="1197"/>
      <c r="X50" s="1197"/>
      <c r="Y50" s="1197">
        <v>641</v>
      </c>
      <c r="Z50" s="1197" t="s">
        <v>1038</v>
      </c>
      <c r="AA50" s="1197"/>
      <c r="AB50" s="1202">
        <v>0</v>
      </c>
      <c r="AC50" s="1202">
        <v>0</v>
      </c>
      <c r="AD50" s="1202">
        <v>0</v>
      </c>
      <c r="AE50" s="1202">
        <v>0</v>
      </c>
      <c r="AF50" s="1202">
        <v>0</v>
      </c>
      <c r="AG50" s="1202">
        <v>0</v>
      </c>
      <c r="AH50" s="1202">
        <v>0</v>
      </c>
      <c r="AI50" s="1202">
        <v>0</v>
      </c>
      <c r="AJ50" s="1202">
        <v>0</v>
      </c>
      <c r="AK50" s="1202">
        <v>0</v>
      </c>
      <c r="AL50" s="1202">
        <v>0</v>
      </c>
      <c r="AM50" s="1202">
        <v>0</v>
      </c>
      <c r="AN50" s="1197"/>
      <c r="AO50" s="1197">
        <v>641</v>
      </c>
      <c r="AP50" s="1197" t="s">
        <v>1357</v>
      </c>
      <c r="AQ50" s="1197" t="s">
        <v>1038</v>
      </c>
      <c r="AR50" s="1201">
        <f t="shared" si="25"/>
        <v>0</v>
      </c>
      <c r="AS50" s="1198">
        <f t="shared" si="26"/>
        <v>0</v>
      </c>
      <c r="AT50" s="1198">
        <f t="shared" si="27"/>
        <v>0</v>
      </c>
      <c r="AU50" s="1201">
        <f t="shared" si="28"/>
        <v>0</v>
      </c>
      <c r="AV50" s="1198">
        <f t="shared" si="7"/>
        <v>0</v>
      </c>
      <c r="AW50" s="1198">
        <f t="shared" si="8"/>
        <v>0</v>
      </c>
      <c r="AX50" s="1198">
        <f t="shared" si="9"/>
        <v>0</v>
      </c>
      <c r="AY50" s="1198">
        <f t="shared" si="10"/>
        <v>0</v>
      </c>
      <c r="AZ50" s="1198">
        <f t="shared" si="11"/>
        <v>0</v>
      </c>
      <c r="BA50" s="1198">
        <f t="shared" si="12"/>
        <v>0</v>
      </c>
      <c r="BB50" s="1198">
        <f t="shared" si="13"/>
        <v>0</v>
      </c>
      <c r="BC50" s="1198">
        <f t="shared" si="14"/>
        <v>0</v>
      </c>
      <c r="BD50" s="1198">
        <f t="shared" si="15"/>
        <v>0</v>
      </c>
      <c r="BE50" s="1198">
        <f t="shared" si="16"/>
        <v>0</v>
      </c>
    </row>
    <row r="51" spans="2:57" x14ac:dyDescent="0.25">
      <c r="B51" s="1221">
        <v>47</v>
      </c>
      <c r="C51" s="1181" t="s">
        <v>1093</v>
      </c>
      <c r="D51" s="1182" t="s">
        <v>1328</v>
      </c>
      <c r="E51" s="1199">
        <v>42583</v>
      </c>
      <c r="F51" s="1199">
        <v>44562</v>
      </c>
      <c r="G51" s="1194">
        <v>1</v>
      </c>
      <c r="H51" s="1199">
        <v>44926</v>
      </c>
      <c r="I51" s="1183">
        <f>VLOOKUP($C51,[30]NGọc!$B$3:$J$114,8,0)</f>
        <v>200000000</v>
      </c>
      <c r="J51" s="1183">
        <v>64544832.306639314</v>
      </c>
      <c r="K51" s="1194">
        <f>DATEDIF(F51,H51,"m")</f>
        <v>11</v>
      </c>
      <c r="L51" s="1194">
        <f>DATEDIF(F51,H51,"d")</f>
        <v>364</v>
      </c>
      <c r="M51" s="1195">
        <f t="shared" si="1"/>
        <v>5867712.0278763017</v>
      </c>
      <c r="N51" s="1195">
        <f t="shared" si="17"/>
        <v>177320.96787538272</v>
      </c>
      <c r="O51" s="1196">
        <v>0</v>
      </c>
      <c r="P51" s="1194">
        <v>31</v>
      </c>
      <c r="Q51" s="1195">
        <f t="shared" si="2"/>
        <v>0</v>
      </c>
      <c r="R51" s="1195">
        <f t="shared" si="18"/>
        <v>64544832.306639314</v>
      </c>
      <c r="S51" s="1195">
        <f t="shared" si="19"/>
        <v>0</v>
      </c>
      <c r="T51" s="1194">
        <v>5</v>
      </c>
      <c r="U51" s="1194" t="s">
        <v>1037</v>
      </c>
      <c r="V51" s="1201">
        <f>O51-Q51-S51</f>
        <v>0</v>
      </c>
      <c r="W51" s="1197"/>
      <c r="X51" s="1197"/>
      <c r="Y51" s="1197">
        <v>641</v>
      </c>
      <c r="Z51" s="1197" t="s">
        <v>1038</v>
      </c>
      <c r="AA51" s="1197"/>
      <c r="AB51" s="1202">
        <v>0</v>
      </c>
      <c r="AC51" s="1202">
        <v>0</v>
      </c>
      <c r="AD51" s="1202">
        <v>0</v>
      </c>
      <c r="AE51" s="1202">
        <v>0</v>
      </c>
      <c r="AF51" s="1202">
        <v>0</v>
      </c>
      <c r="AG51" s="1202">
        <v>0</v>
      </c>
      <c r="AH51" s="1202">
        <v>0</v>
      </c>
      <c r="AI51" s="1202">
        <v>0</v>
      </c>
      <c r="AJ51" s="1202">
        <v>0</v>
      </c>
      <c r="AK51" s="1202">
        <v>0</v>
      </c>
      <c r="AL51" s="1202">
        <v>0</v>
      </c>
      <c r="AM51" s="1202">
        <v>0</v>
      </c>
      <c r="AN51" s="1197"/>
      <c r="AO51" s="1197">
        <v>641</v>
      </c>
      <c r="AP51" s="1197" t="s">
        <v>1357</v>
      </c>
      <c r="AQ51" s="1197" t="s">
        <v>1038</v>
      </c>
      <c r="AR51" s="1201">
        <f t="shared" si="25"/>
        <v>0</v>
      </c>
      <c r="AS51" s="1198">
        <f t="shared" si="26"/>
        <v>0</v>
      </c>
      <c r="AT51" s="1198">
        <f t="shared" si="27"/>
        <v>70412544.334515616</v>
      </c>
      <c r="AU51" s="1201">
        <f t="shared" si="28"/>
        <v>0</v>
      </c>
      <c r="AV51" s="1198">
        <f t="shared" si="7"/>
        <v>0</v>
      </c>
      <c r="AW51" s="1198">
        <f t="shared" si="8"/>
        <v>0</v>
      </c>
      <c r="AX51" s="1198">
        <f t="shared" si="9"/>
        <v>0</v>
      </c>
      <c r="AY51" s="1198">
        <f t="shared" si="10"/>
        <v>0</v>
      </c>
      <c r="AZ51" s="1198">
        <f t="shared" si="11"/>
        <v>0</v>
      </c>
      <c r="BA51" s="1198">
        <f t="shared" si="12"/>
        <v>0</v>
      </c>
      <c r="BB51" s="1198">
        <f t="shared" si="13"/>
        <v>0</v>
      </c>
      <c r="BC51" s="1198">
        <f t="shared" si="14"/>
        <v>0</v>
      </c>
      <c r="BD51" s="1198">
        <f t="shared" si="15"/>
        <v>0</v>
      </c>
      <c r="BE51" s="1198">
        <f t="shared" si="16"/>
        <v>0</v>
      </c>
    </row>
    <row r="52" spans="2:57" x14ac:dyDescent="0.25">
      <c r="B52" s="1221">
        <v>48</v>
      </c>
      <c r="C52" s="1181" t="s">
        <v>1094</v>
      </c>
      <c r="D52" s="1182" t="s">
        <v>1329</v>
      </c>
      <c r="E52" s="1199">
        <f>VLOOKUP($C52,[30]Dung!$C$2:$G$98,5,0)</f>
        <v>41101</v>
      </c>
      <c r="F52" s="1199">
        <v>44562</v>
      </c>
      <c r="G52" s="1194">
        <v>1</v>
      </c>
      <c r="H52" s="1199">
        <v>44023</v>
      </c>
      <c r="I52" s="1183">
        <f>VLOOKUP($C52,[30]NGọc!$B$3:$J$114,8,0)</f>
        <v>200000000</v>
      </c>
      <c r="J52" s="1183">
        <v>0</v>
      </c>
      <c r="K52" s="1194">
        <v>96</v>
      </c>
      <c r="L52" s="1194">
        <v>2922</v>
      </c>
      <c r="M52" s="1195">
        <f t="shared" si="1"/>
        <v>0</v>
      </c>
      <c r="N52" s="1195">
        <f t="shared" si="17"/>
        <v>0</v>
      </c>
      <c r="O52" s="1196">
        <v>0</v>
      </c>
      <c r="P52" s="1194">
        <v>31</v>
      </c>
      <c r="Q52" s="1195">
        <f t="shared" si="2"/>
        <v>0</v>
      </c>
      <c r="R52" s="1195">
        <f t="shared" si="18"/>
        <v>0</v>
      </c>
      <c r="S52" s="1195">
        <f t="shared" si="19"/>
        <v>0</v>
      </c>
      <c r="T52" s="1194"/>
      <c r="U52" s="1194" t="s">
        <v>1095</v>
      </c>
      <c r="V52" s="1201" t="s">
        <v>1043</v>
      </c>
      <c r="W52" s="1197"/>
      <c r="X52" s="1197"/>
      <c r="Y52" s="1197">
        <v>641</v>
      </c>
      <c r="Z52" s="1197" t="s">
        <v>1048</v>
      </c>
      <c r="AA52" s="1197"/>
      <c r="AB52" s="1202">
        <v>0</v>
      </c>
      <c r="AC52" s="1202">
        <v>0</v>
      </c>
      <c r="AD52" s="1202">
        <v>0</v>
      </c>
      <c r="AE52" s="1202">
        <v>0</v>
      </c>
      <c r="AF52" s="1202">
        <v>0</v>
      </c>
      <c r="AG52" s="1202">
        <v>0</v>
      </c>
      <c r="AH52" s="1202">
        <v>0</v>
      </c>
      <c r="AI52" s="1202">
        <v>0</v>
      </c>
      <c r="AJ52" s="1202">
        <v>0</v>
      </c>
      <c r="AK52" s="1202">
        <v>0</v>
      </c>
      <c r="AL52" s="1202">
        <v>0</v>
      </c>
      <c r="AM52" s="1202">
        <v>0</v>
      </c>
      <c r="AN52" s="1197"/>
      <c r="AO52" s="1197">
        <v>641</v>
      </c>
      <c r="AP52" s="1197" t="s">
        <v>1357</v>
      </c>
      <c r="AQ52" s="1197" t="s">
        <v>1383</v>
      </c>
      <c r="AR52" s="1201">
        <f t="shared" si="25"/>
        <v>0</v>
      </c>
      <c r="AS52" s="1198">
        <f t="shared" si="26"/>
        <v>0</v>
      </c>
      <c r="AT52" s="1198">
        <f t="shared" si="27"/>
        <v>0</v>
      </c>
      <c r="AU52" s="1201">
        <f t="shared" si="28"/>
        <v>0</v>
      </c>
      <c r="AV52" s="1198">
        <f t="shared" si="7"/>
        <v>0</v>
      </c>
      <c r="AW52" s="1198">
        <f t="shared" si="8"/>
        <v>0</v>
      </c>
      <c r="AX52" s="1198">
        <f t="shared" si="9"/>
        <v>0</v>
      </c>
      <c r="AY52" s="1198">
        <f t="shared" si="10"/>
        <v>0</v>
      </c>
      <c r="AZ52" s="1198">
        <f t="shared" si="11"/>
        <v>0</v>
      </c>
      <c r="BA52" s="1198">
        <f t="shared" si="12"/>
        <v>0</v>
      </c>
      <c r="BB52" s="1198">
        <f t="shared" si="13"/>
        <v>0</v>
      </c>
      <c r="BC52" s="1198">
        <f t="shared" si="14"/>
        <v>0</v>
      </c>
      <c r="BD52" s="1198">
        <f t="shared" si="15"/>
        <v>0</v>
      </c>
      <c r="BE52" s="1198">
        <f t="shared" si="16"/>
        <v>0</v>
      </c>
    </row>
    <row r="53" spans="2:57" x14ac:dyDescent="0.25">
      <c r="B53" s="1221">
        <v>49</v>
      </c>
      <c r="C53" s="1181" t="s">
        <v>1096</v>
      </c>
      <c r="D53" s="1182" t="s">
        <v>1329</v>
      </c>
      <c r="E53" s="1199">
        <f>VLOOKUP($C53,[30]Dung!$C$2:$G$98,5,0)</f>
        <v>41101</v>
      </c>
      <c r="F53" s="1199">
        <v>44562</v>
      </c>
      <c r="G53" s="1194">
        <v>1</v>
      </c>
      <c r="H53" s="1199">
        <v>44023</v>
      </c>
      <c r="I53" s="1183">
        <f>VLOOKUP($C53,[30]NGọc!$B$3:$J$114,8,0)</f>
        <v>200000000</v>
      </c>
      <c r="J53" s="1183">
        <v>0</v>
      </c>
      <c r="K53" s="1194">
        <v>96</v>
      </c>
      <c r="L53" s="1194">
        <v>2922</v>
      </c>
      <c r="M53" s="1195">
        <f t="shared" si="1"/>
        <v>0</v>
      </c>
      <c r="N53" s="1195">
        <f t="shared" si="17"/>
        <v>0</v>
      </c>
      <c r="O53" s="1196">
        <v>0</v>
      </c>
      <c r="P53" s="1194">
        <v>31</v>
      </c>
      <c r="Q53" s="1195">
        <f t="shared" si="2"/>
        <v>0</v>
      </c>
      <c r="R53" s="1195">
        <f t="shared" si="18"/>
        <v>0</v>
      </c>
      <c r="S53" s="1195">
        <f t="shared" si="19"/>
        <v>0</v>
      </c>
      <c r="T53" s="1194">
        <v>5</v>
      </c>
      <c r="U53" s="1194" t="s">
        <v>1066</v>
      </c>
      <c r="V53" s="1201">
        <f>O53-Q53-S53</f>
        <v>0</v>
      </c>
      <c r="W53" s="1197"/>
      <c r="X53" s="1197"/>
      <c r="Y53" s="1197">
        <v>641</v>
      </c>
      <c r="Z53" s="1197" t="s">
        <v>1038</v>
      </c>
      <c r="AA53" s="1197"/>
      <c r="AB53" s="1202">
        <v>0</v>
      </c>
      <c r="AC53" s="1202">
        <v>0</v>
      </c>
      <c r="AD53" s="1202">
        <v>0</v>
      </c>
      <c r="AE53" s="1202">
        <v>0</v>
      </c>
      <c r="AF53" s="1202">
        <v>0</v>
      </c>
      <c r="AG53" s="1202">
        <v>0</v>
      </c>
      <c r="AH53" s="1202">
        <v>0</v>
      </c>
      <c r="AI53" s="1202">
        <v>0</v>
      </c>
      <c r="AJ53" s="1202">
        <v>0</v>
      </c>
      <c r="AK53" s="1202">
        <v>0</v>
      </c>
      <c r="AL53" s="1202">
        <v>0</v>
      </c>
      <c r="AM53" s="1202">
        <v>0</v>
      </c>
      <c r="AN53" s="1197"/>
      <c r="AO53" s="1197">
        <v>641</v>
      </c>
      <c r="AP53" s="1197" t="s">
        <v>1357</v>
      </c>
      <c r="AQ53" s="1197" t="s">
        <v>1038</v>
      </c>
      <c r="AR53" s="1201">
        <f t="shared" si="25"/>
        <v>0</v>
      </c>
      <c r="AS53" s="1198">
        <f t="shared" si="26"/>
        <v>0</v>
      </c>
      <c r="AT53" s="1198">
        <f t="shared" si="27"/>
        <v>0</v>
      </c>
      <c r="AU53" s="1201">
        <f t="shared" si="28"/>
        <v>0</v>
      </c>
      <c r="AV53" s="1198">
        <f t="shared" si="7"/>
        <v>0</v>
      </c>
      <c r="AW53" s="1198">
        <f t="shared" si="8"/>
        <v>0</v>
      </c>
      <c r="AX53" s="1198">
        <f t="shared" si="9"/>
        <v>0</v>
      </c>
      <c r="AY53" s="1198">
        <f t="shared" si="10"/>
        <v>0</v>
      </c>
      <c r="AZ53" s="1198">
        <f t="shared" si="11"/>
        <v>0</v>
      </c>
      <c r="BA53" s="1198">
        <f t="shared" si="12"/>
        <v>0</v>
      </c>
      <c r="BB53" s="1198">
        <f t="shared" si="13"/>
        <v>0</v>
      </c>
      <c r="BC53" s="1198">
        <f t="shared" si="14"/>
        <v>0</v>
      </c>
      <c r="BD53" s="1198">
        <f t="shared" si="15"/>
        <v>0</v>
      </c>
      <c r="BE53" s="1198">
        <f t="shared" si="16"/>
        <v>0</v>
      </c>
    </row>
    <row r="54" spans="2:57" x14ac:dyDescent="0.25">
      <c r="B54" s="1221">
        <v>50</v>
      </c>
      <c r="C54" s="1181" t="s">
        <v>1097</v>
      </c>
      <c r="D54" s="1182" t="s">
        <v>1306</v>
      </c>
      <c r="E54" s="1199">
        <f>VLOOKUP($C54,[30]Dung!$C$2:$G$98,5,0)</f>
        <v>42447</v>
      </c>
      <c r="F54" s="1199">
        <v>44562</v>
      </c>
      <c r="G54" s="1194">
        <v>1</v>
      </c>
      <c r="H54" s="1199">
        <v>44926</v>
      </c>
      <c r="I54" s="1183">
        <f>VLOOKUP($C54,[30]NGọc!$B$3:$J$114,8,0)</f>
        <v>236363636</v>
      </c>
      <c r="J54" s="1183">
        <v>65279074.00821358</v>
      </c>
      <c r="K54" s="1194">
        <f t="shared" ref="K54:K90" si="31">DATEDIF(F54,H54,"m")</f>
        <v>11</v>
      </c>
      <c r="L54" s="1194">
        <f t="shared" ref="L54:L90" si="32">DATEDIF(F54,H54,"d")</f>
        <v>364</v>
      </c>
      <c r="M54" s="1195">
        <f t="shared" si="1"/>
        <v>5934461.2734739622</v>
      </c>
      <c r="N54" s="1195">
        <f t="shared" si="17"/>
        <v>179338.11540718016</v>
      </c>
      <c r="O54" s="1196">
        <v>0</v>
      </c>
      <c r="P54" s="1194">
        <v>31</v>
      </c>
      <c r="Q54" s="1195">
        <f t="shared" si="2"/>
        <v>0</v>
      </c>
      <c r="R54" s="1195">
        <f t="shared" si="18"/>
        <v>65279074.00821358</v>
      </c>
      <c r="S54" s="1195">
        <f t="shared" si="19"/>
        <v>0</v>
      </c>
      <c r="T54" s="1194">
        <v>5</v>
      </c>
      <c r="U54" s="1194" t="s">
        <v>1047</v>
      </c>
      <c r="V54" s="1201" t="s">
        <v>1043</v>
      </c>
      <c r="W54" s="1197"/>
      <c r="X54" s="1197"/>
      <c r="Y54" s="1197">
        <v>641</v>
      </c>
      <c r="Z54" s="1197" t="s">
        <v>1048</v>
      </c>
      <c r="AA54" s="1197"/>
      <c r="AB54" s="1202">
        <v>0</v>
      </c>
      <c r="AC54" s="1202">
        <v>0</v>
      </c>
      <c r="AD54" s="1202">
        <v>0</v>
      </c>
      <c r="AE54" s="1202">
        <v>0</v>
      </c>
      <c r="AF54" s="1202">
        <v>0</v>
      </c>
      <c r="AG54" s="1202">
        <v>0</v>
      </c>
      <c r="AH54" s="1202">
        <v>0</v>
      </c>
      <c r="AI54" s="1202">
        <v>0</v>
      </c>
      <c r="AJ54" s="1202">
        <v>0</v>
      </c>
      <c r="AK54" s="1202">
        <v>0</v>
      </c>
      <c r="AL54" s="1202">
        <v>0</v>
      </c>
      <c r="AM54" s="1202">
        <v>0</v>
      </c>
      <c r="AN54" s="1197"/>
      <c r="AO54" s="1197">
        <v>641</v>
      </c>
      <c r="AP54" s="1197" t="s">
        <v>1357</v>
      </c>
      <c r="AQ54" s="1197" t="s">
        <v>1383</v>
      </c>
      <c r="AR54" s="1201">
        <f t="shared" si="25"/>
        <v>0</v>
      </c>
      <c r="AS54" s="1198">
        <f t="shared" si="26"/>
        <v>0</v>
      </c>
      <c r="AT54" s="1198">
        <f t="shared" si="27"/>
        <v>71213535.281687543</v>
      </c>
      <c r="AU54" s="1201">
        <f t="shared" si="28"/>
        <v>0</v>
      </c>
      <c r="AV54" s="1198">
        <f t="shared" si="7"/>
        <v>0</v>
      </c>
      <c r="AW54" s="1198">
        <f t="shared" si="8"/>
        <v>0</v>
      </c>
      <c r="AX54" s="1198">
        <f t="shared" si="9"/>
        <v>0</v>
      </c>
      <c r="AY54" s="1198">
        <f t="shared" si="10"/>
        <v>0</v>
      </c>
      <c r="AZ54" s="1198">
        <f t="shared" si="11"/>
        <v>0</v>
      </c>
      <c r="BA54" s="1198">
        <f t="shared" si="12"/>
        <v>0</v>
      </c>
      <c r="BB54" s="1198">
        <f t="shared" si="13"/>
        <v>0</v>
      </c>
      <c r="BC54" s="1198">
        <f t="shared" si="14"/>
        <v>0</v>
      </c>
      <c r="BD54" s="1198">
        <f t="shared" si="15"/>
        <v>0</v>
      </c>
      <c r="BE54" s="1198">
        <f t="shared" si="16"/>
        <v>0</v>
      </c>
    </row>
    <row r="55" spans="2:57" x14ac:dyDescent="0.25">
      <c r="B55" s="1221">
        <v>51</v>
      </c>
      <c r="C55" s="1181" t="s">
        <v>1098</v>
      </c>
      <c r="D55" s="1182" t="s">
        <v>1330</v>
      </c>
      <c r="E55" s="1199">
        <v>43945</v>
      </c>
      <c r="F55" s="1199">
        <v>44562</v>
      </c>
      <c r="G55" s="1194">
        <v>1</v>
      </c>
      <c r="H55" s="1199">
        <v>46022</v>
      </c>
      <c r="I55" s="1183">
        <v>3000000000</v>
      </c>
      <c r="J55" s="1183">
        <v>2366529774.1273108</v>
      </c>
      <c r="K55" s="1194">
        <f t="shared" si="31"/>
        <v>47</v>
      </c>
      <c r="L55" s="1194">
        <f t="shared" si="32"/>
        <v>1460</v>
      </c>
      <c r="M55" s="1195">
        <f t="shared" si="1"/>
        <v>50351697.321857676</v>
      </c>
      <c r="N55" s="1195">
        <f t="shared" si="17"/>
        <v>1620910.8041967882</v>
      </c>
      <c r="O55" s="1196">
        <v>1233513121.9937563</v>
      </c>
      <c r="P55" s="1194">
        <v>31</v>
      </c>
      <c r="Q55" s="1195">
        <f t="shared" si="2"/>
        <v>50248234.930100434</v>
      </c>
      <c r="R55" s="1195">
        <f t="shared" si="18"/>
        <v>1183264887.0636549</v>
      </c>
      <c r="S55" s="1195">
        <f t="shared" si="19"/>
        <v>1183264887.0636559</v>
      </c>
      <c r="T55" s="1194"/>
      <c r="U55" s="1194" t="s">
        <v>1095</v>
      </c>
      <c r="V55" s="1201" t="s">
        <v>1043</v>
      </c>
      <c r="W55" s="1197"/>
      <c r="X55" s="1197"/>
      <c r="Y55" s="1197">
        <v>627</v>
      </c>
      <c r="Z55" s="1197" t="s">
        <v>809</v>
      </c>
      <c r="AA55" s="1197"/>
      <c r="AB55" s="1202">
        <v>50248234.930100434</v>
      </c>
      <c r="AC55" s="1202">
        <v>45385502.517510071</v>
      </c>
      <c r="AD55" s="1202">
        <v>50248234.930100434</v>
      </c>
      <c r="AE55" s="1202">
        <v>48627324.125903644</v>
      </c>
      <c r="AF55" s="1202">
        <v>50248234.930100434</v>
      </c>
      <c r="AG55" s="1202">
        <v>48627324.125903644</v>
      </c>
      <c r="AH55" s="1202">
        <v>50248234.930100434</v>
      </c>
      <c r="AI55" s="1202">
        <v>50248234.930100434</v>
      </c>
      <c r="AJ55" s="1202">
        <v>48627324.125903644</v>
      </c>
      <c r="AK55" s="1202">
        <v>50248234.930100434</v>
      </c>
      <c r="AL55" s="1202">
        <v>48627324.125903644</v>
      </c>
      <c r="AM55" s="1202">
        <v>50248234.930100434</v>
      </c>
      <c r="AN55" s="1197"/>
      <c r="AO55" s="1197">
        <v>641</v>
      </c>
      <c r="AP55" s="1197" t="s">
        <v>1357</v>
      </c>
      <c r="AQ55" s="1253" t="s">
        <v>809</v>
      </c>
      <c r="AR55" s="1201">
        <f t="shared" si="25"/>
        <v>0</v>
      </c>
      <c r="AS55" s="1198">
        <f t="shared" si="26"/>
        <v>1183264887.0636559</v>
      </c>
      <c r="AT55" s="1198">
        <f t="shared" si="27"/>
        <v>604220367.86229205</v>
      </c>
      <c r="AU55" s="1201">
        <f t="shared" si="28"/>
        <v>591632443.53182769</v>
      </c>
      <c r="AV55" s="1198">
        <f t="shared" si="7"/>
        <v>604220367.86229205</v>
      </c>
      <c r="AW55" s="1198">
        <f t="shared" si="8"/>
        <v>579044519.2013638</v>
      </c>
      <c r="AX55" s="1198">
        <f t="shared" si="9"/>
        <v>0</v>
      </c>
      <c r="AY55" s="1198">
        <f t="shared" si="10"/>
        <v>0</v>
      </c>
      <c r="AZ55" s="1198">
        <f t="shared" si="11"/>
        <v>0</v>
      </c>
      <c r="BA55" s="1198">
        <f t="shared" si="12"/>
        <v>0</v>
      </c>
      <c r="BB55" s="1198">
        <f t="shared" si="13"/>
        <v>0</v>
      </c>
      <c r="BC55" s="1198">
        <f t="shared" si="14"/>
        <v>0</v>
      </c>
      <c r="BD55" s="1198">
        <f t="shared" si="15"/>
        <v>0</v>
      </c>
      <c r="BE55" s="1198">
        <f t="shared" si="16"/>
        <v>0</v>
      </c>
    </row>
    <row r="56" spans="2:57" x14ac:dyDescent="0.25">
      <c r="B56" s="1221">
        <v>52</v>
      </c>
      <c r="C56" s="1181" t="s">
        <v>1099</v>
      </c>
      <c r="D56" s="1182" t="s">
        <v>1331</v>
      </c>
      <c r="E56" s="1199">
        <f>VLOOKUP($C56,[30]Dung!$C$2:$G$98,5,0)</f>
        <v>43313</v>
      </c>
      <c r="F56" s="1199">
        <v>44562</v>
      </c>
      <c r="G56" s="1194">
        <v>1</v>
      </c>
      <c r="H56" s="1199">
        <v>45291</v>
      </c>
      <c r="I56" s="1183">
        <f>VLOOKUP($C56,[30]NGọc!$B$3:$J$114,8,0)</f>
        <v>3000000000</v>
      </c>
      <c r="J56" s="1183">
        <v>1717659137.5770025</v>
      </c>
      <c r="K56" s="1194">
        <f t="shared" si="31"/>
        <v>23</v>
      </c>
      <c r="L56" s="1194">
        <f t="shared" si="32"/>
        <v>729</v>
      </c>
      <c r="M56" s="1195">
        <f t="shared" si="1"/>
        <v>74680832.068565324</v>
      </c>
      <c r="N56" s="1195">
        <f t="shared" si="17"/>
        <v>2356185.3739053532</v>
      </c>
      <c r="O56" s="1196">
        <v>70685561.217160702</v>
      </c>
      <c r="P56" s="1194">
        <v>31</v>
      </c>
      <c r="Q56" s="1195">
        <f t="shared" si="2"/>
        <v>70685561.217160702</v>
      </c>
      <c r="R56" s="1195">
        <f t="shared" si="18"/>
        <v>1717659137.5770025</v>
      </c>
      <c r="S56" s="1195">
        <f t="shared" si="19"/>
        <v>0</v>
      </c>
      <c r="T56" s="1194" t="s">
        <v>1100</v>
      </c>
      <c r="U56" s="1194" t="s">
        <v>1047</v>
      </c>
      <c r="V56" s="1201" t="s">
        <v>1043</v>
      </c>
      <c r="W56" s="1197"/>
      <c r="X56" s="1197"/>
      <c r="Y56" s="1197">
        <v>627</v>
      </c>
      <c r="Z56" s="1197" t="s">
        <v>809</v>
      </c>
      <c r="AA56" s="1197"/>
      <c r="AB56" s="1202">
        <v>73041746.591065943</v>
      </c>
      <c r="AC56" s="1202">
        <v>65973190.469349891</v>
      </c>
      <c r="AD56" s="1202">
        <v>73041746.591065943</v>
      </c>
      <c r="AE56" s="1202">
        <v>70685561.217160597</v>
      </c>
      <c r="AF56" s="1202">
        <v>73041746.591065943</v>
      </c>
      <c r="AG56" s="1202">
        <v>70685561.217160597</v>
      </c>
      <c r="AH56" s="1202">
        <v>73041746.591065943</v>
      </c>
      <c r="AI56" s="1202">
        <v>73041746.591065943</v>
      </c>
      <c r="AJ56" s="1202">
        <v>70685561.217160597</v>
      </c>
      <c r="AK56" s="1202">
        <v>73041746.591065943</v>
      </c>
      <c r="AL56" s="1202">
        <v>70685561.217160597</v>
      </c>
      <c r="AM56" s="1202">
        <v>70685561.217160702</v>
      </c>
      <c r="AN56" s="1197"/>
      <c r="AO56" s="1197">
        <v>641</v>
      </c>
      <c r="AP56" s="1197" t="s">
        <v>1357</v>
      </c>
      <c r="AQ56" s="1253" t="s">
        <v>809</v>
      </c>
      <c r="AR56" s="1201">
        <f t="shared" si="25"/>
        <v>0</v>
      </c>
      <c r="AS56" s="1198">
        <f t="shared" si="26"/>
        <v>0</v>
      </c>
      <c r="AT56" s="1198">
        <f t="shared" si="27"/>
        <v>896169984.82278395</v>
      </c>
      <c r="AU56" s="1201">
        <f t="shared" si="28"/>
        <v>857651476.10154855</v>
      </c>
      <c r="AV56" s="1198">
        <f t="shared" si="7"/>
        <v>0</v>
      </c>
      <c r="AW56" s="1198">
        <f t="shared" si="8"/>
        <v>0</v>
      </c>
      <c r="AX56" s="1198">
        <f t="shared" si="9"/>
        <v>0</v>
      </c>
      <c r="AY56" s="1198">
        <f t="shared" si="10"/>
        <v>0</v>
      </c>
      <c r="AZ56" s="1198">
        <f t="shared" si="11"/>
        <v>0</v>
      </c>
      <c r="BA56" s="1198">
        <f t="shared" si="12"/>
        <v>0</v>
      </c>
      <c r="BB56" s="1198">
        <f t="shared" si="13"/>
        <v>0</v>
      </c>
      <c r="BC56" s="1198">
        <f t="shared" si="14"/>
        <v>0</v>
      </c>
      <c r="BD56" s="1198">
        <f t="shared" si="15"/>
        <v>0</v>
      </c>
      <c r="BE56" s="1198">
        <f t="shared" si="16"/>
        <v>0</v>
      </c>
    </row>
    <row r="57" spans="2:57" x14ac:dyDescent="0.25">
      <c r="B57" s="1221">
        <v>53</v>
      </c>
      <c r="C57" s="1181" t="s">
        <v>1101</v>
      </c>
      <c r="D57" s="1182" t="s">
        <v>1332</v>
      </c>
      <c r="E57" s="1199">
        <f>VLOOKUP($C57,[30]Dung!$C$2:$G$98,5,0)</f>
        <v>43232</v>
      </c>
      <c r="F57" s="1199">
        <v>44562</v>
      </c>
      <c r="G57" s="1194">
        <v>1</v>
      </c>
      <c r="H57" s="1199">
        <v>45291</v>
      </c>
      <c r="I57" s="1183">
        <f>VLOOKUP($C57,[30]NGọc!$B$3:$J$114,8,0)</f>
        <v>4909090909</v>
      </c>
      <c r="J57" s="1183">
        <v>2674631323.4524312</v>
      </c>
      <c r="K57" s="1194">
        <f t="shared" si="31"/>
        <v>23</v>
      </c>
      <c r="L57" s="1194">
        <f t="shared" si="32"/>
        <v>729</v>
      </c>
      <c r="M57" s="1195">
        <f t="shared" si="1"/>
        <v>116288318.41097526</v>
      </c>
      <c r="N57" s="1195">
        <f t="shared" si="17"/>
        <v>3668904.4217454474</v>
      </c>
      <c r="O57" s="1196">
        <v>110067132.6523633</v>
      </c>
      <c r="P57" s="1194">
        <v>31</v>
      </c>
      <c r="Q57" s="1195">
        <f t="shared" si="2"/>
        <v>110067132.6523633</v>
      </c>
      <c r="R57" s="1195">
        <f t="shared" si="18"/>
        <v>2674631323.4524312</v>
      </c>
      <c r="S57" s="1195">
        <f t="shared" si="19"/>
        <v>0</v>
      </c>
      <c r="T57" s="1194">
        <v>5</v>
      </c>
      <c r="U57" s="1194" t="s">
        <v>1047</v>
      </c>
      <c r="V57" s="1201" t="s">
        <v>1043</v>
      </c>
      <c r="W57" s="1197"/>
      <c r="X57" s="1197"/>
      <c r="Y57" s="1197">
        <v>627</v>
      </c>
      <c r="Z57" s="1197" t="s">
        <v>809</v>
      </c>
      <c r="AA57" s="1197"/>
      <c r="AB57" s="1202">
        <v>113736037.07410887</v>
      </c>
      <c r="AC57" s="1202">
        <v>102729323.80887252</v>
      </c>
      <c r="AD57" s="1202">
        <v>113736037.07410887</v>
      </c>
      <c r="AE57" s="1202">
        <v>110067132.65236342</v>
      </c>
      <c r="AF57" s="1202">
        <v>113736037.07410887</v>
      </c>
      <c r="AG57" s="1202">
        <v>110067132.65236342</v>
      </c>
      <c r="AH57" s="1202">
        <v>113736037.07410887</v>
      </c>
      <c r="AI57" s="1202">
        <v>113736037.07410887</v>
      </c>
      <c r="AJ57" s="1202">
        <v>110067132.65236342</v>
      </c>
      <c r="AK57" s="1202">
        <v>113736037.07410887</v>
      </c>
      <c r="AL57" s="1202">
        <v>110067132.65236342</v>
      </c>
      <c r="AM57" s="1202">
        <v>110067132.6523633</v>
      </c>
      <c r="AN57" s="1197"/>
      <c r="AO57" s="1197">
        <v>641</v>
      </c>
      <c r="AP57" s="1197" t="s">
        <v>1357</v>
      </c>
      <c r="AQ57" s="1253" t="s">
        <v>809</v>
      </c>
      <c r="AR57" s="1201">
        <f t="shared" si="25"/>
        <v>0</v>
      </c>
      <c r="AS57" s="1198">
        <f t="shared" si="26"/>
        <v>0</v>
      </c>
      <c r="AT57" s="1198">
        <f t="shared" si="27"/>
        <v>1395459820.9317031</v>
      </c>
      <c r="AU57" s="1201">
        <f t="shared" si="28"/>
        <v>1335481209.5153427</v>
      </c>
      <c r="AV57" s="1198">
        <f t="shared" si="7"/>
        <v>0</v>
      </c>
      <c r="AW57" s="1198">
        <f t="shared" si="8"/>
        <v>0</v>
      </c>
      <c r="AX57" s="1198">
        <f t="shared" si="9"/>
        <v>0</v>
      </c>
      <c r="AY57" s="1198">
        <f t="shared" si="10"/>
        <v>0</v>
      </c>
      <c r="AZ57" s="1198">
        <f t="shared" si="11"/>
        <v>0</v>
      </c>
      <c r="BA57" s="1198">
        <f t="shared" si="12"/>
        <v>0</v>
      </c>
      <c r="BB57" s="1198">
        <f t="shared" si="13"/>
        <v>0</v>
      </c>
      <c r="BC57" s="1198">
        <f t="shared" si="14"/>
        <v>0</v>
      </c>
      <c r="BD57" s="1198">
        <f t="shared" si="15"/>
        <v>0</v>
      </c>
      <c r="BE57" s="1198">
        <f t="shared" si="16"/>
        <v>0</v>
      </c>
    </row>
    <row r="58" spans="2:57" x14ac:dyDescent="0.25">
      <c r="B58" s="1221">
        <v>54</v>
      </c>
      <c r="C58" s="1181" t="s">
        <v>1102</v>
      </c>
      <c r="D58" s="1182" t="s">
        <v>1333</v>
      </c>
      <c r="E58" s="1199">
        <v>43918</v>
      </c>
      <c r="F58" s="1199">
        <v>44562</v>
      </c>
      <c r="G58" s="1194">
        <v>1</v>
      </c>
      <c r="H58" s="1199">
        <v>46022</v>
      </c>
      <c r="I58" s="1183">
        <v>3350000000</v>
      </c>
      <c r="J58" s="1183">
        <v>2611670088.9801507</v>
      </c>
      <c r="K58" s="1194">
        <f t="shared" si="31"/>
        <v>47</v>
      </c>
      <c r="L58" s="1194">
        <f t="shared" si="32"/>
        <v>1460</v>
      </c>
      <c r="M58" s="1195">
        <f t="shared" si="1"/>
        <v>55567448.701705337</v>
      </c>
      <c r="N58" s="1195">
        <f t="shared" si="17"/>
        <v>1788815.1294384594</v>
      </c>
      <c r="O58" s="1196">
        <v>1361288313.5026665</v>
      </c>
      <c r="P58" s="1194">
        <v>31</v>
      </c>
      <c r="Q58" s="1195">
        <f t="shared" si="2"/>
        <v>55453269.012592241</v>
      </c>
      <c r="R58" s="1195">
        <f t="shared" si="18"/>
        <v>1305835044.4900765</v>
      </c>
      <c r="S58" s="1195">
        <f t="shared" si="19"/>
        <v>1305835044.4900742</v>
      </c>
      <c r="T58" s="1194"/>
      <c r="U58" s="1194" t="s">
        <v>1103</v>
      </c>
      <c r="V58" s="1201" t="s">
        <v>1043</v>
      </c>
      <c r="W58" s="1197"/>
      <c r="X58" s="1197"/>
      <c r="Y58" s="1197">
        <v>627</v>
      </c>
      <c r="Z58" s="1197" t="s">
        <v>809</v>
      </c>
      <c r="AA58" s="1197"/>
      <c r="AB58" s="1202">
        <v>55453269.012592241</v>
      </c>
      <c r="AC58" s="1202">
        <v>50086823.624276862</v>
      </c>
      <c r="AD58" s="1202">
        <v>55453269.012592241</v>
      </c>
      <c r="AE58" s="1202">
        <v>53664453.883153781</v>
      </c>
      <c r="AF58" s="1202">
        <v>55453269.012592241</v>
      </c>
      <c r="AG58" s="1202">
        <v>53664453.883153781</v>
      </c>
      <c r="AH58" s="1202">
        <v>55453269.012592241</v>
      </c>
      <c r="AI58" s="1202">
        <v>55453269.012592241</v>
      </c>
      <c r="AJ58" s="1202">
        <v>53664453.883153781</v>
      </c>
      <c r="AK58" s="1202">
        <v>55453269.012592241</v>
      </c>
      <c r="AL58" s="1202">
        <v>53664453.883153781</v>
      </c>
      <c r="AM58" s="1202">
        <v>55453269.012592241</v>
      </c>
      <c r="AN58" s="1197"/>
      <c r="AO58" s="1197">
        <v>641</v>
      </c>
      <c r="AP58" s="1197" t="s">
        <v>1357</v>
      </c>
      <c r="AQ58" s="1253" t="s">
        <v>809</v>
      </c>
      <c r="AR58" s="1201">
        <f t="shared" si="25"/>
        <v>0</v>
      </c>
      <c r="AS58" s="1198">
        <f t="shared" si="26"/>
        <v>1305835044.4900742</v>
      </c>
      <c r="AT58" s="1198">
        <f t="shared" si="27"/>
        <v>666809384.42046404</v>
      </c>
      <c r="AU58" s="1201">
        <f t="shared" si="28"/>
        <v>652917522.24503767</v>
      </c>
      <c r="AV58" s="1198">
        <f t="shared" si="7"/>
        <v>666809384.42046404</v>
      </c>
      <c r="AW58" s="1198">
        <f t="shared" si="8"/>
        <v>639025660.06961012</v>
      </c>
      <c r="AX58" s="1198">
        <f t="shared" si="9"/>
        <v>0</v>
      </c>
      <c r="AY58" s="1198">
        <f t="shared" si="10"/>
        <v>0</v>
      </c>
      <c r="AZ58" s="1198">
        <f t="shared" si="11"/>
        <v>0</v>
      </c>
      <c r="BA58" s="1198">
        <f t="shared" si="12"/>
        <v>0</v>
      </c>
      <c r="BB58" s="1198">
        <f t="shared" si="13"/>
        <v>0</v>
      </c>
      <c r="BC58" s="1198">
        <f t="shared" si="14"/>
        <v>0</v>
      </c>
      <c r="BD58" s="1198">
        <f t="shared" si="15"/>
        <v>0</v>
      </c>
      <c r="BE58" s="1198">
        <f t="shared" si="16"/>
        <v>0</v>
      </c>
    </row>
    <row r="59" spans="2:57" x14ac:dyDescent="0.25">
      <c r="B59" s="1221">
        <v>55</v>
      </c>
      <c r="C59" s="1181" t="s">
        <v>1104</v>
      </c>
      <c r="D59" s="1182" t="s">
        <v>1334</v>
      </c>
      <c r="E59" s="1199">
        <v>43945</v>
      </c>
      <c r="F59" s="1199">
        <v>44562</v>
      </c>
      <c r="G59" s="1194">
        <v>1</v>
      </c>
      <c r="H59" s="1199">
        <v>46022</v>
      </c>
      <c r="I59" s="1183">
        <v>5000000000</v>
      </c>
      <c r="J59" s="1183">
        <v>3944216290.2121811</v>
      </c>
      <c r="K59" s="1194">
        <f t="shared" si="31"/>
        <v>47</v>
      </c>
      <c r="L59" s="1194">
        <f t="shared" si="32"/>
        <v>1460</v>
      </c>
      <c r="M59" s="1195">
        <f t="shared" si="1"/>
        <v>83919495.53642939</v>
      </c>
      <c r="N59" s="1195">
        <f t="shared" si="17"/>
        <v>2701518.0069946446</v>
      </c>
      <c r="O59" s="1196">
        <v>2055855203.3229237</v>
      </c>
      <c r="P59" s="1194">
        <v>31</v>
      </c>
      <c r="Q59" s="1195">
        <f t="shared" si="2"/>
        <v>83747058.216833979</v>
      </c>
      <c r="R59" s="1195">
        <f t="shared" si="18"/>
        <v>1972108145.1060915</v>
      </c>
      <c r="S59" s="1195">
        <f t="shared" si="19"/>
        <v>1972108145.1060896</v>
      </c>
      <c r="T59" s="1194"/>
      <c r="U59" s="1194" t="s">
        <v>1095</v>
      </c>
      <c r="V59" s="1201" t="s">
        <v>1043</v>
      </c>
      <c r="W59" s="1197"/>
      <c r="X59" s="1197"/>
      <c r="Y59" s="1197">
        <v>627</v>
      </c>
      <c r="Z59" s="1197" t="s">
        <v>809</v>
      </c>
      <c r="AA59" s="1197"/>
      <c r="AB59" s="1202">
        <v>83747058.216833979</v>
      </c>
      <c r="AC59" s="1202">
        <v>75642504.195850044</v>
      </c>
      <c r="AD59" s="1202">
        <v>83747058.216833979</v>
      </c>
      <c r="AE59" s="1202">
        <v>81045540.209839344</v>
      </c>
      <c r="AF59" s="1202">
        <v>83747058.216833979</v>
      </c>
      <c r="AG59" s="1202">
        <v>81045540.209839344</v>
      </c>
      <c r="AH59" s="1202">
        <v>83747058.216833979</v>
      </c>
      <c r="AI59" s="1202">
        <v>83747058.216833979</v>
      </c>
      <c r="AJ59" s="1202">
        <v>81045540.209839344</v>
      </c>
      <c r="AK59" s="1202">
        <v>83747058.216833979</v>
      </c>
      <c r="AL59" s="1202">
        <v>81045540.209839344</v>
      </c>
      <c r="AM59" s="1202">
        <v>83747058.216833979</v>
      </c>
      <c r="AN59" s="1197"/>
      <c r="AO59" s="1197">
        <v>641</v>
      </c>
      <c r="AP59" s="1197" t="s">
        <v>1357</v>
      </c>
      <c r="AQ59" s="1253" t="s">
        <v>809</v>
      </c>
      <c r="AR59" s="1201">
        <f t="shared" si="25"/>
        <v>0</v>
      </c>
      <c r="AS59" s="1198">
        <f t="shared" si="26"/>
        <v>1972108145.1060896</v>
      </c>
      <c r="AT59" s="1198">
        <f t="shared" si="27"/>
        <v>1007033946.4371526</v>
      </c>
      <c r="AU59" s="1201">
        <f t="shared" si="28"/>
        <v>986054072.55304515</v>
      </c>
      <c r="AV59" s="1198">
        <f t="shared" si="7"/>
        <v>1007033946.4371526</v>
      </c>
      <c r="AW59" s="1198">
        <f t="shared" si="8"/>
        <v>965074198.66893697</v>
      </c>
      <c r="AX59" s="1198">
        <f t="shared" si="9"/>
        <v>0</v>
      </c>
      <c r="AY59" s="1198">
        <f t="shared" si="10"/>
        <v>0</v>
      </c>
      <c r="AZ59" s="1198">
        <f t="shared" si="11"/>
        <v>0</v>
      </c>
      <c r="BA59" s="1198">
        <f t="shared" si="12"/>
        <v>0</v>
      </c>
      <c r="BB59" s="1198">
        <f t="shared" si="13"/>
        <v>0</v>
      </c>
      <c r="BC59" s="1198">
        <f t="shared" si="14"/>
        <v>0</v>
      </c>
      <c r="BD59" s="1198">
        <f t="shared" si="15"/>
        <v>0</v>
      </c>
      <c r="BE59" s="1198">
        <f t="shared" si="16"/>
        <v>0</v>
      </c>
    </row>
    <row r="60" spans="2:57" x14ac:dyDescent="0.25">
      <c r="B60" s="1221">
        <v>56</v>
      </c>
      <c r="C60" s="1181" t="s">
        <v>1105</v>
      </c>
      <c r="D60" s="1182" t="s">
        <v>1335</v>
      </c>
      <c r="E60" s="1199">
        <f>VLOOKUP($C60,[30]Dung!$C$2:$G$98,5,0)</f>
        <v>43232</v>
      </c>
      <c r="F60" s="1199">
        <v>44562</v>
      </c>
      <c r="G60" s="1194">
        <v>1</v>
      </c>
      <c r="H60" s="1199">
        <v>45291</v>
      </c>
      <c r="I60" s="1183">
        <f>VLOOKUP($C60,[30]NGọc!$B$3:$J$114,8,0)</f>
        <v>1118181818</v>
      </c>
      <c r="J60" s="1183">
        <v>609221579.1430527</v>
      </c>
      <c r="K60" s="1194">
        <f t="shared" si="31"/>
        <v>23</v>
      </c>
      <c r="L60" s="1194">
        <f t="shared" si="32"/>
        <v>729</v>
      </c>
      <c r="M60" s="1195">
        <f t="shared" si="1"/>
        <v>26487894.745350119</v>
      </c>
      <c r="N60" s="1195">
        <f t="shared" si="17"/>
        <v>835694.89594383084</v>
      </c>
      <c r="O60" s="1196">
        <v>25070846.878315091</v>
      </c>
      <c r="P60" s="1194">
        <v>31</v>
      </c>
      <c r="Q60" s="1195">
        <f t="shared" si="2"/>
        <v>25070846.878315091</v>
      </c>
      <c r="R60" s="1195">
        <f t="shared" si="18"/>
        <v>609221579.1430527</v>
      </c>
      <c r="S60" s="1195">
        <f t="shared" si="19"/>
        <v>0</v>
      </c>
      <c r="T60" s="1194"/>
      <c r="U60" s="1194" t="s">
        <v>1095</v>
      </c>
      <c r="V60" s="1201" t="s">
        <v>1043</v>
      </c>
      <c r="W60" s="1197"/>
      <c r="X60" s="1197"/>
      <c r="Y60" s="1197">
        <v>627</v>
      </c>
      <c r="Z60" s="1197" t="s">
        <v>809</v>
      </c>
      <c r="AA60" s="1197"/>
      <c r="AB60" s="1202">
        <v>25906541.774258755</v>
      </c>
      <c r="AC60" s="1202">
        <v>23399457.086427264</v>
      </c>
      <c r="AD60" s="1202">
        <v>25906541.774258755</v>
      </c>
      <c r="AE60" s="1202">
        <v>25070846.878314923</v>
      </c>
      <c r="AF60" s="1202">
        <v>25906541.774258755</v>
      </c>
      <c r="AG60" s="1202">
        <v>25070846.878314923</v>
      </c>
      <c r="AH60" s="1202">
        <v>25906541.774258755</v>
      </c>
      <c r="AI60" s="1202">
        <v>25906541.774258755</v>
      </c>
      <c r="AJ60" s="1202">
        <v>25070846.878314923</v>
      </c>
      <c r="AK60" s="1202">
        <v>25906541.774258755</v>
      </c>
      <c r="AL60" s="1202">
        <v>25070846.878314923</v>
      </c>
      <c r="AM60" s="1202">
        <v>25070846.878315091</v>
      </c>
      <c r="AN60" s="1197"/>
      <c r="AO60" s="1197">
        <v>641</v>
      </c>
      <c r="AP60" s="1197" t="s">
        <v>1357</v>
      </c>
      <c r="AQ60" s="1253" t="s">
        <v>809</v>
      </c>
      <c r="AR60" s="1201">
        <f t="shared" si="25"/>
        <v>0</v>
      </c>
      <c r="AS60" s="1198">
        <f t="shared" si="26"/>
        <v>0</v>
      </c>
      <c r="AT60" s="1198">
        <f t="shared" si="27"/>
        <v>317854736.94420141</v>
      </c>
      <c r="AU60" s="1201">
        <f t="shared" si="28"/>
        <v>304192942.12355459</v>
      </c>
      <c r="AV60" s="1198">
        <f t="shared" si="7"/>
        <v>0</v>
      </c>
      <c r="AW60" s="1198">
        <f t="shared" si="8"/>
        <v>0</v>
      </c>
      <c r="AX60" s="1198">
        <f t="shared" si="9"/>
        <v>0</v>
      </c>
      <c r="AY60" s="1198">
        <f t="shared" si="10"/>
        <v>0</v>
      </c>
      <c r="AZ60" s="1198">
        <f t="shared" si="11"/>
        <v>0</v>
      </c>
      <c r="BA60" s="1198">
        <f t="shared" si="12"/>
        <v>0</v>
      </c>
      <c r="BB60" s="1198">
        <f t="shared" si="13"/>
        <v>0</v>
      </c>
      <c r="BC60" s="1198">
        <f t="shared" si="14"/>
        <v>0</v>
      </c>
      <c r="BD60" s="1198">
        <f t="shared" si="15"/>
        <v>0</v>
      </c>
      <c r="BE60" s="1198">
        <f t="shared" si="16"/>
        <v>0</v>
      </c>
    </row>
    <row r="61" spans="2:57" x14ac:dyDescent="0.25">
      <c r="B61" s="1221">
        <v>57</v>
      </c>
      <c r="C61" s="1181" t="s">
        <v>1106</v>
      </c>
      <c r="D61" s="1182" t="s">
        <v>1335</v>
      </c>
      <c r="E61" s="1199">
        <f>VLOOKUP($C61,[30]Dung!$C$2:$G$98,5,0)</f>
        <v>43232</v>
      </c>
      <c r="F61" s="1199">
        <v>44562</v>
      </c>
      <c r="G61" s="1194">
        <v>1</v>
      </c>
      <c r="H61" s="1199">
        <v>45291</v>
      </c>
      <c r="I61" s="1183">
        <f>VLOOKUP($C61,[30]NGọc!$B$3:$J$114,8,0)</f>
        <v>1118181818</v>
      </c>
      <c r="J61" s="1183">
        <v>609221579.1430527</v>
      </c>
      <c r="K61" s="1194">
        <f t="shared" si="31"/>
        <v>23</v>
      </c>
      <c r="L61" s="1194">
        <f t="shared" si="32"/>
        <v>729</v>
      </c>
      <c r="M61" s="1195">
        <f t="shared" si="1"/>
        <v>26487894.745350119</v>
      </c>
      <c r="N61" s="1195">
        <f t="shared" si="17"/>
        <v>835694.89594383084</v>
      </c>
      <c r="O61" s="1196">
        <v>25070846.878315091</v>
      </c>
      <c r="P61" s="1194">
        <v>31</v>
      </c>
      <c r="Q61" s="1195">
        <f t="shared" si="2"/>
        <v>25070846.878315091</v>
      </c>
      <c r="R61" s="1195">
        <f t="shared" si="18"/>
        <v>609221579.1430527</v>
      </c>
      <c r="S61" s="1195">
        <f t="shared" si="19"/>
        <v>0</v>
      </c>
      <c r="T61" s="1194"/>
      <c r="U61" s="1194" t="s">
        <v>1095</v>
      </c>
      <c r="V61" s="1201" t="s">
        <v>1043</v>
      </c>
      <c r="W61" s="1197"/>
      <c r="X61" s="1197"/>
      <c r="Y61" s="1197">
        <v>627</v>
      </c>
      <c r="Z61" s="1197" t="s">
        <v>809</v>
      </c>
      <c r="AA61" s="1197"/>
      <c r="AB61" s="1202">
        <v>25906541.774258755</v>
      </c>
      <c r="AC61" s="1202">
        <v>23399457.086427264</v>
      </c>
      <c r="AD61" s="1202">
        <v>25906541.774258755</v>
      </c>
      <c r="AE61" s="1202">
        <v>25070846.878314923</v>
      </c>
      <c r="AF61" s="1202">
        <v>25906541.774258755</v>
      </c>
      <c r="AG61" s="1202">
        <v>25070846.878314923</v>
      </c>
      <c r="AH61" s="1202">
        <v>25906541.774258755</v>
      </c>
      <c r="AI61" s="1202">
        <v>25906541.774258755</v>
      </c>
      <c r="AJ61" s="1202">
        <v>25070846.878314923</v>
      </c>
      <c r="AK61" s="1202">
        <v>25906541.774258755</v>
      </c>
      <c r="AL61" s="1202">
        <v>25070846.878314923</v>
      </c>
      <c r="AM61" s="1202">
        <v>25070846.878315091</v>
      </c>
      <c r="AN61" s="1197"/>
      <c r="AO61" s="1197">
        <v>641</v>
      </c>
      <c r="AP61" s="1197" t="s">
        <v>1357</v>
      </c>
      <c r="AQ61" s="1253" t="s">
        <v>809</v>
      </c>
      <c r="AR61" s="1201">
        <f t="shared" si="25"/>
        <v>0</v>
      </c>
      <c r="AS61" s="1198">
        <f t="shared" si="26"/>
        <v>0</v>
      </c>
      <c r="AT61" s="1198">
        <f t="shared" si="27"/>
        <v>317854736.94420141</v>
      </c>
      <c r="AU61" s="1201">
        <f t="shared" si="28"/>
        <v>304192942.12355459</v>
      </c>
      <c r="AV61" s="1198">
        <f t="shared" si="7"/>
        <v>0</v>
      </c>
      <c r="AW61" s="1198">
        <f t="shared" si="8"/>
        <v>0</v>
      </c>
      <c r="AX61" s="1198">
        <f t="shared" si="9"/>
        <v>0</v>
      </c>
      <c r="AY61" s="1198">
        <f t="shared" si="10"/>
        <v>0</v>
      </c>
      <c r="AZ61" s="1198">
        <f t="shared" si="11"/>
        <v>0</v>
      </c>
      <c r="BA61" s="1198">
        <f t="shared" si="12"/>
        <v>0</v>
      </c>
      <c r="BB61" s="1198">
        <f t="shared" si="13"/>
        <v>0</v>
      </c>
      <c r="BC61" s="1198">
        <f t="shared" si="14"/>
        <v>0</v>
      </c>
      <c r="BD61" s="1198">
        <f t="shared" si="15"/>
        <v>0</v>
      </c>
      <c r="BE61" s="1198">
        <f t="shared" si="16"/>
        <v>0</v>
      </c>
    </row>
    <row r="62" spans="2:57" x14ac:dyDescent="0.25">
      <c r="B62" s="1221">
        <v>58</v>
      </c>
      <c r="C62" s="1181" t="s">
        <v>1107</v>
      </c>
      <c r="D62" s="1182" t="s">
        <v>1335</v>
      </c>
      <c r="E62" s="1199">
        <f>VLOOKUP($C62,[30]Dung!$C$2:$G$98,5,0)</f>
        <v>43232</v>
      </c>
      <c r="F62" s="1199">
        <v>44562</v>
      </c>
      <c r="G62" s="1194">
        <v>1</v>
      </c>
      <c r="H62" s="1199">
        <v>45291</v>
      </c>
      <c r="I62" s="1183">
        <f>VLOOKUP($C62,[30]NGọc!$B$3:$J$114,8,0)</f>
        <v>1165454545</v>
      </c>
      <c r="J62" s="1183">
        <v>634977288.0355922</v>
      </c>
      <c r="K62" s="1194">
        <f t="shared" si="31"/>
        <v>23</v>
      </c>
      <c r="L62" s="1194">
        <f t="shared" si="32"/>
        <v>729</v>
      </c>
      <c r="M62" s="1195">
        <f t="shared" si="1"/>
        <v>27607708.175460529</v>
      </c>
      <c r="N62" s="1195">
        <f t="shared" si="17"/>
        <v>871025.08646857645</v>
      </c>
      <c r="O62" s="1196">
        <v>26130752.594056606</v>
      </c>
      <c r="P62" s="1194">
        <v>31</v>
      </c>
      <c r="Q62" s="1195">
        <f t="shared" si="2"/>
        <v>26130752.594056606</v>
      </c>
      <c r="R62" s="1195">
        <f t="shared" si="18"/>
        <v>634977288.0355922</v>
      </c>
      <c r="S62" s="1195">
        <f t="shared" si="19"/>
        <v>0</v>
      </c>
      <c r="T62" s="1194"/>
      <c r="U62" s="1194" t="s">
        <v>1095</v>
      </c>
      <c r="V62" s="1201" t="s">
        <v>1043</v>
      </c>
      <c r="W62" s="1197"/>
      <c r="X62" s="1197"/>
      <c r="Y62" s="1197">
        <v>627</v>
      </c>
      <c r="Z62" s="1197" t="s">
        <v>809</v>
      </c>
      <c r="AA62" s="1197"/>
      <c r="AB62" s="1202">
        <v>27001777.680525869</v>
      </c>
      <c r="AC62" s="1202">
        <v>24388702.421120141</v>
      </c>
      <c r="AD62" s="1202">
        <v>27001777.680525869</v>
      </c>
      <c r="AE62" s="1202">
        <v>26130752.594057292</v>
      </c>
      <c r="AF62" s="1202">
        <v>27001777.680525869</v>
      </c>
      <c r="AG62" s="1202">
        <v>26130752.594057292</v>
      </c>
      <c r="AH62" s="1202">
        <v>27001777.680525869</v>
      </c>
      <c r="AI62" s="1202">
        <v>27001777.680525869</v>
      </c>
      <c r="AJ62" s="1202">
        <v>26130752.594057292</v>
      </c>
      <c r="AK62" s="1202">
        <v>27001777.680525869</v>
      </c>
      <c r="AL62" s="1202">
        <v>26130752.594057292</v>
      </c>
      <c r="AM62" s="1202">
        <v>26130752.594056606</v>
      </c>
      <c r="AN62" s="1197"/>
      <c r="AO62" s="1197">
        <v>641</v>
      </c>
      <c r="AP62" s="1197" t="s">
        <v>1357</v>
      </c>
      <c r="AQ62" s="1253" t="s">
        <v>809</v>
      </c>
      <c r="AR62" s="1201">
        <f t="shared" si="25"/>
        <v>0</v>
      </c>
      <c r="AS62" s="1198">
        <f t="shared" si="26"/>
        <v>0</v>
      </c>
      <c r="AT62" s="1198">
        <f t="shared" si="27"/>
        <v>331292498.10552633</v>
      </c>
      <c r="AU62" s="1201">
        <f t="shared" si="28"/>
        <v>317053131.4745611</v>
      </c>
      <c r="AV62" s="1198">
        <f t="shared" si="7"/>
        <v>0</v>
      </c>
      <c r="AW62" s="1198">
        <f t="shared" si="8"/>
        <v>0</v>
      </c>
      <c r="AX62" s="1198">
        <f t="shared" si="9"/>
        <v>0</v>
      </c>
      <c r="AY62" s="1198">
        <f t="shared" si="10"/>
        <v>0</v>
      </c>
      <c r="AZ62" s="1198">
        <f t="shared" si="11"/>
        <v>0</v>
      </c>
      <c r="BA62" s="1198">
        <f t="shared" si="12"/>
        <v>0</v>
      </c>
      <c r="BB62" s="1198">
        <f t="shared" si="13"/>
        <v>0</v>
      </c>
      <c r="BC62" s="1198">
        <f t="shared" si="14"/>
        <v>0</v>
      </c>
      <c r="BD62" s="1198">
        <f t="shared" si="15"/>
        <v>0</v>
      </c>
      <c r="BE62" s="1198">
        <f t="shared" si="16"/>
        <v>0</v>
      </c>
    </row>
    <row r="63" spans="2:57" x14ac:dyDescent="0.25">
      <c r="B63" s="1221">
        <v>59</v>
      </c>
      <c r="C63" s="1181" t="s">
        <v>1108</v>
      </c>
      <c r="D63" s="1182" t="s">
        <v>1335</v>
      </c>
      <c r="E63" s="1199">
        <f>VLOOKUP($C63,[30]Dung!$C$2:$G$98,5,0)</f>
        <v>43232</v>
      </c>
      <c r="F63" s="1199">
        <v>44562</v>
      </c>
      <c r="G63" s="1194">
        <v>1</v>
      </c>
      <c r="H63" s="1199">
        <v>45291</v>
      </c>
      <c r="I63" s="1183">
        <f>VLOOKUP($C63,[30]NGọc!$B$3:$J$114,8,0)</f>
        <v>1072727273</v>
      </c>
      <c r="J63" s="1183">
        <v>584456474.54346347</v>
      </c>
      <c r="K63" s="1194">
        <f t="shared" si="31"/>
        <v>23</v>
      </c>
      <c r="L63" s="1194">
        <f t="shared" si="32"/>
        <v>729</v>
      </c>
      <c r="M63" s="1195">
        <f t="shared" si="1"/>
        <v>25411151.067107107</v>
      </c>
      <c r="N63" s="1195">
        <f t="shared" si="17"/>
        <v>801723.55904453155</v>
      </c>
      <c r="O63" s="1196">
        <v>24051706.771335959</v>
      </c>
      <c r="P63" s="1194">
        <v>31</v>
      </c>
      <c r="Q63" s="1195">
        <f t="shared" si="2"/>
        <v>24051706.771335959</v>
      </c>
      <c r="R63" s="1195">
        <f t="shared" si="18"/>
        <v>584456474.54346347</v>
      </c>
      <c r="S63" s="1195">
        <f t="shared" si="19"/>
        <v>0</v>
      </c>
      <c r="T63" s="1194"/>
      <c r="U63" s="1194" t="s">
        <v>1095</v>
      </c>
      <c r="V63" s="1201" t="s">
        <v>1043</v>
      </c>
      <c r="W63" s="1197"/>
      <c r="X63" s="1197"/>
      <c r="Y63" s="1197">
        <v>627</v>
      </c>
      <c r="Z63" s="1197" t="s">
        <v>809</v>
      </c>
      <c r="AA63" s="1197"/>
      <c r="AB63" s="1202">
        <v>24853430.330380477</v>
      </c>
      <c r="AC63" s="1202">
        <v>22448259.653246883</v>
      </c>
      <c r="AD63" s="1202">
        <v>24853430.330380477</v>
      </c>
      <c r="AE63" s="1202">
        <v>24051706.771335945</v>
      </c>
      <c r="AF63" s="1202">
        <v>24853430.330380477</v>
      </c>
      <c r="AG63" s="1202">
        <v>24051706.771335945</v>
      </c>
      <c r="AH63" s="1202">
        <v>24853430.330380477</v>
      </c>
      <c r="AI63" s="1202">
        <v>24853430.330380477</v>
      </c>
      <c r="AJ63" s="1202">
        <v>24051706.771335945</v>
      </c>
      <c r="AK63" s="1202">
        <v>24853430.330380477</v>
      </c>
      <c r="AL63" s="1202">
        <v>24051706.771335945</v>
      </c>
      <c r="AM63" s="1202">
        <v>24051706.771335959</v>
      </c>
      <c r="AN63" s="1197"/>
      <c r="AO63" s="1197">
        <v>641</v>
      </c>
      <c r="AP63" s="1197" t="s">
        <v>1357</v>
      </c>
      <c r="AQ63" s="1253" t="s">
        <v>809</v>
      </c>
      <c r="AR63" s="1201">
        <f t="shared" si="25"/>
        <v>0</v>
      </c>
      <c r="AS63" s="1198">
        <f t="shared" si="26"/>
        <v>0</v>
      </c>
      <c r="AT63" s="1198">
        <f t="shared" si="27"/>
        <v>304933812.80528527</v>
      </c>
      <c r="AU63" s="1201">
        <f t="shared" si="28"/>
        <v>291827375.49220949</v>
      </c>
      <c r="AV63" s="1198">
        <f t="shared" si="7"/>
        <v>0</v>
      </c>
      <c r="AW63" s="1198">
        <f t="shared" si="8"/>
        <v>0</v>
      </c>
      <c r="AX63" s="1198">
        <f t="shared" si="9"/>
        <v>0</v>
      </c>
      <c r="AY63" s="1198">
        <f t="shared" si="10"/>
        <v>0</v>
      </c>
      <c r="AZ63" s="1198">
        <f t="shared" si="11"/>
        <v>0</v>
      </c>
      <c r="BA63" s="1198">
        <f t="shared" si="12"/>
        <v>0</v>
      </c>
      <c r="BB63" s="1198">
        <f t="shared" si="13"/>
        <v>0</v>
      </c>
      <c r="BC63" s="1198">
        <f t="shared" si="14"/>
        <v>0</v>
      </c>
      <c r="BD63" s="1198">
        <f t="shared" si="15"/>
        <v>0</v>
      </c>
      <c r="BE63" s="1198">
        <f t="shared" si="16"/>
        <v>0</v>
      </c>
    </row>
    <row r="64" spans="2:57" x14ac:dyDescent="0.25">
      <c r="B64" s="1221">
        <v>60</v>
      </c>
      <c r="C64" s="1181" t="s">
        <v>1109</v>
      </c>
      <c r="D64" s="1182" t="s">
        <v>1335</v>
      </c>
      <c r="E64" s="1199">
        <f>VLOOKUP($C64,[30]Dung!$C$2:$G$98,5,0)</f>
        <v>43232</v>
      </c>
      <c r="F64" s="1199">
        <v>44562</v>
      </c>
      <c r="G64" s="1194">
        <v>1</v>
      </c>
      <c r="H64" s="1199">
        <v>45291</v>
      </c>
      <c r="I64" s="1183">
        <f>VLOOKUP($C64,[30]NGọc!$B$3:$J$114,8,0)</f>
        <v>1072727273</v>
      </c>
      <c r="J64" s="1183">
        <v>584456474.54346347</v>
      </c>
      <c r="K64" s="1194">
        <f t="shared" si="31"/>
        <v>23</v>
      </c>
      <c r="L64" s="1194">
        <f t="shared" si="32"/>
        <v>729</v>
      </c>
      <c r="M64" s="1195">
        <f t="shared" si="1"/>
        <v>25411151.067107107</v>
      </c>
      <c r="N64" s="1195">
        <f t="shared" si="17"/>
        <v>801723.55904453155</v>
      </c>
      <c r="O64" s="1196">
        <v>24051706.771335959</v>
      </c>
      <c r="P64" s="1194">
        <v>31</v>
      </c>
      <c r="Q64" s="1195">
        <f t="shared" si="2"/>
        <v>24051706.771335959</v>
      </c>
      <c r="R64" s="1195">
        <f t="shared" si="18"/>
        <v>584456474.54346347</v>
      </c>
      <c r="S64" s="1195">
        <f t="shared" si="19"/>
        <v>0</v>
      </c>
      <c r="T64" s="1194"/>
      <c r="U64" s="1194" t="s">
        <v>1095</v>
      </c>
      <c r="V64" s="1201" t="s">
        <v>1043</v>
      </c>
      <c r="W64" s="1197"/>
      <c r="X64" s="1197"/>
      <c r="Y64" s="1197">
        <v>627</v>
      </c>
      <c r="Z64" s="1197" t="s">
        <v>809</v>
      </c>
      <c r="AA64" s="1197"/>
      <c r="AB64" s="1202">
        <v>24853430.330380477</v>
      </c>
      <c r="AC64" s="1202">
        <v>22448259.653246883</v>
      </c>
      <c r="AD64" s="1202">
        <v>24853430.330380477</v>
      </c>
      <c r="AE64" s="1202">
        <v>24051706.771335945</v>
      </c>
      <c r="AF64" s="1202">
        <v>24853430.330380477</v>
      </c>
      <c r="AG64" s="1202">
        <v>24051706.771335945</v>
      </c>
      <c r="AH64" s="1202">
        <v>24853430.330380477</v>
      </c>
      <c r="AI64" s="1202">
        <v>24853430.330380477</v>
      </c>
      <c r="AJ64" s="1202">
        <v>24051706.771335945</v>
      </c>
      <c r="AK64" s="1202">
        <v>24853430.330380477</v>
      </c>
      <c r="AL64" s="1202">
        <v>24051706.771335945</v>
      </c>
      <c r="AM64" s="1202">
        <v>24051706.771335959</v>
      </c>
      <c r="AN64" s="1197"/>
      <c r="AO64" s="1197">
        <v>641</v>
      </c>
      <c r="AP64" s="1197" t="s">
        <v>1357</v>
      </c>
      <c r="AQ64" s="1253" t="s">
        <v>809</v>
      </c>
      <c r="AR64" s="1201">
        <f t="shared" si="25"/>
        <v>0</v>
      </c>
      <c r="AS64" s="1198">
        <f t="shared" si="26"/>
        <v>0</v>
      </c>
      <c r="AT64" s="1198">
        <f t="shared" si="27"/>
        <v>304933812.80528527</v>
      </c>
      <c r="AU64" s="1201">
        <f t="shared" si="28"/>
        <v>291827375.49220949</v>
      </c>
      <c r="AV64" s="1198">
        <f t="shared" si="7"/>
        <v>0</v>
      </c>
      <c r="AW64" s="1198">
        <f t="shared" si="8"/>
        <v>0</v>
      </c>
      <c r="AX64" s="1198">
        <f t="shared" si="9"/>
        <v>0</v>
      </c>
      <c r="AY64" s="1198">
        <f t="shared" si="10"/>
        <v>0</v>
      </c>
      <c r="AZ64" s="1198">
        <f t="shared" si="11"/>
        <v>0</v>
      </c>
      <c r="BA64" s="1198">
        <f t="shared" si="12"/>
        <v>0</v>
      </c>
      <c r="BB64" s="1198">
        <f t="shared" si="13"/>
        <v>0</v>
      </c>
      <c r="BC64" s="1198">
        <f t="shared" si="14"/>
        <v>0</v>
      </c>
      <c r="BD64" s="1198">
        <f t="shared" si="15"/>
        <v>0</v>
      </c>
      <c r="BE64" s="1198">
        <f t="shared" si="16"/>
        <v>0</v>
      </c>
    </row>
    <row r="65" spans="2:57" x14ac:dyDescent="0.25">
      <c r="B65" s="1221">
        <v>61</v>
      </c>
      <c r="C65" s="1181" t="s">
        <v>1110</v>
      </c>
      <c r="D65" s="1182" t="s">
        <v>1335</v>
      </c>
      <c r="E65" s="1199">
        <f>VLOOKUP($C65,[30]Dung!$C$2:$G$98,5,0)</f>
        <v>43232</v>
      </c>
      <c r="F65" s="1199">
        <v>44562</v>
      </c>
      <c r="G65" s="1194">
        <v>1</v>
      </c>
      <c r="H65" s="1199">
        <v>45291</v>
      </c>
      <c r="I65" s="1183">
        <f>VLOOKUP($C65,[30]NGọc!$B$3:$J$114,8,0)</f>
        <v>1118181818</v>
      </c>
      <c r="J65" s="1183">
        <v>609221579.1430527</v>
      </c>
      <c r="K65" s="1194">
        <f t="shared" si="31"/>
        <v>23</v>
      </c>
      <c r="L65" s="1194">
        <f t="shared" si="32"/>
        <v>729</v>
      </c>
      <c r="M65" s="1195">
        <f t="shared" si="1"/>
        <v>26487894.745350119</v>
      </c>
      <c r="N65" s="1195">
        <f t="shared" si="17"/>
        <v>835694.89594383084</v>
      </c>
      <c r="O65" s="1196">
        <v>25070846.878315091</v>
      </c>
      <c r="P65" s="1194">
        <v>31</v>
      </c>
      <c r="Q65" s="1195">
        <f t="shared" si="2"/>
        <v>25070846.878315091</v>
      </c>
      <c r="R65" s="1195">
        <f t="shared" si="18"/>
        <v>609221579.1430527</v>
      </c>
      <c r="S65" s="1195">
        <f t="shared" si="19"/>
        <v>0</v>
      </c>
      <c r="T65" s="1194">
        <v>5</v>
      </c>
      <c r="U65" s="1194" t="s">
        <v>1047</v>
      </c>
      <c r="V65" s="1201" t="s">
        <v>1043</v>
      </c>
      <c r="W65" s="1197"/>
      <c r="X65" s="1197"/>
      <c r="Y65" s="1197">
        <v>627</v>
      </c>
      <c r="Z65" s="1197" t="s">
        <v>809</v>
      </c>
      <c r="AA65" s="1197"/>
      <c r="AB65" s="1202">
        <v>25906541.774258755</v>
      </c>
      <c r="AC65" s="1202">
        <v>23399457.086427264</v>
      </c>
      <c r="AD65" s="1202">
        <v>25906541.774258755</v>
      </c>
      <c r="AE65" s="1202">
        <v>25070846.878314923</v>
      </c>
      <c r="AF65" s="1202">
        <v>25906541.774258755</v>
      </c>
      <c r="AG65" s="1202">
        <v>25070846.878314923</v>
      </c>
      <c r="AH65" s="1202">
        <v>25906541.774258755</v>
      </c>
      <c r="AI65" s="1202">
        <v>25906541.774258755</v>
      </c>
      <c r="AJ65" s="1202">
        <v>25070846.878314923</v>
      </c>
      <c r="AK65" s="1202">
        <v>25906541.774258755</v>
      </c>
      <c r="AL65" s="1202">
        <v>25070846.878314923</v>
      </c>
      <c r="AM65" s="1202">
        <v>25070846.878315091</v>
      </c>
      <c r="AN65" s="1197"/>
      <c r="AO65" s="1197">
        <v>641</v>
      </c>
      <c r="AP65" s="1197" t="s">
        <v>1357</v>
      </c>
      <c r="AQ65" s="1253" t="s">
        <v>809</v>
      </c>
      <c r="AR65" s="1201">
        <f t="shared" si="25"/>
        <v>0</v>
      </c>
      <c r="AS65" s="1198">
        <f t="shared" si="26"/>
        <v>0</v>
      </c>
      <c r="AT65" s="1198">
        <f t="shared" si="27"/>
        <v>317854736.94420141</v>
      </c>
      <c r="AU65" s="1201">
        <f t="shared" si="28"/>
        <v>304192942.12355459</v>
      </c>
      <c r="AV65" s="1198">
        <f t="shared" si="7"/>
        <v>0</v>
      </c>
      <c r="AW65" s="1198">
        <f t="shared" si="8"/>
        <v>0</v>
      </c>
      <c r="AX65" s="1198">
        <f t="shared" si="9"/>
        <v>0</v>
      </c>
      <c r="AY65" s="1198">
        <f t="shared" si="10"/>
        <v>0</v>
      </c>
      <c r="AZ65" s="1198">
        <f t="shared" si="11"/>
        <v>0</v>
      </c>
      <c r="BA65" s="1198">
        <f t="shared" si="12"/>
        <v>0</v>
      </c>
      <c r="BB65" s="1198">
        <f t="shared" si="13"/>
        <v>0</v>
      </c>
      <c r="BC65" s="1198">
        <f t="shared" si="14"/>
        <v>0</v>
      </c>
      <c r="BD65" s="1198">
        <f t="shared" si="15"/>
        <v>0</v>
      </c>
      <c r="BE65" s="1198">
        <f t="shared" si="16"/>
        <v>0</v>
      </c>
    </row>
    <row r="66" spans="2:57" x14ac:dyDescent="0.25">
      <c r="B66" s="1221">
        <v>62</v>
      </c>
      <c r="C66" s="1181" t="s">
        <v>1111</v>
      </c>
      <c r="D66" s="1182" t="s">
        <v>1335</v>
      </c>
      <c r="E66" s="1199">
        <f>VLOOKUP($C66,[30]Dung!$C$2:$G$98,5,0)</f>
        <v>43232</v>
      </c>
      <c r="F66" s="1199">
        <v>44562</v>
      </c>
      <c r="G66" s="1194">
        <v>1</v>
      </c>
      <c r="H66" s="1199">
        <v>45291</v>
      </c>
      <c r="I66" s="1183">
        <f>VLOOKUP($C66,[30]NGọc!$B$3:$J$114,8,0)</f>
        <v>1072727273</v>
      </c>
      <c r="J66" s="1183">
        <v>584456474.54346347</v>
      </c>
      <c r="K66" s="1194">
        <f t="shared" si="31"/>
        <v>23</v>
      </c>
      <c r="L66" s="1194">
        <f t="shared" si="32"/>
        <v>729</v>
      </c>
      <c r="M66" s="1195">
        <f t="shared" si="1"/>
        <v>25411151.067107107</v>
      </c>
      <c r="N66" s="1195">
        <f t="shared" si="17"/>
        <v>801723.55904453155</v>
      </c>
      <c r="O66" s="1196">
        <v>24051706.771335959</v>
      </c>
      <c r="P66" s="1194">
        <v>31</v>
      </c>
      <c r="Q66" s="1195">
        <f t="shared" si="2"/>
        <v>24051706.771335959</v>
      </c>
      <c r="R66" s="1195">
        <f t="shared" si="18"/>
        <v>584456474.54346347</v>
      </c>
      <c r="S66" s="1195">
        <f t="shared" si="19"/>
        <v>0</v>
      </c>
      <c r="T66" s="1194">
        <v>5</v>
      </c>
      <c r="U66" s="1194" t="s">
        <v>1047</v>
      </c>
      <c r="V66" s="1201" t="s">
        <v>1043</v>
      </c>
      <c r="W66" s="1197"/>
      <c r="X66" s="1197"/>
      <c r="Y66" s="1197">
        <v>627</v>
      </c>
      <c r="Z66" s="1197" t="s">
        <v>809</v>
      </c>
      <c r="AA66" s="1197"/>
      <c r="AB66" s="1202">
        <v>24853430.330380477</v>
      </c>
      <c r="AC66" s="1202">
        <v>22448259.653246883</v>
      </c>
      <c r="AD66" s="1202">
        <v>24853430.330380477</v>
      </c>
      <c r="AE66" s="1202">
        <v>24051706.771335945</v>
      </c>
      <c r="AF66" s="1202">
        <v>24853430.330380477</v>
      </c>
      <c r="AG66" s="1202">
        <v>24051706.771335945</v>
      </c>
      <c r="AH66" s="1202">
        <v>24853430.330380477</v>
      </c>
      <c r="AI66" s="1202">
        <v>24853430.330380477</v>
      </c>
      <c r="AJ66" s="1202">
        <v>24051706.771335945</v>
      </c>
      <c r="AK66" s="1202">
        <v>24853430.330380477</v>
      </c>
      <c r="AL66" s="1202">
        <v>24051706.771335945</v>
      </c>
      <c r="AM66" s="1202">
        <v>24051706.771335959</v>
      </c>
      <c r="AN66" s="1197"/>
      <c r="AO66" s="1197">
        <v>641</v>
      </c>
      <c r="AP66" s="1197" t="s">
        <v>1357</v>
      </c>
      <c r="AQ66" s="1253" t="s">
        <v>809</v>
      </c>
      <c r="AR66" s="1201">
        <f t="shared" si="25"/>
        <v>0</v>
      </c>
      <c r="AS66" s="1198">
        <f t="shared" si="26"/>
        <v>0</v>
      </c>
      <c r="AT66" s="1198">
        <f t="shared" si="27"/>
        <v>304933812.80528527</v>
      </c>
      <c r="AU66" s="1201">
        <f t="shared" si="28"/>
        <v>291827375.49220949</v>
      </c>
      <c r="AV66" s="1198">
        <f t="shared" si="7"/>
        <v>0</v>
      </c>
      <c r="AW66" s="1198">
        <f t="shared" si="8"/>
        <v>0</v>
      </c>
      <c r="AX66" s="1198">
        <f t="shared" si="9"/>
        <v>0</v>
      </c>
      <c r="AY66" s="1198">
        <f t="shared" si="10"/>
        <v>0</v>
      </c>
      <c r="AZ66" s="1198">
        <f t="shared" si="11"/>
        <v>0</v>
      </c>
      <c r="BA66" s="1198">
        <f t="shared" si="12"/>
        <v>0</v>
      </c>
      <c r="BB66" s="1198">
        <f t="shared" si="13"/>
        <v>0</v>
      </c>
      <c r="BC66" s="1198">
        <f t="shared" si="14"/>
        <v>0</v>
      </c>
      <c r="BD66" s="1198">
        <f t="shared" si="15"/>
        <v>0</v>
      </c>
      <c r="BE66" s="1198">
        <f t="shared" si="16"/>
        <v>0</v>
      </c>
    </row>
    <row r="67" spans="2:57" x14ac:dyDescent="0.25">
      <c r="B67" s="1221">
        <v>63</v>
      </c>
      <c r="C67" s="1181" t="s">
        <v>1112</v>
      </c>
      <c r="D67" s="1182" t="s">
        <v>1335</v>
      </c>
      <c r="E67" s="1199">
        <f>VLOOKUP($C67,[30]Dung!$C$2:$G$98,5,0)</f>
        <v>43232</v>
      </c>
      <c r="F67" s="1199">
        <v>44562</v>
      </c>
      <c r="G67" s="1194">
        <v>1</v>
      </c>
      <c r="H67" s="1199">
        <v>45291</v>
      </c>
      <c r="I67" s="1183">
        <f>VLOOKUP($C67,[30]NGọc!$B$3:$J$114,8,0)</f>
        <v>1072727273</v>
      </c>
      <c r="J67" s="1183">
        <v>584456474.54346347</v>
      </c>
      <c r="K67" s="1194">
        <f t="shared" si="31"/>
        <v>23</v>
      </c>
      <c r="L67" s="1194">
        <f t="shared" si="32"/>
        <v>729</v>
      </c>
      <c r="M67" s="1195">
        <f t="shared" si="1"/>
        <v>25411151.067107107</v>
      </c>
      <c r="N67" s="1195">
        <f t="shared" si="17"/>
        <v>801723.55904453155</v>
      </c>
      <c r="O67" s="1196">
        <v>24051706.771335959</v>
      </c>
      <c r="P67" s="1194">
        <v>31</v>
      </c>
      <c r="Q67" s="1195">
        <f t="shared" si="2"/>
        <v>24051706.771335959</v>
      </c>
      <c r="R67" s="1195">
        <f t="shared" si="18"/>
        <v>584456474.54346347</v>
      </c>
      <c r="S67" s="1195">
        <f t="shared" si="19"/>
        <v>0</v>
      </c>
      <c r="T67" s="1194">
        <v>5</v>
      </c>
      <c r="U67" s="1194" t="s">
        <v>1047</v>
      </c>
      <c r="V67" s="1201" t="s">
        <v>1043</v>
      </c>
      <c r="W67" s="1197"/>
      <c r="X67" s="1197"/>
      <c r="Y67" s="1197">
        <v>627</v>
      </c>
      <c r="Z67" s="1197" t="s">
        <v>809</v>
      </c>
      <c r="AA67" s="1197"/>
      <c r="AB67" s="1202">
        <v>24853430.330380477</v>
      </c>
      <c r="AC67" s="1202">
        <v>22448259.653246883</v>
      </c>
      <c r="AD67" s="1202">
        <v>24853430.330380477</v>
      </c>
      <c r="AE67" s="1202">
        <v>24051706.771335945</v>
      </c>
      <c r="AF67" s="1202">
        <v>24853430.330380477</v>
      </c>
      <c r="AG67" s="1202">
        <v>24051706.771335945</v>
      </c>
      <c r="AH67" s="1202">
        <v>24853430.330380477</v>
      </c>
      <c r="AI67" s="1202">
        <v>24853430.330380477</v>
      </c>
      <c r="AJ67" s="1202">
        <v>24051706.771335945</v>
      </c>
      <c r="AK67" s="1202">
        <v>24853430.330380477</v>
      </c>
      <c r="AL67" s="1202">
        <v>24051706.771335945</v>
      </c>
      <c r="AM67" s="1202">
        <v>24051706.771335959</v>
      </c>
      <c r="AN67" s="1197"/>
      <c r="AO67" s="1197">
        <v>641</v>
      </c>
      <c r="AP67" s="1197" t="s">
        <v>1357</v>
      </c>
      <c r="AQ67" s="1253" t="s">
        <v>809</v>
      </c>
      <c r="AR67" s="1201">
        <f t="shared" si="25"/>
        <v>0</v>
      </c>
      <c r="AS67" s="1198">
        <f t="shared" si="26"/>
        <v>0</v>
      </c>
      <c r="AT67" s="1198">
        <f t="shared" si="27"/>
        <v>304933812.80528527</v>
      </c>
      <c r="AU67" s="1201">
        <f t="shared" si="28"/>
        <v>291827375.49220949</v>
      </c>
      <c r="AV67" s="1198">
        <f t="shared" si="7"/>
        <v>0</v>
      </c>
      <c r="AW67" s="1198">
        <f t="shared" si="8"/>
        <v>0</v>
      </c>
      <c r="AX67" s="1198">
        <f t="shared" si="9"/>
        <v>0</v>
      </c>
      <c r="AY67" s="1198">
        <f t="shared" si="10"/>
        <v>0</v>
      </c>
      <c r="AZ67" s="1198">
        <f t="shared" si="11"/>
        <v>0</v>
      </c>
      <c r="BA67" s="1198">
        <f t="shared" si="12"/>
        <v>0</v>
      </c>
      <c r="BB67" s="1198">
        <f t="shared" si="13"/>
        <v>0</v>
      </c>
      <c r="BC67" s="1198">
        <f t="shared" si="14"/>
        <v>0</v>
      </c>
      <c r="BD67" s="1198">
        <f t="shared" si="15"/>
        <v>0</v>
      </c>
      <c r="BE67" s="1198">
        <f t="shared" si="16"/>
        <v>0</v>
      </c>
    </row>
    <row r="68" spans="2:57" x14ac:dyDescent="0.25">
      <c r="B68" s="1221">
        <v>64</v>
      </c>
      <c r="C68" s="1181" t="s">
        <v>1113</v>
      </c>
      <c r="D68" s="1182" t="s">
        <v>1335</v>
      </c>
      <c r="E68" s="1199">
        <f>VLOOKUP($C68,[30]Dung!$C$2:$G$98,5,0)</f>
        <v>43232</v>
      </c>
      <c r="F68" s="1199">
        <v>44562</v>
      </c>
      <c r="G68" s="1194">
        <v>1</v>
      </c>
      <c r="H68" s="1199">
        <v>45291</v>
      </c>
      <c r="I68" s="1183">
        <f>VLOOKUP($C68,[30]NGọc!$B$3:$J$114,8,0)</f>
        <v>1072727273</v>
      </c>
      <c r="J68" s="1183">
        <v>584456474.54346347</v>
      </c>
      <c r="K68" s="1194">
        <f t="shared" si="31"/>
        <v>23</v>
      </c>
      <c r="L68" s="1194">
        <f t="shared" si="32"/>
        <v>729</v>
      </c>
      <c r="M68" s="1195">
        <f t="shared" si="1"/>
        <v>25411151.067107107</v>
      </c>
      <c r="N68" s="1195">
        <f t="shared" si="17"/>
        <v>801723.55904453155</v>
      </c>
      <c r="O68" s="1196">
        <v>24051706.771335959</v>
      </c>
      <c r="P68" s="1194">
        <v>31</v>
      </c>
      <c r="Q68" s="1195">
        <f t="shared" si="2"/>
        <v>24051706.771335959</v>
      </c>
      <c r="R68" s="1195">
        <f t="shared" si="18"/>
        <v>584456474.54346347</v>
      </c>
      <c r="S68" s="1195">
        <f t="shared" si="19"/>
        <v>0</v>
      </c>
      <c r="T68" s="1194">
        <v>5</v>
      </c>
      <c r="U68" s="1194" t="s">
        <v>1047</v>
      </c>
      <c r="V68" s="1201" t="s">
        <v>1043</v>
      </c>
      <c r="W68" s="1197"/>
      <c r="X68" s="1197"/>
      <c r="Y68" s="1197">
        <v>627</v>
      </c>
      <c r="Z68" s="1197" t="s">
        <v>809</v>
      </c>
      <c r="AA68" s="1197"/>
      <c r="AB68" s="1202">
        <v>24853430.330380477</v>
      </c>
      <c r="AC68" s="1202">
        <v>22448259.653246883</v>
      </c>
      <c r="AD68" s="1202">
        <v>24853430.330380477</v>
      </c>
      <c r="AE68" s="1202">
        <v>24051706.771335945</v>
      </c>
      <c r="AF68" s="1202">
        <v>24853430.330380477</v>
      </c>
      <c r="AG68" s="1202">
        <v>24051706.771335945</v>
      </c>
      <c r="AH68" s="1202">
        <v>24853430.330380477</v>
      </c>
      <c r="AI68" s="1202">
        <v>24853430.330380477</v>
      </c>
      <c r="AJ68" s="1202">
        <v>24051706.771335945</v>
      </c>
      <c r="AK68" s="1202">
        <v>24853430.330380477</v>
      </c>
      <c r="AL68" s="1202">
        <v>24051706.771335945</v>
      </c>
      <c r="AM68" s="1202">
        <v>24051706.771335959</v>
      </c>
      <c r="AN68" s="1197"/>
      <c r="AO68" s="1197">
        <v>641</v>
      </c>
      <c r="AP68" s="1197" t="s">
        <v>1357</v>
      </c>
      <c r="AQ68" s="1253" t="s">
        <v>809</v>
      </c>
      <c r="AR68" s="1201">
        <f t="shared" si="25"/>
        <v>0</v>
      </c>
      <c r="AS68" s="1198">
        <f t="shared" si="26"/>
        <v>0</v>
      </c>
      <c r="AT68" s="1198">
        <f t="shared" si="27"/>
        <v>304933812.80528527</v>
      </c>
      <c r="AU68" s="1201">
        <f t="shared" si="28"/>
        <v>291827375.49220949</v>
      </c>
      <c r="AV68" s="1198">
        <f t="shared" si="7"/>
        <v>0</v>
      </c>
      <c r="AW68" s="1198">
        <f t="shared" si="8"/>
        <v>0</v>
      </c>
      <c r="AX68" s="1198">
        <f t="shared" si="9"/>
        <v>0</v>
      </c>
      <c r="AY68" s="1198">
        <f t="shared" si="10"/>
        <v>0</v>
      </c>
      <c r="AZ68" s="1198">
        <f t="shared" si="11"/>
        <v>0</v>
      </c>
      <c r="BA68" s="1198">
        <f t="shared" si="12"/>
        <v>0</v>
      </c>
      <c r="BB68" s="1198">
        <f t="shared" si="13"/>
        <v>0</v>
      </c>
      <c r="BC68" s="1198">
        <f t="shared" si="14"/>
        <v>0</v>
      </c>
      <c r="BD68" s="1198">
        <f t="shared" si="15"/>
        <v>0</v>
      </c>
      <c r="BE68" s="1198">
        <f t="shared" si="16"/>
        <v>0</v>
      </c>
    </row>
    <row r="69" spans="2:57" x14ac:dyDescent="0.25">
      <c r="B69" s="1221">
        <v>65</v>
      </c>
      <c r="C69" s="1181" t="s">
        <v>1114</v>
      </c>
      <c r="D69" s="1182" t="s">
        <v>1335</v>
      </c>
      <c r="E69" s="1199">
        <f>VLOOKUP($C69,[30]Dung!$C$2:$G$98,5,0)</f>
        <v>43232</v>
      </c>
      <c r="F69" s="1199">
        <v>44562</v>
      </c>
      <c r="G69" s="1194">
        <v>1</v>
      </c>
      <c r="H69" s="1199">
        <v>45291</v>
      </c>
      <c r="I69" s="1183">
        <f>VLOOKUP($C69,[30]NGọc!$B$3:$J$114,8,0)</f>
        <v>1118181818</v>
      </c>
      <c r="J69" s="1183">
        <v>609221579.1430527</v>
      </c>
      <c r="K69" s="1194">
        <f t="shared" si="31"/>
        <v>23</v>
      </c>
      <c r="L69" s="1194">
        <f t="shared" si="32"/>
        <v>729</v>
      </c>
      <c r="M69" s="1195">
        <f t="shared" ref="M69:M132" si="33">J69/K69</f>
        <v>26487894.745350119</v>
      </c>
      <c r="N69" s="1195">
        <f t="shared" si="17"/>
        <v>835694.89594383084</v>
      </c>
      <c r="O69" s="1196">
        <v>25070846.878315091</v>
      </c>
      <c r="P69" s="1194">
        <v>31</v>
      </c>
      <c r="Q69" s="1195">
        <f t="shared" ref="Q69:Q74" si="34">IF(O69&gt;=P69*N69,P69*N69,O69)</f>
        <v>25070846.878315091</v>
      </c>
      <c r="R69" s="1195">
        <f t="shared" si="18"/>
        <v>609221579.1430527</v>
      </c>
      <c r="S69" s="1195">
        <f t="shared" si="19"/>
        <v>0</v>
      </c>
      <c r="T69" s="1194"/>
      <c r="U69" s="1194" t="s">
        <v>1095</v>
      </c>
      <c r="V69" s="1201" t="s">
        <v>1043</v>
      </c>
      <c r="W69" s="1197"/>
      <c r="X69" s="1197"/>
      <c r="Y69" s="1197">
        <v>627</v>
      </c>
      <c r="Z69" s="1197" t="s">
        <v>809</v>
      </c>
      <c r="AA69" s="1197"/>
      <c r="AB69" s="1202">
        <v>25906541.774258755</v>
      </c>
      <c r="AC69" s="1202">
        <v>23399457.086427264</v>
      </c>
      <c r="AD69" s="1202">
        <v>25906541.774258755</v>
      </c>
      <c r="AE69" s="1202">
        <v>25070846.878314923</v>
      </c>
      <c r="AF69" s="1202">
        <v>25906541.774258755</v>
      </c>
      <c r="AG69" s="1202">
        <v>25070846.878314923</v>
      </c>
      <c r="AH69" s="1202">
        <v>25906541.774258755</v>
      </c>
      <c r="AI69" s="1202">
        <v>25906541.774258755</v>
      </c>
      <c r="AJ69" s="1202">
        <v>25070846.878314923</v>
      </c>
      <c r="AK69" s="1202">
        <v>25906541.774258755</v>
      </c>
      <c r="AL69" s="1202">
        <v>25070846.878314923</v>
      </c>
      <c r="AM69" s="1202">
        <v>25070846.878315091</v>
      </c>
      <c r="AN69" s="1197"/>
      <c r="AO69" s="1197">
        <v>641</v>
      </c>
      <c r="AP69" s="1197" t="s">
        <v>1357</v>
      </c>
      <c r="AQ69" s="1253" t="s">
        <v>809</v>
      </c>
      <c r="AR69" s="1201">
        <f t="shared" ref="AR69:AR100" si="35">AS69-SUM(AV69:BE69)</f>
        <v>0</v>
      </c>
      <c r="AS69" s="1198">
        <f t="shared" ref="AS69:AS100" si="36">S69</f>
        <v>0</v>
      </c>
      <c r="AT69" s="1198">
        <f t="shared" ref="AT69:AT100" si="37">M69*12</f>
        <v>317854736.94420141</v>
      </c>
      <c r="AU69" s="1201">
        <f t="shared" ref="AU69:AU100" si="38">SUM(AB69:AM69)</f>
        <v>304192942.12355459</v>
      </c>
      <c r="AV69" s="1198">
        <f t="shared" si="7"/>
        <v>0</v>
      </c>
      <c r="AW69" s="1198">
        <f t="shared" si="8"/>
        <v>0</v>
      </c>
      <c r="AX69" s="1198">
        <f t="shared" si="9"/>
        <v>0</v>
      </c>
      <c r="AY69" s="1198">
        <f t="shared" si="10"/>
        <v>0</v>
      </c>
      <c r="AZ69" s="1198">
        <f t="shared" si="11"/>
        <v>0</v>
      </c>
      <c r="BA69" s="1198">
        <f t="shared" si="12"/>
        <v>0</v>
      </c>
      <c r="BB69" s="1198">
        <f t="shared" si="13"/>
        <v>0</v>
      </c>
      <c r="BC69" s="1198">
        <f t="shared" si="14"/>
        <v>0</v>
      </c>
      <c r="BD69" s="1198">
        <f t="shared" si="15"/>
        <v>0</v>
      </c>
      <c r="BE69" s="1198">
        <f t="shared" si="16"/>
        <v>0</v>
      </c>
    </row>
    <row r="70" spans="2:57" x14ac:dyDescent="0.25">
      <c r="B70" s="1221">
        <v>66</v>
      </c>
      <c r="C70" s="1181" t="s">
        <v>1115</v>
      </c>
      <c r="D70" s="1182" t="s">
        <v>1335</v>
      </c>
      <c r="E70" s="1199">
        <v>43763</v>
      </c>
      <c r="F70" s="1199">
        <v>44562</v>
      </c>
      <c r="G70" s="1194">
        <v>1</v>
      </c>
      <c r="H70" s="1199">
        <v>45657</v>
      </c>
      <c r="I70" s="1183">
        <v>750000000</v>
      </c>
      <c r="J70" s="1183">
        <v>544917864.47638607</v>
      </c>
      <c r="K70" s="1194">
        <f t="shared" si="31"/>
        <v>35</v>
      </c>
      <c r="L70" s="1194">
        <f t="shared" si="32"/>
        <v>1095</v>
      </c>
      <c r="M70" s="1195">
        <f t="shared" si="33"/>
        <v>15569081.842182459</v>
      </c>
      <c r="N70" s="1195">
        <f t="shared" si="17"/>
        <v>497641.88536656264</v>
      </c>
      <c r="O70" s="1196">
        <v>197066186.60515857</v>
      </c>
      <c r="P70" s="1194">
        <v>31</v>
      </c>
      <c r="Q70" s="1195">
        <f t="shared" si="34"/>
        <v>15426898.446363442</v>
      </c>
      <c r="R70" s="1195">
        <f t="shared" si="18"/>
        <v>363278576.31759095</v>
      </c>
      <c r="S70" s="1195">
        <f t="shared" si="19"/>
        <v>181639288.15879512</v>
      </c>
      <c r="T70" s="1194">
        <v>5</v>
      </c>
      <c r="U70" s="1194" t="s">
        <v>1047</v>
      </c>
      <c r="V70" s="1201" t="s">
        <v>1043</v>
      </c>
      <c r="W70" s="1197"/>
      <c r="X70" s="1197"/>
      <c r="Y70" s="1197">
        <v>627</v>
      </c>
      <c r="Z70" s="1197" t="s">
        <v>809</v>
      </c>
      <c r="AA70" s="1197"/>
      <c r="AB70" s="1202">
        <v>15426898.446363442</v>
      </c>
      <c r="AC70" s="1202">
        <v>13933972.790263753</v>
      </c>
      <c r="AD70" s="1202">
        <v>15426898.446363442</v>
      </c>
      <c r="AE70" s="1202">
        <v>14929256.560996879</v>
      </c>
      <c r="AF70" s="1202">
        <v>15426898.446363442</v>
      </c>
      <c r="AG70" s="1202">
        <v>14929256.560996879</v>
      </c>
      <c r="AH70" s="1202">
        <v>15426898.446363442</v>
      </c>
      <c r="AI70" s="1202">
        <v>15426898.446363442</v>
      </c>
      <c r="AJ70" s="1202">
        <v>14929256.560996879</v>
      </c>
      <c r="AK70" s="1202">
        <v>15426898.446363442</v>
      </c>
      <c r="AL70" s="1202">
        <v>14929256.560996879</v>
      </c>
      <c r="AM70" s="1202">
        <v>15426898.446363442</v>
      </c>
      <c r="AN70" s="1197"/>
      <c r="AO70" s="1197">
        <v>641</v>
      </c>
      <c r="AP70" s="1197" t="s">
        <v>1357</v>
      </c>
      <c r="AQ70" s="1253" t="s">
        <v>809</v>
      </c>
      <c r="AR70" s="1201">
        <f t="shared" si="35"/>
        <v>0</v>
      </c>
      <c r="AS70" s="1198">
        <f t="shared" si="36"/>
        <v>181639288.15879512</v>
      </c>
      <c r="AT70" s="1198">
        <f t="shared" si="37"/>
        <v>186828982.10618952</v>
      </c>
      <c r="AU70" s="1201">
        <f t="shared" si="38"/>
        <v>181639288.15879539</v>
      </c>
      <c r="AV70" s="1198">
        <f t="shared" ref="AV70:AV133" si="39">MIN(AS70,AT70)</f>
        <v>181639288.15879512</v>
      </c>
      <c r="AW70" s="1198">
        <f t="shared" ref="AW70:AW133" si="40">IF((AS70-AT70*$AW$2)&gt;0,MIN(AS70-AT70*$AW$2,AT70),0)</f>
        <v>0</v>
      </c>
      <c r="AX70" s="1198">
        <f t="shared" ref="AX70:AX133" si="41">IF((AS70-AT70*$AX$2)&gt;0,MIN(AS70-AT70*$AX$2,AT70),0)</f>
        <v>0</v>
      </c>
      <c r="AY70" s="1198">
        <f t="shared" ref="AY70:AY133" si="42">IF((AS70-AT70*$AY$2)&gt;0,MIN(AS70-AT70*$AY$2,AT70),0)</f>
        <v>0</v>
      </c>
      <c r="AZ70" s="1198">
        <f t="shared" ref="AZ70:AZ133" si="43">IF((AS70-AT70*$AZ$2)&gt;0,MIN(AS70-AT70*$AZ$2,AT70),0)</f>
        <v>0</v>
      </c>
      <c r="BA70" s="1198">
        <f t="shared" ref="BA70:BA133" si="44">IF((AS70-AT70*$BA$2)&gt;0,MIN(AS70-AT70*$BA$2,AT70),0)</f>
        <v>0</v>
      </c>
      <c r="BB70" s="1198">
        <f t="shared" ref="BB70:BB133" si="45">IF((AS70-AT70*$BB$2)&gt;0,MIN(AS70-AT70*$BB$2,AT70),0)</f>
        <v>0</v>
      </c>
      <c r="BC70" s="1198">
        <f t="shared" ref="BC70:BC133" si="46">IF((AS70-AT70*$BC$2)&gt;0,MIN(AS70-AT70*$BC$2,AT70),0)</f>
        <v>0</v>
      </c>
      <c r="BD70" s="1198">
        <f t="shared" ref="BD70:BD133" si="47">IF((AS70-AT70*$BD$2)&gt;0,MIN(AS70-AT70*$BD$2,AT70),0)</f>
        <v>0</v>
      </c>
      <c r="BE70" s="1198">
        <f t="shared" ref="BE70:BE133" si="48">IF((AS70-AT70*$BE$2)&gt;0,MIN(AS70-AT70*$BE$2,AT70),0)</f>
        <v>0</v>
      </c>
    </row>
    <row r="71" spans="2:57" x14ac:dyDescent="0.25">
      <c r="B71" s="1221">
        <v>67</v>
      </c>
      <c r="C71" s="1181" t="s">
        <v>1116</v>
      </c>
      <c r="D71" s="1182" t="s">
        <v>1335</v>
      </c>
      <c r="E71" s="1199">
        <v>43763</v>
      </c>
      <c r="F71" s="1199">
        <v>44562</v>
      </c>
      <c r="G71" s="1194">
        <v>1</v>
      </c>
      <c r="H71" s="1199">
        <v>45657</v>
      </c>
      <c r="I71" s="1183">
        <v>750000000</v>
      </c>
      <c r="J71" s="1183">
        <v>544917864.47638607</v>
      </c>
      <c r="K71" s="1194">
        <f t="shared" si="31"/>
        <v>35</v>
      </c>
      <c r="L71" s="1194">
        <f t="shared" si="32"/>
        <v>1095</v>
      </c>
      <c r="M71" s="1195">
        <f t="shared" si="33"/>
        <v>15569081.842182459</v>
      </c>
      <c r="N71" s="1195">
        <f t="shared" ref="N71:N134" si="49">J71/L71</f>
        <v>497641.88536656264</v>
      </c>
      <c r="O71" s="1196">
        <v>197066186.60515857</v>
      </c>
      <c r="P71" s="1194">
        <v>31</v>
      </c>
      <c r="Q71" s="1195">
        <f t="shared" si="34"/>
        <v>15426898.446363442</v>
      </c>
      <c r="R71" s="1195">
        <f t="shared" ref="R71:R134" si="50">IF(Q71=0,J71,J71-O71+Q71)</f>
        <v>363278576.31759095</v>
      </c>
      <c r="S71" s="1195">
        <f t="shared" ref="S71:S134" si="51">J71-R71</f>
        <v>181639288.15879512</v>
      </c>
      <c r="T71" s="1194">
        <v>5</v>
      </c>
      <c r="U71" s="1194" t="s">
        <v>1047</v>
      </c>
      <c r="V71" s="1201" t="s">
        <v>1043</v>
      </c>
      <c r="W71" s="1197"/>
      <c r="X71" s="1197"/>
      <c r="Y71" s="1197">
        <v>627</v>
      </c>
      <c r="Z71" s="1197" t="s">
        <v>809</v>
      </c>
      <c r="AA71" s="1197"/>
      <c r="AB71" s="1202">
        <v>15426898.446363442</v>
      </c>
      <c r="AC71" s="1202">
        <v>13933972.790263753</v>
      </c>
      <c r="AD71" s="1202">
        <v>15426898.446363442</v>
      </c>
      <c r="AE71" s="1202">
        <v>14929256.560996879</v>
      </c>
      <c r="AF71" s="1202">
        <v>15426898.446363442</v>
      </c>
      <c r="AG71" s="1202">
        <v>14929256.560996879</v>
      </c>
      <c r="AH71" s="1202">
        <v>15426898.446363442</v>
      </c>
      <c r="AI71" s="1202">
        <v>15426898.446363442</v>
      </c>
      <c r="AJ71" s="1202">
        <v>14929256.560996879</v>
      </c>
      <c r="AK71" s="1202">
        <v>15426898.446363442</v>
      </c>
      <c r="AL71" s="1202">
        <v>14929256.560996879</v>
      </c>
      <c r="AM71" s="1202">
        <v>15426898.446363442</v>
      </c>
      <c r="AN71" s="1197"/>
      <c r="AO71" s="1197">
        <v>641</v>
      </c>
      <c r="AP71" s="1197" t="s">
        <v>1357</v>
      </c>
      <c r="AQ71" s="1253" t="s">
        <v>809</v>
      </c>
      <c r="AR71" s="1201">
        <f t="shared" si="35"/>
        <v>0</v>
      </c>
      <c r="AS71" s="1198">
        <f t="shared" si="36"/>
        <v>181639288.15879512</v>
      </c>
      <c r="AT71" s="1198">
        <f t="shared" si="37"/>
        <v>186828982.10618952</v>
      </c>
      <c r="AU71" s="1201">
        <f t="shared" si="38"/>
        <v>181639288.15879539</v>
      </c>
      <c r="AV71" s="1198">
        <f t="shared" si="39"/>
        <v>181639288.15879512</v>
      </c>
      <c r="AW71" s="1198">
        <f t="shared" si="40"/>
        <v>0</v>
      </c>
      <c r="AX71" s="1198">
        <f t="shared" si="41"/>
        <v>0</v>
      </c>
      <c r="AY71" s="1198">
        <f t="shared" si="42"/>
        <v>0</v>
      </c>
      <c r="AZ71" s="1198">
        <f t="shared" si="43"/>
        <v>0</v>
      </c>
      <c r="BA71" s="1198">
        <f t="shared" si="44"/>
        <v>0</v>
      </c>
      <c r="BB71" s="1198">
        <f t="shared" si="45"/>
        <v>0</v>
      </c>
      <c r="BC71" s="1198">
        <f t="shared" si="46"/>
        <v>0</v>
      </c>
      <c r="BD71" s="1198">
        <f t="shared" si="47"/>
        <v>0</v>
      </c>
      <c r="BE71" s="1198">
        <f t="shared" si="48"/>
        <v>0</v>
      </c>
    </row>
    <row r="72" spans="2:57" x14ac:dyDescent="0.25">
      <c r="B72" s="1221">
        <v>68</v>
      </c>
      <c r="C72" s="1181" t="s">
        <v>1117</v>
      </c>
      <c r="D72" s="1182" t="s">
        <v>1335</v>
      </c>
      <c r="E72" s="1199">
        <v>43945</v>
      </c>
      <c r="F72" s="1199">
        <v>44562</v>
      </c>
      <c r="G72" s="1194">
        <v>1</v>
      </c>
      <c r="H72" s="1199">
        <v>46022</v>
      </c>
      <c r="I72" s="1183">
        <v>500000000</v>
      </c>
      <c r="J72" s="1183">
        <v>394421629.02121824</v>
      </c>
      <c r="K72" s="1194">
        <f t="shared" si="31"/>
        <v>47</v>
      </c>
      <c r="L72" s="1194">
        <f t="shared" si="32"/>
        <v>1460</v>
      </c>
      <c r="M72" s="1195">
        <f t="shared" si="33"/>
        <v>8391949.5536429416</v>
      </c>
      <c r="N72" s="1195">
        <f t="shared" si="49"/>
        <v>270151.80069946457</v>
      </c>
      <c r="O72" s="1196">
        <v>205585520.3322925</v>
      </c>
      <c r="P72" s="1194">
        <v>31</v>
      </c>
      <c r="Q72" s="1195">
        <f t="shared" si="34"/>
        <v>8374705.8216834012</v>
      </c>
      <c r="R72" s="1195">
        <f t="shared" si="50"/>
        <v>197210814.51060915</v>
      </c>
      <c r="S72" s="1195">
        <f t="shared" si="51"/>
        <v>197210814.51060909</v>
      </c>
      <c r="T72" s="1194">
        <v>5</v>
      </c>
      <c r="U72" s="1194" t="s">
        <v>1047</v>
      </c>
      <c r="V72" s="1201" t="s">
        <v>1043</v>
      </c>
      <c r="W72" s="1197"/>
      <c r="X72" s="1197"/>
      <c r="Y72" s="1197">
        <v>627</v>
      </c>
      <c r="Z72" s="1197" t="s">
        <v>809</v>
      </c>
      <c r="AA72" s="1197"/>
      <c r="AB72" s="1202">
        <v>8374705.8216834012</v>
      </c>
      <c r="AC72" s="1202">
        <v>7564250.4195850082</v>
      </c>
      <c r="AD72" s="1202">
        <v>8374705.8216834012</v>
      </c>
      <c r="AE72" s="1202">
        <v>8104554.0209839372</v>
      </c>
      <c r="AF72" s="1202">
        <v>8374705.8216834012</v>
      </c>
      <c r="AG72" s="1202">
        <v>8104554.0209839372</v>
      </c>
      <c r="AH72" s="1202">
        <v>8374705.8216834012</v>
      </c>
      <c r="AI72" s="1202">
        <v>8374705.8216834012</v>
      </c>
      <c r="AJ72" s="1202">
        <v>8104554.0209839372</v>
      </c>
      <c r="AK72" s="1202">
        <v>8374705.8216834012</v>
      </c>
      <c r="AL72" s="1202">
        <v>8104554.0209839372</v>
      </c>
      <c r="AM72" s="1202">
        <v>8374705.8216834012</v>
      </c>
      <c r="AN72" s="1197"/>
      <c r="AO72" s="1197">
        <v>641</v>
      </c>
      <c r="AP72" s="1197" t="s">
        <v>1357</v>
      </c>
      <c r="AQ72" s="1253" t="s">
        <v>809</v>
      </c>
      <c r="AR72" s="1201">
        <f t="shared" si="35"/>
        <v>0</v>
      </c>
      <c r="AS72" s="1198">
        <f t="shared" si="36"/>
        <v>197210814.51060909</v>
      </c>
      <c r="AT72" s="1198">
        <f t="shared" si="37"/>
        <v>100703394.64371529</v>
      </c>
      <c r="AU72" s="1201">
        <f t="shared" si="38"/>
        <v>98605407.255304575</v>
      </c>
      <c r="AV72" s="1198">
        <f t="shared" si="39"/>
        <v>100703394.64371529</v>
      </c>
      <c r="AW72" s="1198">
        <f t="shared" si="40"/>
        <v>96507419.866893798</v>
      </c>
      <c r="AX72" s="1198">
        <f t="shared" si="41"/>
        <v>0</v>
      </c>
      <c r="AY72" s="1198">
        <f t="shared" si="42"/>
        <v>0</v>
      </c>
      <c r="AZ72" s="1198">
        <f t="shared" si="43"/>
        <v>0</v>
      </c>
      <c r="BA72" s="1198">
        <f t="shared" si="44"/>
        <v>0</v>
      </c>
      <c r="BB72" s="1198">
        <f t="shared" si="45"/>
        <v>0</v>
      </c>
      <c r="BC72" s="1198">
        <f t="shared" si="46"/>
        <v>0</v>
      </c>
      <c r="BD72" s="1198">
        <f t="shared" si="47"/>
        <v>0</v>
      </c>
      <c r="BE72" s="1198">
        <f t="shared" si="48"/>
        <v>0</v>
      </c>
    </row>
    <row r="73" spans="2:57" x14ac:dyDescent="0.25">
      <c r="B73" s="1221">
        <v>69</v>
      </c>
      <c r="C73" s="1181" t="s">
        <v>1118</v>
      </c>
      <c r="D73" s="1182" t="s">
        <v>1335</v>
      </c>
      <c r="E73" s="1199">
        <v>43945</v>
      </c>
      <c r="F73" s="1199">
        <v>44562</v>
      </c>
      <c r="G73" s="1194">
        <v>1</v>
      </c>
      <c r="H73" s="1199">
        <v>46022</v>
      </c>
      <c r="I73" s="1183">
        <v>500000000</v>
      </c>
      <c r="J73" s="1183">
        <v>394421629.02121824</v>
      </c>
      <c r="K73" s="1194">
        <f t="shared" si="31"/>
        <v>47</v>
      </c>
      <c r="L73" s="1194">
        <f t="shared" si="32"/>
        <v>1460</v>
      </c>
      <c r="M73" s="1195">
        <f t="shared" si="33"/>
        <v>8391949.5536429416</v>
      </c>
      <c r="N73" s="1195">
        <f t="shared" si="49"/>
        <v>270151.80069946457</v>
      </c>
      <c r="O73" s="1196">
        <v>205585520.3322925</v>
      </c>
      <c r="P73" s="1194">
        <v>31</v>
      </c>
      <c r="Q73" s="1195">
        <f t="shared" si="34"/>
        <v>8374705.8216834012</v>
      </c>
      <c r="R73" s="1195">
        <f t="shared" si="50"/>
        <v>197210814.51060915</v>
      </c>
      <c r="S73" s="1195">
        <f t="shared" si="51"/>
        <v>197210814.51060909</v>
      </c>
      <c r="T73" s="1194">
        <v>5</v>
      </c>
      <c r="U73" s="1194" t="s">
        <v>1047</v>
      </c>
      <c r="V73" s="1201" t="s">
        <v>1043</v>
      </c>
      <c r="W73" s="1197"/>
      <c r="X73" s="1197"/>
      <c r="Y73" s="1197">
        <v>627</v>
      </c>
      <c r="Z73" s="1197" t="s">
        <v>809</v>
      </c>
      <c r="AA73" s="1197"/>
      <c r="AB73" s="1202">
        <v>8374705.8216834012</v>
      </c>
      <c r="AC73" s="1202">
        <v>7564250.4195850082</v>
      </c>
      <c r="AD73" s="1202">
        <v>8374705.8216834012</v>
      </c>
      <c r="AE73" s="1202">
        <v>8104554.0209839372</v>
      </c>
      <c r="AF73" s="1202">
        <v>8374705.8216834012</v>
      </c>
      <c r="AG73" s="1202">
        <v>8104554.0209839372</v>
      </c>
      <c r="AH73" s="1202">
        <v>8374705.8216834012</v>
      </c>
      <c r="AI73" s="1202">
        <v>8374705.8216834012</v>
      </c>
      <c r="AJ73" s="1202">
        <v>8104554.0209839372</v>
      </c>
      <c r="AK73" s="1202">
        <v>8374705.8216834012</v>
      </c>
      <c r="AL73" s="1202">
        <v>8104554.0209839372</v>
      </c>
      <c r="AM73" s="1202">
        <v>8374705.8216834012</v>
      </c>
      <c r="AN73" s="1197"/>
      <c r="AO73" s="1197">
        <v>641</v>
      </c>
      <c r="AP73" s="1197" t="s">
        <v>1357</v>
      </c>
      <c r="AQ73" s="1253" t="s">
        <v>809</v>
      </c>
      <c r="AR73" s="1201">
        <f t="shared" si="35"/>
        <v>0</v>
      </c>
      <c r="AS73" s="1198">
        <f t="shared" si="36"/>
        <v>197210814.51060909</v>
      </c>
      <c r="AT73" s="1198">
        <f t="shared" si="37"/>
        <v>100703394.64371529</v>
      </c>
      <c r="AU73" s="1201">
        <f t="shared" si="38"/>
        <v>98605407.255304575</v>
      </c>
      <c r="AV73" s="1198">
        <f t="shared" si="39"/>
        <v>100703394.64371529</v>
      </c>
      <c r="AW73" s="1198">
        <f t="shared" si="40"/>
        <v>96507419.866893798</v>
      </c>
      <c r="AX73" s="1198">
        <f t="shared" si="41"/>
        <v>0</v>
      </c>
      <c r="AY73" s="1198">
        <f t="shared" si="42"/>
        <v>0</v>
      </c>
      <c r="AZ73" s="1198">
        <f t="shared" si="43"/>
        <v>0</v>
      </c>
      <c r="BA73" s="1198">
        <f t="shared" si="44"/>
        <v>0</v>
      </c>
      <c r="BB73" s="1198">
        <f t="shared" si="45"/>
        <v>0</v>
      </c>
      <c r="BC73" s="1198">
        <f t="shared" si="46"/>
        <v>0</v>
      </c>
      <c r="BD73" s="1198">
        <f t="shared" si="47"/>
        <v>0</v>
      </c>
      <c r="BE73" s="1198">
        <f t="shared" si="48"/>
        <v>0</v>
      </c>
    </row>
    <row r="74" spans="2:57" x14ac:dyDescent="0.25">
      <c r="B74" s="1221">
        <v>70</v>
      </c>
      <c r="C74" s="1181" t="s">
        <v>1119</v>
      </c>
      <c r="D74" s="1182" t="s">
        <v>1335</v>
      </c>
      <c r="E74" s="1199">
        <v>43945</v>
      </c>
      <c r="F74" s="1199">
        <v>44562</v>
      </c>
      <c r="G74" s="1194">
        <v>1</v>
      </c>
      <c r="H74" s="1199">
        <v>46022</v>
      </c>
      <c r="I74" s="1183">
        <v>500000000</v>
      </c>
      <c r="J74" s="1183">
        <v>394421629.02121824</v>
      </c>
      <c r="K74" s="1194">
        <f t="shared" si="31"/>
        <v>47</v>
      </c>
      <c r="L74" s="1194">
        <f t="shared" si="32"/>
        <v>1460</v>
      </c>
      <c r="M74" s="1195">
        <f t="shared" si="33"/>
        <v>8391949.5536429416</v>
      </c>
      <c r="N74" s="1195">
        <f t="shared" si="49"/>
        <v>270151.80069946457</v>
      </c>
      <c r="O74" s="1196">
        <v>205585520.3322925</v>
      </c>
      <c r="P74" s="1194">
        <v>31</v>
      </c>
      <c r="Q74" s="1195">
        <f t="shared" si="34"/>
        <v>8374705.8216834012</v>
      </c>
      <c r="R74" s="1195">
        <f t="shared" si="50"/>
        <v>197210814.51060915</v>
      </c>
      <c r="S74" s="1195">
        <f t="shared" si="51"/>
        <v>197210814.51060909</v>
      </c>
      <c r="T74" s="1194"/>
      <c r="U74" s="1194" t="s">
        <v>1095</v>
      </c>
      <c r="V74" s="1201" t="s">
        <v>1043</v>
      </c>
      <c r="W74" s="1197"/>
      <c r="X74" s="1197"/>
      <c r="Y74" s="1197">
        <v>627</v>
      </c>
      <c r="Z74" s="1197" t="s">
        <v>809</v>
      </c>
      <c r="AA74" s="1197"/>
      <c r="AB74" s="1202">
        <v>8374705.8216834012</v>
      </c>
      <c r="AC74" s="1202">
        <v>7564250.4195850082</v>
      </c>
      <c r="AD74" s="1202">
        <v>8374705.8216834012</v>
      </c>
      <c r="AE74" s="1202">
        <v>8104554.0209839372</v>
      </c>
      <c r="AF74" s="1202">
        <v>8374705.8216834012</v>
      </c>
      <c r="AG74" s="1202">
        <v>8104554.0209839372</v>
      </c>
      <c r="AH74" s="1202">
        <v>8374705.8216834012</v>
      </c>
      <c r="AI74" s="1202">
        <v>8374705.8216834012</v>
      </c>
      <c r="AJ74" s="1202">
        <v>8104554.0209839372</v>
      </c>
      <c r="AK74" s="1202">
        <v>8374705.8216834012</v>
      </c>
      <c r="AL74" s="1202">
        <v>8104554.0209839372</v>
      </c>
      <c r="AM74" s="1202">
        <v>8374705.8216834012</v>
      </c>
      <c r="AN74" s="1197"/>
      <c r="AO74" s="1197">
        <v>641</v>
      </c>
      <c r="AP74" s="1197" t="s">
        <v>1357</v>
      </c>
      <c r="AQ74" s="1253" t="s">
        <v>809</v>
      </c>
      <c r="AR74" s="1201">
        <f t="shared" si="35"/>
        <v>0</v>
      </c>
      <c r="AS74" s="1198">
        <f t="shared" si="36"/>
        <v>197210814.51060909</v>
      </c>
      <c r="AT74" s="1198">
        <f t="shared" si="37"/>
        <v>100703394.64371529</v>
      </c>
      <c r="AU74" s="1201">
        <f t="shared" si="38"/>
        <v>98605407.255304575</v>
      </c>
      <c r="AV74" s="1198">
        <f t="shared" si="39"/>
        <v>100703394.64371529</v>
      </c>
      <c r="AW74" s="1198">
        <f t="shared" si="40"/>
        <v>96507419.866893798</v>
      </c>
      <c r="AX74" s="1198">
        <f t="shared" si="41"/>
        <v>0</v>
      </c>
      <c r="AY74" s="1198">
        <f t="shared" si="42"/>
        <v>0</v>
      </c>
      <c r="AZ74" s="1198">
        <f t="shared" si="43"/>
        <v>0</v>
      </c>
      <c r="BA74" s="1198">
        <f t="shared" si="44"/>
        <v>0</v>
      </c>
      <c r="BB74" s="1198">
        <f t="shared" si="45"/>
        <v>0</v>
      </c>
      <c r="BC74" s="1198">
        <f t="shared" si="46"/>
        <v>0</v>
      </c>
      <c r="BD74" s="1198">
        <f t="shared" si="47"/>
        <v>0</v>
      </c>
      <c r="BE74" s="1198">
        <f t="shared" si="48"/>
        <v>0</v>
      </c>
    </row>
    <row r="75" spans="2:57" x14ac:dyDescent="0.25">
      <c r="B75" s="1221">
        <v>71</v>
      </c>
      <c r="C75" s="1181" t="s">
        <v>1120</v>
      </c>
      <c r="D75" s="1182" t="s">
        <v>1336</v>
      </c>
      <c r="E75" s="1199">
        <f>VLOOKUP($C75,[30]Dung!$C$2:$G$98,5,0)</f>
        <v>43344</v>
      </c>
      <c r="F75" s="1199">
        <v>44562</v>
      </c>
      <c r="G75" s="1194">
        <v>1</v>
      </c>
      <c r="H75" s="1199">
        <v>45291</v>
      </c>
      <c r="I75" s="1183"/>
      <c r="J75" s="1183"/>
      <c r="K75" s="1194">
        <f t="shared" si="31"/>
        <v>23</v>
      </c>
      <c r="L75" s="1194">
        <f t="shared" si="32"/>
        <v>729</v>
      </c>
      <c r="M75" s="1195">
        <f t="shared" si="33"/>
        <v>0</v>
      </c>
      <c r="N75" s="1195">
        <f t="shared" si="49"/>
        <v>0</v>
      </c>
      <c r="O75" s="1196">
        <v>0</v>
      </c>
      <c r="P75" s="1194">
        <v>31</v>
      </c>
      <c r="Q75" s="1195"/>
      <c r="R75" s="1195">
        <f t="shared" si="50"/>
        <v>0</v>
      </c>
      <c r="S75" s="1195">
        <f t="shared" si="51"/>
        <v>0</v>
      </c>
      <c r="T75" s="1194" t="s">
        <v>1071</v>
      </c>
      <c r="U75" s="1194" t="s">
        <v>1100</v>
      </c>
      <c r="V75" s="1201">
        <f>O75-Q75-S75</f>
        <v>0</v>
      </c>
      <c r="W75" s="1197" t="s">
        <v>1121</v>
      </c>
      <c r="X75" s="1197"/>
      <c r="Y75" s="1197">
        <v>627</v>
      </c>
      <c r="Z75" s="1197" t="s">
        <v>1038</v>
      </c>
      <c r="AA75" s="1197"/>
      <c r="AB75" s="1202">
        <v>0</v>
      </c>
      <c r="AC75" s="1202">
        <v>0</v>
      </c>
      <c r="AD75" s="1202">
        <v>0</v>
      </c>
      <c r="AE75" s="1202">
        <v>0</v>
      </c>
      <c r="AF75" s="1202">
        <v>0</v>
      </c>
      <c r="AG75" s="1202">
        <v>0</v>
      </c>
      <c r="AH75" s="1202">
        <v>0</v>
      </c>
      <c r="AI75" s="1202">
        <v>0</v>
      </c>
      <c r="AJ75" s="1202">
        <v>0</v>
      </c>
      <c r="AK75" s="1202">
        <v>0</v>
      </c>
      <c r="AL75" s="1202">
        <v>0</v>
      </c>
      <c r="AM75" s="1202">
        <v>0</v>
      </c>
      <c r="AN75" s="1197"/>
      <c r="AO75" s="1197">
        <v>641</v>
      </c>
      <c r="AP75" s="1197" t="s">
        <v>1357</v>
      </c>
      <c r="AQ75" s="1197" t="s">
        <v>1038</v>
      </c>
      <c r="AR75" s="1201">
        <f t="shared" si="35"/>
        <v>0</v>
      </c>
      <c r="AS75" s="1198">
        <f t="shared" si="36"/>
        <v>0</v>
      </c>
      <c r="AT75" s="1198">
        <f t="shared" si="37"/>
        <v>0</v>
      </c>
      <c r="AU75" s="1201">
        <f t="shared" si="38"/>
        <v>0</v>
      </c>
      <c r="AV75" s="1198">
        <f t="shared" si="39"/>
        <v>0</v>
      </c>
      <c r="AW75" s="1198">
        <f t="shared" si="40"/>
        <v>0</v>
      </c>
      <c r="AX75" s="1198">
        <f t="shared" si="41"/>
        <v>0</v>
      </c>
      <c r="AY75" s="1198">
        <f t="shared" si="42"/>
        <v>0</v>
      </c>
      <c r="AZ75" s="1198">
        <f t="shared" si="43"/>
        <v>0</v>
      </c>
      <c r="BA75" s="1198">
        <f t="shared" si="44"/>
        <v>0</v>
      </c>
      <c r="BB75" s="1198">
        <f t="shared" si="45"/>
        <v>0</v>
      </c>
      <c r="BC75" s="1198">
        <f t="shared" si="46"/>
        <v>0</v>
      </c>
      <c r="BD75" s="1198">
        <f t="shared" si="47"/>
        <v>0</v>
      </c>
      <c r="BE75" s="1198">
        <f t="shared" si="48"/>
        <v>0</v>
      </c>
    </row>
    <row r="76" spans="2:57" x14ac:dyDescent="0.25">
      <c r="B76" s="1221">
        <v>72</v>
      </c>
      <c r="C76" s="1184" t="s">
        <v>1122</v>
      </c>
      <c r="D76" s="1182" t="s">
        <v>1122</v>
      </c>
      <c r="E76" s="1199">
        <v>42948</v>
      </c>
      <c r="F76" s="1199">
        <v>44562</v>
      </c>
      <c r="G76" s="1194">
        <v>1</v>
      </c>
      <c r="H76" s="1199">
        <v>44926</v>
      </c>
      <c r="I76" s="1183">
        <f>VLOOKUP($C76,[30]NGọc!$B$3:$J$114,8,0)</f>
        <v>182159000</v>
      </c>
      <c r="J76" s="1183">
        <v>83598951.055983946</v>
      </c>
      <c r="K76" s="1194">
        <f t="shared" si="31"/>
        <v>11</v>
      </c>
      <c r="L76" s="1194">
        <f t="shared" si="32"/>
        <v>364</v>
      </c>
      <c r="M76" s="1195">
        <f t="shared" si="33"/>
        <v>7599904.6414530864</v>
      </c>
      <c r="N76" s="1195">
        <f t="shared" si="49"/>
        <v>229667.44795599984</v>
      </c>
      <c r="O76" s="1196">
        <v>0</v>
      </c>
      <c r="P76" s="1194">
        <v>31</v>
      </c>
      <c r="Q76" s="1195">
        <f t="shared" ref="Q76:Q139" si="52">IF(O76&gt;=P76*N76,P76*N76,O76)</f>
        <v>0</v>
      </c>
      <c r="R76" s="1195">
        <f t="shared" si="50"/>
        <v>83598951.055983946</v>
      </c>
      <c r="S76" s="1195">
        <f t="shared" si="51"/>
        <v>0</v>
      </c>
      <c r="T76" s="1194"/>
      <c r="U76" s="1194" t="s">
        <v>1045</v>
      </c>
      <c r="V76" s="1201" t="s">
        <v>1043</v>
      </c>
      <c r="W76" s="1197"/>
      <c r="X76" s="1197"/>
      <c r="Y76" s="1197">
        <v>627</v>
      </c>
      <c r="Z76" s="1197" t="s">
        <v>1382</v>
      </c>
      <c r="AA76" s="1197"/>
      <c r="AB76" s="1202">
        <v>0</v>
      </c>
      <c r="AC76" s="1202">
        <v>0</v>
      </c>
      <c r="AD76" s="1202">
        <v>0</v>
      </c>
      <c r="AE76" s="1202">
        <v>0</v>
      </c>
      <c r="AF76" s="1202">
        <v>0</v>
      </c>
      <c r="AG76" s="1202">
        <v>0</v>
      </c>
      <c r="AH76" s="1202">
        <v>0</v>
      </c>
      <c r="AI76" s="1202">
        <v>0</v>
      </c>
      <c r="AJ76" s="1202">
        <v>0</v>
      </c>
      <c r="AK76" s="1202">
        <v>0</v>
      </c>
      <c r="AL76" s="1202">
        <v>0</v>
      </c>
      <c r="AM76" s="1202">
        <v>0</v>
      </c>
      <c r="AN76" s="1197"/>
      <c r="AO76" s="1197">
        <v>627</v>
      </c>
      <c r="AP76" s="1197" t="s">
        <v>732</v>
      </c>
      <c r="AQ76" s="1197" t="s">
        <v>1383</v>
      </c>
      <c r="AR76" s="1201">
        <f t="shared" si="35"/>
        <v>0</v>
      </c>
      <c r="AS76" s="1198">
        <f t="shared" si="36"/>
        <v>0</v>
      </c>
      <c r="AT76" s="1198">
        <f t="shared" si="37"/>
        <v>91198855.697437033</v>
      </c>
      <c r="AU76" s="1201">
        <f t="shared" si="38"/>
        <v>0</v>
      </c>
      <c r="AV76" s="1198">
        <f t="shared" si="39"/>
        <v>0</v>
      </c>
      <c r="AW76" s="1198">
        <f t="shared" si="40"/>
        <v>0</v>
      </c>
      <c r="AX76" s="1198">
        <f t="shared" si="41"/>
        <v>0</v>
      </c>
      <c r="AY76" s="1198">
        <f t="shared" si="42"/>
        <v>0</v>
      </c>
      <c r="AZ76" s="1198">
        <f t="shared" si="43"/>
        <v>0</v>
      </c>
      <c r="BA76" s="1198">
        <f t="shared" si="44"/>
        <v>0</v>
      </c>
      <c r="BB76" s="1198">
        <f t="shared" si="45"/>
        <v>0</v>
      </c>
      <c r="BC76" s="1198">
        <f t="shared" si="46"/>
        <v>0</v>
      </c>
      <c r="BD76" s="1198">
        <f t="shared" si="47"/>
        <v>0</v>
      </c>
      <c r="BE76" s="1198">
        <f t="shared" si="48"/>
        <v>0</v>
      </c>
    </row>
    <row r="77" spans="2:57" x14ac:dyDescent="0.25">
      <c r="B77" s="1221">
        <v>73</v>
      </c>
      <c r="C77" s="1184" t="s">
        <v>1123</v>
      </c>
      <c r="D77" s="1182" t="s">
        <v>1123</v>
      </c>
      <c r="E77" s="1199">
        <v>43009</v>
      </c>
      <c r="F77" s="1199">
        <v>44562</v>
      </c>
      <c r="G77" s="1194">
        <v>1</v>
      </c>
      <c r="H77" s="1199">
        <v>44926</v>
      </c>
      <c r="I77" s="1183">
        <f>VLOOKUP($C77,[30]NGọc!$B$3:$J$114,8,0)</f>
        <v>220000000</v>
      </c>
      <c r="J77" s="1183">
        <v>103073237.5085558</v>
      </c>
      <c r="K77" s="1194">
        <f t="shared" si="31"/>
        <v>11</v>
      </c>
      <c r="L77" s="1194">
        <f t="shared" si="32"/>
        <v>364</v>
      </c>
      <c r="M77" s="1195">
        <f t="shared" si="33"/>
        <v>9370294.318959618</v>
      </c>
      <c r="N77" s="1195">
        <f t="shared" si="49"/>
        <v>283168.23491361481</v>
      </c>
      <c r="O77" s="1196">
        <v>0</v>
      </c>
      <c r="P77" s="1194">
        <v>31</v>
      </c>
      <c r="Q77" s="1195">
        <f t="shared" si="52"/>
        <v>0</v>
      </c>
      <c r="R77" s="1195">
        <f t="shared" si="50"/>
        <v>103073237.5085558</v>
      </c>
      <c r="S77" s="1195">
        <f t="shared" si="51"/>
        <v>0</v>
      </c>
      <c r="T77" s="1194"/>
      <c r="U77" s="1194" t="s">
        <v>1095</v>
      </c>
      <c r="V77" s="1201" t="s">
        <v>1043</v>
      </c>
      <c r="W77" s="1197"/>
      <c r="X77" s="1197"/>
      <c r="Y77" s="1197">
        <v>627</v>
      </c>
      <c r="Z77" s="1197" t="s">
        <v>1048</v>
      </c>
      <c r="AA77" s="1197"/>
      <c r="AB77" s="1202">
        <v>0</v>
      </c>
      <c r="AC77" s="1202">
        <v>0</v>
      </c>
      <c r="AD77" s="1202">
        <v>0</v>
      </c>
      <c r="AE77" s="1202">
        <v>0</v>
      </c>
      <c r="AF77" s="1202">
        <v>0</v>
      </c>
      <c r="AG77" s="1202">
        <v>0</v>
      </c>
      <c r="AH77" s="1202">
        <v>0</v>
      </c>
      <c r="AI77" s="1202">
        <v>0</v>
      </c>
      <c r="AJ77" s="1202">
        <v>0</v>
      </c>
      <c r="AK77" s="1202">
        <v>0</v>
      </c>
      <c r="AL77" s="1202">
        <v>0</v>
      </c>
      <c r="AM77" s="1202">
        <v>0</v>
      </c>
      <c r="AN77" s="1197"/>
      <c r="AO77" s="1197">
        <v>627</v>
      </c>
      <c r="AP77" s="1197" t="s">
        <v>732</v>
      </c>
      <c r="AQ77" s="1197" t="s">
        <v>1383</v>
      </c>
      <c r="AR77" s="1201">
        <f t="shared" si="35"/>
        <v>0</v>
      </c>
      <c r="AS77" s="1198">
        <f t="shared" si="36"/>
        <v>0</v>
      </c>
      <c r="AT77" s="1198">
        <f t="shared" si="37"/>
        <v>112443531.82751542</v>
      </c>
      <c r="AU77" s="1201">
        <f t="shared" si="38"/>
        <v>0</v>
      </c>
      <c r="AV77" s="1198">
        <f t="shared" si="39"/>
        <v>0</v>
      </c>
      <c r="AW77" s="1198">
        <f t="shared" si="40"/>
        <v>0</v>
      </c>
      <c r="AX77" s="1198">
        <f t="shared" si="41"/>
        <v>0</v>
      </c>
      <c r="AY77" s="1198">
        <f t="shared" si="42"/>
        <v>0</v>
      </c>
      <c r="AZ77" s="1198">
        <f t="shared" si="43"/>
        <v>0</v>
      </c>
      <c r="BA77" s="1198">
        <f t="shared" si="44"/>
        <v>0</v>
      </c>
      <c r="BB77" s="1198">
        <f t="shared" si="45"/>
        <v>0</v>
      </c>
      <c r="BC77" s="1198">
        <f t="shared" si="46"/>
        <v>0</v>
      </c>
      <c r="BD77" s="1198">
        <f t="shared" si="47"/>
        <v>0</v>
      </c>
      <c r="BE77" s="1198">
        <f t="shared" si="48"/>
        <v>0</v>
      </c>
    </row>
    <row r="78" spans="2:57" x14ac:dyDescent="0.25">
      <c r="B78" s="1221">
        <v>74</v>
      </c>
      <c r="C78" s="1184" t="s">
        <v>1124</v>
      </c>
      <c r="D78" s="1182" t="s">
        <v>1124</v>
      </c>
      <c r="E78" s="1199">
        <v>42948</v>
      </c>
      <c r="F78" s="1199">
        <v>44562</v>
      </c>
      <c r="G78" s="1194">
        <v>1</v>
      </c>
      <c r="H78" s="1199">
        <v>44926</v>
      </c>
      <c r="I78" s="1183">
        <f>VLOOKUP($C78,[30]NGọc!$B$3:$J$114,8,0)</f>
        <v>445454545</v>
      </c>
      <c r="J78" s="1183">
        <v>199402650.53388077</v>
      </c>
      <c r="K78" s="1194">
        <f t="shared" si="31"/>
        <v>11</v>
      </c>
      <c r="L78" s="1194">
        <f t="shared" si="32"/>
        <v>364</v>
      </c>
      <c r="M78" s="1195">
        <f t="shared" si="33"/>
        <v>18127513.684898254</v>
      </c>
      <c r="N78" s="1195">
        <f t="shared" si="49"/>
        <v>547809.4794886834</v>
      </c>
      <c r="O78" s="1196">
        <v>0</v>
      </c>
      <c r="P78" s="1194">
        <v>31</v>
      </c>
      <c r="Q78" s="1195">
        <f t="shared" si="52"/>
        <v>0</v>
      </c>
      <c r="R78" s="1195">
        <f t="shared" si="50"/>
        <v>199402650.53388077</v>
      </c>
      <c r="S78" s="1195">
        <f t="shared" si="51"/>
        <v>0</v>
      </c>
      <c r="T78" s="1194"/>
      <c r="U78" s="1194" t="s">
        <v>1095</v>
      </c>
      <c r="V78" s="1201" t="s">
        <v>1043</v>
      </c>
      <c r="W78" s="1197"/>
      <c r="X78" s="1197"/>
      <c r="Y78" s="1197">
        <v>627</v>
      </c>
      <c r="Z78" s="1197" t="s">
        <v>1048</v>
      </c>
      <c r="AA78" s="1197"/>
      <c r="AB78" s="1202">
        <v>0</v>
      </c>
      <c r="AC78" s="1202">
        <v>0</v>
      </c>
      <c r="AD78" s="1202">
        <v>0</v>
      </c>
      <c r="AE78" s="1202">
        <v>0</v>
      </c>
      <c r="AF78" s="1202">
        <v>0</v>
      </c>
      <c r="AG78" s="1202">
        <v>0</v>
      </c>
      <c r="AH78" s="1202">
        <v>0</v>
      </c>
      <c r="AI78" s="1202">
        <v>0</v>
      </c>
      <c r="AJ78" s="1202">
        <v>0</v>
      </c>
      <c r="AK78" s="1202">
        <v>0</v>
      </c>
      <c r="AL78" s="1202">
        <v>0</v>
      </c>
      <c r="AM78" s="1202">
        <v>0</v>
      </c>
      <c r="AN78" s="1197"/>
      <c r="AO78" s="1197">
        <v>627</v>
      </c>
      <c r="AP78" s="1197" t="s">
        <v>732</v>
      </c>
      <c r="AQ78" s="1197" t="s">
        <v>1383</v>
      </c>
      <c r="AR78" s="1201">
        <f t="shared" si="35"/>
        <v>0</v>
      </c>
      <c r="AS78" s="1198">
        <f t="shared" si="36"/>
        <v>0</v>
      </c>
      <c r="AT78" s="1198">
        <f t="shared" si="37"/>
        <v>217530164.21877903</v>
      </c>
      <c r="AU78" s="1201">
        <f t="shared" si="38"/>
        <v>0</v>
      </c>
      <c r="AV78" s="1198">
        <f t="shared" si="39"/>
        <v>0</v>
      </c>
      <c r="AW78" s="1198">
        <f t="shared" si="40"/>
        <v>0</v>
      </c>
      <c r="AX78" s="1198">
        <f t="shared" si="41"/>
        <v>0</v>
      </c>
      <c r="AY78" s="1198">
        <f t="shared" si="42"/>
        <v>0</v>
      </c>
      <c r="AZ78" s="1198">
        <f t="shared" si="43"/>
        <v>0</v>
      </c>
      <c r="BA78" s="1198">
        <f t="shared" si="44"/>
        <v>0</v>
      </c>
      <c r="BB78" s="1198">
        <f t="shared" si="45"/>
        <v>0</v>
      </c>
      <c r="BC78" s="1198">
        <f t="shared" si="46"/>
        <v>0</v>
      </c>
      <c r="BD78" s="1198">
        <f t="shared" si="47"/>
        <v>0</v>
      </c>
      <c r="BE78" s="1198">
        <f t="shared" si="48"/>
        <v>0</v>
      </c>
    </row>
    <row r="79" spans="2:57" x14ac:dyDescent="0.25">
      <c r="B79" s="1221">
        <v>75</v>
      </c>
      <c r="C79" s="1184" t="s">
        <v>1125</v>
      </c>
      <c r="D79" s="1182" t="s">
        <v>1125</v>
      </c>
      <c r="E79" s="1199">
        <v>43545</v>
      </c>
      <c r="F79" s="1199">
        <v>44562</v>
      </c>
      <c r="G79" s="1194">
        <v>1</v>
      </c>
      <c r="H79" s="1199">
        <v>45657</v>
      </c>
      <c r="I79" s="1183">
        <f>VLOOKUP($C79,[30]NGọc!$B$3:$J$114,8,0)</f>
        <v>255000000</v>
      </c>
      <c r="J79" s="1183">
        <v>166247433.26488706</v>
      </c>
      <c r="K79" s="1194">
        <f t="shared" si="31"/>
        <v>35</v>
      </c>
      <c r="L79" s="1194">
        <f t="shared" si="32"/>
        <v>1095</v>
      </c>
      <c r="M79" s="1195">
        <f t="shared" si="33"/>
        <v>4749926.6647110591</v>
      </c>
      <c r="N79" s="1195">
        <f t="shared" si="49"/>
        <v>151824.13996793338</v>
      </c>
      <c r="O79" s="1196">
        <v>60122359.427301645</v>
      </c>
      <c r="P79" s="1194">
        <v>31</v>
      </c>
      <c r="Q79" s="1195">
        <f t="shared" si="52"/>
        <v>4706548.339005935</v>
      </c>
      <c r="R79" s="1195">
        <f t="shared" si="50"/>
        <v>110831622.17659135</v>
      </c>
      <c r="S79" s="1195">
        <f t="shared" si="51"/>
        <v>55415811.088295713</v>
      </c>
      <c r="T79" s="1194"/>
      <c r="U79" s="1194" t="s">
        <v>1047</v>
      </c>
      <c r="V79" s="1201" t="s">
        <v>1043</v>
      </c>
      <c r="W79" s="1197"/>
      <c r="X79" s="1197"/>
      <c r="Y79" s="1197">
        <v>627</v>
      </c>
      <c r="Z79" s="1197" t="s">
        <v>809</v>
      </c>
      <c r="AA79" s="1197"/>
      <c r="AB79" s="1202">
        <v>4706548.339005935</v>
      </c>
      <c r="AC79" s="1202">
        <v>4251075.9191021351</v>
      </c>
      <c r="AD79" s="1202">
        <v>4706548.339005935</v>
      </c>
      <c r="AE79" s="1202">
        <v>4554724.1990380017</v>
      </c>
      <c r="AF79" s="1202">
        <v>4706548.339005935</v>
      </c>
      <c r="AG79" s="1202">
        <v>4554724.1990380017</v>
      </c>
      <c r="AH79" s="1202">
        <v>4706548.339005935</v>
      </c>
      <c r="AI79" s="1202">
        <v>4706548.339005935</v>
      </c>
      <c r="AJ79" s="1202">
        <v>4554724.1990380017</v>
      </c>
      <c r="AK79" s="1202">
        <v>4706548.339005935</v>
      </c>
      <c r="AL79" s="1202">
        <v>4554724.1990380017</v>
      </c>
      <c r="AM79" s="1202">
        <v>4706548.339005935</v>
      </c>
      <c r="AN79" s="1197"/>
      <c r="AO79" s="1197">
        <v>627</v>
      </c>
      <c r="AP79" s="1197" t="s">
        <v>732</v>
      </c>
      <c r="AQ79" s="1197" t="s">
        <v>1383</v>
      </c>
      <c r="AR79" s="1201">
        <f t="shared" si="35"/>
        <v>0</v>
      </c>
      <c r="AS79" s="1198">
        <f t="shared" si="36"/>
        <v>55415811.088295713</v>
      </c>
      <c r="AT79" s="1198">
        <f t="shared" si="37"/>
        <v>56999119.976532713</v>
      </c>
      <c r="AU79" s="1201">
        <f t="shared" si="38"/>
        <v>55415811.088295676</v>
      </c>
      <c r="AV79" s="1198">
        <f t="shared" si="39"/>
        <v>55415811.088295713</v>
      </c>
      <c r="AW79" s="1198">
        <f t="shared" si="40"/>
        <v>0</v>
      </c>
      <c r="AX79" s="1198">
        <f t="shared" si="41"/>
        <v>0</v>
      </c>
      <c r="AY79" s="1198">
        <f t="shared" si="42"/>
        <v>0</v>
      </c>
      <c r="AZ79" s="1198">
        <f t="shared" si="43"/>
        <v>0</v>
      </c>
      <c r="BA79" s="1198">
        <f t="shared" si="44"/>
        <v>0</v>
      </c>
      <c r="BB79" s="1198">
        <f t="shared" si="45"/>
        <v>0</v>
      </c>
      <c r="BC79" s="1198">
        <f t="shared" si="46"/>
        <v>0</v>
      </c>
      <c r="BD79" s="1198">
        <f t="shared" si="47"/>
        <v>0</v>
      </c>
      <c r="BE79" s="1198">
        <f t="shared" si="48"/>
        <v>0</v>
      </c>
    </row>
    <row r="80" spans="2:57" ht="31.5" x14ac:dyDescent="0.25">
      <c r="B80" s="1221">
        <v>76</v>
      </c>
      <c r="C80" s="1184" t="s">
        <v>1126</v>
      </c>
      <c r="D80" s="1182" t="s">
        <v>1126</v>
      </c>
      <c r="E80" s="1199">
        <v>42948</v>
      </c>
      <c r="F80" s="1199">
        <v>44562</v>
      </c>
      <c r="G80" s="1194">
        <v>1</v>
      </c>
      <c r="H80" s="1199">
        <v>45870</v>
      </c>
      <c r="I80" s="1183">
        <f>VLOOKUP($C80,[30]NGọc!$B$3:$J$114,8,0)</f>
        <v>176000000</v>
      </c>
      <c r="J80" s="1183">
        <v>78784394.25051333</v>
      </c>
      <c r="K80" s="1194">
        <f t="shared" si="31"/>
        <v>43</v>
      </c>
      <c r="L80" s="1194">
        <f t="shared" si="32"/>
        <v>1308</v>
      </c>
      <c r="M80" s="1195">
        <f t="shared" si="33"/>
        <v>1832195.2151282169</v>
      </c>
      <c r="N80" s="1195">
        <f t="shared" si="49"/>
        <v>60232.717316906215</v>
      </c>
      <c r="O80" s="1196">
        <v>36681724.845995858</v>
      </c>
      <c r="P80" s="1194">
        <v>31</v>
      </c>
      <c r="Q80" s="1195">
        <f t="shared" si="52"/>
        <v>1867214.2368240927</v>
      </c>
      <c r="R80" s="1195">
        <f t="shared" si="50"/>
        <v>43969883.641341567</v>
      </c>
      <c r="S80" s="1195">
        <f t="shared" si="51"/>
        <v>34814510.609171763</v>
      </c>
      <c r="T80" s="1194"/>
      <c r="U80" s="1194" t="s">
        <v>1095</v>
      </c>
      <c r="V80" s="1201" t="s">
        <v>1043</v>
      </c>
      <c r="W80" s="1197"/>
      <c r="X80" s="1197"/>
      <c r="Y80" s="1197">
        <v>627</v>
      </c>
      <c r="Z80" s="1197" t="s">
        <v>1048</v>
      </c>
      <c r="AA80" s="1197"/>
      <c r="AB80" s="1202">
        <v>1867214.2368240927</v>
      </c>
      <c r="AC80" s="1202">
        <v>1686516.0848733741</v>
      </c>
      <c r="AD80" s="1202">
        <v>1867214.2368240927</v>
      </c>
      <c r="AE80" s="1202">
        <v>1806981.5195071865</v>
      </c>
      <c r="AF80" s="1202">
        <v>1867214.2368240927</v>
      </c>
      <c r="AG80" s="1202">
        <v>1806981.5195071865</v>
      </c>
      <c r="AH80" s="1202">
        <v>1867214.2368240927</v>
      </c>
      <c r="AI80" s="1202">
        <v>1867214.2368240927</v>
      </c>
      <c r="AJ80" s="1202">
        <v>1806981.5195071865</v>
      </c>
      <c r="AK80" s="1202">
        <v>1867214.2368240927</v>
      </c>
      <c r="AL80" s="1202">
        <v>1806981.5195071865</v>
      </c>
      <c r="AM80" s="1202">
        <v>1867214.2368240927</v>
      </c>
      <c r="AN80" s="1197"/>
      <c r="AO80" s="1197">
        <v>627</v>
      </c>
      <c r="AP80" s="1197" t="s">
        <v>732</v>
      </c>
      <c r="AQ80" s="1197" t="s">
        <v>1383</v>
      </c>
      <c r="AR80" s="1201">
        <f t="shared" si="35"/>
        <v>0</v>
      </c>
      <c r="AS80" s="1198">
        <f t="shared" si="36"/>
        <v>34814510.609171763</v>
      </c>
      <c r="AT80" s="1198">
        <f t="shared" si="37"/>
        <v>21986342.581538603</v>
      </c>
      <c r="AU80" s="1201">
        <f t="shared" si="38"/>
        <v>21984941.820670772</v>
      </c>
      <c r="AV80" s="1198">
        <f t="shared" si="39"/>
        <v>21986342.581538603</v>
      </c>
      <c r="AW80" s="1198">
        <f t="shared" si="40"/>
        <v>12828168.02763316</v>
      </c>
      <c r="AX80" s="1198">
        <f t="shared" si="41"/>
        <v>0</v>
      </c>
      <c r="AY80" s="1198">
        <f t="shared" si="42"/>
        <v>0</v>
      </c>
      <c r="AZ80" s="1198">
        <f t="shared" si="43"/>
        <v>0</v>
      </c>
      <c r="BA80" s="1198">
        <f t="shared" si="44"/>
        <v>0</v>
      </c>
      <c r="BB80" s="1198">
        <f t="shared" si="45"/>
        <v>0</v>
      </c>
      <c r="BC80" s="1198">
        <f t="shared" si="46"/>
        <v>0</v>
      </c>
      <c r="BD80" s="1198">
        <f t="shared" si="47"/>
        <v>0</v>
      </c>
      <c r="BE80" s="1198">
        <f t="shared" si="48"/>
        <v>0</v>
      </c>
    </row>
    <row r="81" spans="2:57" x14ac:dyDescent="0.25">
      <c r="B81" s="1221">
        <v>77</v>
      </c>
      <c r="C81" s="1185" t="s">
        <v>1127</v>
      </c>
      <c r="D81" s="1182" t="s">
        <v>1127</v>
      </c>
      <c r="E81" s="1199">
        <v>43941</v>
      </c>
      <c r="F81" s="1199">
        <v>44562</v>
      </c>
      <c r="G81" s="1194">
        <v>1</v>
      </c>
      <c r="H81" s="1199">
        <v>46022</v>
      </c>
      <c r="I81" s="1183">
        <v>500000000</v>
      </c>
      <c r="J81" s="1183">
        <v>393737166.32443523</v>
      </c>
      <c r="K81" s="1194">
        <f t="shared" si="31"/>
        <v>47</v>
      </c>
      <c r="L81" s="1194">
        <f t="shared" si="32"/>
        <v>1460</v>
      </c>
      <c r="M81" s="1195">
        <f t="shared" si="33"/>
        <v>8377386.5175411748</v>
      </c>
      <c r="N81" s="1195">
        <f t="shared" si="49"/>
        <v>269682.99063317484</v>
      </c>
      <c r="O81" s="1196">
        <v>205228755.87184608</v>
      </c>
      <c r="P81" s="1194">
        <v>31</v>
      </c>
      <c r="Q81" s="1195">
        <f t="shared" si="52"/>
        <v>8360172.70962842</v>
      </c>
      <c r="R81" s="1195">
        <f t="shared" si="50"/>
        <v>196868583.16221759</v>
      </c>
      <c r="S81" s="1195">
        <f t="shared" si="51"/>
        <v>196868583.16221765</v>
      </c>
      <c r="T81" s="1194"/>
      <c r="U81" s="1194" t="s">
        <v>1047</v>
      </c>
      <c r="V81" s="1201" t="s">
        <v>1043</v>
      </c>
      <c r="W81" s="1197"/>
      <c r="X81" s="1197"/>
      <c r="Y81" s="1197">
        <v>627</v>
      </c>
      <c r="Z81" s="1197" t="s">
        <v>809</v>
      </c>
      <c r="AA81" s="1197"/>
      <c r="AB81" s="1202">
        <v>8360172.70962842</v>
      </c>
      <c r="AC81" s="1202">
        <v>7551123.7377288956</v>
      </c>
      <c r="AD81" s="1202">
        <v>8360172.70962842</v>
      </c>
      <c r="AE81" s="1202">
        <v>8090489.7189952452</v>
      </c>
      <c r="AF81" s="1202">
        <v>8360172.70962842</v>
      </c>
      <c r="AG81" s="1202">
        <v>8090489.7189952452</v>
      </c>
      <c r="AH81" s="1202">
        <v>8360172.70962842</v>
      </c>
      <c r="AI81" s="1202">
        <v>8360172.70962842</v>
      </c>
      <c r="AJ81" s="1202">
        <v>8090489.7189952452</v>
      </c>
      <c r="AK81" s="1202">
        <v>8360172.70962842</v>
      </c>
      <c r="AL81" s="1202">
        <v>8090489.7189952452</v>
      </c>
      <c r="AM81" s="1202">
        <v>8360172.70962842</v>
      </c>
      <c r="AN81" s="1197"/>
      <c r="AO81" s="1197">
        <v>627</v>
      </c>
      <c r="AP81" s="1197" t="s">
        <v>732</v>
      </c>
      <c r="AQ81" s="1204" t="s">
        <v>1048</v>
      </c>
      <c r="AR81" s="1201">
        <f t="shared" si="35"/>
        <v>0</v>
      </c>
      <c r="AS81" s="1198">
        <f t="shared" si="36"/>
        <v>196868583.16221765</v>
      </c>
      <c r="AT81" s="1198">
        <f t="shared" si="37"/>
        <v>100528638.2104941</v>
      </c>
      <c r="AU81" s="1201">
        <f t="shared" si="38"/>
        <v>98434291.581108809</v>
      </c>
      <c r="AV81" s="1198">
        <f t="shared" si="39"/>
        <v>100528638.2104941</v>
      </c>
      <c r="AW81" s="1198">
        <f t="shared" si="40"/>
        <v>96339944.951723546</v>
      </c>
      <c r="AX81" s="1198">
        <f t="shared" si="41"/>
        <v>0</v>
      </c>
      <c r="AY81" s="1198">
        <f t="shared" si="42"/>
        <v>0</v>
      </c>
      <c r="AZ81" s="1198">
        <f t="shared" si="43"/>
        <v>0</v>
      </c>
      <c r="BA81" s="1198">
        <f t="shared" si="44"/>
        <v>0</v>
      </c>
      <c r="BB81" s="1198">
        <f t="shared" si="45"/>
        <v>0</v>
      </c>
      <c r="BC81" s="1198">
        <f t="shared" si="46"/>
        <v>0</v>
      </c>
      <c r="BD81" s="1198">
        <f t="shared" si="47"/>
        <v>0</v>
      </c>
      <c r="BE81" s="1198">
        <f t="shared" si="48"/>
        <v>0</v>
      </c>
    </row>
    <row r="82" spans="2:57" x14ac:dyDescent="0.25">
      <c r="B82" s="1221">
        <v>78</v>
      </c>
      <c r="C82" s="1181" t="s">
        <v>1128</v>
      </c>
      <c r="D82" s="1182" t="s">
        <v>1335</v>
      </c>
      <c r="E82" s="1199">
        <v>43941</v>
      </c>
      <c r="F82" s="1199">
        <v>44562</v>
      </c>
      <c r="G82" s="1194">
        <v>1</v>
      </c>
      <c r="H82" s="1199">
        <v>46022</v>
      </c>
      <c r="I82" s="1183">
        <v>500000000</v>
      </c>
      <c r="J82" s="1183">
        <v>393737166.32443523</v>
      </c>
      <c r="K82" s="1194">
        <f t="shared" si="31"/>
        <v>47</v>
      </c>
      <c r="L82" s="1194">
        <f t="shared" si="32"/>
        <v>1460</v>
      </c>
      <c r="M82" s="1195">
        <f t="shared" si="33"/>
        <v>8377386.5175411748</v>
      </c>
      <c r="N82" s="1195">
        <f t="shared" si="49"/>
        <v>269682.99063317484</v>
      </c>
      <c r="O82" s="1196">
        <v>205228755.87184608</v>
      </c>
      <c r="P82" s="1194">
        <v>31</v>
      </c>
      <c r="Q82" s="1195">
        <f t="shared" si="52"/>
        <v>8360172.70962842</v>
      </c>
      <c r="R82" s="1195">
        <f t="shared" si="50"/>
        <v>196868583.16221759</v>
      </c>
      <c r="S82" s="1195">
        <f t="shared" si="51"/>
        <v>196868583.16221765</v>
      </c>
      <c r="T82" s="1194"/>
      <c r="U82" s="1194" t="s">
        <v>1095</v>
      </c>
      <c r="V82" s="1201" t="s">
        <v>1043</v>
      </c>
      <c r="W82" s="1197"/>
      <c r="X82" s="1197"/>
      <c r="Y82" s="1197">
        <v>627</v>
      </c>
      <c r="Z82" s="1197" t="s">
        <v>809</v>
      </c>
      <c r="AA82" s="1197"/>
      <c r="AB82" s="1202">
        <v>8360172.70962842</v>
      </c>
      <c r="AC82" s="1202">
        <v>7551123.7377288956</v>
      </c>
      <c r="AD82" s="1202">
        <v>8360172.70962842</v>
      </c>
      <c r="AE82" s="1202">
        <v>8090489.7189952452</v>
      </c>
      <c r="AF82" s="1202">
        <v>8360172.70962842</v>
      </c>
      <c r="AG82" s="1202">
        <v>8090489.7189952452</v>
      </c>
      <c r="AH82" s="1202">
        <v>8360172.70962842</v>
      </c>
      <c r="AI82" s="1202">
        <v>8360172.70962842</v>
      </c>
      <c r="AJ82" s="1202">
        <v>8090489.7189952452</v>
      </c>
      <c r="AK82" s="1202">
        <v>8360172.70962842</v>
      </c>
      <c r="AL82" s="1202">
        <v>8090489.7189952452</v>
      </c>
      <c r="AM82" s="1202">
        <v>8360172.70962842</v>
      </c>
      <c r="AN82" s="1197"/>
      <c r="AO82" s="1197">
        <v>641</v>
      </c>
      <c r="AP82" s="1197" t="s">
        <v>1357</v>
      </c>
      <c r="AQ82" s="1253" t="s">
        <v>809</v>
      </c>
      <c r="AR82" s="1201">
        <f t="shared" si="35"/>
        <v>0</v>
      </c>
      <c r="AS82" s="1198">
        <f t="shared" si="36"/>
        <v>196868583.16221765</v>
      </c>
      <c r="AT82" s="1198">
        <f t="shared" si="37"/>
        <v>100528638.2104941</v>
      </c>
      <c r="AU82" s="1201">
        <f t="shared" si="38"/>
        <v>98434291.581108809</v>
      </c>
      <c r="AV82" s="1198">
        <f t="shared" si="39"/>
        <v>100528638.2104941</v>
      </c>
      <c r="AW82" s="1198">
        <f t="shared" si="40"/>
        <v>96339944.951723546</v>
      </c>
      <c r="AX82" s="1198">
        <f t="shared" si="41"/>
        <v>0</v>
      </c>
      <c r="AY82" s="1198">
        <f t="shared" si="42"/>
        <v>0</v>
      </c>
      <c r="AZ82" s="1198">
        <f t="shared" si="43"/>
        <v>0</v>
      </c>
      <c r="BA82" s="1198">
        <f t="shared" si="44"/>
        <v>0</v>
      </c>
      <c r="BB82" s="1198">
        <f t="shared" si="45"/>
        <v>0</v>
      </c>
      <c r="BC82" s="1198">
        <f t="shared" si="46"/>
        <v>0</v>
      </c>
      <c r="BD82" s="1198">
        <f t="shared" si="47"/>
        <v>0</v>
      </c>
      <c r="BE82" s="1198">
        <f t="shared" si="48"/>
        <v>0</v>
      </c>
    </row>
    <row r="83" spans="2:57" x14ac:dyDescent="0.25">
      <c r="B83" s="1221">
        <v>79</v>
      </c>
      <c r="C83" s="1181" t="s">
        <v>1129</v>
      </c>
      <c r="D83" s="1182" t="s">
        <v>1335</v>
      </c>
      <c r="E83" s="1199">
        <v>43941</v>
      </c>
      <c r="F83" s="1199">
        <v>44562</v>
      </c>
      <c r="G83" s="1194">
        <v>1</v>
      </c>
      <c r="H83" s="1199">
        <v>46022</v>
      </c>
      <c r="I83" s="1183">
        <v>500000000</v>
      </c>
      <c r="J83" s="1183">
        <v>393737166.32443523</v>
      </c>
      <c r="K83" s="1194">
        <f t="shared" si="31"/>
        <v>47</v>
      </c>
      <c r="L83" s="1194">
        <f t="shared" si="32"/>
        <v>1460</v>
      </c>
      <c r="M83" s="1195">
        <f t="shared" si="33"/>
        <v>8377386.5175411748</v>
      </c>
      <c r="N83" s="1195">
        <f t="shared" si="49"/>
        <v>269682.99063317484</v>
      </c>
      <c r="O83" s="1196">
        <v>205228755.87184608</v>
      </c>
      <c r="P83" s="1194">
        <v>31</v>
      </c>
      <c r="Q83" s="1195">
        <f t="shared" si="52"/>
        <v>8360172.70962842</v>
      </c>
      <c r="R83" s="1195">
        <f t="shared" si="50"/>
        <v>196868583.16221759</v>
      </c>
      <c r="S83" s="1195">
        <f t="shared" si="51"/>
        <v>196868583.16221765</v>
      </c>
      <c r="T83" s="1194"/>
      <c r="U83" s="1194" t="s">
        <v>1095</v>
      </c>
      <c r="V83" s="1201" t="s">
        <v>1043</v>
      </c>
      <c r="W83" s="1197"/>
      <c r="X83" s="1197"/>
      <c r="Y83" s="1197">
        <v>627</v>
      </c>
      <c r="Z83" s="1197" t="s">
        <v>809</v>
      </c>
      <c r="AA83" s="1197"/>
      <c r="AB83" s="1202">
        <v>8360172.70962842</v>
      </c>
      <c r="AC83" s="1202">
        <v>7551123.7377288956</v>
      </c>
      <c r="AD83" s="1202">
        <v>8360172.70962842</v>
      </c>
      <c r="AE83" s="1202">
        <v>8090489.7189952452</v>
      </c>
      <c r="AF83" s="1202">
        <v>8360172.70962842</v>
      </c>
      <c r="AG83" s="1202">
        <v>8090489.7189952452</v>
      </c>
      <c r="AH83" s="1202">
        <v>8360172.70962842</v>
      </c>
      <c r="AI83" s="1202">
        <v>8360172.70962842</v>
      </c>
      <c r="AJ83" s="1202">
        <v>8090489.7189952452</v>
      </c>
      <c r="AK83" s="1202">
        <v>8360172.70962842</v>
      </c>
      <c r="AL83" s="1202">
        <v>8090489.7189952452</v>
      </c>
      <c r="AM83" s="1202">
        <v>8360172.70962842</v>
      </c>
      <c r="AN83" s="1197"/>
      <c r="AO83" s="1197">
        <v>641</v>
      </c>
      <c r="AP83" s="1197" t="s">
        <v>1357</v>
      </c>
      <c r="AQ83" s="1253" t="s">
        <v>809</v>
      </c>
      <c r="AR83" s="1201">
        <f t="shared" si="35"/>
        <v>0</v>
      </c>
      <c r="AS83" s="1198">
        <f t="shared" si="36"/>
        <v>196868583.16221765</v>
      </c>
      <c r="AT83" s="1198">
        <f t="shared" si="37"/>
        <v>100528638.2104941</v>
      </c>
      <c r="AU83" s="1201">
        <f t="shared" si="38"/>
        <v>98434291.581108809</v>
      </c>
      <c r="AV83" s="1198">
        <f t="shared" si="39"/>
        <v>100528638.2104941</v>
      </c>
      <c r="AW83" s="1198">
        <f t="shared" si="40"/>
        <v>96339944.951723546</v>
      </c>
      <c r="AX83" s="1198">
        <f t="shared" si="41"/>
        <v>0</v>
      </c>
      <c r="AY83" s="1198">
        <f t="shared" si="42"/>
        <v>0</v>
      </c>
      <c r="AZ83" s="1198">
        <f t="shared" si="43"/>
        <v>0</v>
      </c>
      <c r="BA83" s="1198">
        <f t="shared" si="44"/>
        <v>0</v>
      </c>
      <c r="BB83" s="1198">
        <f t="shared" si="45"/>
        <v>0</v>
      </c>
      <c r="BC83" s="1198">
        <f t="shared" si="46"/>
        <v>0</v>
      </c>
      <c r="BD83" s="1198">
        <f t="shared" si="47"/>
        <v>0</v>
      </c>
      <c r="BE83" s="1198">
        <f t="shared" si="48"/>
        <v>0</v>
      </c>
    </row>
    <row r="84" spans="2:57" x14ac:dyDescent="0.25">
      <c r="B84" s="1221">
        <v>80</v>
      </c>
      <c r="C84" s="1181" t="s">
        <v>1130</v>
      </c>
      <c r="D84" s="1182" t="s">
        <v>1335</v>
      </c>
      <c r="E84" s="1199">
        <v>43941</v>
      </c>
      <c r="F84" s="1199">
        <v>44562</v>
      </c>
      <c r="G84" s="1194">
        <v>1</v>
      </c>
      <c r="H84" s="1199">
        <v>46022</v>
      </c>
      <c r="I84" s="1183">
        <v>500000000</v>
      </c>
      <c r="J84" s="1183">
        <v>393737166.32443523</v>
      </c>
      <c r="K84" s="1194">
        <f t="shared" si="31"/>
        <v>47</v>
      </c>
      <c r="L84" s="1194">
        <f t="shared" si="32"/>
        <v>1460</v>
      </c>
      <c r="M84" s="1195">
        <f t="shared" si="33"/>
        <v>8377386.5175411748</v>
      </c>
      <c r="N84" s="1195">
        <f t="shared" si="49"/>
        <v>269682.99063317484</v>
      </c>
      <c r="O84" s="1196">
        <v>205228755.87184608</v>
      </c>
      <c r="P84" s="1194">
        <v>31</v>
      </c>
      <c r="Q84" s="1195">
        <f t="shared" si="52"/>
        <v>8360172.70962842</v>
      </c>
      <c r="R84" s="1195">
        <f t="shared" si="50"/>
        <v>196868583.16221759</v>
      </c>
      <c r="S84" s="1195">
        <f t="shared" si="51"/>
        <v>196868583.16221765</v>
      </c>
      <c r="T84" s="1194">
        <v>5</v>
      </c>
      <c r="U84" s="1194" t="s">
        <v>1047</v>
      </c>
      <c r="V84" s="1201" t="s">
        <v>1043</v>
      </c>
      <c r="W84" s="1197"/>
      <c r="X84" s="1197"/>
      <c r="Y84" s="1197">
        <v>627</v>
      </c>
      <c r="Z84" s="1197" t="s">
        <v>809</v>
      </c>
      <c r="AA84" s="1197"/>
      <c r="AB84" s="1202">
        <v>8360172.70962842</v>
      </c>
      <c r="AC84" s="1202">
        <v>7551123.7377288956</v>
      </c>
      <c r="AD84" s="1202">
        <v>8360172.70962842</v>
      </c>
      <c r="AE84" s="1202">
        <v>8090489.7189952452</v>
      </c>
      <c r="AF84" s="1202">
        <v>8360172.70962842</v>
      </c>
      <c r="AG84" s="1202">
        <v>8090489.7189952452</v>
      </c>
      <c r="AH84" s="1202">
        <v>8360172.70962842</v>
      </c>
      <c r="AI84" s="1202">
        <v>8360172.70962842</v>
      </c>
      <c r="AJ84" s="1202">
        <v>8090489.7189952452</v>
      </c>
      <c r="AK84" s="1202">
        <v>8360172.70962842</v>
      </c>
      <c r="AL84" s="1202">
        <v>8090489.7189952452</v>
      </c>
      <c r="AM84" s="1202">
        <v>8360172.70962842</v>
      </c>
      <c r="AN84" s="1197"/>
      <c r="AO84" s="1197">
        <v>641</v>
      </c>
      <c r="AP84" s="1197" t="s">
        <v>1357</v>
      </c>
      <c r="AQ84" s="1253" t="s">
        <v>809</v>
      </c>
      <c r="AR84" s="1201">
        <f t="shared" si="35"/>
        <v>0</v>
      </c>
      <c r="AS84" s="1198">
        <f t="shared" si="36"/>
        <v>196868583.16221765</v>
      </c>
      <c r="AT84" s="1198">
        <f t="shared" si="37"/>
        <v>100528638.2104941</v>
      </c>
      <c r="AU84" s="1201">
        <f t="shared" si="38"/>
        <v>98434291.581108809</v>
      </c>
      <c r="AV84" s="1198">
        <f t="shared" si="39"/>
        <v>100528638.2104941</v>
      </c>
      <c r="AW84" s="1198">
        <f t="shared" si="40"/>
        <v>96339944.951723546</v>
      </c>
      <c r="AX84" s="1198">
        <f t="shared" si="41"/>
        <v>0</v>
      </c>
      <c r="AY84" s="1198">
        <f t="shared" si="42"/>
        <v>0</v>
      </c>
      <c r="AZ84" s="1198">
        <f t="shared" si="43"/>
        <v>0</v>
      </c>
      <c r="BA84" s="1198">
        <f t="shared" si="44"/>
        <v>0</v>
      </c>
      <c r="BB84" s="1198">
        <f t="shared" si="45"/>
        <v>0</v>
      </c>
      <c r="BC84" s="1198">
        <f t="shared" si="46"/>
        <v>0</v>
      </c>
      <c r="BD84" s="1198">
        <f t="shared" si="47"/>
        <v>0</v>
      </c>
      <c r="BE84" s="1198">
        <f t="shared" si="48"/>
        <v>0</v>
      </c>
    </row>
    <row r="85" spans="2:57" x14ac:dyDescent="0.25">
      <c r="B85" s="1221">
        <v>81</v>
      </c>
      <c r="C85" s="1181" t="s">
        <v>1131</v>
      </c>
      <c r="D85" s="1182" t="s">
        <v>1337</v>
      </c>
      <c r="E85" s="1199">
        <v>43941</v>
      </c>
      <c r="F85" s="1199">
        <v>44562</v>
      </c>
      <c r="G85" s="1194">
        <v>1</v>
      </c>
      <c r="H85" s="1199">
        <v>46022</v>
      </c>
      <c r="I85" s="1183">
        <v>500000000</v>
      </c>
      <c r="J85" s="1183">
        <v>393737166.32443523</v>
      </c>
      <c r="K85" s="1194">
        <f t="shared" si="31"/>
        <v>47</v>
      </c>
      <c r="L85" s="1194">
        <f t="shared" si="32"/>
        <v>1460</v>
      </c>
      <c r="M85" s="1195">
        <f t="shared" si="33"/>
        <v>8377386.5175411748</v>
      </c>
      <c r="N85" s="1195">
        <f t="shared" si="49"/>
        <v>269682.99063317484</v>
      </c>
      <c r="O85" s="1196">
        <v>205228755.87184608</v>
      </c>
      <c r="P85" s="1194">
        <v>31</v>
      </c>
      <c r="Q85" s="1195">
        <f t="shared" si="52"/>
        <v>8360172.70962842</v>
      </c>
      <c r="R85" s="1195">
        <f t="shared" si="50"/>
        <v>196868583.16221759</v>
      </c>
      <c r="S85" s="1195">
        <f t="shared" si="51"/>
        <v>196868583.16221765</v>
      </c>
      <c r="T85" s="1194"/>
      <c r="U85" s="1194" t="s">
        <v>1047</v>
      </c>
      <c r="V85" s="1201" t="s">
        <v>1043</v>
      </c>
      <c r="W85" s="1197"/>
      <c r="X85" s="1197">
        <v>4663</v>
      </c>
      <c r="Y85" s="1197">
        <v>627</v>
      </c>
      <c r="Z85" s="1197" t="s">
        <v>809</v>
      </c>
      <c r="AA85" s="1197"/>
      <c r="AB85" s="1202">
        <v>8360172.70962842</v>
      </c>
      <c r="AC85" s="1202">
        <v>7551123.7377288956</v>
      </c>
      <c r="AD85" s="1202">
        <v>8360172.70962842</v>
      </c>
      <c r="AE85" s="1202">
        <v>8090489.7189952452</v>
      </c>
      <c r="AF85" s="1202">
        <v>8360172.70962842</v>
      </c>
      <c r="AG85" s="1202">
        <v>8090489.7189952452</v>
      </c>
      <c r="AH85" s="1202">
        <v>8360172.70962842</v>
      </c>
      <c r="AI85" s="1202">
        <v>8360172.70962842</v>
      </c>
      <c r="AJ85" s="1202">
        <v>8090489.7189952452</v>
      </c>
      <c r="AK85" s="1202">
        <v>8360172.70962842</v>
      </c>
      <c r="AL85" s="1202">
        <v>8090489.7189952452</v>
      </c>
      <c r="AM85" s="1202">
        <v>8360172.70962842</v>
      </c>
      <c r="AN85" s="1197"/>
      <c r="AO85" s="1197">
        <v>641</v>
      </c>
      <c r="AP85" s="1197" t="s">
        <v>1357</v>
      </c>
      <c r="AQ85" s="1253" t="s">
        <v>809</v>
      </c>
      <c r="AR85" s="1201">
        <f t="shared" si="35"/>
        <v>0</v>
      </c>
      <c r="AS85" s="1198">
        <f t="shared" si="36"/>
        <v>196868583.16221765</v>
      </c>
      <c r="AT85" s="1198">
        <f t="shared" si="37"/>
        <v>100528638.2104941</v>
      </c>
      <c r="AU85" s="1201">
        <f t="shared" si="38"/>
        <v>98434291.581108809</v>
      </c>
      <c r="AV85" s="1198">
        <f t="shared" si="39"/>
        <v>100528638.2104941</v>
      </c>
      <c r="AW85" s="1198">
        <f t="shared" si="40"/>
        <v>96339944.951723546</v>
      </c>
      <c r="AX85" s="1198">
        <f t="shared" si="41"/>
        <v>0</v>
      </c>
      <c r="AY85" s="1198">
        <f t="shared" si="42"/>
        <v>0</v>
      </c>
      <c r="AZ85" s="1198">
        <f t="shared" si="43"/>
        <v>0</v>
      </c>
      <c r="BA85" s="1198">
        <f t="shared" si="44"/>
        <v>0</v>
      </c>
      <c r="BB85" s="1198">
        <f t="shared" si="45"/>
        <v>0</v>
      </c>
      <c r="BC85" s="1198">
        <f t="shared" si="46"/>
        <v>0</v>
      </c>
      <c r="BD85" s="1198">
        <f t="shared" si="47"/>
        <v>0</v>
      </c>
      <c r="BE85" s="1198">
        <f t="shared" si="48"/>
        <v>0</v>
      </c>
    </row>
    <row r="86" spans="2:57" x14ac:dyDescent="0.25">
      <c r="B86" s="1221">
        <v>82</v>
      </c>
      <c r="C86" s="1181" t="s">
        <v>1132</v>
      </c>
      <c r="D86" s="1182" t="s">
        <v>1335</v>
      </c>
      <c r="E86" s="1199">
        <v>43941</v>
      </c>
      <c r="F86" s="1199">
        <v>44562</v>
      </c>
      <c r="G86" s="1194">
        <v>1</v>
      </c>
      <c r="H86" s="1199">
        <v>46022</v>
      </c>
      <c r="I86" s="1183">
        <v>500000000</v>
      </c>
      <c r="J86" s="1183">
        <v>393737166.32443523</v>
      </c>
      <c r="K86" s="1194">
        <f t="shared" si="31"/>
        <v>47</v>
      </c>
      <c r="L86" s="1194">
        <f t="shared" si="32"/>
        <v>1460</v>
      </c>
      <c r="M86" s="1195">
        <f t="shared" si="33"/>
        <v>8377386.5175411748</v>
      </c>
      <c r="N86" s="1195">
        <f t="shared" si="49"/>
        <v>269682.99063317484</v>
      </c>
      <c r="O86" s="1196">
        <v>205228755.87184608</v>
      </c>
      <c r="P86" s="1194">
        <v>31</v>
      </c>
      <c r="Q86" s="1195">
        <f t="shared" si="52"/>
        <v>8360172.70962842</v>
      </c>
      <c r="R86" s="1195">
        <f t="shared" si="50"/>
        <v>196868583.16221759</v>
      </c>
      <c r="S86" s="1195">
        <f t="shared" si="51"/>
        <v>196868583.16221765</v>
      </c>
      <c r="T86" s="1194"/>
      <c r="U86" s="1194" t="s">
        <v>1095</v>
      </c>
      <c r="V86" s="1201" t="s">
        <v>1043</v>
      </c>
      <c r="W86" s="1197"/>
      <c r="X86" s="1197"/>
      <c r="Y86" s="1197">
        <v>627</v>
      </c>
      <c r="Z86" s="1197" t="s">
        <v>809</v>
      </c>
      <c r="AA86" s="1197"/>
      <c r="AB86" s="1202">
        <v>8360172.70962842</v>
      </c>
      <c r="AC86" s="1202">
        <v>7551123.7377288956</v>
      </c>
      <c r="AD86" s="1202">
        <v>8360172.70962842</v>
      </c>
      <c r="AE86" s="1202">
        <v>8090489.7189952452</v>
      </c>
      <c r="AF86" s="1202">
        <v>8360172.70962842</v>
      </c>
      <c r="AG86" s="1202">
        <v>8090489.7189952452</v>
      </c>
      <c r="AH86" s="1202">
        <v>8360172.70962842</v>
      </c>
      <c r="AI86" s="1202">
        <v>8360172.70962842</v>
      </c>
      <c r="AJ86" s="1202">
        <v>8090489.7189952452</v>
      </c>
      <c r="AK86" s="1202">
        <v>8360172.70962842</v>
      </c>
      <c r="AL86" s="1202">
        <v>8090489.7189952452</v>
      </c>
      <c r="AM86" s="1202">
        <v>8360172.70962842</v>
      </c>
      <c r="AN86" s="1197"/>
      <c r="AO86" s="1197">
        <v>641</v>
      </c>
      <c r="AP86" s="1197" t="s">
        <v>1357</v>
      </c>
      <c r="AQ86" s="1253" t="s">
        <v>809</v>
      </c>
      <c r="AR86" s="1201">
        <f t="shared" si="35"/>
        <v>0</v>
      </c>
      <c r="AS86" s="1198">
        <f t="shared" si="36"/>
        <v>196868583.16221765</v>
      </c>
      <c r="AT86" s="1198">
        <f t="shared" si="37"/>
        <v>100528638.2104941</v>
      </c>
      <c r="AU86" s="1201">
        <f t="shared" si="38"/>
        <v>98434291.581108809</v>
      </c>
      <c r="AV86" s="1198">
        <f t="shared" si="39"/>
        <v>100528638.2104941</v>
      </c>
      <c r="AW86" s="1198">
        <f t="shared" si="40"/>
        <v>96339944.951723546</v>
      </c>
      <c r="AX86" s="1198">
        <f t="shared" si="41"/>
        <v>0</v>
      </c>
      <c r="AY86" s="1198">
        <f t="shared" si="42"/>
        <v>0</v>
      </c>
      <c r="AZ86" s="1198">
        <f t="shared" si="43"/>
        <v>0</v>
      </c>
      <c r="BA86" s="1198">
        <f t="shared" si="44"/>
        <v>0</v>
      </c>
      <c r="BB86" s="1198">
        <f t="shared" si="45"/>
        <v>0</v>
      </c>
      <c r="BC86" s="1198">
        <f t="shared" si="46"/>
        <v>0</v>
      </c>
      <c r="BD86" s="1198">
        <f t="shared" si="47"/>
        <v>0</v>
      </c>
      <c r="BE86" s="1198">
        <f t="shared" si="48"/>
        <v>0</v>
      </c>
    </row>
    <row r="87" spans="2:57" x14ac:dyDescent="0.25">
      <c r="B87" s="1221">
        <v>83</v>
      </c>
      <c r="C87" s="1181" t="s">
        <v>1133</v>
      </c>
      <c r="D87" s="1182" t="s">
        <v>1335</v>
      </c>
      <c r="E87" s="1199">
        <v>43941</v>
      </c>
      <c r="F87" s="1199">
        <v>44562</v>
      </c>
      <c r="G87" s="1194">
        <v>1</v>
      </c>
      <c r="H87" s="1199">
        <v>46022</v>
      </c>
      <c r="I87" s="1183">
        <v>500000000</v>
      </c>
      <c r="J87" s="1183">
        <v>393737166.32443523</v>
      </c>
      <c r="K87" s="1194">
        <f t="shared" si="31"/>
        <v>47</v>
      </c>
      <c r="L87" s="1194">
        <f t="shared" si="32"/>
        <v>1460</v>
      </c>
      <c r="M87" s="1195">
        <f t="shared" si="33"/>
        <v>8377386.5175411748</v>
      </c>
      <c r="N87" s="1195">
        <f t="shared" si="49"/>
        <v>269682.99063317484</v>
      </c>
      <c r="O87" s="1196">
        <v>205228755.87184608</v>
      </c>
      <c r="P87" s="1194">
        <v>31</v>
      </c>
      <c r="Q87" s="1195">
        <f t="shared" si="52"/>
        <v>8360172.70962842</v>
      </c>
      <c r="R87" s="1195">
        <f t="shared" si="50"/>
        <v>196868583.16221759</v>
      </c>
      <c r="S87" s="1195">
        <f t="shared" si="51"/>
        <v>196868583.16221765</v>
      </c>
      <c r="T87" s="1194">
        <v>5</v>
      </c>
      <c r="U87" s="1194" t="s">
        <v>1047</v>
      </c>
      <c r="V87" s="1201" t="s">
        <v>1043</v>
      </c>
      <c r="W87" s="1197"/>
      <c r="X87" s="1197"/>
      <c r="Y87" s="1197">
        <v>627</v>
      </c>
      <c r="Z87" s="1197" t="s">
        <v>809</v>
      </c>
      <c r="AA87" s="1197"/>
      <c r="AB87" s="1202">
        <v>8360172.70962842</v>
      </c>
      <c r="AC87" s="1202">
        <v>7551123.7377288956</v>
      </c>
      <c r="AD87" s="1202">
        <v>8360172.70962842</v>
      </c>
      <c r="AE87" s="1202">
        <v>8090489.7189952452</v>
      </c>
      <c r="AF87" s="1202">
        <v>8360172.70962842</v>
      </c>
      <c r="AG87" s="1202">
        <v>8090489.7189952452</v>
      </c>
      <c r="AH87" s="1202">
        <v>8360172.70962842</v>
      </c>
      <c r="AI87" s="1202">
        <v>8360172.70962842</v>
      </c>
      <c r="AJ87" s="1202">
        <v>8090489.7189952452</v>
      </c>
      <c r="AK87" s="1202">
        <v>8360172.70962842</v>
      </c>
      <c r="AL87" s="1202">
        <v>8090489.7189952452</v>
      </c>
      <c r="AM87" s="1202">
        <v>8360172.70962842</v>
      </c>
      <c r="AN87" s="1197"/>
      <c r="AO87" s="1197">
        <v>641</v>
      </c>
      <c r="AP87" s="1197" t="s">
        <v>1357</v>
      </c>
      <c r="AQ87" s="1253" t="s">
        <v>809</v>
      </c>
      <c r="AR87" s="1201">
        <f t="shared" si="35"/>
        <v>0</v>
      </c>
      <c r="AS87" s="1198">
        <f t="shared" si="36"/>
        <v>196868583.16221765</v>
      </c>
      <c r="AT87" s="1198">
        <f t="shared" si="37"/>
        <v>100528638.2104941</v>
      </c>
      <c r="AU87" s="1201">
        <f t="shared" si="38"/>
        <v>98434291.581108809</v>
      </c>
      <c r="AV87" s="1198">
        <f t="shared" si="39"/>
        <v>100528638.2104941</v>
      </c>
      <c r="AW87" s="1198">
        <f t="shared" si="40"/>
        <v>96339944.951723546</v>
      </c>
      <c r="AX87" s="1198">
        <f t="shared" si="41"/>
        <v>0</v>
      </c>
      <c r="AY87" s="1198">
        <f t="shared" si="42"/>
        <v>0</v>
      </c>
      <c r="AZ87" s="1198">
        <f t="shared" si="43"/>
        <v>0</v>
      </c>
      <c r="BA87" s="1198">
        <f t="shared" si="44"/>
        <v>0</v>
      </c>
      <c r="BB87" s="1198">
        <f t="shared" si="45"/>
        <v>0</v>
      </c>
      <c r="BC87" s="1198">
        <f t="shared" si="46"/>
        <v>0</v>
      </c>
      <c r="BD87" s="1198">
        <f t="shared" si="47"/>
        <v>0</v>
      </c>
      <c r="BE87" s="1198">
        <f t="shared" si="48"/>
        <v>0</v>
      </c>
    </row>
    <row r="88" spans="2:57" x14ac:dyDescent="0.25">
      <c r="B88" s="1221">
        <v>84</v>
      </c>
      <c r="C88" s="1181" t="s">
        <v>1134</v>
      </c>
      <c r="D88" s="1182" t="s">
        <v>1335</v>
      </c>
      <c r="E88" s="1199">
        <v>43941</v>
      </c>
      <c r="F88" s="1199">
        <v>44562</v>
      </c>
      <c r="G88" s="1194">
        <v>1</v>
      </c>
      <c r="H88" s="1199">
        <v>46022</v>
      </c>
      <c r="I88" s="1183">
        <v>500000000</v>
      </c>
      <c r="J88" s="1183">
        <v>393737166.32443523</v>
      </c>
      <c r="K88" s="1194">
        <f t="shared" si="31"/>
        <v>47</v>
      </c>
      <c r="L88" s="1194">
        <f t="shared" si="32"/>
        <v>1460</v>
      </c>
      <c r="M88" s="1195">
        <f t="shared" si="33"/>
        <v>8377386.5175411748</v>
      </c>
      <c r="N88" s="1195">
        <f t="shared" si="49"/>
        <v>269682.99063317484</v>
      </c>
      <c r="O88" s="1196">
        <v>205228755.87184608</v>
      </c>
      <c r="P88" s="1194">
        <v>31</v>
      </c>
      <c r="Q88" s="1195">
        <f t="shared" si="52"/>
        <v>8360172.70962842</v>
      </c>
      <c r="R88" s="1195">
        <f t="shared" si="50"/>
        <v>196868583.16221759</v>
      </c>
      <c r="S88" s="1195">
        <f t="shared" si="51"/>
        <v>196868583.16221765</v>
      </c>
      <c r="T88" s="1194">
        <v>5</v>
      </c>
      <c r="U88" s="1194" t="s">
        <v>1047</v>
      </c>
      <c r="V88" s="1201" t="s">
        <v>1043</v>
      </c>
      <c r="W88" s="1197"/>
      <c r="X88" s="1197"/>
      <c r="Y88" s="1197">
        <v>627</v>
      </c>
      <c r="Z88" s="1197" t="s">
        <v>809</v>
      </c>
      <c r="AA88" s="1197"/>
      <c r="AB88" s="1202">
        <v>8360172.70962842</v>
      </c>
      <c r="AC88" s="1202">
        <v>7551123.7377288956</v>
      </c>
      <c r="AD88" s="1202">
        <v>8360172.70962842</v>
      </c>
      <c r="AE88" s="1202">
        <v>8090489.7189952452</v>
      </c>
      <c r="AF88" s="1202">
        <v>8360172.70962842</v>
      </c>
      <c r="AG88" s="1202">
        <v>8090489.7189952452</v>
      </c>
      <c r="AH88" s="1202">
        <v>8360172.70962842</v>
      </c>
      <c r="AI88" s="1202">
        <v>8360172.70962842</v>
      </c>
      <c r="AJ88" s="1202">
        <v>8090489.7189952452</v>
      </c>
      <c r="AK88" s="1202">
        <v>8360172.70962842</v>
      </c>
      <c r="AL88" s="1202">
        <v>8090489.7189952452</v>
      </c>
      <c r="AM88" s="1202">
        <v>8360172.70962842</v>
      </c>
      <c r="AN88" s="1197"/>
      <c r="AO88" s="1197">
        <v>641</v>
      </c>
      <c r="AP88" s="1197" t="s">
        <v>1357</v>
      </c>
      <c r="AQ88" s="1253" t="s">
        <v>809</v>
      </c>
      <c r="AR88" s="1201">
        <f t="shared" si="35"/>
        <v>0</v>
      </c>
      <c r="AS88" s="1198">
        <f t="shared" si="36"/>
        <v>196868583.16221765</v>
      </c>
      <c r="AT88" s="1198">
        <f t="shared" si="37"/>
        <v>100528638.2104941</v>
      </c>
      <c r="AU88" s="1201">
        <f t="shared" si="38"/>
        <v>98434291.581108809</v>
      </c>
      <c r="AV88" s="1198">
        <f t="shared" si="39"/>
        <v>100528638.2104941</v>
      </c>
      <c r="AW88" s="1198">
        <f t="shared" si="40"/>
        <v>96339944.951723546</v>
      </c>
      <c r="AX88" s="1198">
        <f t="shared" si="41"/>
        <v>0</v>
      </c>
      <c r="AY88" s="1198">
        <f t="shared" si="42"/>
        <v>0</v>
      </c>
      <c r="AZ88" s="1198">
        <f t="shared" si="43"/>
        <v>0</v>
      </c>
      <c r="BA88" s="1198">
        <f t="shared" si="44"/>
        <v>0</v>
      </c>
      <c r="BB88" s="1198">
        <f t="shared" si="45"/>
        <v>0</v>
      </c>
      <c r="BC88" s="1198">
        <f t="shared" si="46"/>
        <v>0</v>
      </c>
      <c r="BD88" s="1198">
        <f t="shared" si="47"/>
        <v>0</v>
      </c>
      <c r="BE88" s="1198">
        <f t="shared" si="48"/>
        <v>0</v>
      </c>
    </row>
    <row r="89" spans="2:57" x14ac:dyDescent="0.25">
      <c r="B89" s="1221">
        <v>85</v>
      </c>
      <c r="C89" s="1181" t="s">
        <v>1135</v>
      </c>
      <c r="D89" s="1182" t="s">
        <v>1338</v>
      </c>
      <c r="E89" s="1199">
        <f>VLOOKUP($C89,[30]Dung!$C$2:$G$98,5,0)</f>
        <v>42583</v>
      </c>
      <c r="F89" s="1199">
        <v>44562</v>
      </c>
      <c r="G89" s="1194">
        <v>1</v>
      </c>
      <c r="H89" s="1199">
        <v>44926</v>
      </c>
      <c r="I89" s="1183">
        <f>VLOOKUP($C89,[30]NGọc!$B$3:$J$114,8,0)</f>
        <v>292727273</v>
      </c>
      <c r="J89" s="1183">
        <v>94470163.736824244</v>
      </c>
      <c r="K89" s="1194">
        <f t="shared" si="31"/>
        <v>11</v>
      </c>
      <c r="L89" s="1194">
        <f t="shared" si="32"/>
        <v>364</v>
      </c>
      <c r="M89" s="1195">
        <f t="shared" si="33"/>
        <v>8588196.7033476587</v>
      </c>
      <c r="N89" s="1195">
        <f t="shared" si="49"/>
        <v>259533.41685940727</v>
      </c>
      <c r="O89" s="1196">
        <v>0</v>
      </c>
      <c r="P89" s="1194">
        <v>31</v>
      </c>
      <c r="Q89" s="1195">
        <f t="shared" si="52"/>
        <v>0</v>
      </c>
      <c r="R89" s="1195">
        <f t="shared" si="50"/>
        <v>94470163.736824244</v>
      </c>
      <c r="S89" s="1195">
        <f t="shared" si="51"/>
        <v>0</v>
      </c>
      <c r="T89" s="1194">
        <v>3</v>
      </c>
      <c r="U89" s="1194" t="s">
        <v>1079</v>
      </c>
      <c r="V89" s="1201" t="s">
        <v>1043</v>
      </c>
      <c r="W89" s="1197"/>
      <c r="X89" s="1197"/>
      <c r="Y89" s="1197">
        <v>627</v>
      </c>
      <c r="Z89" s="1197" t="s">
        <v>1382</v>
      </c>
      <c r="AA89" s="1197"/>
      <c r="AB89" s="1202">
        <v>0</v>
      </c>
      <c r="AC89" s="1202">
        <v>0</v>
      </c>
      <c r="AD89" s="1202">
        <v>0</v>
      </c>
      <c r="AE89" s="1202">
        <v>0</v>
      </c>
      <c r="AF89" s="1202">
        <v>0</v>
      </c>
      <c r="AG89" s="1202">
        <v>0</v>
      </c>
      <c r="AH89" s="1202">
        <v>0</v>
      </c>
      <c r="AI89" s="1202">
        <v>0</v>
      </c>
      <c r="AJ89" s="1202">
        <v>0</v>
      </c>
      <c r="AK89" s="1202">
        <v>0</v>
      </c>
      <c r="AL89" s="1202">
        <v>0</v>
      </c>
      <c r="AM89" s="1202">
        <v>0</v>
      </c>
      <c r="AN89" s="1197"/>
      <c r="AO89" s="1197">
        <v>641</v>
      </c>
      <c r="AP89" s="1197" t="s">
        <v>1357</v>
      </c>
      <c r="AQ89" s="1197" t="s">
        <v>1383</v>
      </c>
      <c r="AR89" s="1201">
        <f t="shared" si="35"/>
        <v>0</v>
      </c>
      <c r="AS89" s="1198">
        <f t="shared" si="36"/>
        <v>0</v>
      </c>
      <c r="AT89" s="1198">
        <f t="shared" si="37"/>
        <v>103058360.4401719</v>
      </c>
      <c r="AU89" s="1201">
        <f t="shared" si="38"/>
        <v>0</v>
      </c>
      <c r="AV89" s="1198">
        <f t="shared" si="39"/>
        <v>0</v>
      </c>
      <c r="AW89" s="1198">
        <f t="shared" si="40"/>
        <v>0</v>
      </c>
      <c r="AX89" s="1198">
        <f t="shared" si="41"/>
        <v>0</v>
      </c>
      <c r="AY89" s="1198">
        <f t="shared" si="42"/>
        <v>0</v>
      </c>
      <c r="AZ89" s="1198">
        <f t="shared" si="43"/>
        <v>0</v>
      </c>
      <c r="BA89" s="1198">
        <f t="shared" si="44"/>
        <v>0</v>
      </c>
      <c r="BB89" s="1198">
        <f t="shared" si="45"/>
        <v>0</v>
      </c>
      <c r="BC89" s="1198">
        <f t="shared" si="46"/>
        <v>0</v>
      </c>
      <c r="BD89" s="1198">
        <f t="shared" si="47"/>
        <v>0</v>
      </c>
      <c r="BE89" s="1198">
        <f t="shared" si="48"/>
        <v>0</v>
      </c>
    </row>
    <row r="90" spans="2:57" x14ac:dyDescent="0.25">
      <c r="B90" s="1221">
        <v>86</v>
      </c>
      <c r="C90" s="1185" t="s">
        <v>1136</v>
      </c>
      <c r="D90" s="1182" t="s">
        <v>1339</v>
      </c>
      <c r="E90" s="1199">
        <v>42948</v>
      </c>
      <c r="F90" s="1199">
        <v>44562</v>
      </c>
      <c r="G90" s="1194">
        <v>1</v>
      </c>
      <c r="H90" s="1199">
        <v>45870</v>
      </c>
      <c r="I90" s="1183">
        <f>VLOOKUP($C90,[30]NGọc!$B$3:$J$114,8,0)</f>
        <v>618181818</v>
      </c>
      <c r="J90" s="1183">
        <v>276722045.83983594</v>
      </c>
      <c r="K90" s="1194">
        <f t="shared" si="31"/>
        <v>43</v>
      </c>
      <c r="L90" s="1194">
        <f t="shared" si="32"/>
        <v>1308</v>
      </c>
      <c r="M90" s="1195">
        <f t="shared" si="33"/>
        <v>6435396.414879906</v>
      </c>
      <c r="N90" s="1195">
        <f t="shared" si="49"/>
        <v>211561.19712525685</v>
      </c>
      <c r="O90" s="1196">
        <v>128840769.0492813</v>
      </c>
      <c r="P90" s="1194">
        <v>31</v>
      </c>
      <c r="Q90" s="1195">
        <f t="shared" si="52"/>
        <v>6558397.1108829621</v>
      </c>
      <c r="R90" s="1195">
        <f t="shared" si="50"/>
        <v>154439673.90143761</v>
      </c>
      <c r="S90" s="1195">
        <f t="shared" si="51"/>
        <v>122282371.93839833</v>
      </c>
      <c r="T90" s="1194"/>
      <c r="U90" s="1194" t="s">
        <v>1103</v>
      </c>
      <c r="V90" s="1201" t="s">
        <v>1043</v>
      </c>
      <c r="W90" s="1197"/>
      <c r="X90" s="1197"/>
      <c r="Y90" s="1197">
        <v>627</v>
      </c>
      <c r="Z90" s="1197" t="s">
        <v>1048</v>
      </c>
      <c r="AA90" s="1197"/>
      <c r="AB90" s="1202">
        <v>6558397.1108829621</v>
      </c>
      <c r="AC90" s="1202">
        <v>5923713.5195071921</v>
      </c>
      <c r="AD90" s="1202">
        <v>6558397.1108829621</v>
      </c>
      <c r="AE90" s="1202">
        <v>6346835.9137577051</v>
      </c>
      <c r="AF90" s="1202">
        <v>6558397.1108829621</v>
      </c>
      <c r="AG90" s="1202">
        <v>6346835.9137577051</v>
      </c>
      <c r="AH90" s="1202">
        <v>6558397.1108829621</v>
      </c>
      <c r="AI90" s="1202">
        <v>6558397.1108829621</v>
      </c>
      <c r="AJ90" s="1202">
        <v>6346835.9137577051</v>
      </c>
      <c r="AK90" s="1202">
        <v>6558397.1108829621</v>
      </c>
      <c r="AL90" s="1202">
        <v>6346835.9137577051</v>
      </c>
      <c r="AM90" s="1202">
        <v>6558397.1108829621</v>
      </c>
      <c r="AN90" s="1197"/>
      <c r="AO90" s="1197">
        <v>627</v>
      </c>
      <c r="AP90" s="1197" t="s">
        <v>732</v>
      </c>
      <c r="AQ90" s="1204" t="s">
        <v>1048</v>
      </c>
      <c r="AR90" s="1201">
        <f t="shared" si="35"/>
        <v>0</v>
      </c>
      <c r="AS90" s="1198">
        <f t="shared" si="36"/>
        <v>122282371.93839833</v>
      </c>
      <c r="AT90" s="1198">
        <f t="shared" si="37"/>
        <v>77224756.978558868</v>
      </c>
      <c r="AU90" s="1201">
        <f t="shared" si="38"/>
        <v>77219836.950718746</v>
      </c>
      <c r="AV90" s="1198">
        <f t="shared" si="39"/>
        <v>77224756.978558868</v>
      </c>
      <c r="AW90" s="1198">
        <f t="shared" si="40"/>
        <v>45057614.959839463</v>
      </c>
      <c r="AX90" s="1198">
        <f t="shared" si="41"/>
        <v>0</v>
      </c>
      <c r="AY90" s="1198">
        <f t="shared" si="42"/>
        <v>0</v>
      </c>
      <c r="AZ90" s="1198">
        <f t="shared" si="43"/>
        <v>0</v>
      </c>
      <c r="BA90" s="1198">
        <f t="shared" si="44"/>
        <v>0</v>
      </c>
      <c r="BB90" s="1198">
        <f t="shared" si="45"/>
        <v>0</v>
      </c>
      <c r="BC90" s="1198">
        <f t="shared" si="46"/>
        <v>0</v>
      </c>
      <c r="BD90" s="1198">
        <f t="shared" si="47"/>
        <v>0</v>
      </c>
      <c r="BE90" s="1198">
        <f t="shared" si="48"/>
        <v>0</v>
      </c>
    </row>
    <row r="91" spans="2:57" x14ac:dyDescent="0.25">
      <c r="B91" s="1221">
        <v>87</v>
      </c>
      <c r="C91" s="1186" t="s">
        <v>1137</v>
      </c>
      <c r="D91" s="1182" t="s">
        <v>1340</v>
      </c>
      <c r="E91" s="1199">
        <f>VLOOKUP($C91,[30]Dung!$C$2:$G$98,5,0)</f>
        <v>41101</v>
      </c>
      <c r="F91" s="1199">
        <v>44562</v>
      </c>
      <c r="G91" s="1194">
        <v>1</v>
      </c>
      <c r="H91" s="1199">
        <v>44023</v>
      </c>
      <c r="I91" s="1183">
        <f>VLOOKUP($C91,[30]NGọc!$B$3:$J$114,8,0)</f>
        <v>292727273</v>
      </c>
      <c r="J91" s="1183">
        <v>0</v>
      </c>
      <c r="K91" s="1194">
        <v>96</v>
      </c>
      <c r="L91" s="1194">
        <v>2922</v>
      </c>
      <c r="M91" s="1195">
        <f t="shared" si="33"/>
        <v>0</v>
      </c>
      <c r="N91" s="1195">
        <f t="shared" si="49"/>
        <v>0</v>
      </c>
      <c r="O91" s="1196">
        <v>0</v>
      </c>
      <c r="P91" s="1194">
        <v>31</v>
      </c>
      <c r="Q91" s="1195">
        <f t="shared" si="52"/>
        <v>0</v>
      </c>
      <c r="R91" s="1195">
        <f t="shared" si="50"/>
        <v>0</v>
      </c>
      <c r="S91" s="1195">
        <f t="shared" si="51"/>
        <v>0</v>
      </c>
      <c r="T91" s="1194">
        <v>4</v>
      </c>
      <c r="U91" s="1194" t="s">
        <v>1079</v>
      </c>
      <c r="V91" s="1201" t="s">
        <v>1043</v>
      </c>
      <c r="W91" s="1197"/>
      <c r="X91" s="1197"/>
      <c r="Y91" s="1197">
        <v>627</v>
      </c>
      <c r="Z91" s="1197" t="s">
        <v>1382</v>
      </c>
      <c r="AA91" s="1197"/>
      <c r="AB91" s="1202">
        <v>0</v>
      </c>
      <c r="AC91" s="1202">
        <v>0</v>
      </c>
      <c r="AD91" s="1202">
        <v>0</v>
      </c>
      <c r="AE91" s="1202">
        <v>0</v>
      </c>
      <c r="AF91" s="1202">
        <v>0</v>
      </c>
      <c r="AG91" s="1202">
        <v>0</v>
      </c>
      <c r="AH91" s="1202">
        <v>0</v>
      </c>
      <c r="AI91" s="1202">
        <v>0</v>
      </c>
      <c r="AJ91" s="1202">
        <v>0</v>
      </c>
      <c r="AK91" s="1202">
        <v>0</v>
      </c>
      <c r="AL91" s="1202">
        <v>0</v>
      </c>
      <c r="AM91" s="1202">
        <v>0</v>
      </c>
      <c r="AN91" s="1197"/>
      <c r="AO91" s="1197">
        <v>641</v>
      </c>
      <c r="AP91" s="1197" t="s">
        <v>1357</v>
      </c>
      <c r="AQ91" s="1197" t="s">
        <v>1383</v>
      </c>
      <c r="AR91" s="1201">
        <f t="shared" si="35"/>
        <v>0</v>
      </c>
      <c r="AS91" s="1198">
        <f t="shared" si="36"/>
        <v>0</v>
      </c>
      <c r="AT91" s="1198">
        <f t="shared" si="37"/>
        <v>0</v>
      </c>
      <c r="AU91" s="1201">
        <f t="shared" si="38"/>
        <v>0</v>
      </c>
      <c r="AV91" s="1198">
        <f t="shared" si="39"/>
        <v>0</v>
      </c>
      <c r="AW91" s="1198">
        <f t="shared" si="40"/>
        <v>0</v>
      </c>
      <c r="AX91" s="1198">
        <f t="shared" si="41"/>
        <v>0</v>
      </c>
      <c r="AY91" s="1198">
        <f t="shared" si="42"/>
        <v>0</v>
      </c>
      <c r="AZ91" s="1198">
        <f t="shared" si="43"/>
        <v>0</v>
      </c>
      <c r="BA91" s="1198">
        <f t="shared" si="44"/>
        <v>0</v>
      </c>
      <c r="BB91" s="1198">
        <f t="shared" si="45"/>
        <v>0</v>
      </c>
      <c r="BC91" s="1198">
        <f t="shared" si="46"/>
        <v>0</v>
      </c>
      <c r="BD91" s="1198">
        <f t="shared" si="47"/>
        <v>0</v>
      </c>
      <c r="BE91" s="1198">
        <f t="shared" si="48"/>
        <v>0</v>
      </c>
    </row>
    <row r="92" spans="2:57" x14ac:dyDescent="0.25">
      <c r="B92" s="1221">
        <v>88</v>
      </c>
      <c r="C92" s="1186" t="s">
        <v>1138</v>
      </c>
      <c r="D92" s="1182" t="s">
        <v>1341</v>
      </c>
      <c r="E92" s="1199">
        <f>VLOOKUP($C92,[30]Dung!$C$2:$G$98,5,0)</f>
        <v>41101</v>
      </c>
      <c r="F92" s="1199">
        <v>44562</v>
      </c>
      <c r="G92" s="1194">
        <v>1</v>
      </c>
      <c r="H92" s="1199">
        <v>44023</v>
      </c>
      <c r="I92" s="1183">
        <f>VLOOKUP($C92,[30]NGọc!$B$3:$J$114,8,0)</f>
        <v>213636363</v>
      </c>
      <c r="J92" s="1183">
        <v>0</v>
      </c>
      <c r="K92" s="1194">
        <v>96</v>
      </c>
      <c r="L92" s="1194">
        <v>2922</v>
      </c>
      <c r="M92" s="1195">
        <f t="shared" si="33"/>
        <v>0</v>
      </c>
      <c r="N92" s="1195">
        <f t="shared" si="49"/>
        <v>0</v>
      </c>
      <c r="O92" s="1196">
        <v>0</v>
      </c>
      <c r="P92" s="1194">
        <v>31</v>
      </c>
      <c r="Q92" s="1195">
        <f t="shared" si="52"/>
        <v>0</v>
      </c>
      <c r="R92" s="1195">
        <f t="shared" si="50"/>
        <v>0</v>
      </c>
      <c r="S92" s="1195">
        <f t="shared" si="51"/>
        <v>0</v>
      </c>
      <c r="T92" s="1194">
        <v>4</v>
      </c>
      <c r="U92" s="1194" t="s">
        <v>1079</v>
      </c>
      <c r="V92" s="1201" t="s">
        <v>1043</v>
      </c>
      <c r="W92" s="1197"/>
      <c r="X92" s="1197"/>
      <c r="Y92" s="1197">
        <v>627</v>
      </c>
      <c r="Z92" s="1197" t="s">
        <v>1382</v>
      </c>
      <c r="AA92" s="1197"/>
      <c r="AB92" s="1202">
        <v>0</v>
      </c>
      <c r="AC92" s="1202">
        <v>0</v>
      </c>
      <c r="AD92" s="1202">
        <v>0</v>
      </c>
      <c r="AE92" s="1202">
        <v>0</v>
      </c>
      <c r="AF92" s="1202">
        <v>0</v>
      </c>
      <c r="AG92" s="1202">
        <v>0</v>
      </c>
      <c r="AH92" s="1202">
        <v>0</v>
      </c>
      <c r="AI92" s="1202">
        <v>0</v>
      </c>
      <c r="AJ92" s="1202">
        <v>0</v>
      </c>
      <c r="AK92" s="1202">
        <v>0</v>
      </c>
      <c r="AL92" s="1202">
        <v>0</v>
      </c>
      <c r="AM92" s="1202">
        <v>0</v>
      </c>
      <c r="AN92" s="1197"/>
      <c r="AO92" s="1197">
        <v>641</v>
      </c>
      <c r="AP92" s="1197" t="s">
        <v>1357</v>
      </c>
      <c r="AQ92" s="1197" t="s">
        <v>1383</v>
      </c>
      <c r="AR92" s="1201">
        <f t="shared" si="35"/>
        <v>0</v>
      </c>
      <c r="AS92" s="1198">
        <f t="shared" si="36"/>
        <v>0</v>
      </c>
      <c r="AT92" s="1198">
        <f t="shared" si="37"/>
        <v>0</v>
      </c>
      <c r="AU92" s="1201">
        <f t="shared" si="38"/>
        <v>0</v>
      </c>
      <c r="AV92" s="1198">
        <f t="shared" si="39"/>
        <v>0</v>
      </c>
      <c r="AW92" s="1198">
        <f t="shared" si="40"/>
        <v>0</v>
      </c>
      <c r="AX92" s="1198">
        <f t="shared" si="41"/>
        <v>0</v>
      </c>
      <c r="AY92" s="1198">
        <f t="shared" si="42"/>
        <v>0</v>
      </c>
      <c r="AZ92" s="1198">
        <f t="shared" si="43"/>
        <v>0</v>
      </c>
      <c r="BA92" s="1198">
        <f t="shared" si="44"/>
        <v>0</v>
      </c>
      <c r="BB92" s="1198">
        <f t="shared" si="45"/>
        <v>0</v>
      </c>
      <c r="BC92" s="1198">
        <f t="shared" si="46"/>
        <v>0</v>
      </c>
      <c r="BD92" s="1198">
        <f t="shared" si="47"/>
        <v>0</v>
      </c>
      <c r="BE92" s="1198">
        <f t="shared" si="48"/>
        <v>0</v>
      </c>
    </row>
    <row r="93" spans="2:57" x14ac:dyDescent="0.25">
      <c r="B93" s="1221">
        <v>89</v>
      </c>
      <c r="C93" s="1181" t="s">
        <v>1139</v>
      </c>
      <c r="D93" s="1182" t="s">
        <v>1316</v>
      </c>
      <c r="E93" s="1199">
        <f>VLOOKUP($C93,[30]Dung!$C$2:$G$98,5,0)</f>
        <v>42224</v>
      </c>
      <c r="F93" s="1199">
        <v>44562</v>
      </c>
      <c r="G93" s="1194">
        <v>1</v>
      </c>
      <c r="H93" s="1199">
        <v>44926</v>
      </c>
      <c r="I93" s="1183">
        <f>VLOOKUP($C93,[30]NGọc!$B$3:$J$114,8,0)</f>
        <v>216363636</v>
      </c>
      <c r="J93" s="1183">
        <v>43243108.632443547</v>
      </c>
      <c r="K93" s="1194">
        <f t="shared" ref="K93:K156" si="53">DATEDIF(F93,H93,"m")</f>
        <v>11</v>
      </c>
      <c r="L93" s="1194">
        <f t="shared" ref="L93:L156" si="54">DATEDIF(F93,H93,"d")</f>
        <v>364</v>
      </c>
      <c r="M93" s="1195">
        <f t="shared" si="33"/>
        <v>3931191.6938585043</v>
      </c>
      <c r="N93" s="1195">
        <f t="shared" si="49"/>
        <v>118799.74899022952</v>
      </c>
      <c r="O93" s="1196">
        <v>0</v>
      </c>
      <c r="P93" s="1194">
        <v>31</v>
      </c>
      <c r="Q93" s="1195">
        <f t="shared" si="52"/>
        <v>0</v>
      </c>
      <c r="R93" s="1195">
        <f t="shared" si="50"/>
        <v>43243108.632443547</v>
      </c>
      <c r="S93" s="1195">
        <f t="shared" si="51"/>
        <v>0</v>
      </c>
      <c r="T93" s="1194"/>
      <c r="U93" s="1194" t="s">
        <v>1040</v>
      </c>
      <c r="V93" s="1201">
        <f>O93-Q93-S93</f>
        <v>0</v>
      </c>
      <c r="W93" s="1197"/>
      <c r="X93" s="1197"/>
      <c r="Y93" s="1197">
        <v>641</v>
      </c>
      <c r="Z93" s="1197" t="s">
        <v>1382</v>
      </c>
      <c r="AA93" s="1197"/>
      <c r="AB93" s="1202">
        <v>0</v>
      </c>
      <c r="AC93" s="1202">
        <v>0</v>
      </c>
      <c r="AD93" s="1202">
        <v>0</v>
      </c>
      <c r="AE93" s="1202">
        <v>0</v>
      </c>
      <c r="AF93" s="1202">
        <v>0</v>
      </c>
      <c r="AG93" s="1202">
        <v>0</v>
      </c>
      <c r="AH93" s="1202">
        <v>0</v>
      </c>
      <c r="AI93" s="1202">
        <v>0</v>
      </c>
      <c r="AJ93" s="1202">
        <v>0</v>
      </c>
      <c r="AK93" s="1202">
        <v>0</v>
      </c>
      <c r="AL93" s="1202">
        <v>0</v>
      </c>
      <c r="AM93" s="1202">
        <v>0</v>
      </c>
      <c r="AN93" s="1197"/>
      <c r="AO93" s="1197">
        <v>641</v>
      </c>
      <c r="AP93" s="1197" t="s">
        <v>1357</v>
      </c>
      <c r="AQ93" s="1197" t="s">
        <v>1383</v>
      </c>
      <c r="AR93" s="1201">
        <f t="shared" si="35"/>
        <v>0</v>
      </c>
      <c r="AS93" s="1198">
        <f t="shared" si="36"/>
        <v>0</v>
      </c>
      <c r="AT93" s="1198">
        <f t="shared" si="37"/>
        <v>47174300.326302052</v>
      </c>
      <c r="AU93" s="1201">
        <f t="shared" si="38"/>
        <v>0</v>
      </c>
      <c r="AV93" s="1198">
        <f t="shared" si="39"/>
        <v>0</v>
      </c>
      <c r="AW93" s="1198">
        <f t="shared" si="40"/>
        <v>0</v>
      </c>
      <c r="AX93" s="1198">
        <f t="shared" si="41"/>
        <v>0</v>
      </c>
      <c r="AY93" s="1198">
        <f t="shared" si="42"/>
        <v>0</v>
      </c>
      <c r="AZ93" s="1198">
        <f t="shared" si="43"/>
        <v>0</v>
      </c>
      <c r="BA93" s="1198">
        <f t="shared" si="44"/>
        <v>0</v>
      </c>
      <c r="BB93" s="1198">
        <f t="shared" si="45"/>
        <v>0</v>
      </c>
      <c r="BC93" s="1198">
        <f t="shared" si="46"/>
        <v>0</v>
      </c>
      <c r="BD93" s="1198">
        <f t="shared" si="47"/>
        <v>0</v>
      </c>
      <c r="BE93" s="1198">
        <f t="shared" si="48"/>
        <v>0</v>
      </c>
    </row>
    <row r="94" spans="2:57" x14ac:dyDescent="0.25">
      <c r="B94" s="1221">
        <v>90</v>
      </c>
      <c r="C94" s="1181" t="s">
        <v>1140</v>
      </c>
      <c r="D94" s="1182" t="s">
        <v>1342</v>
      </c>
      <c r="E94" s="1199">
        <v>42583</v>
      </c>
      <c r="F94" s="1199">
        <v>44562</v>
      </c>
      <c r="G94" s="1194">
        <v>1</v>
      </c>
      <c r="H94" s="1199">
        <v>44926</v>
      </c>
      <c r="I94" s="1183">
        <f>VLOOKUP($C94,[30]NGọc!$B$3:$J$114,8,0)</f>
        <v>292727273</v>
      </c>
      <c r="J94" s="1183">
        <v>94470163.736824244</v>
      </c>
      <c r="K94" s="1194">
        <f t="shared" si="53"/>
        <v>11</v>
      </c>
      <c r="L94" s="1194">
        <f t="shared" si="54"/>
        <v>364</v>
      </c>
      <c r="M94" s="1195">
        <f t="shared" si="33"/>
        <v>8588196.7033476587</v>
      </c>
      <c r="N94" s="1195">
        <f t="shared" si="49"/>
        <v>259533.41685940727</v>
      </c>
      <c r="O94" s="1196">
        <v>0</v>
      </c>
      <c r="P94" s="1194">
        <v>31</v>
      </c>
      <c r="Q94" s="1195">
        <f t="shared" si="52"/>
        <v>0</v>
      </c>
      <c r="R94" s="1195">
        <f t="shared" si="50"/>
        <v>94470163.736824244</v>
      </c>
      <c r="S94" s="1195">
        <f t="shared" si="51"/>
        <v>0</v>
      </c>
      <c r="T94" s="1194" t="s">
        <v>1071</v>
      </c>
      <c r="U94" s="1194" t="s">
        <v>1079</v>
      </c>
      <c r="V94" s="1201" t="s">
        <v>1043</v>
      </c>
      <c r="W94" s="1197"/>
      <c r="X94" s="1197"/>
      <c r="Y94" s="1197">
        <v>627</v>
      </c>
      <c r="Z94" s="1197" t="s">
        <v>1382</v>
      </c>
      <c r="AA94" s="1197"/>
      <c r="AB94" s="1202">
        <v>0</v>
      </c>
      <c r="AC94" s="1202">
        <v>0</v>
      </c>
      <c r="AD94" s="1202">
        <v>0</v>
      </c>
      <c r="AE94" s="1202">
        <v>0</v>
      </c>
      <c r="AF94" s="1202">
        <v>0</v>
      </c>
      <c r="AG94" s="1202">
        <v>0</v>
      </c>
      <c r="AH94" s="1202">
        <v>0</v>
      </c>
      <c r="AI94" s="1202">
        <v>0</v>
      </c>
      <c r="AJ94" s="1202">
        <v>0</v>
      </c>
      <c r="AK94" s="1202">
        <v>0</v>
      </c>
      <c r="AL94" s="1202">
        <v>0</v>
      </c>
      <c r="AM94" s="1202">
        <v>0</v>
      </c>
      <c r="AN94" s="1197"/>
      <c r="AO94" s="1197">
        <v>627</v>
      </c>
      <c r="AP94" s="1197" t="s">
        <v>732</v>
      </c>
      <c r="AQ94" s="1197" t="s">
        <v>1383</v>
      </c>
      <c r="AR94" s="1201">
        <f t="shared" si="35"/>
        <v>0</v>
      </c>
      <c r="AS94" s="1198">
        <f t="shared" si="36"/>
        <v>0</v>
      </c>
      <c r="AT94" s="1198">
        <f t="shared" si="37"/>
        <v>103058360.4401719</v>
      </c>
      <c r="AU94" s="1201">
        <f t="shared" si="38"/>
        <v>0</v>
      </c>
      <c r="AV94" s="1198">
        <f t="shared" si="39"/>
        <v>0</v>
      </c>
      <c r="AW94" s="1198">
        <f t="shared" si="40"/>
        <v>0</v>
      </c>
      <c r="AX94" s="1198">
        <f t="shared" si="41"/>
        <v>0</v>
      </c>
      <c r="AY94" s="1198">
        <f t="shared" si="42"/>
        <v>0</v>
      </c>
      <c r="AZ94" s="1198">
        <f t="shared" si="43"/>
        <v>0</v>
      </c>
      <c r="BA94" s="1198">
        <f t="shared" si="44"/>
        <v>0</v>
      </c>
      <c r="BB94" s="1198">
        <f t="shared" si="45"/>
        <v>0</v>
      </c>
      <c r="BC94" s="1198">
        <f t="shared" si="46"/>
        <v>0</v>
      </c>
      <c r="BD94" s="1198">
        <f t="shared" si="47"/>
        <v>0</v>
      </c>
      <c r="BE94" s="1198">
        <f t="shared" si="48"/>
        <v>0</v>
      </c>
    </row>
    <row r="95" spans="2:57" x14ac:dyDescent="0.25">
      <c r="B95" s="1221">
        <v>91</v>
      </c>
      <c r="C95" s="1181" t="s">
        <v>1141</v>
      </c>
      <c r="D95" s="1182" t="s">
        <v>1343</v>
      </c>
      <c r="E95" s="1199">
        <f>VLOOKUP($C95,[30]Dung!$C$2:$G$98,5,0)</f>
        <v>42660</v>
      </c>
      <c r="F95" s="1199">
        <v>44562</v>
      </c>
      <c r="G95" s="1194">
        <v>1</v>
      </c>
      <c r="H95" s="1199">
        <v>44926</v>
      </c>
      <c r="I95" s="1183">
        <f>VLOOKUP($C95,[30]NGọc!$B$3:$J$114,8,0)</f>
        <v>840000000</v>
      </c>
      <c r="J95" s="1183">
        <v>293223819.30184782</v>
      </c>
      <c r="K95" s="1194">
        <f t="shared" si="53"/>
        <v>11</v>
      </c>
      <c r="L95" s="1194">
        <f t="shared" si="54"/>
        <v>364</v>
      </c>
      <c r="M95" s="1195">
        <f t="shared" si="33"/>
        <v>26656710.845622528</v>
      </c>
      <c r="N95" s="1195">
        <f t="shared" si="49"/>
        <v>805559.94313694455</v>
      </c>
      <c r="O95" s="1196">
        <v>0</v>
      </c>
      <c r="P95" s="1194">
        <v>31</v>
      </c>
      <c r="Q95" s="1195">
        <f t="shared" si="52"/>
        <v>0</v>
      </c>
      <c r="R95" s="1195">
        <f t="shared" si="50"/>
        <v>293223819.30184782</v>
      </c>
      <c r="S95" s="1195">
        <f t="shared" si="51"/>
        <v>0</v>
      </c>
      <c r="T95" s="1194" t="s">
        <v>1385</v>
      </c>
      <c r="U95" s="1194" t="s">
        <v>1385</v>
      </c>
      <c r="V95" s="1201" t="s">
        <v>1043</v>
      </c>
      <c r="W95" s="1197"/>
      <c r="X95" s="1197"/>
      <c r="Y95" s="1197">
        <v>627</v>
      </c>
      <c r="Z95" s="1197" t="s">
        <v>1382</v>
      </c>
      <c r="AA95" s="1197"/>
      <c r="AB95" s="1202">
        <v>0</v>
      </c>
      <c r="AC95" s="1202">
        <v>0</v>
      </c>
      <c r="AD95" s="1202">
        <v>0</v>
      </c>
      <c r="AE95" s="1202">
        <v>0</v>
      </c>
      <c r="AF95" s="1202">
        <v>0</v>
      </c>
      <c r="AG95" s="1202">
        <v>0</v>
      </c>
      <c r="AH95" s="1202">
        <v>0</v>
      </c>
      <c r="AI95" s="1202">
        <v>0</v>
      </c>
      <c r="AJ95" s="1202">
        <v>0</v>
      </c>
      <c r="AK95" s="1202">
        <v>0</v>
      </c>
      <c r="AL95" s="1202">
        <v>0</v>
      </c>
      <c r="AM95" s="1202">
        <v>0</v>
      </c>
      <c r="AN95" s="1197"/>
      <c r="AO95" s="1197">
        <v>641</v>
      </c>
      <c r="AP95" s="1197" t="s">
        <v>1357</v>
      </c>
      <c r="AQ95" s="1197" t="s">
        <v>1383</v>
      </c>
      <c r="AR95" s="1201">
        <f t="shared" si="35"/>
        <v>0</v>
      </c>
      <c r="AS95" s="1198">
        <f t="shared" si="36"/>
        <v>0</v>
      </c>
      <c r="AT95" s="1198">
        <f t="shared" si="37"/>
        <v>319880530.14747036</v>
      </c>
      <c r="AU95" s="1201">
        <f t="shared" si="38"/>
        <v>0</v>
      </c>
      <c r="AV95" s="1198">
        <f t="shared" si="39"/>
        <v>0</v>
      </c>
      <c r="AW95" s="1198">
        <f t="shared" si="40"/>
        <v>0</v>
      </c>
      <c r="AX95" s="1198">
        <f t="shared" si="41"/>
        <v>0</v>
      </c>
      <c r="AY95" s="1198">
        <f t="shared" si="42"/>
        <v>0</v>
      </c>
      <c r="AZ95" s="1198">
        <f t="shared" si="43"/>
        <v>0</v>
      </c>
      <c r="BA95" s="1198">
        <f t="shared" si="44"/>
        <v>0</v>
      </c>
      <c r="BB95" s="1198">
        <f t="shared" si="45"/>
        <v>0</v>
      </c>
      <c r="BC95" s="1198">
        <f t="shared" si="46"/>
        <v>0</v>
      </c>
      <c r="BD95" s="1198">
        <f t="shared" si="47"/>
        <v>0</v>
      </c>
      <c r="BE95" s="1198">
        <f t="shared" si="48"/>
        <v>0</v>
      </c>
    </row>
    <row r="96" spans="2:57" x14ac:dyDescent="0.25">
      <c r="B96" s="1221">
        <v>92</v>
      </c>
      <c r="C96" s="1181" t="s">
        <v>1142</v>
      </c>
      <c r="D96" s="1182" t="s">
        <v>1344</v>
      </c>
      <c r="E96" s="1199">
        <f>VLOOKUP($C96,[30]Dung!$C$2:$G$98,5,0)</f>
        <v>42660</v>
      </c>
      <c r="F96" s="1199">
        <v>44562</v>
      </c>
      <c r="G96" s="1194">
        <v>1</v>
      </c>
      <c r="H96" s="1199">
        <v>44926</v>
      </c>
      <c r="I96" s="1183">
        <f>VLOOKUP($C96,[30]NGọc!$B$3:$J$114,8,0)</f>
        <v>809090909</v>
      </c>
      <c r="J96" s="1183">
        <v>282434198.21355259</v>
      </c>
      <c r="K96" s="1194">
        <f t="shared" si="53"/>
        <v>11</v>
      </c>
      <c r="L96" s="1194">
        <f t="shared" si="54"/>
        <v>364</v>
      </c>
      <c r="M96" s="1195">
        <f t="shared" si="33"/>
        <v>25675836.201232053</v>
      </c>
      <c r="N96" s="1195">
        <f t="shared" si="49"/>
        <v>775918.12696030934</v>
      </c>
      <c r="O96" s="1196">
        <v>0</v>
      </c>
      <c r="P96" s="1194">
        <v>31</v>
      </c>
      <c r="Q96" s="1195">
        <f t="shared" si="52"/>
        <v>0</v>
      </c>
      <c r="R96" s="1195">
        <f t="shared" si="50"/>
        <v>282434198.21355259</v>
      </c>
      <c r="S96" s="1195">
        <f t="shared" si="51"/>
        <v>0</v>
      </c>
      <c r="T96" s="1194" t="s">
        <v>1071</v>
      </c>
      <c r="U96" s="1194" t="s">
        <v>1071</v>
      </c>
      <c r="V96" s="1201" t="s">
        <v>1043</v>
      </c>
      <c r="W96" s="1197"/>
      <c r="X96" s="1197"/>
      <c r="Y96" s="1197">
        <v>627</v>
      </c>
      <c r="Z96" s="1197" t="s">
        <v>1048</v>
      </c>
      <c r="AA96" s="1197"/>
      <c r="AB96" s="1202">
        <v>0</v>
      </c>
      <c r="AC96" s="1202">
        <v>0</v>
      </c>
      <c r="AD96" s="1202">
        <v>0</v>
      </c>
      <c r="AE96" s="1202">
        <v>0</v>
      </c>
      <c r="AF96" s="1202">
        <v>0</v>
      </c>
      <c r="AG96" s="1202">
        <v>0</v>
      </c>
      <c r="AH96" s="1202">
        <v>0</v>
      </c>
      <c r="AI96" s="1202">
        <v>0</v>
      </c>
      <c r="AJ96" s="1202">
        <v>0</v>
      </c>
      <c r="AK96" s="1202">
        <v>0</v>
      </c>
      <c r="AL96" s="1202">
        <v>0</v>
      </c>
      <c r="AM96" s="1202">
        <v>0</v>
      </c>
      <c r="AN96" s="1197"/>
      <c r="AO96" s="1197">
        <v>627</v>
      </c>
      <c r="AP96" s="1197" t="s">
        <v>732</v>
      </c>
      <c r="AQ96" s="1189" t="s">
        <v>1380</v>
      </c>
      <c r="AR96" s="1201">
        <f t="shared" si="35"/>
        <v>0</v>
      </c>
      <c r="AS96" s="1198">
        <f t="shared" si="36"/>
        <v>0</v>
      </c>
      <c r="AT96" s="1198">
        <f t="shared" si="37"/>
        <v>308110034.41478467</v>
      </c>
      <c r="AU96" s="1201">
        <f t="shared" si="38"/>
        <v>0</v>
      </c>
      <c r="AV96" s="1198">
        <f t="shared" si="39"/>
        <v>0</v>
      </c>
      <c r="AW96" s="1198">
        <f t="shared" si="40"/>
        <v>0</v>
      </c>
      <c r="AX96" s="1198">
        <f t="shared" si="41"/>
        <v>0</v>
      </c>
      <c r="AY96" s="1198">
        <f t="shared" si="42"/>
        <v>0</v>
      </c>
      <c r="AZ96" s="1198">
        <f t="shared" si="43"/>
        <v>0</v>
      </c>
      <c r="BA96" s="1198">
        <f t="shared" si="44"/>
        <v>0</v>
      </c>
      <c r="BB96" s="1198">
        <f t="shared" si="45"/>
        <v>0</v>
      </c>
      <c r="BC96" s="1198">
        <f t="shared" si="46"/>
        <v>0</v>
      </c>
      <c r="BD96" s="1198">
        <f t="shared" si="47"/>
        <v>0</v>
      </c>
      <c r="BE96" s="1198">
        <f t="shared" si="48"/>
        <v>0</v>
      </c>
    </row>
    <row r="97" spans="2:57" x14ac:dyDescent="0.25">
      <c r="B97" s="1221">
        <v>93</v>
      </c>
      <c r="C97" s="1181" t="s">
        <v>1143</v>
      </c>
      <c r="D97" s="1182" t="s">
        <v>1343</v>
      </c>
      <c r="E97" s="1199">
        <f>VLOOKUP($C97,[30]Dung!$C$2:$G$98,5,0)</f>
        <v>42223</v>
      </c>
      <c r="F97" s="1199">
        <v>44562</v>
      </c>
      <c r="G97" s="1194">
        <v>1</v>
      </c>
      <c r="H97" s="1199">
        <v>44926</v>
      </c>
      <c r="I97" s="1183">
        <f>VLOOKUP($C97,[30]NGọc!$B$3:$J$114,8,0)</f>
        <v>878181818</v>
      </c>
      <c r="J97" s="1183">
        <v>175215605.71321046</v>
      </c>
      <c r="K97" s="1194">
        <f t="shared" si="53"/>
        <v>11</v>
      </c>
      <c r="L97" s="1194">
        <f t="shared" si="54"/>
        <v>364</v>
      </c>
      <c r="M97" s="1195">
        <f t="shared" si="33"/>
        <v>15928691.428473679</v>
      </c>
      <c r="N97" s="1195">
        <f t="shared" si="49"/>
        <v>481361.55415717163</v>
      </c>
      <c r="O97" s="1196">
        <v>0</v>
      </c>
      <c r="P97" s="1194">
        <v>31</v>
      </c>
      <c r="Q97" s="1195">
        <f t="shared" si="52"/>
        <v>0</v>
      </c>
      <c r="R97" s="1195">
        <f t="shared" si="50"/>
        <v>175215605.71321046</v>
      </c>
      <c r="S97" s="1195">
        <f t="shared" si="51"/>
        <v>0</v>
      </c>
      <c r="T97" s="1194" t="s">
        <v>1385</v>
      </c>
      <c r="U97" s="1194" t="s">
        <v>1385</v>
      </c>
      <c r="V97" s="1201" t="s">
        <v>1043</v>
      </c>
      <c r="W97" s="1197"/>
      <c r="X97" s="1197"/>
      <c r="Y97" s="1197">
        <v>627</v>
      </c>
      <c r="Z97" s="1197" t="s">
        <v>1382</v>
      </c>
      <c r="AA97" s="1197"/>
      <c r="AB97" s="1202">
        <v>0</v>
      </c>
      <c r="AC97" s="1202">
        <v>0</v>
      </c>
      <c r="AD97" s="1202">
        <v>0</v>
      </c>
      <c r="AE97" s="1202">
        <v>0</v>
      </c>
      <c r="AF97" s="1202">
        <v>0</v>
      </c>
      <c r="AG97" s="1202">
        <v>0</v>
      </c>
      <c r="AH97" s="1202">
        <v>0</v>
      </c>
      <c r="AI97" s="1202">
        <v>0</v>
      </c>
      <c r="AJ97" s="1202">
        <v>0</v>
      </c>
      <c r="AK97" s="1202">
        <v>0</v>
      </c>
      <c r="AL97" s="1202">
        <v>0</v>
      </c>
      <c r="AM97" s="1202">
        <v>0</v>
      </c>
      <c r="AN97" s="1197"/>
      <c r="AO97" s="1197">
        <v>627</v>
      </c>
      <c r="AP97" s="1197" t="s">
        <v>732</v>
      </c>
      <c r="AQ97" s="1197" t="s">
        <v>1383</v>
      </c>
      <c r="AR97" s="1201">
        <f t="shared" si="35"/>
        <v>0</v>
      </c>
      <c r="AS97" s="1198">
        <f t="shared" si="36"/>
        <v>0</v>
      </c>
      <c r="AT97" s="1198">
        <f t="shared" si="37"/>
        <v>191144297.14168414</v>
      </c>
      <c r="AU97" s="1201">
        <f t="shared" si="38"/>
        <v>0</v>
      </c>
      <c r="AV97" s="1198">
        <f t="shared" si="39"/>
        <v>0</v>
      </c>
      <c r="AW97" s="1198">
        <f t="shared" si="40"/>
        <v>0</v>
      </c>
      <c r="AX97" s="1198">
        <f t="shared" si="41"/>
        <v>0</v>
      </c>
      <c r="AY97" s="1198">
        <f t="shared" si="42"/>
        <v>0</v>
      </c>
      <c r="AZ97" s="1198">
        <f t="shared" si="43"/>
        <v>0</v>
      </c>
      <c r="BA97" s="1198">
        <f t="shared" si="44"/>
        <v>0</v>
      </c>
      <c r="BB97" s="1198">
        <f t="shared" si="45"/>
        <v>0</v>
      </c>
      <c r="BC97" s="1198">
        <f t="shared" si="46"/>
        <v>0</v>
      </c>
      <c r="BD97" s="1198">
        <f t="shared" si="47"/>
        <v>0</v>
      </c>
      <c r="BE97" s="1198">
        <f t="shared" si="48"/>
        <v>0</v>
      </c>
    </row>
    <row r="98" spans="2:57" x14ac:dyDescent="0.25">
      <c r="B98" s="1221">
        <v>94</v>
      </c>
      <c r="C98" s="1181" t="s">
        <v>1144</v>
      </c>
      <c r="D98" s="1182" t="s">
        <v>1344</v>
      </c>
      <c r="E98" s="1199">
        <f>VLOOKUP($C98,[30]Dung!$C$2:$G$98,5,0)</f>
        <v>41901</v>
      </c>
      <c r="F98" s="1199">
        <v>44562</v>
      </c>
      <c r="G98" s="1194">
        <v>1</v>
      </c>
      <c r="H98" s="1199">
        <v>44926</v>
      </c>
      <c r="I98" s="1183">
        <f>VLOOKUP($C98,[30]NGọc!$B$3:$J$114,8,0)</f>
        <v>909090909</v>
      </c>
      <c r="J98" s="1183">
        <v>81202165.382956982</v>
      </c>
      <c r="K98" s="1194">
        <f t="shared" si="53"/>
        <v>11</v>
      </c>
      <c r="L98" s="1194">
        <f t="shared" si="54"/>
        <v>364</v>
      </c>
      <c r="M98" s="1195">
        <f t="shared" si="33"/>
        <v>7382015.0348142711</v>
      </c>
      <c r="N98" s="1195">
        <f t="shared" si="49"/>
        <v>223082.8719312005</v>
      </c>
      <c r="O98" s="1196">
        <v>0</v>
      </c>
      <c r="P98" s="1194">
        <v>31</v>
      </c>
      <c r="Q98" s="1195">
        <f t="shared" si="52"/>
        <v>0</v>
      </c>
      <c r="R98" s="1195">
        <f t="shared" si="50"/>
        <v>81202165.382956982</v>
      </c>
      <c r="S98" s="1195">
        <f t="shared" si="51"/>
        <v>0</v>
      </c>
      <c r="T98" s="1194" t="s">
        <v>1071</v>
      </c>
      <c r="U98" s="1194" t="s">
        <v>1145</v>
      </c>
      <c r="V98" s="1201" t="s">
        <v>1043</v>
      </c>
      <c r="W98" s="1201" t="str">
        <f>V98</f>
        <v>VT</v>
      </c>
      <c r="X98" s="1197"/>
      <c r="Y98" s="1197">
        <v>627</v>
      </c>
      <c r="Z98" s="1197" t="s">
        <v>809</v>
      </c>
      <c r="AA98" s="1197"/>
      <c r="AB98" s="1202">
        <v>0</v>
      </c>
      <c r="AC98" s="1202">
        <v>0</v>
      </c>
      <c r="AD98" s="1202">
        <v>0</v>
      </c>
      <c r="AE98" s="1202">
        <v>0</v>
      </c>
      <c r="AF98" s="1202">
        <v>0</v>
      </c>
      <c r="AG98" s="1202">
        <v>0</v>
      </c>
      <c r="AH98" s="1202">
        <v>0</v>
      </c>
      <c r="AI98" s="1202">
        <v>0</v>
      </c>
      <c r="AJ98" s="1202">
        <v>0</v>
      </c>
      <c r="AK98" s="1202">
        <v>0</v>
      </c>
      <c r="AL98" s="1202">
        <v>0</v>
      </c>
      <c r="AM98" s="1202">
        <v>0</v>
      </c>
      <c r="AN98" s="1197"/>
      <c r="AO98" s="1197">
        <v>627</v>
      </c>
      <c r="AP98" s="1197" t="s">
        <v>732</v>
      </c>
      <c r="AQ98" s="1189" t="s">
        <v>1380</v>
      </c>
      <c r="AR98" s="1201">
        <f t="shared" si="35"/>
        <v>0</v>
      </c>
      <c r="AS98" s="1198">
        <f t="shared" si="36"/>
        <v>0</v>
      </c>
      <c r="AT98" s="1198">
        <f t="shared" si="37"/>
        <v>88584180.41777125</v>
      </c>
      <c r="AU98" s="1201">
        <f t="shared" si="38"/>
        <v>0</v>
      </c>
      <c r="AV98" s="1198">
        <f t="shared" si="39"/>
        <v>0</v>
      </c>
      <c r="AW98" s="1198">
        <f t="shared" si="40"/>
        <v>0</v>
      </c>
      <c r="AX98" s="1198">
        <f t="shared" si="41"/>
        <v>0</v>
      </c>
      <c r="AY98" s="1198">
        <f t="shared" si="42"/>
        <v>0</v>
      </c>
      <c r="AZ98" s="1198">
        <f t="shared" si="43"/>
        <v>0</v>
      </c>
      <c r="BA98" s="1198">
        <f t="shared" si="44"/>
        <v>0</v>
      </c>
      <c r="BB98" s="1198">
        <f t="shared" si="45"/>
        <v>0</v>
      </c>
      <c r="BC98" s="1198">
        <f t="shared" si="46"/>
        <v>0</v>
      </c>
      <c r="BD98" s="1198">
        <f t="shared" si="47"/>
        <v>0</v>
      </c>
      <c r="BE98" s="1198">
        <f t="shared" si="48"/>
        <v>0</v>
      </c>
    </row>
    <row r="99" spans="2:57" x14ac:dyDescent="0.25">
      <c r="B99" s="1221">
        <v>95</v>
      </c>
      <c r="C99" s="1181" t="s">
        <v>1146</v>
      </c>
      <c r="D99" s="1182" t="s">
        <v>1344</v>
      </c>
      <c r="E99" s="1199">
        <f>VLOOKUP($C99,[30]Dung!$C$2:$G$98,5,0)</f>
        <v>42660</v>
      </c>
      <c r="F99" s="1199">
        <v>44562</v>
      </c>
      <c r="G99" s="1194">
        <v>1</v>
      </c>
      <c r="H99" s="1199">
        <v>44926</v>
      </c>
      <c r="I99" s="1183">
        <f>VLOOKUP($C99,[30]NGọc!$B$3:$J$114,8,0)</f>
        <v>809090909</v>
      </c>
      <c r="J99" s="1183">
        <v>282434198.21355259</v>
      </c>
      <c r="K99" s="1194">
        <f t="shared" si="53"/>
        <v>11</v>
      </c>
      <c r="L99" s="1194">
        <f t="shared" si="54"/>
        <v>364</v>
      </c>
      <c r="M99" s="1195">
        <f t="shared" si="33"/>
        <v>25675836.201232053</v>
      </c>
      <c r="N99" s="1195">
        <f t="shared" si="49"/>
        <v>775918.12696030934</v>
      </c>
      <c r="O99" s="1196">
        <v>0</v>
      </c>
      <c r="P99" s="1194">
        <v>31</v>
      </c>
      <c r="Q99" s="1195">
        <f t="shared" si="52"/>
        <v>0</v>
      </c>
      <c r="R99" s="1195">
        <f t="shared" si="50"/>
        <v>282434198.21355259</v>
      </c>
      <c r="S99" s="1195">
        <f t="shared" si="51"/>
        <v>0</v>
      </c>
      <c r="T99" s="1194" t="s">
        <v>1385</v>
      </c>
      <c r="U99" s="1194" t="s">
        <v>1385</v>
      </c>
      <c r="V99" s="1201" t="s">
        <v>1043</v>
      </c>
      <c r="W99" s="1197"/>
      <c r="X99" s="1197"/>
      <c r="Y99" s="1197">
        <v>627</v>
      </c>
      <c r="Z99" s="1197" t="s">
        <v>1382</v>
      </c>
      <c r="AA99" s="1197"/>
      <c r="AB99" s="1202">
        <v>0</v>
      </c>
      <c r="AC99" s="1202">
        <v>0</v>
      </c>
      <c r="AD99" s="1202">
        <v>0</v>
      </c>
      <c r="AE99" s="1202">
        <v>0</v>
      </c>
      <c r="AF99" s="1202">
        <v>0</v>
      </c>
      <c r="AG99" s="1202">
        <v>0</v>
      </c>
      <c r="AH99" s="1202">
        <v>0</v>
      </c>
      <c r="AI99" s="1202">
        <v>0</v>
      </c>
      <c r="AJ99" s="1202">
        <v>0</v>
      </c>
      <c r="AK99" s="1202">
        <v>0</v>
      </c>
      <c r="AL99" s="1202">
        <v>0</v>
      </c>
      <c r="AM99" s="1202">
        <v>0</v>
      </c>
      <c r="AN99" s="1197"/>
      <c r="AO99" s="1197">
        <v>641</v>
      </c>
      <c r="AP99" s="1197" t="s">
        <v>1357</v>
      </c>
      <c r="AQ99" s="1197" t="s">
        <v>1383</v>
      </c>
      <c r="AR99" s="1201">
        <f t="shared" si="35"/>
        <v>0</v>
      </c>
      <c r="AS99" s="1198">
        <f t="shared" si="36"/>
        <v>0</v>
      </c>
      <c r="AT99" s="1198">
        <f t="shared" si="37"/>
        <v>308110034.41478467</v>
      </c>
      <c r="AU99" s="1201">
        <f t="shared" si="38"/>
        <v>0</v>
      </c>
      <c r="AV99" s="1198">
        <f t="shared" si="39"/>
        <v>0</v>
      </c>
      <c r="AW99" s="1198">
        <f t="shared" si="40"/>
        <v>0</v>
      </c>
      <c r="AX99" s="1198">
        <f t="shared" si="41"/>
        <v>0</v>
      </c>
      <c r="AY99" s="1198">
        <f t="shared" si="42"/>
        <v>0</v>
      </c>
      <c r="AZ99" s="1198">
        <f t="shared" si="43"/>
        <v>0</v>
      </c>
      <c r="BA99" s="1198">
        <f t="shared" si="44"/>
        <v>0</v>
      </c>
      <c r="BB99" s="1198">
        <f t="shared" si="45"/>
        <v>0</v>
      </c>
      <c r="BC99" s="1198">
        <f t="shared" si="46"/>
        <v>0</v>
      </c>
      <c r="BD99" s="1198">
        <f t="shared" si="47"/>
        <v>0</v>
      </c>
      <c r="BE99" s="1198">
        <f t="shared" si="48"/>
        <v>0</v>
      </c>
    </row>
    <row r="100" spans="2:57" x14ac:dyDescent="0.25">
      <c r="B100" s="1221">
        <v>96</v>
      </c>
      <c r="C100" s="1181" t="s">
        <v>1147</v>
      </c>
      <c r="D100" s="1182" t="s">
        <v>1344</v>
      </c>
      <c r="E100" s="1199">
        <f>VLOOKUP($C100,[30]Dung!$C$2:$G$98,5,0)</f>
        <v>43571</v>
      </c>
      <c r="F100" s="1199">
        <v>44562</v>
      </c>
      <c r="G100" s="1194">
        <v>1</v>
      </c>
      <c r="H100" s="1199">
        <v>45657</v>
      </c>
      <c r="I100" s="1183">
        <f>VLOOKUP($C100,[30]NGọc!$B$3:$J$114,8,0)</f>
        <v>1200000000</v>
      </c>
      <c r="J100" s="1183">
        <v>793018480.49281263</v>
      </c>
      <c r="K100" s="1194">
        <f t="shared" si="53"/>
        <v>35</v>
      </c>
      <c r="L100" s="1194">
        <f t="shared" si="54"/>
        <v>1095</v>
      </c>
      <c r="M100" s="1195">
        <f t="shared" si="33"/>
        <v>22657670.871223219</v>
      </c>
      <c r="N100" s="1195">
        <f t="shared" si="49"/>
        <v>724217.79040439508</v>
      </c>
      <c r="O100" s="1196">
        <v>286790245.00014031</v>
      </c>
      <c r="P100" s="1194">
        <v>31</v>
      </c>
      <c r="Q100" s="1195">
        <f t="shared" si="52"/>
        <v>22450751.502536248</v>
      </c>
      <c r="R100" s="1195">
        <f t="shared" si="50"/>
        <v>528678986.99520856</v>
      </c>
      <c r="S100" s="1195">
        <f t="shared" si="51"/>
        <v>264339493.49760407</v>
      </c>
      <c r="T100" s="1194" t="s">
        <v>1071</v>
      </c>
      <c r="U100" s="1194" t="s">
        <v>1071</v>
      </c>
      <c r="V100" s="1201" t="s">
        <v>1043</v>
      </c>
      <c r="W100" s="1197"/>
      <c r="X100" s="1197"/>
      <c r="Y100" s="1197">
        <v>627</v>
      </c>
      <c r="Z100" s="1197" t="s">
        <v>1048</v>
      </c>
      <c r="AA100" s="1197"/>
      <c r="AB100" s="1202">
        <v>22450751.502536248</v>
      </c>
      <c r="AC100" s="1202">
        <v>20278098.131323062</v>
      </c>
      <c r="AD100" s="1202">
        <v>22450751.502536248</v>
      </c>
      <c r="AE100" s="1202">
        <v>21726533.712131854</v>
      </c>
      <c r="AF100" s="1202">
        <v>22450751.502536248</v>
      </c>
      <c r="AG100" s="1202">
        <v>21726533.712131854</v>
      </c>
      <c r="AH100" s="1202">
        <v>22450751.502536248</v>
      </c>
      <c r="AI100" s="1202">
        <v>22450751.502536248</v>
      </c>
      <c r="AJ100" s="1202">
        <v>21726533.712131854</v>
      </c>
      <c r="AK100" s="1202">
        <v>22450751.502536248</v>
      </c>
      <c r="AL100" s="1202">
        <v>21726533.712131854</v>
      </c>
      <c r="AM100" s="1202">
        <v>22450751.502536248</v>
      </c>
      <c r="AN100" s="1197"/>
      <c r="AO100" s="1197">
        <v>627</v>
      </c>
      <c r="AP100" s="1197" t="s">
        <v>732</v>
      </c>
      <c r="AQ100" s="1197" t="s">
        <v>1383</v>
      </c>
      <c r="AR100" s="1201">
        <f t="shared" si="35"/>
        <v>0</v>
      </c>
      <c r="AS100" s="1198">
        <f t="shared" si="36"/>
        <v>264339493.49760407</v>
      </c>
      <c r="AT100" s="1198">
        <f t="shared" si="37"/>
        <v>271892050.45467865</v>
      </c>
      <c r="AU100" s="1201">
        <f t="shared" si="38"/>
        <v>264339493.49760419</v>
      </c>
      <c r="AV100" s="1198">
        <f t="shared" si="39"/>
        <v>264339493.49760407</v>
      </c>
      <c r="AW100" s="1198">
        <f t="shared" si="40"/>
        <v>0</v>
      </c>
      <c r="AX100" s="1198">
        <f t="shared" si="41"/>
        <v>0</v>
      </c>
      <c r="AY100" s="1198">
        <f t="shared" si="42"/>
        <v>0</v>
      </c>
      <c r="AZ100" s="1198">
        <f t="shared" si="43"/>
        <v>0</v>
      </c>
      <c r="BA100" s="1198">
        <f t="shared" si="44"/>
        <v>0</v>
      </c>
      <c r="BB100" s="1198">
        <f t="shared" si="45"/>
        <v>0</v>
      </c>
      <c r="BC100" s="1198">
        <f t="shared" si="46"/>
        <v>0</v>
      </c>
      <c r="BD100" s="1198">
        <f t="shared" si="47"/>
        <v>0</v>
      </c>
      <c r="BE100" s="1198">
        <f t="shared" si="48"/>
        <v>0</v>
      </c>
    </row>
    <row r="101" spans="2:57" x14ac:dyDescent="0.25">
      <c r="B101" s="1221">
        <v>97</v>
      </c>
      <c r="C101" s="1186" t="s">
        <v>1148</v>
      </c>
      <c r="D101" s="1182" t="s">
        <v>1345</v>
      </c>
      <c r="E101" s="1199">
        <v>42401</v>
      </c>
      <c r="F101" s="1199">
        <v>44562</v>
      </c>
      <c r="G101" s="1194">
        <v>1</v>
      </c>
      <c r="H101" s="1199">
        <v>44926</v>
      </c>
      <c r="I101" s="1183">
        <f>VLOOKUP($C101,[30]NGọc!$B$3:$J$114,8,0)</f>
        <v>290909090</v>
      </c>
      <c r="J101" s="1183">
        <v>75763797.908966392</v>
      </c>
      <c r="K101" s="1194">
        <f t="shared" si="53"/>
        <v>11</v>
      </c>
      <c r="L101" s="1194">
        <f t="shared" si="54"/>
        <v>364</v>
      </c>
      <c r="M101" s="1195">
        <f t="shared" si="33"/>
        <v>6887617.9917242173</v>
      </c>
      <c r="N101" s="1195">
        <f t="shared" si="49"/>
        <v>208142.30194770987</v>
      </c>
      <c r="O101" s="1196">
        <v>0</v>
      </c>
      <c r="P101" s="1194">
        <v>31</v>
      </c>
      <c r="Q101" s="1195">
        <f t="shared" si="52"/>
        <v>0</v>
      </c>
      <c r="R101" s="1195">
        <f t="shared" si="50"/>
        <v>75763797.908966392</v>
      </c>
      <c r="S101" s="1195">
        <f t="shared" si="51"/>
        <v>0</v>
      </c>
      <c r="T101" s="1194" t="s">
        <v>1149</v>
      </c>
      <c r="U101" s="1194" t="s">
        <v>1079</v>
      </c>
      <c r="V101" s="1201" t="s">
        <v>1043</v>
      </c>
      <c r="W101" s="1197"/>
      <c r="X101" s="1197"/>
      <c r="Y101" s="1197">
        <v>627</v>
      </c>
      <c r="Z101" s="1197" t="s">
        <v>1382</v>
      </c>
      <c r="AA101" s="1197"/>
      <c r="AB101" s="1202">
        <v>0</v>
      </c>
      <c r="AC101" s="1202">
        <v>0</v>
      </c>
      <c r="AD101" s="1202">
        <v>0</v>
      </c>
      <c r="AE101" s="1202">
        <v>0</v>
      </c>
      <c r="AF101" s="1202">
        <v>0</v>
      </c>
      <c r="AG101" s="1202">
        <v>0</v>
      </c>
      <c r="AH101" s="1202">
        <v>0</v>
      </c>
      <c r="AI101" s="1202">
        <v>0</v>
      </c>
      <c r="AJ101" s="1202">
        <v>0</v>
      </c>
      <c r="AK101" s="1202">
        <v>0</v>
      </c>
      <c r="AL101" s="1202">
        <v>0</v>
      </c>
      <c r="AM101" s="1202">
        <v>0</v>
      </c>
      <c r="AN101" s="1197"/>
      <c r="AO101" s="1197">
        <v>641</v>
      </c>
      <c r="AP101" s="1197" t="s">
        <v>1357</v>
      </c>
      <c r="AQ101" s="1197" t="s">
        <v>1383</v>
      </c>
      <c r="AR101" s="1201">
        <f t="shared" ref="AR101:AR132" si="55">AS101-SUM(AV101:BE101)</f>
        <v>0</v>
      </c>
      <c r="AS101" s="1198">
        <f t="shared" ref="AS101:AS132" si="56">S101</f>
        <v>0</v>
      </c>
      <c r="AT101" s="1198">
        <f t="shared" ref="AT101:AT132" si="57">M101*12</f>
        <v>82651415.900690615</v>
      </c>
      <c r="AU101" s="1201">
        <f t="shared" ref="AU101:AU132" si="58">SUM(AB101:AM101)</f>
        <v>0</v>
      </c>
      <c r="AV101" s="1198">
        <f t="shared" si="39"/>
        <v>0</v>
      </c>
      <c r="AW101" s="1198">
        <f t="shared" si="40"/>
        <v>0</v>
      </c>
      <c r="AX101" s="1198">
        <f t="shared" si="41"/>
        <v>0</v>
      </c>
      <c r="AY101" s="1198">
        <f t="shared" si="42"/>
        <v>0</v>
      </c>
      <c r="AZ101" s="1198">
        <f t="shared" si="43"/>
        <v>0</v>
      </c>
      <c r="BA101" s="1198">
        <f t="shared" si="44"/>
        <v>0</v>
      </c>
      <c r="BB101" s="1198">
        <f t="shared" si="45"/>
        <v>0</v>
      </c>
      <c r="BC101" s="1198">
        <f t="shared" si="46"/>
        <v>0</v>
      </c>
      <c r="BD101" s="1198">
        <f t="shared" si="47"/>
        <v>0</v>
      </c>
      <c r="BE101" s="1198">
        <f t="shared" si="48"/>
        <v>0</v>
      </c>
    </row>
    <row r="102" spans="2:57" x14ac:dyDescent="0.25">
      <c r="B102" s="1221">
        <v>98</v>
      </c>
      <c r="C102" s="1186" t="s">
        <v>1150</v>
      </c>
      <c r="D102" s="1182" t="s">
        <v>1346</v>
      </c>
      <c r="E102" s="1199">
        <f>VLOOKUP($C102,[30]Dung!$C$2:$G$98,5,0)</f>
        <v>42220</v>
      </c>
      <c r="F102" s="1199">
        <v>44562</v>
      </c>
      <c r="G102" s="1194">
        <v>1</v>
      </c>
      <c r="H102" s="1199">
        <v>44926</v>
      </c>
      <c r="I102" s="1183">
        <f>VLOOKUP($C102,[30]NGọc!$B$3:$J$114,8,0)</f>
        <v>318181818</v>
      </c>
      <c r="J102" s="1183">
        <v>63157239.712525725</v>
      </c>
      <c r="K102" s="1194">
        <f t="shared" si="53"/>
        <v>11</v>
      </c>
      <c r="L102" s="1194">
        <f t="shared" si="54"/>
        <v>364</v>
      </c>
      <c r="M102" s="1195">
        <f t="shared" si="33"/>
        <v>5741567.2465932481</v>
      </c>
      <c r="N102" s="1195">
        <f t="shared" si="49"/>
        <v>173508.9003091366</v>
      </c>
      <c r="O102" s="1196">
        <v>0</v>
      </c>
      <c r="P102" s="1194">
        <v>31</v>
      </c>
      <c r="Q102" s="1195">
        <f t="shared" si="52"/>
        <v>0</v>
      </c>
      <c r="R102" s="1195">
        <f t="shared" si="50"/>
        <v>63157239.712525725</v>
      </c>
      <c r="S102" s="1195">
        <f t="shared" si="51"/>
        <v>0</v>
      </c>
      <c r="T102" s="1194" t="s">
        <v>1071</v>
      </c>
      <c r="U102" s="1194" t="s">
        <v>1079</v>
      </c>
      <c r="V102" s="1201" t="s">
        <v>1043</v>
      </c>
      <c r="W102" s="1197"/>
      <c r="X102" s="1197"/>
      <c r="Y102" s="1197">
        <v>627</v>
      </c>
      <c r="Z102" s="1197" t="s">
        <v>1382</v>
      </c>
      <c r="AA102" s="1197"/>
      <c r="AB102" s="1202">
        <v>0</v>
      </c>
      <c r="AC102" s="1202">
        <v>0</v>
      </c>
      <c r="AD102" s="1202">
        <v>0</v>
      </c>
      <c r="AE102" s="1202">
        <v>0</v>
      </c>
      <c r="AF102" s="1202">
        <v>0</v>
      </c>
      <c r="AG102" s="1202">
        <v>0</v>
      </c>
      <c r="AH102" s="1202">
        <v>0</v>
      </c>
      <c r="AI102" s="1202">
        <v>0</v>
      </c>
      <c r="AJ102" s="1202">
        <v>0</v>
      </c>
      <c r="AK102" s="1202">
        <v>0</v>
      </c>
      <c r="AL102" s="1202">
        <v>0</v>
      </c>
      <c r="AM102" s="1202">
        <v>0</v>
      </c>
      <c r="AN102" s="1197"/>
      <c r="AO102" s="1197">
        <v>641</v>
      </c>
      <c r="AP102" s="1197" t="s">
        <v>1357</v>
      </c>
      <c r="AQ102" s="1197" t="s">
        <v>1383</v>
      </c>
      <c r="AR102" s="1201">
        <f t="shared" si="55"/>
        <v>0</v>
      </c>
      <c r="AS102" s="1198">
        <f t="shared" si="56"/>
        <v>0</v>
      </c>
      <c r="AT102" s="1198">
        <f t="shared" si="57"/>
        <v>68898806.959118977</v>
      </c>
      <c r="AU102" s="1201">
        <f t="shared" si="58"/>
        <v>0</v>
      </c>
      <c r="AV102" s="1198">
        <f t="shared" si="39"/>
        <v>0</v>
      </c>
      <c r="AW102" s="1198">
        <f t="shared" si="40"/>
        <v>0</v>
      </c>
      <c r="AX102" s="1198">
        <f t="shared" si="41"/>
        <v>0</v>
      </c>
      <c r="AY102" s="1198">
        <f t="shared" si="42"/>
        <v>0</v>
      </c>
      <c r="AZ102" s="1198">
        <f t="shared" si="43"/>
        <v>0</v>
      </c>
      <c r="BA102" s="1198">
        <f t="shared" si="44"/>
        <v>0</v>
      </c>
      <c r="BB102" s="1198">
        <f t="shared" si="45"/>
        <v>0</v>
      </c>
      <c r="BC102" s="1198">
        <f t="shared" si="46"/>
        <v>0</v>
      </c>
      <c r="BD102" s="1198">
        <f t="shared" si="47"/>
        <v>0</v>
      </c>
      <c r="BE102" s="1198">
        <f t="shared" si="48"/>
        <v>0</v>
      </c>
    </row>
    <row r="103" spans="2:57" x14ac:dyDescent="0.25">
      <c r="B103" s="1221">
        <v>99</v>
      </c>
      <c r="C103" s="1193" t="s">
        <v>1151</v>
      </c>
      <c r="D103" s="1182" t="s">
        <v>1347</v>
      </c>
      <c r="E103" s="1199">
        <f>VLOOKUP($C103,[30]Dung!$C$2:$G$98,5,0)</f>
        <v>42095</v>
      </c>
      <c r="F103" s="1199">
        <v>44562</v>
      </c>
      <c r="G103" s="1194">
        <v>1</v>
      </c>
      <c r="H103" s="1199">
        <v>44926</v>
      </c>
      <c r="I103" s="1183">
        <f>VLOOKUP($C103,[30]NGọc!$B$3:$J$114,8,0)</f>
        <v>292727273</v>
      </c>
      <c r="J103" s="1183">
        <v>45582104.45414114</v>
      </c>
      <c r="K103" s="1194">
        <f t="shared" si="53"/>
        <v>11</v>
      </c>
      <c r="L103" s="1194">
        <f t="shared" si="54"/>
        <v>364</v>
      </c>
      <c r="M103" s="1195">
        <f t="shared" si="33"/>
        <v>4143827.6776491944</v>
      </c>
      <c r="N103" s="1195">
        <f t="shared" si="49"/>
        <v>125225.56168720093</v>
      </c>
      <c r="O103" s="1196">
        <v>0</v>
      </c>
      <c r="P103" s="1194">
        <v>31</v>
      </c>
      <c r="Q103" s="1195">
        <f t="shared" si="52"/>
        <v>0</v>
      </c>
      <c r="R103" s="1195">
        <f t="shared" si="50"/>
        <v>45582104.45414114</v>
      </c>
      <c r="S103" s="1195">
        <f t="shared" si="51"/>
        <v>0</v>
      </c>
      <c r="T103" s="1194" t="s">
        <v>1071</v>
      </c>
      <c r="U103" s="1194" t="s">
        <v>1079</v>
      </c>
      <c r="V103" s="1201" t="s">
        <v>1043</v>
      </c>
      <c r="W103" s="1197"/>
      <c r="X103" s="1197"/>
      <c r="Y103" s="1197">
        <v>627</v>
      </c>
      <c r="Z103" s="1197" t="s">
        <v>1382</v>
      </c>
      <c r="AA103" s="1197"/>
      <c r="AB103" s="1202">
        <v>0</v>
      </c>
      <c r="AC103" s="1202">
        <v>0</v>
      </c>
      <c r="AD103" s="1202">
        <v>0</v>
      </c>
      <c r="AE103" s="1202">
        <v>0</v>
      </c>
      <c r="AF103" s="1202">
        <v>0</v>
      </c>
      <c r="AG103" s="1202">
        <v>0</v>
      </c>
      <c r="AH103" s="1202">
        <v>0</v>
      </c>
      <c r="AI103" s="1202">
        <v>0</v>
      </c>
      <c r="AJ103" s="1202">
        <v>0</v>
      </c>
      <c r="AK103" s="1202">
        <v>0</v>
      </c>
      <c r="AL103" s="1202">
        <v>0</v>
      </c>
      <c r="AM103" s="1202">
        <v>0</v>
      </c>
      <c r="AN103" s="1197"/>
      <c r="AO103" s="1197">
        <v>641</v>
      </c>
      <c r="AP103" s="1197" t="s">
        <v>1357</v>
      </c>
      <c r="AQ103" s="1197" t="s">
        <v>1383</v>
      </c>
      <c r="AR103" s="1201">
        <f t="shared" si="55"/>
        <v>0</v>
      </c>
      <c r="AS103" s="1198">
        <f t="shared" si="56"/>
        <v>0</v>
      </c>
      <c r="AT103" s="1198">
        <f t="shared" si="57"/>
        <v>49725932.131790332</v>
      </c>
      <c r="AU103" s="1201">
        <f t="shared" si="58"/>
        <v>0</v>
      </c>
      <c r="AV103" s="1198">
        <f t="shared" si="39"/>
        <v>0</v>
      </c>
      <c r="AW103" s="1198">
        <f t="shared" si="40"/>
        <v>0</v>
      </c>
      <c r="AX103" s="1198">
        <f t="shared" si="41"/>
        <v>0</v>
      </c>
      <c r="AY103" s="1198">
        <f t="shared" si="42"/>
        <v>0</v>
      </c>
      <c r="AZ103" s="1198">
        <f t="shared" si="43"/>
        <v>0</v>
      </c>
      <c r="BA103" s="1198">
        <f t="shared" si="44"/>
        <v>0</v>
      </c>
      <c r="BB103" s="1198">
        <f t="shared" si="45"/>
        <v>0</v>
      </c>
      <c r="BC103" s="1198">
        <f t="shared" si="46"/>
        <v>0</v>
      </c>
      <c r="BD103" s="1198">
        <f t="shared" si="47"/>
        <v>0</v>
      </c>
      <c r="BE103" s="1198">
        <f t="shared" si="48"/>
        <v>0</v>
      </c>
    </row>
    <row r="104" spans="2:57" x14ac:dyDescent="0.25">
      <c r="B104" s="1221">
        <v>100</v>
      </c>
      <c r="C104" s="1181" t="s">
        <v>1152</v>
      </c>
      <c r="D104" s="1182" t="s">
        <v>1348</v>
      </c>
      <c r="E104" s="1199">
        <v>42522</v>
      </c>
      <c r="F104" s="1199">
        <v>44562</v>
      </c>
      <c r="G104" s="1194">
        <v>1</v>
      </c>
      <c r="H104" s="1199">
        <v>44926</v>
      </c>
      <c r="I104" s="1183">
        <f>VLOOKUP($C104,[30]NGọc!$B$3:$J$114,8,0)</f>
        <v>292727273</v>
      </c>
      <c r="J104" s="1183">
        <v>88359156.326488853</v>
      </c>
      <c r="K104" s="1194">
        <f t="shared" si="53"/>
        <v>11</v>
      </c>
      <c r="L104" s="1194">
        <f t="shared" si="54"/>
        <v>364</v>
      </c>
      <c r="M104" s="1195">
        <f t="shared" si="33"/>
        <v>8032650.5751353502</v>
      </c>
      <c r="N104" s="1195">
        <f t="shared" si="49"/>
        <v>242744.93496288147</v>
      </c>
      <c r="O104" s="1196">
        <v>0</v>
      </c>
      <c r="P104" s="1194">
        <v>31</v>
      </c>
      <c r="Q104" s="1195">
        <f t="shared" si="52"/>
        <v>0</v>
      </c>
      <c r="R104" s="1195">
        <f t="shared" si="50"/>
        <v>88359156.326488853</v>
      </c>
      <c r="S104" s="1195">
        <f t="shared" si="51"/>
        <v>0</v>
      </c>
      <c r="T104" s="1194" t="s">
        <v>1071</v>
      </c>
      <c r="U104" s="1194" t="s">
        <v>1095</v>
      </c>
      <c r="V104" s="1201" t="s">
        <v>1043</v>
      </c>
      <c r="W104" s="1197"/>
      <c r="X104" s="1197"/>
      <c r="Y104" s="1197">
        <v>627</v>
      </c>
      <c r="Z104" s="1197" t="s">
        <v>1048</v>
      </c>
      <c r="AA104" s="1197"/>
      <c r="AB104" s="1202">
        <v>0</v>
      </c>
      <c r="AC104" s="1202">
        <v>0</v>
      </c>
      <c r="AD104" s="1202">
        <v>0</v>
      </c>
      <c r="AE104" s="1202">
        <v>0</v>
      </c>
      <c r="AF104" s="1202">
        <v>0</v>
      </c>
      <c r="AG104" s="1202">
        <v>0</v>
      </c>
      <c r="AH104" s="1202">
        <v>0</v>
      </c>
      <c r="AI104" s="1202">
        <v>0</v>
      </c>
      <c r="AJ104" s="1202">
        <v>0</v>
      </c>
      <c r="AK104" s="1202">
        <v>0</v>
      </c>
      <c r="AL104" s="1202">
        <v>0</v>
      </c>
      <c r="AM104" s="1202">
        <v>0</v>
      </c>
      <c r="AN104" s="1197"/>
      <c r="AO104" s="1197">
        <v>641</v>
      </c>
      <c r="AP104" s="1197" t="s">
        <v>1357</v>
      </c>
      <c r="AQ104" s="1197" t="s">
        <v>1383</v>
      </c>
      <c r="AR104" s="1201">
        <f t="shared" si="55"/>
        <v>0</v>
      </c>
      <c r="AS104" s="1198">
        <f t="shared" si="56"/>
        <v>0</v>
      </c>
      <c r="AT104" s="1198">
        <f t="shared" si="57"/>
        <v>96391806.901624203</v>
      </c>
      <c r="AU104" s="1201">
        <f t="shared" si="58"/>
        <v>0</v>
      </c>
      <c r="AV104" s="1198">
        <f t="shared" si="39"/>
        <v>0</v>
      </c>
      <c r="AW104" s="1198">
        <f t="shared" si="40"/>
        <v>0</v>
      </c>
      <c r="AX104" s="1198">
        <f t="shared" si="41"/>
        <v>0</v>
      </c>
      <c r="AY104" s="1198">
        <f t="shared" si="42"/>
        <v>0</v>
      </c>
      <c r="AZ104" s="1198">
        <f t="shared" si="43"/>
        <v>0</v>
      </c>
      <c r="BA104" s="1198">
        <f t="shared" si="44"/>
        <v>0</v>
      </c>
      <c r="BB104" s="1198">
        <f t="shared" si="45"/>
        <v>0</v>
      </c>
      <c r="BC104" s="1198">
        <f t="shared" si="46"/>
        <v>0</v>
      </c>
      <c r="BD104" s="1198">
        <f t="shared" si="47"/>
        <v>0</v>
      </c>
      <c r="BE104" s="1198">
        <f t="shared" si="48"/>
        <v>0</v>
      </c>
    </row>
    <row r="105" spans="2:57" x14ac:dyDescent="0.25">
      <c r="B105" s="1221">
        <v>101</v>
      </c>
      <c r="C105" s="1181" t="s">
        <v>1153</v>
      </c>
      <c r="D105" s="1182" t="s">
        <v>1349</v>
      </c>
      <c r="E105" s="1199">
        <v>43282</v>
      </c>
      <c r="F105" s="1199">
        <v>44562</v>
      </c>
      <c r="G105" s="1194">
        <v>1</v>
      </c>
      <c r="H105" s="1199">
        <v>44926</v>
      </c>
      <c r="I105" s="1183">
        <f>VLOOKUP($C105,[30]NGọc!$B$3:$J$114,8,0)</f>
        <v>280000000</v>
      </c>
      <c r="J105" s="1183">
        <v>157344284.73648188</v>
      </c>
      <c r="K105" s="1194">
        <f t="shared" si="53"/>
        <v>11</v>
      </c>
      <c r="L105" s="1194">
        <f t="shared" si="54"/>
        <v>364</v>
      </c>
      <c r="M105" s="1195">
        <f t="shared" si="33"/>
        <v>14304025.885134716</v>
      </c>
      <c r="N105" s="1195">
        <f t="shared" si="49"/>
        <v>432264.51850681833</v>
      </c>
      <c r="O105" s="1196">
        <v>0</v>
      </c>
      <c r="P105" s="1194">
        <v>31</v>
      </c>
      <c r="Q105" s="1195">
        <f t="shared" si="52"/>
        <v>0</v>
      </c>
      <c r="R105" s="1195">
        <f t="shared" si="50"/>
        <v>157344284.73648188</v>
      </c>
      <c r="S105" s="1195">
        <f t="shared" si="51"/>
        <v>0</v>
      </c>
      <c r="T105" s="1194" t="s">
        <v>1071</v>
      </c>
      <c r="U105" s="1194" t="s">
        <v>1095</v>
      </c>
      <c r="V105" s="1201" t="s">
        <v>1043</v>
      </c>
      <c r="W105" s="1197"/>
      <c r="X105" s="1197"/>
      <c r="Y105" s="1197">
        <v>627</v>
      </c>
      <c r="Z105" s="1197" t="s">
        <v>1048</v>
      </c>
      <c r="AA105" s="1197"/>
      <c r="AB105" s="1202">
        <v>0</v>
      </c>
      <c r="AC105" s="1202">
        <v>0</v>
      </c>
      <c r="AD105" s="1202">
        <v>0</v>
      </c>
      <c r="AE105" s="1202">
        <v>0</v>
      </c>
      <c r="AF105" s="1202">
        <v>0</v>
      </c>
      <c r="AG105" s="1202">
        <v>0</v>
      </c>
      <c r="AH105" s="1202">
        <v>0</v>
      </c>
      <c r="AI105" s="1202">
        <v>0</v>
      </c>
      <c r="AJ105" s="1202">
        <v>0</v>
      </c>
      <c r="AK105" s="1202">
        <v>0</v>
      </c>
      <c r="AL105" s="1202">
        <v>0</v>
      </c>
      <c r="AM105" s="1202">
        <v>0</v>
      </c>
      <c r="AN105" s="1197"/>
      <c r="AO105" s="1197">
        <v>641</v>
      </c>
      <c r="AP105" s="1197" t="s">
        <v>1357</v>
      </c>
      <c r="AQ105" s="1197" t="s">
        <v>1383</v>
      </c>
      <c r="AR105" s="1201">
        <f t="shared" si="55"/>
        <v>0</v>
      </c>
      <c r="AS105" s="1198">
        <f t="shared" si="56"/>
        <v>0</v>
      </c>
      <c r="AT105" s="1198">
        <f t="shared" si="57"/>
        <v>171648310.6216166</v>
      </c>
      <c r="AU105" s="1201">
        <f t="shared" si="58"/>
        <v>0</v>
      </c>
      <c r="AV105" s="1198">
        <f t="shared" si="39"/>
        <v>0</v>
      </c>
      <c r="AW105" s="1198">
        <f t="shared" si="40"/>
        <v>0</v>
      </c>
      <c r="AX105" s="1198">
        <f t="shared" si="41"/>
        <v>0</v>
      </c>
      <c r="AY105" s="1198">
        <f t="shared" si="42"/>
        <v>0</v>
      </c>
      <c r="AZ105" s="1198">
        <f t="shared" si="43"/>
        <v>0</v>
      </c>
      <c r="BA105" s="1198">
        <f t="shared" si="44"/>
        <v>0</v>
      </c>
      <c r="BB105" s="1198">
        <f t="shared" si="45"/>
        <v>0</v>
      </c>
      <c r="BC105" s="1198">
        <f t="shared" si="46"/>
        <v>0</v>
      </c>
      <c r="BD105" s="1198">
        <f t="shared" si="47"/>
        <v>0</v>
      </c>
      <c r="BE105" s="1198">
        <f t="shared" si="48"/>
        <v>0</v>
      </c>
    </row>
    <row r="106" spans="2:57" x14ac:dyDescent="0.25">
      <c r="B106" s="1221">
        <v>102</v>
      </c>
      <c r="C106" s="1181" t="s">
        <v>1154</v>
      </c>
      <c r="D106" s="1182" t="s">
        <v>1350</v>
      </c>
      <c r="E106" s="1199">
        <v>42887</v>
      </c>
      <c r="F106" s="1199">
        <v>44562</v>
      </c>
      <c r="G106" s="1194">
        <v>1</v>
      </c>
      <c r="H106" s="1199">
        <v>44926</v>
      </c>
      <c r="I106" s="1183">
        <f>VLOOKUP($C106,[30]NGọc!$B$3:$J$114,8,0)</f>
        <v>595454545</v>
      </c>
      <c r="J106" s="1183">
        <v>254117665.16598237</v>
      </c>
      <c r="K106" s="1194">
        <f t="shared" si="53"/>
        <v>11</v>
      </c>
      <c r="L106" s="1194">
        <f t="shared" si="54"/>
        <v>364</v>
      </c>
      <c r="M106" s="1195">
        <f t="shared" si="33"/>
        <v>23101605.924180213</v>
      </c>
      <c r="N106" s="1195">
        <f t="shared" si="49"/>
        <v>698125.45375269884</v>
      </c>
      <c r="O106" s="1196">
        <v>0</v>
      </c>
      <c r="P106" s="1194">
        <v>31</v>
      </c>
      <c r="Q106" s="1195">
        <f t="shared" si="52"/>
        <v>0</v>
      </c>
      <c r="R106" s="1195">
        <f t="shared" si="50"/>
        <v>254117665.16598237</v>
      </c>
      <c r="S106" s="1195">
        <f t="shared" si="51"/>
        <v>0</v>
      </c>
      <c r="T106" s="1194" t="s">
        <v>1071</v>
      </c>
      <c r="U106" s="1194" t="s">
        <v>1047</v>
      </c>
      <c r="V106" s="1201" t="s">
        <v>1043</v>
      </c>
      <c r="W106" s="1197"/>
      <c r="X106" s="1197"/>
      <c r="Y106" s="1197">
        <v>642</v>
      </c>
      <c r="Z106" s="1197" t="s">
        <v>1048</v>
      </c>
      <c r="AA106" s="1197"/>
      <c r="AB106" s="1202">
        <v>0</v>
      </c>
      <c r="AC106" s="1202">
        <v>0</v>
      </c>
      <c r="AD106" s="1202">
        <v>0</v>
      </c>
      <c r="AE106" s="1202">
        <v>0</v>
      </c>
      <c r="AF106" s="1202">
        <v>0</v>
      </c>
      <c r="AG106" s="1202">
        <v>0</v>
      </c>
      <c r="AH106" s="1202">
        <v>0</v>
      </c>
      <c r="AI106" s="1202">
        <v>0</v>
      </c>
      <c r="AJ106" s="1202">
        <v>0</v>
      </c>
      <c r="AK106" s="1202">
        <v>0</v>
      </c>
      <c r="AL106" s="1202">
        <v>0</v>
      </c>
      <c r="AM106" s="1202">
        <v>0</v>
      </c>
      <c r="AN106" s="1197"/>
      <c r="AO106" s="1197">
        <v>642</v>
      </c>
      <c r="AP106" s="1197" t="s">
        <v>1358</v>
      </c>
      <c r="AQ106" s="1197" t="s">
        <v>1048</v>
      </c>
      <c r="AR106" s="1201">
        <f t="shared" si="55"/>
        <v>0</v>
      </c>
      <c r="AS106" s="1198">
        <f t="shared" si="56"/>
        <v>0</v>
      </c>
      <c r="AT106" s="1198">
        <f t="shared" si="57"/>
        <v>277219271.09016258</v>
      </c>
      <c r="AU106" s="1201">
        <f t="shared" si="58"/>
        <v>0</v>
      </c>
      <c r="AV106" s="1198">
        <f t="shared" si="39"/>
        <v>0</v>
      </c>
      <c r="AW106" s="1198">
        <f t="shared" si="40"/>
        <v>0</v>
      </c>
      <c r="AX106" s="1198">
        <f t="shared" si="41"/>
        <v>0</v>
      </c>
      <c r="AY106" s="1198">
        <f t="shared" si="42"/>
        <v>0</v>
      </c>
      <c r="AZ106" s="1198">
        <f t="shared" si="43"/>
        <v>0</v>
      </c>
      <c r="BA106" s="1198">
        <f t="shared" si="44"/>
        <v>0</v>
      </c>
      <c r="BB106" s="1198">
        <f t="shared" si="45"/>
        <v>0</v>
      </c>
      <c r="BC106" s="1198">
        <f t="shared" si="46"/>
        <v>0</v>
      </c>
      <c r="BD106" s="1198">
        <f t="shared" si="47"/>
        <v>0</v>
      </c>
      <c r="BE106" s="1198">
        <f t="shared" si="48"/>
        <v>0</v>
      </c>
    </row>
    <row r="107" spans="2:57" x14ac:dyDescent="0.25">
      <c r="B107" s="1221">
        <v>103</v>
      </c>
      <c r="C107" s="1181" t="s">
        <v>1155</v>
      </c>
      <c r="D107" s="1182" t="s">
        <v>1351</v>
      </c>
      <c r="E107" s="1199">
        <v>43313</v>
      </c>
      <c r="F107" s="1199">
        <v>44562</v>
      </c>
      <c r="G107" s="1194">
        <v>1</v>
      </c>
      <c r="H107" s="1199">
        <v>45291</v>
      </c>
      <c r="I107" s="1183">
        <f>VLOOKUP($C107,[30]NGọc!$B$3:$J$114,8,0)</f>
        <v>3660000000</v>
      </c>
      <c r="J107" s="1183">
        <v>2095544147.8439419</v>
      </c>
      <c r="K107" s="1194">
        <f t="shared" si="53"/>
        <v>23</v>
      </c>
      <c r="L107" s="1194">
        <f t="shared" si="54"/>
        <v>729</v>
      </c>
      <c r="M107" s="1195">
        <f t="shared" si="33"/>
        <v>91110615.123649642</v>
      </c>
      <c r="N107" s="1195">
        <f t="shared" si="49"/>
        <v>2874546.1561645293</v>
      </c>
      <c r="O107" s="1196">
        <v>86236384.684935808</v>
      </c>
      <c r="P107" s="1194">
        <v>31</v>
      </c>
      <c r="Q107" s="1195">
        <f t="shared" si="52"/>
        <v>86236384.684935808</v>
      </c>
      <c r="R107" s="1195">
        <f t="shared" si="50"/>
        <v>2095544147.8439419</v>
      </c>
      <c r="S107" s="1195">
        <f t="shared" si="51"/>
        <v>0</v>
      </c>
      <c r="T107" s="1194" t="s">
        <v>1156</v>
      </c>
      <c r="U107" s="1194" t="s">
        <v>1145</v>
      </c>
      <c r="V107" s="1201" t="s">
        <v>1145</v>
      </c>
      <c r="W107" s="1201" t="s">
        <v>1157</v>
      </c>
      <c r="X107" s="1197"/>
      <c r="Y107" s="1197">
        <v>642</v>
      </c>
      <c r="Z107" s="1197" t="s">
        <v>1158</v>
      </c>
      <c r="AA107" s="1197"/>
      <c r="AB107" s="1202">
        <v>89110930.84110041</v>
      </c>
      <c r="AC107" s="1202">
        <v>80487292.372606814</v>
      </c>
      <c r="AD107" s="1202">
        <v>89110930.84110041</v>
      </c>
      <c r="AE107" s="1202">
        <v>86236384.684935883</v>
      </c>
      <c r="AF107" s="1202">
        <v>89110930.84110041</v>
      </c>
      <c r="AG107" s="1202">
        <v>86236384.684935883</v>
      </c>
      <c r="AH107" s="1202">
        <v>89110930.84110041</v>
      </c>
      <c r="AI107" s="1202">
        <v>89110930.84110041</v>
      </c>
      <c r="AJ107" s="1202">
        <v>86236384.684935883</v>
      </c>
      <c r="AK107" s="1202">
        <v>89110930.84110041</v>
      </c>
      <c r="AL107" s="1202">
        <v>86236384.684935883</v>
      </c>
      <c r="AM107" s="1202">
        <v>86236384.684935808</v>
      </c>
      <c r="AN107" s="1197"/>
      <c r="AO107" s="1197">
        <v>642</v>
      </c>
      <c r="AP107" s="1197" t="s">
        <v>1358</v>
      </c>
      <c r="AQ107" s="1197" t="s">
        <v>1158</v>
      </c>
      <c r="AR107" s="1201">
        <f t="shared" si="55"/>
        <v>0</v>
      </c>
      <c r="AS107" s="1198">
        <f t="shared" si="56"/>
        <v>0</v>
      </c>
      <c r="AT107" s="1198">
        <f t="shared" si="57"/>
        <v>1093327381.4837956</v>
      </c>
      <c r="AU107" s="1201">
        <f t="shared" si="58"/>
        <v>1046334800.8438888</v>
      </c>
      <c r="AV107" s="1198">
        <f t="shared" si="39"/>
        <v>0</v>
      </c>
      <c r="AW107" s="1198">
        <f t="shared" si="40"/>
        <v>0</v>
      </c>
      <c r="AX107" s="1198">
        <f t="shared" si="41"/>
        <v>0</v>
      </c>
      <c r="AY107" s="1198">
        <f t="shared" si="42"/>
        <v>0</v>
      </c>
      <c r="AZ107" s="1198">
        <f t="shared" si="43"/>
        <v>0</v>
      </c>
      <c r="BA107" s="1198">
        <f t="shared" si="44"/>
        <v>0</v>
      </c>
      <c r="BB107" s="1198">
        <f t="shared" si="45"/>
        <v>0</v>
      </c>
      <c r="BC107" s="1198">
        <f t="shared" si="46"/>
        <v>0</v>
      </c>
      <c r="BD107" s="1198">
        <f t="shared" si="47"/>
        <v>0</v>
      </c>
      <c r="BE107" s="1198">
        <f t="shared" si="48"/>
        <v>0</v>
      </c>
    </row>
    <row r="108" spans="2:57" x14ac:dyDescent="0.25">
      <c r="B108" s="1221">
        <v>104</v>
      </c>
      <c r="C108" s="1193" t="s">
        <v>1159</v>
      </c>
      <c r="D108" s="1194" t="s">
        <v>1159</v>
      </c>
      <c r="E108" s="1199">
        <v>43101</v>
      </c>
      <c r="F108" s="1199">
        <v>44562</v>
      </c>
      <c r="G108" s="1194">
        <v>1</v>
      </c>
      <c r="H108" s="1199">
        <v>45291</v>
      </c>
      <c r="I108" s="1183">
        <v>2650000000</v>
      </c>
      <c r="J108" s="1183">
        <v>1943365577.6601572</v>
      </c>
      <c r="K108" s="1194">
        <f t="shared" si="53"/>
        <v>23</v>
      </c>
      <c r="L108" s="1194">
        <f t="shared" si="54"/>
        <v>729</v>
      </c>
      <c r="M108" s="1195">
        <f t="shared" si="33"/>
        <v>84494155.550441623</v>
      </c>
      <c r="N108" s="1195">
        <f t="shared" si="49"/>
        <v>2665796.4028260042</v>
      </c>
      <c r="O108" s="1196">
        <v>79973892.084780455</v>
      </c>
      <c r="P108" s="1194">
        <v>31</v>
      </c>
      <c r="Q108" s="1195">
        <f t="shared" si="52"/>
        <v>79973892.084780455</v>
      </c>
      <c r="R108" s="1195">
        <f t="shared" si="50"/>
        <v>1943365577.6601572</v>
      </c>
      <c r="S108" s="1195">
        <f t="shared" si="51"/>
        <v>0</v>
      </c>
      <c r="T108" s="1194">
        <v>5</v>
      </c>
      <c r="U108" s="1194" t="s">
        <v>1047</v>
      </c>
      <c r="V108" s="1201" t="s">
        <v>1047</v>
      </c>
      <c r="W108" s="1197"/>
      <c r="X108" s="1197"/>
      <c r="Y108" s="1197">
        <v>627</v>
      </c>
      <c r="Z108" s="1197" t="s">
        <v>809</v>
      </c>
      <c r="AA108" s="1197"/>
      <c r="AB108" s="1202">
        <v>82639688.487606123</v>
      </c>
      <c r="AC108" s="1202">
        <v>74642299.279128119</v>
      </c>
      <c r="AD108" s="1202">
        <v>82639688.487606123</v>
      </c>
      <c r="AE108" s="1202">
        <v>79973892.084780127</v>
      </c>
      <c r="AF108" s="1202">
        <v>82639688.487606123</v>
      </c>
      <c r="AG108" s="1202">
        <v>79973892.084780127</v>
      </c>
      <c r="AH108" s="1202">
        <v>82639688.487606123</v>
      </c>
      <c r="AI108" s="1202">
        <v>82639688.487606123</v>
      </c>
      <c r="AJ108" s="1202">
        <v>79973892.084780127</v>
      </c>
      <c r="AK108" s="1202">
        <v>82639688.487606123</v>
      </c>
      <c r="AL108" s="1202">
        <v>79973892.084780127</v>
      </c>
      <c r="AM108" s="1202">
        <v>79973892.084780455</v>
      </c>
      <c r="AN108" s="1197"/>
      <c r="AO108" s="1197">
        <v>627</v>
      </c>
      <c r="AP108" s="1197" t="s">
        <v>732</v>
      </c>
      <c r="AQ108" s="1238" t="s">
        <v>809</v>
      </c>
      <c r="AR108" s="1201">
        <f t="shared" si="55"/>
        <v>0</v>
      </c>
      <c r="AS108" s="1198">
        <f t="shared" si="56"/>
        <v>0</v>
      </c>
      <c r="AT108" s="1198">
        <f t="shared" si="57"/>
        <v>1013929866.6052995</v>
      </c>
      <c r="AU108" s="1201">
        <f t="shared" si="58"/>
        <v>970349890.62866592</v>
      </c>
      <c r="AV108" s="1198">
        <f t="shared" si="39"/>
        <v>0</v>
      </c>
      <c r="AW108" s="1198">
        <f t="shared" si="40"/>
        <v>0</v>
      </c>
      <c r="AX108" s="1198">
        <f t="shared" si="41"/>
        <v>0</v>
      </c>
      <c r="AY108" s="1198">
        <f t="shared" si="42"/>
        <v>0</v>
      </c>
      <c r="AZ108" s="1198">
        <f t="shared" si="43"/>
        <v>0</v>
      </c>
      <c r="BA108" s="1198">
        <f t="shared" si="44"/>
        <v>0</v>
      </c>
      <c r="BB108" s="1198">
        <f t="shared" si="45"/>
        <v>0</v>
      </c>
      <c r="BC108" s="1198">
        <f t="shared" si="46"/>
        <v>0</v>
      </c>
      <c r="BD108" s="1198">
        <f t="shared" si="47"/>
        <v>0</v>
      </c>
      <c r="BE108" s="1198">
        <f t="shared" si="48"/>
        <v>0</v>
      </c>
    </row>
    <row r="109" spans="2:57" x14ac:dyDescent="0.25">
      <c r="B109" s="1221">
        <v>105</v>
      </c>
      <c r="C109" s="1193" t="s">
        <v>1160</v>
      </c>
      <c r="D109" s="1194" t="s">
        <v>1160</v>
      </c>
      <c r="E109" s="1199">
        <v>44044</v>
      </c>
      <c r="F109" s="1199">
        <v>44562</v>
      </c>
      <c r="G109" s="1194">
        <v>1</v>
      </c>
      <c r="H109" s="1199">
        <v>46022</v>
      </c>
      <c r="I109" s="1183">
        <v>2800000000</v>
      </c>
      <c r="J109" s="1183">
        <v>2535231836.4366546</v>
      </c>
      <c r="K109" s="1194">
        <f t="shared" si="53"/>
        <v>47</v>
      </c>
      <c r="L109" s="1194">
        <f t="shared" si="54"/>
        <v>1460</v>
      </c>
      <c r="M109" s="1195">
        <f t="shared" si="33"/>
        <v>53941102.902907543</v>
      </c>
      <c r="N109" s="1195">
        <f t="shared" si="49"/>
        <v>1736460.1619429141</v>
      </c>
      <c r="O109" s="1196">
        <v>1321446183.2385588</v>
      </c>
      <c r="P109" s="1194">
        <v>31</v>
      </c>
      <c r="Q109" s="1195">
        <f t="shared" si="52"/>
        <v>53830265.020230338</v>
      </c>
      <c r="R109" s="1195">
        <f t="shared" si="50"/>
        <v>1267615918.2183261</v>
      </c>
      <c r="S109" s="1195">
        <f t="shared" si="51"/>
        <v>1267615918.2183285</v>
      </c>
      <c r="T109" s="1194">
        <v>5</v>
      </c>
      <c r="U109" s="1194" t="s">
        <v>1047</v>
      </c>
      <c r="V109" s="1201" t="s">
        <v>1047</v>
      </c>
      <c r="W109" s="1197"/>
      <c r="X109" s="1197"/>
      <c r="Y109" s="1197">
        <v>627</v>
      </c>
      <c r="Z109" s="1197" t="s">
        <v>809</v>
      </c>
      <c r="AA109" s="1197"/>
      <c r="AB109" s="1202">
        <v>53830265.020230338</v>
      </c>
      <c r="AC109" s="1202">
        <v>48620884.534401596</v>
      </c>
      <c r="AD109" s="1202">
        <v>53830265.020230338</v>
      </c>
      <c r="AE109" s="1202">
        <v>52093804.858287424</v>
      </c>
      <c r="AF109" s="1202">
        <v>53830265.020230338</v>
      </c>
      <c r="AG109" s="1202">
        <v>52093804.858287424</v>
      </c>
      <c r="AH109" s="1202">
        <v>53830265.020230338</v>
      </c>
      <c r="AI109" s="1202">
        <v>53830265.020230338</v>
      </c>
      <c r="AJ109" s="1202">
        <v>52093804.858287424</v>
      </c>
      <c r="AK109" s="1202">
        <v>53830265.020230338</v>
      </c>
      <c r="AL109" s="1202">
        <v>52093804.858287424</v>
      </c>
      <c r="AM109" s="1202">
        <v>53830265.020230338</v>
      </c>
      <c r="AN109" s="1197"/>
      <c r="AO109" s="1197">
        <v>627</v>
      </c>
      <c r="AP109" s="1197" t="s">
        <v>732</v>
      </c>
      <c r="AQ109" s="1238" t="s">
        <v>809</v>
      </c>
      <c r="AR109" s="1201">
        <f t="shared" si="55"/>
        <v>0</v>
      </c>
      <c r="AS109" s="1198">
        <f t="shared" si="56"/>
        <v>1267615918.2183285</v>
      </c>
      <c r="AT109" s="1198">
        <f t="shared" si="57"/>
        <v>647293234.83489048</v>
      </c>
      <c r="AU109" s="1201">
        <f t="shared" si="58"/>
        <v>633807959.10916364</v>
      </c>
      <c r="AV109" s="1198">
        <f t="shared" si="39"/>
        <v>647293234.83489048</v>
      </c>
      <c r="AW109" s="1198">
        <f t="shared" si="40"/>
        <v>620322683.38343799</v>
      </c>
      <c r="AX109" s="1198">
        <f t="shared" si="41"/>
        <v>0</v>
      </c>
      <c r="AY109" s="1198">
        <f t="shared" si="42"/>
        <v>0</v>
      </c>
      <c r="AZ109" s="1198">
        <f t="shared" si="43"/>
        <v>0</v>
      </c>
      <c r="BA109" s="1198">
        <f t="shared" si="44"/>
        <v>0</v>
      </c>
      <c r="BB109" s="1198">
        <f t="shared" si="45"/>
        <v>0</v>
      </c>
      <c r="BC109" s="1198">
        <f t="shared" si="46"/>
        <v>0</v>
      </c>
      <c r="BD109" s="1198">
        <f t="shared" si="47"/>
        <v>0</v>
      </c>
      <c r="BE109" s="1198">
        <f t="shared" si="48"/>
        <v>0</v>
      </c>
    </row>
    <row r="110" spans="2:57" x14ac:dyDescent="0.25">
      <c r="B110" s="1221">
        <v>106</v>
      </c>
      <c r="C110" s="1193" t="s">
        <v>1161</v>
      </c>
      <c r="D110" s="1194" t="s">
        <v>1161</v>
      </c>
      <c r="E110" s="1199">
        <v>43102</v>
      </c>
      <c r="F110" s="1199">
        <v>44562</v>
      </c>
      <c r="G110" s="1194">
        <v>1</v>
      </c>
      <c r="H110" s="1199">
        <v>47118</v>
      </c>
      <c r="I110" s="1183">
        <v>3891936253</v>
      </c>
      <c r="J110" s="1183">
        <v>2854844278.3002372</v>
      </c>
      <c r="K110" s="1194">
        <f t="shared" si="53"/>
        <v>83</v>
      </c>
      <c r="L110" s="1194">
        <f t="shared" si="54"/>
        <v>2556</v>
      </c>
      <c r="M110" s="1195">
        <f t="shared" si="33"/>
        <v>34395714.196388401</v>
      </c>
      <c r="N110" s="1195">
        <f t="shared" si="49"/>
        <v>1116918.7317293573</v>
      </c>
      <c r="O110" s="1196">
        <v>2074118084.821418</v>
      </c>
      <c r="P110" s="1194">
        <v>31</v>
      </c>
      <c r="Q110" s="1195">
        <f t="shared" si="52"/>
        <v>34624480.683610074</v>
      </c>
      <c r="R110" s="1195">
        <f t="shared" si="50"/>
        <v>815350674.16242921</v>
      </c>
      <c r="S110" s="1195">
        <f t="shared" si="51"/>
        <v>2039493604.1378078</v>
      </c>
      <c r="T110" s="1194">
        <v>5</v>
      </c>
      <c r="U110" s="1194" t="s">
        <v>1047</v>
      </c>
      <c r="V110" s="1201" t="s">
        <v>1047</v>
      </c>
      <c r="W110" s="1197"/>
      <c r="X110" s="1197"/>
      <c r="Y110" s="1197">
        <v>627</v>
      </c>
      <c r="Z110" s="1197" t="s">
        <v>814</v>
      </c>
      <c r="AA110" s="1197"/>
      <c r="AB110" s="1202">
        <v>34624480.683610074</v>
      </c>
      <c r="AC110" s="1202">
        <v>31273724.488422003</v>
      </c>
      <c r="AD110" s="1202">
        <v>34624480.683610074</v>
      </c>
      <c r="AE110" s="1202">
        <v>33507561.95188072</v>
      </c>
      <c r="AF110" s="1202">
        <v>34624480.683610074</v>
      </c>
      <c r="AG110" s="1202">
        <v>33507561.95188072</v>
      </c>
      <c r="AH110" s="1202">
        <v>34624480.683610074</v>
      </c>
      <c r="AI110" s="1202">
        <v>34624480.683610074</v>
      </c>
      <c r="AJ110" s="1202">
        <v>33507561.95188072</v>
      </c>
      <c r="AK110" s="1202">
        <v>34624480.683610074</v>
      </c>
      <c r="AL110" s="1202">
        <v>33507561.95188072</v>
      </c>
      <c r="AM110" s="1202">
        <v>34624480.683610074</v>
      </c>
      <c r="AN110" s="1197"/>
      <c r="AO110" s="1197">
        <v>627</v>
      </c>
      <c r="AP110" s="1197" t="s">
        <v>732</v>
      </c>
      <c r="AQ110" s="1197" t="s">
        <v>814</v>
      </c>
      <c r="AR110" s="1201">
        <f t="shared" si="55"/>
        <v>0</v>
      </c>
      <c r="AS110" s="1198">
        <f t="shared" si="56"/>
        <v>2039493604.1378078</v>
      </c>
      <c r="AT110" s="1198">
        <f t="shared" si="57"/>
        <v>412748570.35666084</v>
      </c>
      <c r="AU110" s="1201">
        <f t="shared" si="58"/>
        <v>407675337.08121538</v>
      </c>
      <c r="AV110" s="1198">
        <f t="shared" si="39"/>
        <v>412748570.35666084</v>
      </c>
      <c r="AW110" s="1198">
        <f t="shared" si="40"/>
        <v>412748570.35666084</v>
      </c>
      <c r="AX110" s="1198">
        <f t="shared" si="41"/>
        <v>412748570.35666084</v>
      </c>
      <c r="AY110" s="1198">
        <f t="shared" si="42"/>
        <v>412748570.35666084</v>
      </c>
      <c r="AZ110" s="1198">
        <f t="shared" si="43"/>
        <v>388499322.71116447</v>
      </c>
      <c r="BA110" s="1198">
        <f t="shared" si="44"/>
        <v>0</v>
      </c>
      <c r="BB110" s="1198">
        <f t="shared" si="45"/>
        <v>0</v>
      </c>
      <c r="BC110" s="1198">
        <f t="shared" si="46"/>
        <v>0</v>
      </c>
      <c r="BD110" s="1198">
        <f t="shared" si="47"/>
        <v>0</v>
      </c>
      <c r="BE110" s="1198">
        <f t="shared" si="48"/>
        <v>0</v>
      </c>
    </row>
    <row r="111" spans="2:57" x14ac:dyDescent="0.25">
      <c r="B111" s="1221">
        <v>107</v>
      </c>
      <c r="C111" s="1193" t="s">
        <v>1162</v>
      </c>
      <c r="D111" s="1194" t="s">
        <v>1162</v>
      </c>
      <c r="E111" s="1199">
        <v>43831</v>
      </c>
      <c r="F111" s="1199">
        <v>44562</v>
      </c>
      <c r="G111" s="1194">
        <v>1</v>
      </c>
      <c r="H111" s="1199">
        <v>49310</v>
      </c>
      <c r="I111" s="1183">
        <v>1153875000</v>
      </c>
      <c r="J111" s="1183">
        <v>999926720.20441687</v>
      </c>
      <c r="K111" s="1194">
        <f t="shared" si="53"/>
        <v>156</v>
      </c>
      <c r="L111" s="1194">
        <f t="shared" si="54"/>
        <v>4748</v>
      </c>
      <c r="M111" s="1195">
        <f t="shared" si="33"/>
        <v>6409786.6679770313</v>
      </c>
      <c r="N111" s="1195">
        <f t="shared" si="49"/>
        <v>210599.56196386201</v>
      </c>
      <c r="O111" s="1196">
        <v>852717626.39167762</v>
      </c>
      <c r="P111" s="1194">
        <v>31</v>
      </c>
      <c r="Q111" s="1195">
        <f t="shared" si="52"/>
        <v>6528586.4208797226</v>
      </c>
      <c r="R111" s="1195">
        <f t="shared" si="50"/>
        <v>153737680.23361897</v>
      </c>
      <c r="S111" s="1195">
        <f t="shared" si="51"/>
        <v>846189039.9707979</v>
      </c>
      <c r="T111" s="1194">
        <v>3</v>
      </c>
      <c r="U111" s="1194" t="s">
        <v>1045</v>
      </c>
      <c r="V111" s="1201" t="s">
        <v>1045</v>
      </c>
      <c r="W111" s="1197"/>
      <c r="X111" s="1197"/>
      <c r="Y111" s="1197">
        <v>627</v>
      </c>
      <c r="Z111" s="1197" t="s">
        <v>1382</v>
      </c>
      <c r="AA111" s="1197"/>
      <c r="AB111" s="1202">
        <v>6528586.4208797226</v>
      </c>
      <c r="AC111" s="1202">
        <v>5896787.7349881362</v>
      </c>
      <c r="AD111" s="1202">
        <v>6528586.4208797226</v>
      </c>
      <c r="AE111" s="1202">
        <v>6317986.8589158608</v>
      </c>
      <c r="AF111" s="1202">
        <v>6528586.4208797226</v>
      </c>
      <c r="AG111" s="1202">
        <v>6317986.8589158608</v>
      </c>
      <c r="AH111" s="1202">
        <v>6528586.4208797226</v>
      </c>
      <c r="AI111" s="1202">
        <v>6528586.4208797226</v>
      </c>
      <c r="AJ111" s="1202">
        <v>6317986.8589158608</v>
      </c>
      <c r="AK111" s="1202">
        <v>6528586.4208797226</v>
      </c>
      <c r="AL111" s="1202">
        <v>6317986.8589158608</v>
      </c>
      <c r="AM111" s="1202">
        <v>6528586.4208797226</v>
      </c>
      <c r="AN111" s="1197"/>
      <c r="AO111" s="1197">
        <v>641</v>
      </c>
      <c r="AP111" s="1197" t="s">
        <v>1357</v>
      </c>
      <c r="AQ111" s="1197" t="s">
        <v>1382</v>
      </c>
      <c r="AR111" s="1201">
        <f t="shared" si="55"/>
        <v>77014639.813554049</v>
      </c>
      <c r="AS111" s="1198">
        <f t="shared" si="56"/>
        <v>846189039.9707979</v>
      </c>
      <c r="AT111" s="1198">
        <f t="shared" si="57"/>
        <v>76917440.015724376</v>
      </c>
      <c r="AU111" s="1201">
        <f t="shared" si="58"/>
        <v>76868840.116809636</v>
      </c>
      <c r="AV111" s="1198">
        <f t="shared" si="39"/>
        <v>76917440.015724376</v>
      </c>
      <c r="AW111" s="1198">
        <f t="shared" si="40"/>
        <v>76917440.015724376</v>
      </c>
      <c r="AX111" s="1198">
        <f t="shared" si="41"/>
        <v>76917440.015724376</v>
      </c>
      <c r="AY111" s="1198">
        <f t="shared" si="42"/>
        <v>76917440.015724376</v>
      </c>
      <c r="AZ111" s="1198">
        <f t="shared" si="43"/>
        <v>76917440.015724376</v>
      </c>
      <c r="BA111" s="1198">
        <f t="shared" si="44"/>
        <v>76917440.015724376</v>
      </c>
      <c r="BB111" s="1198">
        <f t="shared" si="45"/>
        <v>76917440.015724376</v>
      </c>
      <c r="BC111" s="1198">
        <f t="shared" si="46"/>
        <v>76917440.015724376</v>
      </c>
      <c r="BD111" s="1198">
        <f t="shared" si="47"/>
        <v>76917440.015724376</v>
      </c>
      <c r="BE111" s="1198">
        <f t="shared" si="48"/>
        <v>76917440.015724376</v>
      </c>
    </row>
    <row r="112" spans="2:57" x14ac:dyDescent="0.25">
      <c r="B112" s="1221">
        <v>108</v>
      </c>
      <c r="C112" s="1193" t="s">
        <v>1163</v>
      </c>
      <c r="D112" s="1194" t="s">
        <v>1163</v>
      </c>
      <c r="E112" s="1199">
        <v>43952</v>
      </c>
      <c r="F112" s="1199">
        <v>44562</v>
      </c>
      <c r="G112" s="1194">
        <v>1</v>
      </c>
      <c r="H112" s="1199">
        <v>54909</v>
      </c>
      <c r="I112" s="1183">
        <f>8151340000-6500000000</f>
        <v>1651340000</v>
      </c>
      <c r="J112" s="1183">
        <f>1559406313.77202+9122193160</f>
        <v>10681599473.77202</v>
      </c>
      <c r="K112" s="1194">
        <f t="shared" si="53"/>
        <v>340</v>
      </c>
      <c r="L112" s="1194">
        <f t="shared" si="54"/>
        <v>10347</v>
      </c>
      <c r="M112" s="1195">
        <f t="shared" si="33"/>
        <v>31416469.040505942</v>
      </c>
      <c r="N112" s="1195">
        <f t="shared" si="49"/>
        <v>1032337.8248547425</v>
      </c>
      <c r="O112" s="1196">
        <v>10281789139.494774</v>
      </c>
      <c r="P112" s="1194">
        <v>31</v>
      </c>
      <c r="Q112" s="1195">
        <f t="shared" si="52"/>
        <v>32002472.570497017</v>
      </c>
      <c r="R112" s="1195">
        <f t="shared" si="50"/>
        <v>431812806.84774351</v>
      </c>
      <c r="S112" s="1195">
        <f t="shared" si="51"/>
        <v>10249786666.924276</v>
      </c>
      <c r="T112" s="1194">
        <v>6</v>
      </c>
      <c r="U112" s="1194" t="s">
        <v>1095</v>
      </c>
      <c r="V112" s="1201" t="s">
        <v>1164</v>
      </c>
      <c r="W112" s="1197"/>
      <c r="X112" s="1197"/>
      <c r="Y112" s="1197">
        <v>627</v>
      </c>
      <c r="Z112" s="1197" t="s">
        <v>1048</v>
      </c>
      <c r="AA112" s="1197"/>
      <c r="AB112" s="1202">
        <v>32002472.570497017</v>
      </c>
      <c r="AC112" s="1202">
        <v>28905459.095932789</v>
      </c>
      <c r="AD112" s="1202">
        <v>32002472.570497017</v>
      </c>
      <c r="AE112" s="1202">
        <v>30970134.745642275</v>
      </c>
      <c r="AF112" s="1202">
        <v>32002472.570497017</v>
      </c>
      <c r="AG112" s="1202">
        <v>30970134.745642275</v>
      </c>
      <c r="AH112" s="1202">
        <v>32002472.570497017</v>
      </c>
      <c r="AI112" s="1202">
        <v>32002472.570497017</v>
      </c>
      <c r="AJ112" s="1202">
        <v>30970134.745642275</v>
      </c>
      <c r="AK112" s="1202">
        <v>32002472.570497017</v>
      </c>
      <c r="AL112" s="1202">
        <v>30970134.745642275</v>
      </c>
      <c r="AM112" s="1202">
        <v>32002472.570497017</v>
      </c>
      <c r="AN112" s="1197"/>
      <c r="AO112" s="1197">
        <v>627</v>
      </c>
      <c r="AP112" s="1197" t="s">
        <v>732</v>
      </c>
      <c r="AQ112" s="1204" t="s">
        <v>1048</v>
      </c>
      <c r="AR112" s="1201">
        <f t="shared" si="55"/>
        <v>6479810382.0635643</v>
      </c>
      <c r="AS112" s="1198">
        <f t="shared" si="56"/>
        <v>10249786666.924276</v>
      </c>
      <c r="AT112" s="1198">
        <f t="shared" si="57"/>
        <v>376997628.48607129</v>
      </c>
      <c r="AU112" s="1201">
        <f t="shared" si="58"/>
        <v>376803306.07198107</v>
      </c>
      <c r="AV112" s="1198">
        <f t="shared" si="39"/>
        <v>376997628.48607129</v>
      </c>
      <c r="AW112" s="1198">
        <f t="shared" si="40"/>
        <v>376997628.48607129</v>
      </c>
      <c r="AX112" s="1198">
        <f t="shared" si="41"/>
        <v>376997628.48607129</v>
      </c>
      <c r="AY112" s="1198">
        <f t="shared" si="42"/>
        <v>376997628.48607129</v>
      </c>
      <c r="AZ112" s="1198">
        <f t="shared" si="43"/>
        <v>376997628.48607129</v>
      </c>
      <c r="BA112" s="1198">
        <f t="shared" si="44"/>
        <v>376997628.48607129</v>
      </c>
      <c r="BB112" s="1198">
        <f t="shared" si="45"/>
        <v>376997628.48607129</v>
      </c>
      <c r="BC112" s="1198">
        <f t="shared" si="46"/>
        <v>376997628.48607129</v>
      </c>
      <c r="BD112" s="1198">
        <f t="shared" si="47"/>
        <v>376997628.48607129</v>
      </c>
      <c r="BE112" s="1198">
        <f t="shared" si="48"/>
        <v>376997628.48607129</v>
      </c>
    </row>
    <row r="113" spans="2:57" x14ac:dyDescent="0.25">
      <c r="B113" s="1221">
        <v>109</v>
      </c>
      <c r="C113" s="1193" t="s">
        <v>1165</v>
      </c>
      <c r="D113" s="1194" t="s">
        <v>1165</v>
      </c>
      <c r="E113" s="1199">
        <v>43941</v>
      </c>
      <c r="F113" s="1199">
        <v>44562</v>
      </c>
      <c r="G113" s="1194">
        <v>1</v>
      </c>
      <c r="H113" s="1199">
        <v>49419</v>
      </c>
      <c r="I113" s="1183">
        <v>2500000000</v>
      </c>
      <c r="J113" s="1183">
        <f>2216593647.31654</f>
        <v>2216593647.3165398</v>
      </c>
      <c r="K113" s="1194">
        <f t="shared" si="53"/>
        <v>159</v>
      </c>
      <c r="L113" s="1194">
        <f t="shared" si="54"/>
        <v>4857</v>
      </c>
      <c r="M113" s="1195">
        <f t="shared" si="33"/>
        <v>13940840.549160628</v>
      </c>
      <c r="N113" s="1195">
        <f t="shared" si="49"/>
        <v>456370.93829864933</v>
      </c>
      <c r="O113" s="1196">
        <v>1897590361.445781</v>
      </c>
      <c r="P113" s="1194">
        <v>31</v>
      </c>
      <c r="Q113" s="1195">
        <f t="shared" si="52"/>
        <v>14147499.087258128</v>
      </c>
      <c r="R113" s="1195">
        <f t="shared" si="50"/>
        <v>333150784.95801687</v>
      </c>
      <c r="S113" s="1195">
        <f t="shared" si="51"/>
        <v>1883442862.3585229</v>
      </c>
      <c r="T113" s="1194">
        <v>6</v>
      </c>
      <c r="U113" s="1194" t="s">
        <v>1095</v>
      </c>
      <c r="V113" s="1201" t="s">
        <v>1164</v>
      </c>
      <c r="W113" s="1197"/>
      <c r="X113" s="1197"/>
      <c r="Y113" s="1197">
        <v>627</v>
      </c>
      <c r="Z113" s="1197" t="s">
        <v>809</v>
      </c>
      <c r="AA113" s="1197"/>
      <c r="AB113" s="1202">
        <v>14147499.087258128</v>
      </c>
      <c r="AC113" s="1202">
        <v>12778386.272362182</v>
      </c>
      <c r="AD113" s="1202">
        <v>14147499.087258128</v>
      </c>
      <c r="AE113" s="1202">
        <v>13691128.14895948</v>
      </c>
      <c r="AF113" s="1202">
        <v>14147499.087258128</v>
      </c>
      <c r="AG113" s="1202">
        <v>13691128.14895948</v>
      </c>
      <c r="AH113" s="1202">
        <v>14147499.087258128</v>
      </c>
      <c r="AI113" s="1202">
        <v>14147499.087258128</v>
      </c>
      <c r="AJ113" s="1202">
        <v>13691128.14895948</v>
      </c>
      <c r="AK113" s="1202">
        <v>14147499.087258128</v>
      </c>
      <c r="AL113" s="1202">
        <v>13691128.14895948</v>
      </c>
      <c r="AM113" s="1202">
        <v>14147499.087258128</v>
      </c>
      <c r="AN113" s="1197"/>
      <c r="AO113" s="1197">
        <v>627</v>
      </c>
      <c r="AP113" s="1197" t="s">
        <v>732</v>
      </c>
      <c r="AQ113" s="1238" t="s">
        <v>809</v>
      </c>
      <c r="AR113" s="1201">
        <f t="shared" si="55"/>
        <v>210541996.45924783</v>
      </c>
      <c r="AS113" s="1198">
        <f t="shared" si="56"/>
        <v>1883442862.3585229</v>
      </c>
      <c r="AT113" s="1198">
        <f t="shared" si="57"/>
        <v>167290086.58992752</v>
      </c>
      <c r="AU113" s="1201">
        <f t="shared" si="58"/>
        <v>166575392.47900704</v>
      </c>
      <c r="AV113" s="1198">
        <f t="shared" si="39"/>
        <v>167290086.58992752</v>
      </c>
      <c r="AW113" s="1198">
        <f t="shared" si="40"/>
        <v>167290086.58992752</v>
      </c>
      <c r="AX113" s="1198">
        <f t="shared" si="41"/>
        <v>167290086.58992752</v>
      </c>
      <c r="AY113" s="1198">
        <f t="shared" si="42"/>
        <v>167290086.58992752</v>
      </c>
      <c r="AZ113" s="1198">
        <f t="shared" si="43"/>
        <v>167290086.58992752</v>
      </c>
      <c r="BA113" s="1198">
        <f t="shared" si="44"/>
        <v>167290086.58992752</v>
      </c>
      <c r="BB113" s="1198">
        <f t="shared" si="45"/>
        <v>167290086.58992752</v>
      </c>
      <c r="BC113" s="1198">
        <f t="shared" si="46"/>
        <v>167290086.58992752</v>
      </c>
      <c r="BD113" s="1198">
        <f t="shared" si="47"/>
        <v>167290086.58992752</v>
      </c>
      <c r="BE113" s="1198">
        <f t="shared" si="48"/>
        <v>167290086.58992752</v>
      </c>
    </row>
    <row r="114" spans="2:57" x14ac:dyDescent="0.25">
      <c r="B114" s="1221">
        <v>110</v>
      </c>
      <c r="C114" s="1193" t="s">
        <v>1166</v>
      </c>
      <c r="D114" s="1182" t="e">
        <v>#N/A</v>
      </c>
      <c r="E114" s="1199">
        <v>43101</v>
      </c>
      <c r="F114" s="1199">
        <v>44562</v>
      </c>
      <c r="G114" s="1194">
        <v>1</v>
      </c>
      <c r="H114" s="1199">
        <v>48580</v>
      </c>
      <c r="I114" s="1183">
        <v>2000000000</v>
      </c>
      <c r="J114" s="1183">
        <v>1466691002.0076652</v>
      </c>
      <c r="K114" s="1194">
        <f t="shared" si="53"/>
        <v>132</v>
      </c>
      <c r="L114" s="1194">
        <f t="shared" si="54"/>
        <v>4018</v>
      </c>
      <c r="M114" s="1195">
        <f t="shared" si="33"/>
        <v>11111295.469755039</v>
      </c>
      <c r="N114" s="1195">
        <f t="shared" si="49"/>
        <v>365030.11498448608</v>
      </c>
      <c r="O114" s="1196">
        <v>1211534951.6335075</v>
      </c>
      <c r="P114" s="1194">
        <v>31</v>
      </c>
      <c r="Q114" s="1195">
        <f t="shared" si="52"/>
        <v>11315933.564519068</v>
      </c>
      <c r="R114" s="1195">
        <f t="shared" si="50"/>
        <v>266471983.93867674</v>
      </c>
      <c r="S114" s="1195">
        <f t="shared" si="51"/>
        <v>1200219018.0689883</v>
      </c>
      <c r="T114" s="1194">
        <v>4</v>
      </c>
      <c r="U114" s="1194" t="s">
        <v>1079</v>
      </c>
      <c r="V114" s="1201" t="s">
        <v>1079</v>
      </c>
      <c r="W114" s="1197"/>
      <c r="X114" s="1197"/>
      <c r="Y114" s="1197">
        <v>627</v>
      </c>
      <c r="Z114" s="1197" t="s">
        <v>1382</v>
      </c>
      <c r="AA114" s="1197"/>
      <c r="AB114" s="1202">
        <v>11315933.564519068</v>
      </c>
      <c r="AC114" s="1202">
        <v>10220843.219565609</v>
      </c>
      <c r="AD114" s="1202">
        <v>11315933.564519068</v>
      </c>
      <c r="AE114" s="1202">
        <v>10950903.449534582</v>
      </c>
      <c r="AF114" s="1202">
        <v>11315933.564519068</v>
      </c>
      <c r="AG114" s="1202">
        <v>10950903.449534582</v>
      </c>
      <c r="AH114" s="1202">
        <v>11315933.564519068</v>
      </c>
      <c r="AI114" s="1202">
        <v>11315933.564519068</v>
      </c>
      <c r="AJ114" s="1202">
        <v>10950903.449534582</v>
      </c>
      <c r="AK114" s="1202">
        <v>11315933.564519068</v>
      </c>
      <c r="AL114" s="1202">
        <v>10950903.449534582</v>
      </c>
      <c r="AM114" s="1202">
        <v>11315933.564519068</v>
      </c>
      <c r="AN114" s="1197"/>
      <c r="AO114" s="1197">
        <v>641</v>
      </c>
      <c r="AP114" s="1197" t="s">
        <v>1357</v>
      </c>
      <c r="AQ114" s="1197" t="s">
        <v>1382</v>
      </c>
      <c r="AR114" s="1201">
        <f t="shared" si="55"/>
        <v>0</v>
      </c>
      <c r="AS114" s="1198">
        <f t="shared" si="56"/>
        <v>1200219018.0689883</v>
      </c>
      <c r="AT114" s="1198">
        <f t="shared" si="57"/>
        <v>133335545.63706046</v>
      </c>
      <c r="AU114" s="1201">
        <f t="shared" si="58"/>
        <v>133235991.96933739</v>
      </c>
      <c r="AV114" s="1198">
        <f t="shared" si="39"/>
        <v>133335545.63706046</v>
      </c>
      <c r="AW114" s="1198">
        <f t="shared" si="40"/>
        <v>133335545.63706046</v>
      </c>
      <c r="AX114" s="1198">
        <f t="shared" si="41"/>
        <v>133335545.63706046</v>
      </c>
      <c r="AY114" s="1198">
        <f t="shared" si="42"/>
        <v>133335545.63706046</v>
      </c>
      <c r="AZ114" s="1198">
        <f t="shared" si="43"/>
        <v>133335545.63706046</v>
      </c>
      <c r="BA114" s="1198">
        <f t="shared" si="44"/>
        <v>133335545.63706046</v>
      </c>
      <c r="BB114" s="1198">
        <f t="shared" si="45"/>
        <v>133335545.63706046</v>
      </c>
      <c r="BC114" s="1198">
        <f t="shared" si="46"/>
        <v>133335545.63706046</v>
      </c>
      <c r="BD114" s="1198">
        <f t="shared" si="47"/>
        <v>133335545.63706046</v>
      </c>
      <c r="BE114" s="1198">
        <f t="shared" si="48"/>
        <v>199107.33544421196</v>
      </c>
    </row>
    <row r="115" spans="2:57" x14ac:dyDescent="0.25">
      <c r="B115" s="1221">
        <v>111</v>
      </c>
      <c r="C115" s="1193" t="s">
        <v>1167</v>
      </c>
      <c r="D115" s="1182" t="s">
        <v>1168</v>
      </c>
      <c r="E115" s="1199">
        <v>43467</v>
      </c>
      <c r="F115" s="1199">
        <v>44562</v>
      </c>
      <c r="G115" s="1194">
        <v>1</v>
      </c>
      <c r="H115" s="1199">
        <v>48946</v>
      </c>
      <c r="I115" s="1183">
        <v>1841503000</v>
      </c>
      <c r="J115" s="1183">
        <v>1473471281.6207335</v>
      </c>
      <c r="K115" s="1194">
        <f t="shared" si="53"/>
        <v>144</v>
      </c>
      <c r="L115" s="1194">
        <f t="shared" si="54"/>
        <v>4384</v>
      </c>
      <c r="M115" s="1195">
        <f t="shared" si="33"/>
        <v>10232439.455699539</v>
      </c>
      <c r="N115" s="1195">
        <f t="shared" si="49"/>
        <v>336102.02591713809</v>
      </c>
      <c r="O115" s="1196">
        <v>1238535965.5046535</v>
      </c>
      <c r="P115" s="1194">
        <v>31</v>
      </c>
      <c r="Q115" s="1195">
        <f t="shared" si="52"/>
        <v>10419162.80343128</v>
      </c>
      <c r="R115" s="1195">
        <f t="shared" si="50"/>
        <v>245354478.91951132</v>
      </c>
      <c r="S115" s="1195">
        <f t="shared" si="51"/>
        <v>1228116802.7012222</v>
      </c>
      <c r="T115" s="1194">
        <v>1</v>
      </c>
      <c r="U115" s="1194" t="s">
        <v>1040</v>
      </c>
      <c r="V115" s="1201" t="s">
        <v>1040</v>
      </c>
      <c r="W115" s="1197"/>
      <c r="X115" s="1197"/>
      <c r="Y115" s="1197">
        <v>627</v>
      </c>
      <c r="Z115" s="1197" t="s">
        <v>1382</v>
      </c>
      <c r="AA115" s="1197"/>
      <c r="AB115" s="1202">
        <v>10419162.80343128</v>
      </c>
      <c r="AC115" s="1202">
        <v>9410856.725679867</v>
      </c>
      <c r="AD115" s="1202">
        <v>10419162.80343128</v>
      </c>
      <c r="AE115" s="1202">
        <v>10083060.777514143</v>
      </c>
      <c r="AF115" s="1202">
        <v>10419162.80343128</v>
      </c>
      <c r="AG115" s="1202">
        <v>10083060.777514143</v>
      </c>
      <c r="AH115" s="1202">
        <v>10419162.80343128</v>
      </c>
      <c r="AI115" s="1202">
        <v>10419162.80343128</v>
      </c>
      <c r="AJ115" s="1202">
        <v>10083060.777514143</v>
      </c>
      <c r="AK115" s="1202">
        <v>10419162.80343128</v>
      </c>
      <c r="AL115" s="1202">
        <v>10083060.777514143</v>
      </c>
      <c r="AM115" s="1202">
        <v>10419162.80343128</v>
      </c>
      <c r="AN115" s="1197"/>
      <c r="AO115" s="1197">
        <v>627</v>
      </c>
      <c r="AP115" s="1197" t="s">
        <v>732</v>
      </c>
      <c r="AQ115" s="1197" t="s">
        <v>1382</v>
      </c>
      <c r="AR115" s="1201">
        <f t="shared" si="55"/>
        <v>224068.01727724075</v>
      </c>
      <c r="AS115" s="1198">
        <f t="shared" si="56"/>
        <v>1228116802.7012222</v>
      </c>
      <c r="AT115" s="1198">
        <f t="shared" si="57"/>
        <v>122789273.46839446</v>
      </c>
      <c r="AU115" s="1201">
        <f t="shared" si="58"/>
        <v>122677239.45975542</v>
      </c>
      <c r="AV115" s="1198">
        <f t="shared" si="39"/>
        <v>122789273.46839446</v>
      </c>
      <c r="AW115" s="1198">
        <f t="shared" si="40"/>
        <v>122789273.46839446</v>
      </c>
      <c r="AX115" s="1198">
        <f t="shared" si="41"/>
        <v>122789273.46839446</v>
      </c>
      <c r="AY115" s="1198">
        <f t="shared" si="42"/>
        <v>122789273.46839446</v>
      </c>
      <c r="AZ115" s="1198">
        <f t="shared" si="43"/>
        <v>122789273.46839446</v>
      </c>
      <c r="BA115" s="1198">
        <f t="shared" si="44"/>
        <v>122789273.46839446</v>
      </c>
      <c r="BB115" s="1198">
        <f t="shared" si="45"/>
        <v>122789273.46839446</v>
      </c>
      <c r="BC115" s="1198">
        <f t="shared" si="46"/>
        <v>122789273.46839446</v>
      </c>
      <c r="BD115" s="1198">
        <f t="shared" si="47"/>
        <v>122789273.46839446</v>
      </c>
      <c r="BE115" s="1198">
        <f t="shared" si="48"/>
        <v>122789273.46839446</v>
      </c>
    </row>
    <row r="116" spans="2:57" x14ac:dyDescent="0.25">
      <c r="B116" s="1221">
        <v>112</v>
      </c>
      <c r="C116" s="1193" t="s">
        <v>1169</v>
      </c>
      <c r="D116" s="1194" t="s">
        <v>1169</v>
      </c>
      <c r="E116" s="1199">
        <v>44199</v>
      </c>
      <c r="F116" s="1199">
        <v>44562</v>
      </c>
      <c r="G116" s="1194">
        <v>1</v>
      </c>
      <c r="H116" s="1199">
        <v>46387</v>
      </c>
      <c r="I116" s="1183">
        <v>350000000</v>
      </c>
      <c r="J116" s="1183">
        <v>306279945.24298429</v>
      </c>
      <c r="K116" s="1194">
        <f t="shared" si="53"/>
        <v>59</v>
      </c>
      <c r="L116" s="1194">
        <f t="shared" si="54"/>
        <v>1825</v>
      </c>
      <c r="M116" s="1195">
        <f t="shared" si="33"/>
        <v>5191185.5125929546</v>
      </c>
      <c r="N116" s="1195">
        <f t="shared" si="49"/>
        <v>167824.62753040236</v>
      </c>
      <c r="O116" s="1196">
        <v>188970530.59923339</v>
      </c>
      <c r="P116" s="1194">
        <v>31</v>
      </c>
      <c r="Q116" s="1195">
        <f t="shared" si="52"/>
        <v>5202563.453442473</v>
      </c>
      <c r="R116" s="1195">
        <f t="shared" si="50"/>
        <v>122511978.09719338</v>
      </c>
      <c r="S116" s="1195">
        <f t="shared" si="51"/>
        <v>183767967.14579093</v>
      </c>
      <c r="T116" s="1194">
        <v>6</v>
      </c>
      <c r="U116" s="1194" t="s">
        <v>1145</v>
      </c>
      <c r="V116" s="1201" t="s">
        <v>1145</v>
      </c>
      <c r="W116" s="1201" t="s">
        <v>1170</v>
      </c>
      <c r="X116" s="1197"/>
      <c r="Y116" s="1197">
        <v>642</v>
      </c>
      <c r="Z116" s="1197" t="s">
        <v>1158</v>
      </c>
      <c r="AA116" s="1197"/>
      <c r="AB116" s="1202">
        <v>5202563.453442473</v>
      </c>
      <c r="AC116" s="1202">
        <v>4699089.5708512664</v>
      </c>
      <c r="AD116" s="1202">
        <v>5202563.453442473</v>
      </c>
      <c r="AE116" s="1202">
        <v>5034738.8259120705</v>
      </c>
      <c r="AF116" s="1202">
        <v>5202563.453442473</v>
      </c>
      <c r="AG116" s="1202">
        <v>5034738.8259120705</v>
      </c>
      <c r="AH116" s="1202">
        <v>5202563.453442473</v>
      </c>
      <c r="AI116" s="1202">
        <v>5202563.453442473</v>
      </c>
      <c r="AJ116" s="1202">
        <v>5034738.8259120705</v>
      </c>
      <c r="AK116" s="1202">
        <v>5202563.453442473</v>
      </c>
      <c r="AL116" s="1202">
        <v>5034738.8259120705</v>
      </c>
      <c r="AM116" s="1202">
        <v>5202563.453442473</v>
      </c>
      <c r="AN116" s="1197"/>
      <c r="AO116" s="1197">
        <v>642</v>
      </c>
      <c r="AP116" s="1197" t="s">
        <v>732</v>
      </c>
      <c r="AQ116" s="1197" t="s">
        <v>1158</v>
      </c>
      <c r="AR116" s="1201">
        <f t="shared" si="55"/>
        <v>0</v>
      </c>
      <c r="AS116" s="1198">
        <f t="shared" si="56"/>
        <v>183767967.14579093</v>
      </c>
      <c r="AT116" s="1198">
        <f t="shared" si="57"/>
        <v>62294226.151115455</v>
      </c>
      <c r="AU116" s="1201">
        <f t="shared" si="58"/>
        <v>61255989.048596859</v>
      </c>
      <c r="AV116" s="1198">
        <f t="shared" si="39"/>
        <v>62294226.151115455</v>
      </c>
      <c r="AW116" s="1198">
        <f t="shared" si="40"/>
        <v>62294226.151115455</v>
      </c>
      <c r="AX116" s="1198">
        <f t="shared" si="41"/>
        <v>59179514.843560025</v>
      </c>
      <c r="AY116" s="1198">
        <f t="shared" si="42"/>
        <v>0</v>
      </c>
      <c r="AZ116" s="1198">
        <f t="shared" si="43"/>
        <v>0</v>
      </c>
      <c r="BA116" s="1198">
        <f t="shared" si="44"/>
        <v>0</v>
      </c>
      <c r="BB116" s="1198">
        <f t="shared" si="45"/>
        <v>0</v>
      </c>
      <c r="BC116" s="1198">
        <f t="shared" si="46"/>
        <v>0</v>
      </c>
      <c r="BD116" s="1198">
        <f t="shared" si="47"/>
        <v>0</v>
      </c>
      <c r="BE116" s="1198">
        <f t="shared" si="48"/>
        <v>0</v>
      </c>
    </row>
    <row r="117" spans="2:57" x14ac:dyDescent="0.25">
      <c r="B117" s="1221">
        <v>113</v>
      </c>
      <c r="C117" s="1193" t="s">
        <v>1171</v>
      </c>
      <c r="D117" s="1194" t="s">
        <v>1171</v>
      </c>
      <c r="E117" s="1199">
        <v>44200</v>
      </c>
      <c r="F117" s="1199">
        <v>44562</v>
      </c>
      <c r="G117" s="1194">
        <v>1</v>
      </c>
      <c r="H117" s="1199">
        <v>46387</v>
      </c>
      <c r="I117" s="1183">
        <v>635000000</v>
      </c>
      <c r="J117" s="1183">
        <v>544321205.00782418</v>
      </c>
      <c r="K117" s="1194">
        <f t="shared" si="53"/>
        <v>59</v>
      </c>
      <c r="L117" s="1194">
        <f t="shared" si="54"/>
        <v>1825</v>
      </c>
      <c r="M117" s="1195">
        <f t="shared" si="33"/>
        <v>9225783.1357258335</v>
      </c>
      <c r="N117" s="1195">
        <f t="shared" si="49"/>
        <v>298258.19452483515</v>
      </c>
      <c r="O117" s="1196">
        <v>335838727.03496432</v>
      </c>
      <c r="P117" s="1194">
        <v>31</v>
      </c>
      <c r="Q117" s="1195">
        <f t="shared" si="52"/>
        <v>9246004.0302698892</v>
      </c>
      <c r="R117" s="1195">
        <f t="shared" si="50"/>
        <v>217728482.00312975</v>
      </c>
      <c r="S117" s="1195">
        <f t="shared" si="51"/>
        <v>326592723.00469446</v>
      </c>
      <c r="T117" s="1194" t="s">
        <v>1071</v>
      </c>
      <c r="U117" s="1194" t="s">
        <v>1071</v>
      </c>
      <c r="V117" s="1201" t="s">
        <v>1043</v>
      </c>
      <c r="W117" s="1197"/>
      <c r="X117" s="1197"/>
      <c r="Y117" s="1197">
        <v>627</v>
      </c>
      <c r="Z117" s="1197" t="s">
        <v>1048</v>
      </c>
      <c r="AA117" s="1197"/>
      <c r="AB117" s="1202">
        <v>9246004.0302698892</v>
      </c>
      <c r="AC117" s="1202">
        <v>8351229.4466953846</v>
      </c>
      <c r="AD117" s="1202">
        <v>9246004.0302698892</v>
      </c>
      <c r="AE117" s="1202">
        <v>8947745.8357450552</v>
      </c>
      <c r="AF117" s="1202">
        <v>9246004.0302698892</v>
      </c>
      <c r="AG117" s="1202">
        <v>8947745.8357450552</v>
      </c>
      <c r="AH117" s="1202">
        <v>9246004.0302698892</v>
      </c>
      <c r="AI117" s="1202">
        <v>9246004.0302698892</v>
      </c>
      <c r="AJ117" s="1202">
        <v>8947745.8357450552</v>
      </c>
      <c r="AK117" s="1202">
        <v>9246004.0302698892</v>
      </c>
      <c r="AL117" s="1202">
        <v>8947745.8357450552</v>
      </c>
      <c r="AM117" s="1202">
        <v>9246004.0302698892</v>
      </c>
      <c r="AN117" s="1197"/>
      <c r="AO117" s="1197">
        <v>627</v>
      </c>
      <c r="AP117" s="1197" t="s">
        <v>732</v>
      </c>
      <c r="AQ117" s="1204" t="s">
        <v>1048</v>
      </c>
      <c r="AR117" s="1201">
        <f t="shared" si="55"/>
        <v>0</v>
      </c>
      <c r="AS117" s="1198">
        <f t="shared" si="56"/>
        <v>326592723.00469446</v>
      </c>
      <c r="AT117" s="1198">
        <f t="shared" si="57"/>
        <v>110709397.62871</v>
      </c>
      <c r="AU117" s="1201">
        <f t="shared" si="58"/>
        <v>108864241.00156483</v>
      </c>
      <c r="AV117" s="1198">
        <f t="shared" si="39"/>
        <v>110709397.62871</v>
      </c>
      <c r="AW117" s="1198">
        <f t="shared" si="40"/>
        <v>110709397.62871</v>
      </c>
      <c r="AX117" s="1198">
        <f t="shared" si="41"/>
        <v>105173927.74727446</v>
      </c>
      <c r="AY117" s="1198">
        <f t="shared" si="42"/>
        <v>0</v>
      </c>
      <c r="AZ117" s="1198">
        <f t="shared" si="43"/>
        <v>0</v>
      </c>
      <c r="BA117" s="1198">
        <f t="shared" si="44"/>
        <v>0</v>
      </c>
      <c r="BB117" s="1198">
        <f t="shared" si="45"/>
        <v>0</v>
      </c>
      <c r="BC117" s="1198">
        <f t="shared" si="46"/>
        <v>0</v>
      </c>
      <c r="BD117" s="1198">
        <f t="shared" si="47"/>
        <v>0</v>
      </c>
      <c r="BE117" s="1198">
        <f t="shared" si="48"/>
        <v>0</v>
      </c>
    </row>
    <row r="118" spans="2:57" x14ac:dyDescent="0.25">
      <c r="B118" s="1221">
        <v>114</v>
      </c>
      <c r="C118" s="1193" t="s">
        <v>1172</v>
      </c>
      <c r="D118" s="1194" t="s">
        <v>1173</v>
      </c>
      <c r="E118" s="1199">
        <v>44296</v>
      </c>
      <c r="F118" s="1199">
        <v>44562</v>
      </c>
      <c r="G118" s="1194">
        <v>1</v>
      </c>
      <c r="H118" s="1199">
        <v>46387</v>
      </c>
      <c r="I118" s="1183">
        <v>250000000</v>
      </c>
      <c r="J118" s="1183">
        <v>226471594.79808345</v>
      </c>
      <c r="K118" s="1194">
        <f t="shared" si="53"/>
        <v>59</v>
      </c>
      <c r="L118" s="1194">
        <f t="shared" si="54"/>
        <v>1825</v>
      </c>
      <c r="M118" s="1195">
        <f t="shared" si="33"/>
        <v>3838501.606747177</v>
      </c>
      <c r="N118" s="1195">
        <f t="shared" si="49"/>
        <v>124094.02454689505</v>
      </c>
      <c r="O118" s="1196">
        <v>139729871.63980383</v>
      </c>
      <c r="P118" s="1194">
        <v>31</v>
      </c>
      <c r="Q118" s="1195">
        <f t="shared" si="52"/>
        <v>3846914.7609537463</v>
      </c>
      <c r="R118" s="1195">
        <f t="shared" si="50"/>
        <v>90588637.919233367</v>
      </c>
      <c r="S118" s="1195">
        <f t="shared" si="51"/>
        <v>135882956.8788501</v>
      </c>
      <c r="T118" s="1194">
        <v>5</v>
      </c>
      <c r="U118" s="1194" t="s">
        <v>1047</v>
      </c>
      <c r="V118" s="1201" t="s">
        <v>1043</v>
      </c>
      <c r="W118" s="1197"/>
      <c r="X118" s="1197"/>
      <c r="Y118" s="1197">
        <v>642</v>
      </c>
      <c r="Z118" s="1197" t="s">
        <v>1048</v>
      </c>
      <c r="AA118" s="1197"/>
      <c r="AB118" s="1202">
        <v>3846914.7609537463</v>
      </c>
      <c r="AC118" s="1202">
        <v>3474632.6873130612</v>
      </c>
      <c r="AD118" s="1202">
        <v>3846914.7609537463</v>
      </c>
      <c r="AE118" s="1202">
        <v>3722820.7364068516</v>
      </c>
      <c r="AF118" s="1202">
        <v>3846914.7609537463</v>
      </c>
      <c r="AG118" s="1202">
        <v>3722820.7364068516</v>
      </c>
      <c r="AH118" s="1202">
        <v>3846914.7609537463</v>
      </c>
      <c r="AI118" s="1202">
        <v>3846914.7609537463</v>
      </c>
      <c r="AJ118" s="1202">
        <v>3722820.7364068516</v>
      </c>
      <c r="AK118" s="1202">
        <v>3846914.7609537463</v>
      </c>
      <c r="AL118" s="1202">
        <v>3722820.7364068516</v>
      </c>
      <c r="AM118" s="1202">
        <v>3846914.7609537463</v>
      </c>
      <c r="AN118" s="1197"/>
      <c r="AO118" s="1197">
        <v>642</v>
      </c>
      <c r="AP118" s="1197" t="s">
        <v>1358</v>
      </c>
      <c r="AQ118" s="1197" t="s">
        <v>1048</v>
      </c>
      <c r="AR118" s="1201">
        <f t="shared" si="55"/>
        <v>0</v>
      </c>
      <c r="AS118" s="1198">
        <f t="shared" si="56"/>
        <v>135882956.8788501</v>
      </c>
      <c r="AT118" s="1198">
        <f t="shared" si="57"/>
        <v>46062019.280966125</v>
      </c>
      <c r="AU118" s="1201">
        <f t="shared" si="58"/>
        <v>45294318.959616698</v>
      </c>
      <c r="AV118" s="1198">
        <f t="shared" si="39"/>
        <v>46062019.280966125</v>
      </c>
      <c r="AW118" s="1198">
        <f t="shared" si="40"/>
        <v>46062019.280966125</v>
      </c>
      <c r="AX118" s="1198">
        <f t="shared" si="41"/>
        <v>43758918.316917852</v>
      </c>
      <c r="AY118" s="1198">
        <f t="shared" si="42"/>
        <v>0</v>
      </c>
      <c r="AZ118" s="1198">
        <f t="shared" si="43"/>
        <v>0</v>
      </c>
      <c r="BA118" s="1198">
        <f t="shared" si="44"/>
        <v>0</v>
      </c>
      <c r="BB118" s="1198">
        <f t="shared" si="45"/>
        <v>0</v>
      </c>
      <c r="BC118" s="1198">
        <f t="shared" si="46"/>
        <v>0</v>
      </c>
      <c r="BD118" s="1198">
        <f t="shared" si="47"/>
        <v>0</v>
      </c>
      <c r="BE118" s="1198">
        <f t="shared" si="48"/>
        <v>0</v>
      </c>
    </row>
    <row r="119" spans="2:57" x14ac:dyDescent="0.25">
      <c r="B119" s="1221">
        <v>115</v>
      </c>
      <c r="C119" s="1193" t="s">
        <v>1174</v>
      </c>
      <c r="D119" s="1194" t="s">
        <v>1175</v>
      </c>
      <c r="E119" s="1199">
        <v>44294</v>
      </c>
      <c r="F119" s="1199">
        <v>44562</v>
      </c>
      <c r="G119" s="1194">
        <v>1</v>
      </c>
      <c r="H119" s="1199">
        <v>46387</v>
      </c>
      <c r="I119" s="1183">
        <v>270000000</v>
      </c>
      <c r="J119" s="1183">
        <v>244589322.38193014</v>
      </c>
      <c r="K119" s="1194">
        <f t="shared" si="53"/>
        <v>59</v>
      </c>
      <c r="L119" s="1194">
        <f t="shared" si="54"/>
        <v>1825</v>
      </c>
      <c r="M119" s="1195">
        <f t="shared" si="33"/>
        <v>4145581.7352869515</v>
      </c>
      <c r="N119" s="1195">
        <f t="shared" si="49"/>
        <v>134021.54651064664</v>
      </c>
      <c r="O119" s="1196">
        <v>150908261.37098822</v>
      </c>
      <c r="P119" s="1194">
        <v>31</v>
      </c>
      <c r="Q119" s="1195">
        <f t="shared" si="52"/>
        <v>4154667.941830046</v>
      </c>
      <c r="R119" s="1195">
        <f t="shared" si="50"/>
        <v>97835728.952771962</v>
      </c>
      <c r="S119" s="1195">
        <f t="shared" si="51"/>
        <v>146753593.42915818</v>
      </c>
      <c r="T119" s="1194"/>
      <c r="U119" s="1194" t="s">
        <v>1047</v>
      </c>
      <c r="V119" s="1201" t="s">
        <v>1043</v>
      </c>
      <c r="W119" s="1197"/>
      <c r="X119" s="1197"/>
      <c r="Y119" s="1197">
        <v>627</v>
      </c>
      <c r="Z119" s="1197" t="s">
        <v>1048</v>
      </c>
      <c r="AA119" s="1197"/>
      <c r="AB119" s="1202">
        <v>4154667.941830046</v>
      </c>
      <c r="AC119" s="1202">
        <v>3752603.3022981063</v>
      </c>
      <c r="AD119" s="1202">
        <v>4154667.941830046</v>
      </c>
      <c r="AE119" s="1202">
        <v>4020646.3953193994</v>
      </c>
      <c r="AF119" s="1202">
        <v>4154667.941830046</v>
      </c>
      <c r="AG119" s="1202">
        <v>4020646.3953193994</v>
      </c>
      <c r="AH119" s="1202">
        <v>4154667.941830046</v>
      </c>
      <c r="AI119" s="1202">
        <v>4154667.941830046</v>
      </c>
      <c r="AJ119" s="1202">
        <v>4020646.3953193994</v>
      </c>
      <c r="AK119" s="1202">
        <v>4154667.941830046</v>
      </c>
      <c r="AL119" s="1202">
        <v>4020646.3953193994</v>
      </c>
      <c r="AM119" s="1202">
        <v>4154667.941830046</v>
      </c>
      <c r="AN119" s="1197"/>
      <c r="AO119" s="1197">
        <v>627</v>
      </c>
      <c r="AP119" s="1197" t="s">
        <v>732</v>
      </c>
      <c r="AQ119" s="1204" t="s">
        <v>1048</v>
      </c>
      <c r="AR119" s="1201">
        <f t="shared" si="55"/>
        <v>0</v>
      </c>
      <c r="AS119" s="1198">
        <f t="shared" si="56"/>
        <v>146753593.42915818</v>
      </c>
      <c r="AT119" s="1198">
        <f t="shared" si="57"/>
        <v>49746980.82344342</v>
      </c>
      <c r="AU119" s="1201">
        <f t="shared" si="58"/>
        <v>48917864.476386033</v>
      </c>
      <c r="AV119" s="1198">
        <f t="shared" si="39"/>
        <v>49746980.82344342</v>
      </c>
      <c r="AW119" s="1198">
        <f t="shared" si="40"/>
        <v>49746980.82344342</v>
      </c>
      <c r="AX119" s="1198">
        <f t="shared" si="41"/>
        <v>47259631.78227134</v>
      </c>
      <c r="AY119" s="1198">
        <f t="shared" si="42"/>
        <v>0</v>
      </c>
      <c r="AZ119" s="1198">
        <f t="shared" si="43"/>
        <v>0</v>
      </c>
      <c r="BA119" s="1198">
        <f t="shared" si="44"/>
        <v>0</v>
      </c>
      <c r="BB119" s="1198">
        <f t="shared" si="45"/>
        <v>0</v>
      </c>
      <c r="BC119" s="1198">
        <f t="shared" si="46"/>
        <v>0</v>
      </c>
      <c r="BD119" s="1198">
        <f t="shared" si="47"/>
        <v>0</v>
      </c>
      <c r="BE119" s="1198">
        <f t="shared" si="48"/>
        <v>0</v>
      </c>
    </row>
    <row r="120" spans="2:57" x14ac:dyDescent="0.25">
      <c r="B120" s="1221">
        <v>116</v>
      </c>
      <c r="C120" s="1193" t="s">
        <v>1176</v>
      </c>
      <c r="D120" s="1194" t="s">
        <v>1177</v>
      </c>
      <c r="E120" s="1199">
        <v>44329</v>
      </c>
      <c r="F120" s="1199">
        <v>44562</v>
      </c>
      <c r="G120" s="1194">
        <v>1</v>
      </c>
      <c r="H120" s="1199">
        <v>46387</v>
      </c>
      <c r="I120" s="1183">
        <f>1315000000/1.1+26300000</f>
        <v>1221754545.4545453</v>
      </c>
      <c r="J120" s="1183">
        <v>1119314482.6084251</v>
      </c>
      <c r="K120" s="1194">
        <f t="shared" si="53"/>
        <v>59</v>
      </c>
      <c r="L120" s="1194">
        <f t="shared" si="54"/>
        <v>1825</v>
      </c>
      <c r="M120" s="1195">
        <f t="shared" si="33"/>
        <v>18971431.908617374</v>
      </c>
      <c r="N120" s="1195">
        <f t="shared" si="49"/>
        <v>613323.00416900008</v>
      </c>
      <c r="O120" s="1196">
        <v>690601702.69429433</v>
      </c>
      <c r="P120" s="1194">
        <v>31</v>
      </c>
      <c r="Q120" s="1195">
        <f t="shared" si="52"/>
        <v>19013013.129239004</v>
      </c>
      <c r="R120" s="1195">
        <f t="shared" si="50"/>
        <v>447725793.04336983</v>
      </c>
      <c r="S120" s="1195">
        <f t="shared" si="51"/>
        <v>671588689.56505537</v>
      </c>
      <c r="T120" s="1194">
        <v>5</v>
      </c>
      <c r="U120" s="1194" t="s">
        <v>1047</v>
      </c>
      <c r="V120" s="1201" t="s">
        <v>1043</v>
      </c>
      <c r="W120" s="1197"/>
      <c r="X120" s="1197"/>
      <c r="Y120" s="1197">
        <v>627</v>
      </c>
      <c r="Z120" s="1197" t="s">
        <v>809</v>
      </c>
      <c r="AA120" s="1197"/>
      <c r="AB120" s="1202">
        <v>19013013.129239004</v>
      </c>
      <c r="AC120" s="1202">
        <v>17173044.116732001</v>
      </c>
      <c r="AD120" s="1202">
        <v>19013013.129239004</v>
      </c>
      <c r="AE120" s="1202">
        <v>18399690.125070002</v>
      </c>
      <c r="AF120" s="1202">
        <v>19013013.129239004</v>
      </c>
      <c r="AG120" s="1202">
        <v>18399690.125070002</v>
      </c>
      <c r="AH120" s="1202">
        <v>19013013.129239004</v>
      </c>
      <c r="AI120" s="1202">
        <v>19013013.129239004</v>
      </c>
      <c r="AJ120" s="1202">
        <v>18399690.125070002</v>
      </c>
      <c r="AK120" s="1202">
        <v>19013013.129239004</v>
      </c>
      <c r="AL120" s="1202">
        <v>18399690.125070002</v>
      </c>
      <c r="AM120" s="1202">
        <v>19013013.129239004</v>
      </c>
      <c r="AN120" s="1197"/>
      <c r="AO120" s="1197">
        <v>641</v>
      </c>
      <c r="AP120" s="1197" t="s">
        <v>1357</v>
      </c>
      <c r="AQ120" s="1253" t="s">
        <v>809</v>
      </c>
      <c r="AR120" s="1201">
        <f t="shared" si="55"/>
        <v>0</v>
      </c>
      <c r="AS120" s="1198">
        <f t="shared" si="56"/>
        <v>671588689.56505537</v>
      </c>
      <c r="AT120" s="1198">
        <f t="shared" si="57"/>
        <v>227657182.90340847</v>
      </c>
      <c r="AU120" s="1201">
        <f t="shared" si="58"/>
        <v>223862896.52168503</v>
      </c>
      <c r="AV120" s="1198">
        <f t="shared" si="39"/>
        <v>227657182.90340847</v>
      </c>
      <c r="AW120" s="1198">
        <f t="shared" si="40"/>
        <v>227657182.90340847</v>
      </c>
      <c r="AX120" s="1198">
        <f t="shared" si="41"/>
        <v>216274323.75823843</v>
      </c>
      <c r="AY120" s="1198">
        <f t="shared" si="42"/>
        <v>0</v>
      </c>
      <c r="AZ120" s="1198">
        <f t="shared" si="43"/>
        <v>0</v>
      </c>
      <c r="BA120" s="1198">
        <f t="shared" si="44"/>
        <v>0</v>
      </c>
      <c r="BB120" s="1198">
        <f t="shared" si="45"/>
        <v>0</v>
      </c>
      <c r="BC120" s="1198">
        <f t="shared" si="46"/>
        <v>0</v>
      </c>
      <c r="BD120" s="1198">
        <f t="shared" si="47"/>
        <v>0</v>
      </c>
      <c r="BE120" s="1198">
        <f t="shared" si="48"/>
        <v>0</v>
      </c>
    </row>
    <row r="121" spans="2:57" x14ac:dyDescent="0.25">
      <c r="B121" s="1221">
        <v>117</v>
      </c>
      <c r="C121" s="1193" t="s">
        <v>1178</v>
      </c>
      <c r="D121" s="1194" t="s">
        <v>1179</v>
      </c>
      <c r="E121" s="1199">
        <v>44329</v>
      </c>
      <c r="F121" s="1199">
        <v>44562</v>
      </c>
      <c r="G121" s="1194">
        <v>1</v>
      </c>
      <c r="H121" s="1199">
        <v>46387</v>
      </c>
      <c r="I121" s="1183">
        <f>1315000000/1.1+26300000</f>
        <v>1221754545.4545453</v>
      </c>
      <c r="J121" s="1183">
        <v>1119314482.6084251</v>
      </c>
      <c r="K121" s="1194">
        <f t="shared" si="53"/>
        <v>59</v>
      </c>
      <c r="L121" s="1194">
        <f t="shared" si="54"/>
        <v>1825</v>
      </c>
      <c r="M121" s="1195">
        <f t="shared" si="33"/>
        <v>18971431.908617374</v>
      </c>
      <c r="N121" s="1195">
        <f t="shared" si="49"/>
        <v>613323.00416900008</v>
      </c>
      <c r="O121" s="1196">
        <v>690601702.69429433</v>
      </c>
      <c r="P121" s="1194">
        <v>31</v>
      </c>
      <c r="Q121" s="1195">
        <f t="shared" si="52"/>
        <v>19013013.129239004</v>
      </c>
      <c r="R121" s="1195">
        <f t="shared" si="50"/>
        <v>447725793.04336983</v>
      </c>
      <c r="S121" s="1195">
        <f t="shared" si="51"/>
        <v>671588689.56505537</v>
      </c>
      <c r="T121" s="1194">
        <v>5</v>
      </c>
      <c r="U121" s="1194" t="s">
        <v>1047</v>
      </c>
      <c r="V121" s="1201" t="s">
        <v>1043</v>
      </c>
      <c r="W121" s="1197"/>
      <c r="X121" s="1197"/>
      <c r="Y121" s="1197">
        <v>627</v>
      </c>
      <c r="Z121" s="1197" t="s">
        <v>809</v>
      </c>
      <c r="AA121" s="1197"/>
      <c r="AB121" s="1202">
        <v>19013013.129239004</v>
      </c>
      <c r="AC121" s="1202">
        <v>17173044.116732001</v>
      </c>
      <c r="AD121" s="1202">
        <v>19013013.129239004</v>
      </c>
      <c r="AE121" s="1202">
        <v>18399690.125070002</v>
      </c>
      <c r="AF121" s="1202">
        <v>19013013.129239004</v>
      </c>
      <c r="AG121" s="1202">
        <v>18399690.125070002</v>
      </c>
      <c r="AH121" s="1202">
        <v>19013013.129239004</v>
      </c>
      <c r="AI121" s="1202">
        <v>19013013.129239004</v>
      </c>
      <c r="AJ121" s="1202">
        <v>18399690.125070002</v>
      </c>
      <c r="AK121" s="1202">
        <v>19013013.129239004</v>
      </c>
      <c r="AL121" s="1202">
        <v>18399690.125070002</v>
      </c>
      <c r="AM121" s="1202">
        <v>19013013.129239004</v>
      </c>
      <c r="AN121" s="1197"/>
      <c r="AO121" s="1197">
        <v>641</v>
      </c>
      <c r="AP121" s="1197" t="s">
        <v>1357</v>
      </c>
      <c r="AQ121" s="1253" t="s">
        <v>809</v>
      </c>
      <c r="AR121" s="1201">
        <f t="shared" si="55"/>
        <v>0</v>
      </c>
      <c r="AS121" s="1198">
        <f t="shared" si="56"/>
        <v>671588689.56505537</v>
      </c>
      <c r="AT121" s="1198">
        <f t="shared" si="57"/>
        <v>227657182.90340847</v>
      </c>
      <c r="AU121" s="1201">
        <f t="shared" si="58"/>
        <v>223862896.52168503</v>
      </c>
      <c r="AV121" s="1198">
        <f t="shared" si="39"/>
        <v>227657182.90340847</v>
      </c>
      <c r="AW121" s="1198">
        <f t="shared" si="40"/>
        <v>227657182.90340847</v>
      </c>
      <c r="AX121" s="1198">
        <f t="shared" si="41"/>
        <v>216274323.75823843</v>
      </c>
      <c r="AY121" s="1198">
        <f t="shared" si="42"/>
        <v>0</v>
      </c>
      <c r="AZ121" s="1198">
        <f t="shared" si="43"/>
        <v>0</v>
      </c>
      <c r="BA121" s="1198">
        <f t="shared" si="44"/>
        <v>0</v>
      </c>
      <c r="BB121" s="1198">
        <f t="shared" si="45"/>
        <v>0</v>
      </c>
      <c r="BC121" s="1198">
        <f t="shared" si="46"/>
        <v>0</v>
      </c>
      <c r="BD121" s="1198">
        <f t="shared" si="47"/>
        <v>0</v>
      </c>
      <c r="BE121" s="1198">
        <f t="shared" si="48"/>
        <v>0</v>
      </c>
    </row>
    <row r="122" spans="2:57" x14ac:dyDescent="0.25">
      <c r="B122" s="1221">
        <v>118</v>
      </c>
      <c r="C122" s="1193" t="s">
        <v>1180</v>
      </c>
      <c r="D122" s="1194" t="s">
        <v>1181</v>
      </c>
      <c r="E122" s="1199">
        <v>44329</v>
      </c>
      <c r="F122" s="1199">
        <v>44562</v>
      </c>
      <c r="G122" s="1194">
        <v>1</v>
      </c>
      <c r="H122" s="1199">
        <v>46387</v>
      </c>
      <c r="I122" s="1183">
        <f>1315000000/1.1+26300000</f>
        <v>1221754545.4545453</v>
      </c>
      <c r="J122" s="1183">
        <v>1119314482.6084251</v>
      </c>
      <c r="K122" s="1194">
        <f t="shared" si="53"/>
        <v>59</v>
      </c>
      <c r="L122" s="1194">
        <f t="shared" si="54"/>
        <v>1825</v>
      </c>
      <c r="M122" s="1195">
        <f t="shared" si="33"/>
        <v>18971431.908617374</v>
      </c>
      <c r="N122" s="1195">
        <f t="shared" si="49"/>
        <v>613323.00416900008</v>
      </c>
      <c r="O122" s="1196">
        <v>690601702.69429433</v>
      </c>
      <c r="P122" s="1194">
        <v>31</v>
      </c>
      <c r="Q122" s="1195">
        <f t="shared" si="52"/>
        <v>19013013.129239004</v>
      </c>
      <c r="R122" s="1195">
        <f t="shared" si="50"/>
        <v>447725793.04336983</v>
      </c>
      <c r="S122" s="1195">
        <f t="shared" si="51"/>
        <v>671588689.56505537</v>
      </c>
      <c r="T122" s="1194"/>
      <c r="U122" s="1194" t="s">
        <v>1103</v>
      </c>
      <c r="V122" s="1201" t="s">
        <v>1043</v>
      </c>
      <c r="W122" s="1197"/>
      <c r="X122" s="1197"/>
      <c r="Y122" s="1197">
        <v>627</v>
      </c>
      <c r="Z122" s="1197" t="s">
        <v>809</v>
      </c>
      <c r="AA122" s="1197"/>
      <c r="AB122" s="1202">
        <v>19013013.129239004</v>
      </c>
      <c r="AC122" s="1202">
        <v>17173044.116732001</v>
      </c>
      <c r="AD122" s="1202">
        <v>19013013.129239004</v>
      </c>
      <c r="AE122" s="1202">
        <v>18399690.125070002</v>
      </c>
      <c r="AF122" s="1202">
        <v>19013013.129239004</v>
      </c>
      <c r="AG122" s="1202">
        <v>18399690.125070002</v>
      </c>
      <c r="AH122" s="1202">
        <v>19013013.129239004</v>
      </c>
      <c r="AI122" s="1202">
        <v>19013013.129239004</v>
      </c>
      <c r="AJ122" s="1202">
        <v>18399690.125070002</v>
      </c>
      <c r="AK122" s="1202">
        <v>19013013.129239004</v>
      </c>
      <c r="AL122" s="1202">
        <v>18399690.125070002</v>
      </c>
      <c r="AM122" s="1202">
        <v>19013013.129239004</v>
      </c>
      <c r="AN122" s="1197"/>
      <c r="AO122" s="1197">
        <v>641</v>
      </c>
      <c r="AP122" s="1197" t="s">
        <v>1357</v>
      </c>
      <c r="AQ122" s="1253" t="s">
        <v>809</v>
      </c>
      <c r="AR122" s="1201">
        <f t="shared" si="55"/>
        <v>0</v>
      </c>
      <c r="AS122" s="1198">
        <f t="shared" si="56"/>
        <v>671588689.56505537</v>
      </c>
      <c r="AT122" s="1198">
        <f t="shared" si="57"/>
        <v>227657182.90340847</v>
      </c>
      <c r="AU122" s="1201">
        <f t="shared" si="58"/>
        <v>223862896.52168503</v>
      </c>
      <c r="AV122" s="1198">
        <f t="shared" si="39"/>
        <v>227657182.90340847</v>
      </c>
      <c r="AW122" s="1198">
        <f t="shared" si="40"/>
        <v>227657182.90340847</v>
      </c>
      <c r="AX122" s="1198">
        <f t="shared" si="41"/>
        <v>216274323.75823843</v>
      </c>
      <c r="AY122" s="1198">
        <f t="shared" si="42"/>
        <v>0</v>
      </c>
      <c r="AZ122" s="1198">
        <f t="shared" si="43"/>
        <v>0</v>
      </c>
      <c r="BA122" s="1198">
        <f t="shared" si="44"/>
        <v>0</v>
      </c>
      <c r="BB122" s="1198">
        <f t="shared" si="45"/>
        <v>0</v>
      </c>
      <c r="BC122" s="1198">
        <f t="shared" si="46"/>
        <v>0</v>
      </c>
      <c r="BD122" s="1198">
        <f t="shared" si="47"/>
        <v>0</v>
      </c>
      <c r="BE122" s="1198">
        <f t="shared" si="48"/>
        <v>0</v>
      </c>
    </row>
    <row r="123" spans="2:57" x14ac:dyDescent="0.25">
      <c r="B123" s="1221">
        <v>119</v>
      </c>
      <c r="C123" s="1193" t="s">
        <v>1182</v>
      </c>
      <c r="D123" s="1194" t="s">
        <v>1183</v>
      </c>
      <c r="E123" s="1199">
        <v>44329</v>
      </c>
      <c r="F123" s="1199">
        <v>44562</v>
      </c>
      <c r="G123" s="1194">
        <v>1</v>
      </c>
      <c r="H123" s="1199">
        <v>46387</v>
      </c>
      <c r="I123" s="1183">
        <f>1315000000/1.1+26300000</f>
        <v>1221754545.4545453</v>
      </c>
      <c r="J123" s="1183">
        <v>1119314482.6084251</v>
      </c>
      <c r="K123" s="1194">
        <f t="shared" si="53"/>
        <v>59</v>
      </c>
      <c r="L123" s="1194">
        <f t="shared" si="54"/>
        <v>1825</v>
      </c>
      <c r="M123" s="1195">
        <f t="shared" si="33"/>
        <v>18971431.908617374</v>
      </c>
      <c r="N123" s="1195">
        <f t="shared" si="49"/>
        <v>613323.00416900008</v>
      </c>
      <c r="O123" s="1196">
        <v>690601702.69429433</v>
      </c>
      <c r="P123" s="1194">
        <v>31</v>
      </c>
      <c r="Q123" s="1195">
        <f t="shared" si="52"/>
        <v>19013013.129239004</v>
      </c>
      <c r="R123" s="1195">
        <f t="shared" si="50"/>
        <v>447725793.04336983</v>
      </c>
      <c r="S123" s="1195">
        <f t="shared" si="51"/>
        <v>671588689.56505537</v>
      </c>
      <c r="T123" s="1194">
        <v>5</v>
      </c>
      <c r="U123" s="1194" t="s">
        <v>1047</v>
      </c>
      <c r="V123" s="1201" t="s">
        <v>1043</v>
      </c>
      <c r="W123" s="1197"/>
      <c r="X123" s="1197"/>
      <c r="Y123" s="1197">
        <v>627</v>
      </c>
      <c r="Z123" s="1197" t="s">
        <v>809</v>
      </c>
      <c r="AA123" s="1197"/>
      <c r="AB123" s="1202">
        <v>19013013.129239004</v>
      </c>
      <c r="AC123" s="1202">
        <v>17173044.116732001</v>
      </c>
      <c r="AD123" s="1202">
        <v>19013013.129239004</v>
      </c>
      <c r="AE123" s="1202">
        <v>18399690.125070002</v>
      </c>
      <c r="AF123" s="1202">
        <v>19013013.129239004</v>
      </c>
      <c r="AG123" s="1202">
        <v>18399690.125070002</v>
      </c>
      <c r="AH123" s="1202">
        <v>19013013.129239004</v>
      </c>
      <c r="AI123" s="1202">
        <v>19013013.129239004</v>
      </c>
      <c r="AJ123" s="1202">
        <v>18399690.125070002</v>
      </c>
      <c r="AK123" s="1202">
        <v>19013013.129239004</v>
      </c>
      <c r="AL123" s="1202">
        <v>18399690.125070002</v>
      </c>
      <c r="AM123" s="1202">
        <v>19013013.129239004</v>
      </c>
      <c r="AN123" s="1197"/>
      <c r="AO123" s="1197">
        <v>641</v>
      </c>
      <c r="AP123" s="1197" t="s">
        <v>1357</v>
      </c>
      <c r="AQ123" s="1253" t="s">
        <v>809</v>
      </c>
      <c r="AR123" s="1201">
        <f t="shared" si="55"/>
        <v>0</v>
      </c>
      <c r="AS123" s="1198">
        <f t="shared" si="56"/>
        <v>671588689.56505537</v>
      </c>
      <c r="AT123" s="1198">
        <f t="shared" si="57"/>
        <v>227657182.90340847</v>
      </c>
      <c r="AU123" s="1201">
        <f t="shared" si="58"/>
        <v>223862896.52168503</v>
      </c>
      <c r="AV123" s="1198">
        <f t="shared" si="39"/>
        <v>227657182.90340847</v>
      </c>
      <c r="AW123" s="1198">
        <f t="shared" si="40"/>
        <v>227657182.90340847</v>
      </c>
      <c r="AX123" s="1198">
        <f t="shared" si="41"/>
        <v>216274323.75823843</v>
      </c>
      <c r="AY123" s="1198">
        <f t="shared" si="42"/>
        <v>0</v>
      </c>
      <c r="AZ123" s="1198">
        <f t="shared" si="43"/>
        <v>0</v>
      </c>
      <c r="BA123" s="1198">
        <f t="shared" si="44"/>
        <v>0</v>
      </c>
      <c r="BB123" s="1198">
        <f t="shared" si="45"/>
        <v>0</v>
      </c>
      <c r="BC123" s="1198">
        <f t="shared" si="46"/>
        <v>0</v>
      </c>
      <c r="BD123" s="1198">
        <f t="shared" si="47"/>
        <v>0</v>
      </c>
      <c r="BE123" s="1198">
        <f t="shared" si="48"/>
        <v>0</v>
      </c>
    </row>
    <row r="124" spans="2:57" x14ac:dyDescent="0.25">
      <c r="B124" s="1221">
        <v>120</v>
      </c>
      <c r="C124" s="1193" t="s">
        <v>1184</v>
      </c>
      <c r="D124" s="1194" t="s">
        <v>1185</v>
      </c>
      <c r="E124" s="1199">
        <v>44329</v>
      </c>
      <c r="F124" s="1199">
        <v>44562</v>
      </c>
      <c r="G124" s="1194">
        <v>1</v>
      </c>
      <c r="H124" s="1199">
        <v>46387</v>
      </c>
      <c r="I124" s="1183">
        <f>1315000000/1.1+26300000</f>
        <v>1221754545.4545453</v>
      </c>
      <c r="J124" s="1183">
        <v>1119314482.6084251</v>
      </c>
      <c r="K124" s="1194">
        <f t="shared" si="53"/>
        <v>59</v>
      </c>
      <c r="L124" s="1194">
        <f t="shared" si="54"/>
        <v>1825</v>
      </c>
      <c r="M124" s="1195">
        <f t="shared" si="33"/>
        <v>18971431.908617374</v>
      </c>
      <c r="N124" s="1195">
        <f t="shared" si="49"/>
        <v>613323.00416900008</v>
      </c>
      <c r="O124" s="1196">
        <v>690601702.69429433</v>
      </c>
      <c r="P124" s="1194">
        <v>31</v>
      </c>
      <c r="Q124" s="1195">
        <f t="shared" si="52"/>
        <v>19013013.129239004</v>
      </c>
      <c r="R124" s="1195">
        <f t="shared" si="50"/>
        <v>447725793.04336983</v>
      </c>
      <c r="S124" s="1195">
        <f t="shared" si="51"/>
        <v>671588689.56505537</v>
      </c>
      <c r="T124" s="1194">
        <v>5</v>
      </c>
      <c r="U124" s="1194" t="s">
        <v>1047</v>
      </c>
      <c r="V124" s="1201" t="s">
        <v>1043</v>
      </c>
      <c r="W124" s="1197"/>
      <c r="X124" s="1197"/>
      <c r="Y124" s="1197">
        <v>627</v>
      </c>
      <c r="Z124" s="1197" t="s">
        <v>809</v>
      </c>
      <c r="AA124" s="1197"/>
      <c r="AB124" s="1202">
        <v>19013013.129239004</v>
      </c>
      <c r="AC124" s="1202">
        <v>17173044.116732001</v>
      </c>
      <c r="AD124" s="1202">
        <v>19013013.129239004</v>
      </c>
      <c r="AE124" s="1202">
        <v>18399690.125070002</v>
      </c>
      <c r="AF124" s="1202">
        <v>19013013.129239004</v>
      </c>
      <c r="AG124" s="1202">
        <v>18399690.125070002</v>
      </c>
      <c r="AH124" s="1202">
        <v>19013013.129239004</v>
      </c>
      <c r="AI124" s="1202">
        <v>19013013.129239004</v>
      </c>
      <c r="AJ124" s="1202">
        <v>18399690.125070002</v>
      </c>
      <c r="AK124" s="1202">
        <v>19013013.129239004</v>
      </c>
      <c r="AL124" s="1202">
        <v>18399690.125070002</v>
      </c>
      <c r="AM124" s="1202">
        <v>19013013.129239004</v>
      </c>
      <c r="AN124" s="1197"/>
      <c r="AO124" s="1197">
        <v>641</v>
      </c>
      <c r="AP124" s="1197" t="s">
        <v>1357</v>
      </c>
      <c r="AQ124" s="1253" t="s">
        <v>809</v>
      </c>
      <c r="AR124" s="1201">
        <f t="shared" si="55"/>
        <v>0</v>
      </c>
      <c r="AS124" s="1198">
        <f t="shared" si="56"/>
        <v>671588689.56505537</v>
      </c>
      <c r="AT124" s="1198">
        <f t="shared" si="57"/>
        <v>227657182.90340847</v>
      </c>
      <c r="AU124" s="1201">
        <f t="shared" si="58"/>
        <v>223862896.52168503</v>
      </c>
      <c r="AV124" s="1198">
        <f t="shared" si="39"/>
        <v>227657182.90340847</v>
      </c>
      <c r="AW124" s="1198">
        <f t="shared" si="40"/>
        <v>227657182.90340847</v>
      </c>
      <c r="AX124" s="1198">
        <f t="shared" si="41"/>
        <v>216274323.75823843</v>
      </c>
      <c r="AY124" s="1198">
        <f t="shared" si="42"/>
        <v>0</v>
      </c>
      <c r="AZ124" s="1198">
        <f t="shared" si="43"/>
        <v>0</v>
      </c>
      <c r="BA124" s="1198">
        <f t="shared" si="44"/>
        <v>0</v>
      </c>
      <c r="BB124" s="1198">
        <f t="shared" si="45"/>
        <v>0</v>
      </c>
      <c r="BC124" s="1198">
        <f t="shared" si="46"/>
        <v>0</v>
      </c>
      <c r="BD124" s="1198">
        <f t="shared" si="47"/>
        <v>0</v>
      </c>
      <c r="BE124" s="1198">
        <f t="shared" si="48"/>
        <v>0</v>
      </c>
    </row>
    <row r="125" spans="2:57" x14ac:dyDescent="0.25">
      <c r="B125" s="1221">
        <v>121</v>
      </c>
      <c r="C125" s="1193" t="s">
        <v>1186</v>
      </c>
      <c r="D125" s="1194" t="s">
        <v>1187</v>
      </c>
      <c r="E125" s="1199">
        <v>44329</v>
      </c>
      <c r="F125" s="1199">
        <v>44562</v>
      </c>
      <c r="G125" s="1194">
        <v>1</v>
      </c>
      <c r="H125" s="1199">
        <v>46387</v>
      </c>
      <c r="I125" s="1183">
        <f>595000000/1.1+11900000</f>
        <v>552809090.90909088</v>
      </c>
      <c r="J125" s="1183">
        <v>506457883.76578927</v>
      </c>
      <c r="K125" s="1194">
        <f t="shared" si="53"/>
        <v>59</v>
      </c>
      <c r="L125" s="1194">
        <f t="shared" si="54"/>
        <v>1825</v>
      </c>
      <c r="M125" s="1195">
        <f t="shared" si="33"/>
        <v>8584031.9282337166</v>
      </c>
      <c r="N125" s="1195">
        <f t="shared" si="49"/>
        <v>277511.16918673384</v>
      </c>
      <c r="O125" s="1196">
        <v>312477576.50426197</v>
      </c>
      <c r="P125" s="1194">
        <v>31</v>
      </c>
      <c r="Q125" s="1195">
        <f t="shared" si="52"/>
        <v>8602846.2447887491</v>
      </c>
      <c r="R125" s="1195">
        <f t="shared" si="50"/>
        <v>202583153.50631604</v>
      </c>
      <c r="S125" s="1195">
        <f t="shared" si="51"/>
        <v>303874730.2594732</v>
      </c>
      <c r="T125" s="1194">
        <v>5</v>
      </c>
      <c r="U125" s="1194" t="s">
        <v>1145</v>
      </c>
      <c r="V125" s="1201" t="s">
        <v>1188</v>
      </c>
      <c r="W125" s="1201"/>
      <c r="X125" s="1197"/>
      <c r="Y125" s="1197">
        <v>627</v>
      </c>
      <c r="Z125" s="1197" t="s">
        <v>1158</v>
      </c>
      <c r="AA125" s="1197"/>
      <c r="AB125" s="1202">
        <v>8602846.2447887491</v>
      </c>
      <c r="AC125" s="1202">
        <v>7770312.7372285472</v>
      </c>
      <c r="AD125" s="1202">
        <v>8602846.2447887491</v>
      </c>
      <c r="AE125" s="1202">
        <v>8325335.0756020155</v>
      </c>
      <c r="AF125" s="1202">
        <v>8602846.2447887491</v>
      </c>
      <c r="AG125" s="1202">
        <v>8325335.0756020155</v>
      </c>
      <c r="AH125" s="1202">
        <v>8602846.2447887491</v>
      </c>
      <c r="AI125" s="1202">
        <v>8602846.2447887491</v>
      </c>
      <c r="AJ125" s="1202">
        <v>8325335.0756020155</v>
      </c>
      <c r="AK125" s="1202">
        <v>8602846.2447887491</v>
      </c>
      <c r="AL125" s="1202">
        <v>8325335.0756020155</v>
      </c>
      <c r="AM125" s="1202">
        <v>8602846.2447887491</v>
      </c>
      <c r="AN125" s="1197"/>
      <c r="AO125" s="1197">
        <v>627</v>
      </c>
      <c r="AP125" s="1197" t="s">
        <v>732</v>
      </c>
      <c r="AQ125" s="1197" t="s">
        <v>1383</v>
      </c>
      <c r="AR125" s="1201">
        <f t="shared" si="55"/>
        <v>0</v>
      </c>
      <c r="AS125" s="1198">
        <f t="shared" si="56"/>
        <v>303874730.2594732</v>
      </c>
      <c r="AT125" s="1198">
        <f t="shared" si="57"/>
        <v>103008383.1388046</v>
      </c>
      <c r="AU125" s="1201">
        <f t="shared" si="58"/>
        <v>101291576.75315785</v>
      </c>
      <c r="AV125" s="1198">
        <f t="shared" si="39"/>
        <v>103008383.1388046</v>
      </c>
      <c r="AW125" s="1198">
        <f t="shared" si="40"/>
        <v>103008383.1388046</v>
      </c>
      <c r="AX125" s="1198">
        <f t="shared" si="41"/>
        <v>97857963.981864005</v>
      </c>
      <c r="AY125" s="1198">
        <f t="shared" si="42"/>
        <v>0</v>
      </c>
      <c r="AZ125" s="1198">
        <f t="shared" si="43"/>
        <v>0</v>
      </c>
      <c r="BA125" s="1198">
        <f t="shared" si="44"/>
        <v>0</v>
      </c>
      <c r="BB125" s="1198">
        <f t="shared" si="45"/>
        <v>0</v>
      </c>
      <c r="BC125" s="1198">
        <f t="shared" si="46"/>
        <v>0</v>
      </c>
      <c r="BD125" s="1198">
        <f t="shared" si="47"/>
        <v>0</v>
      </c>
      <c r="BE125" s="1198">
        <f t="shared" si="48"/>
        <v>0</v>
      </c>
    </row>
    <row r="126" spans="2:57" x14ac:dyDescent="0.25">
      <c r="B126" s="1221">
        <v>122</v>
      </c>
      <c r="C126" s="1193" t="s">
        <v>1189</v>
      </c>
      <c r="D126" s="1194" t="s">
        <v>1190</v>
      </c>
      <c r="E126" s="1199">
        <v>44317</v>
      </c>
      <c r="F126" s="1199">
        <v>44562</v>
      </c>
      <c r="G126" s="1194">
        <v>1</v>
      </c>
      <c r="H126" s="1199">
        <v>46387</v>
      </c>
      <c r="I126" s="1183">
        <f>635000000/1.1</f>
        <v>577272727.27272725</v>
      </c>
      <c r="J126" s="1183">
        <v>528870325.43090057</v>
      </c>
      <c r="K126" s="1194">
        <f t="shared" si="53"/>
        <v>59</v>
      </c>
      <c r="L126" s="1194">
        <f t="shared" si="54"/>
        <v>1825</v>
      </c>
      <c r="M126" s="1195">
        <f t="shared" si="33"/>
        <v>8963903.8208627217</v>
      </c>
      <c r="N126" s="1195">
        <f t="shared" si="49"/>
        <v>289791.95914021949</v>
      </c>
      <c r="O126" s="1196">
        <v>326305745.99188697</v>
      </c>
      <c r="P126" s="1194">
        <v>31</v>
      </c>
      <c r="Q126" s="1195">
        <f t="shared" si="52"/>
        <v>8983550.733346805</v>
      </c>
      <c r="R126" s="1195">
        <f t="shared" si="50"/>
        <v>211548130.17236042</v>
      </c>
      <c r="S126" s="1195">
        <f t="shared" si="51"/>
        <v>317322195.25854015</v>
      </c>
      <c r="T126" s="1194" t="s">
        <v>1071</v>
      </c>
      <c r="U126" s="1194" t="s">
        <v>1103</v>
      </c>
      <c r="V126" s="1201" t="s">
        <v>1043</v>
      </c>
      <c r="W126" s="1197"/>
      <c r="X126" s="1197"/>
      <c r="Y126" s="1197">
        <v>627</v>
      </c>
      <c r="Z126" s="1197" t="s">
        <v>1048</v>
      </c>
      <c r="AA126" s="1197"/>
      <c r="AB126" s="1202">
        <v>8983550.733346805</v>
      </c>
      <c r="AC126" s="1202">
        <v>8114174.8559261458</v>
      </c>
      <c r="AD126" s="1202">
        <v>8983550.733346805</v>
      </c>
      <c r="AE126" s="1202">
        <v>8693758.7742065843</v>
      </c>
      <c r="AF126" s="1202">
        <v>8983550.733346805</v>
      </c>
      <c r="AG126" s="1202">
        <v>8693758.7742065843</v>
      </c>
      <c r="AH126" s="1202">
        <v>8983550.733346805</v>
      </c>
      <c r="AI126" s="1202">
        <v>8983550.733346805</v>
      </c>
      <c r="AJ126" s="1202">
        <v>8693758.7742065843</v>
      </c>
      <c r="AK126" s="1202">
        <v>8983550.733346805</v>
      </c>
      <c r="AL126" s="1202">
        <v>8693758.7742065843</v>
      </c>
      <c r="AM126" s="1202">
        <v>8983550.733346805</v>
      </c>
      <c r="AN126" s="1197"/>
      <c r="AO126" s="1197">
        <v>627</v>
      </c>
      <c r="AP126" s="1197" t="s">
        <v>732</v>
      </c>
      <c r="AQ126" s="1204" t="s">
        <v>1048</v>
      </c>
      <c r="AR126" s="1201">
        <f t="shared" si="55"/>
        <v>0</v>
      </c>
      <c r="AS126" s="1198">
        <f t="shared" si="56"/>
        <v>317322195.25854015</v>
      </c>
      <c r="AT126" s="1198">
        <f t="shared" si="57"/>
        <v>107566845.85035266</v>
      </c>
      <c r="AU126" s="1201">
        <f t="shared" si="58"/>
        <v>105774065.08618011</v>
      </c>
      <c r="AV126" s="1198">
        <f t="shared" si="39"/>
        <v>107566845.85035266</v>
      </c>
      <c r="AW126" s="1198">
        <f t="shared" si="40"/>
        <v>107566845.85035266</v>
      </c>
      <c r="AX126" s="1198">
        <f t="shared" si="41"/>
        <v>102188503.55783483</v>
      </c>
      <c r="AY126" s="1198">
        <f t="shared" si="42"/>
        <v>0</v>
      </c>
      <c r="AZ126" s="1198">
        <f t="shared" si="43"/>
        <v>0</v>
      </c>
      <c r="BA126" s="1198">
        <f t="shared" si="44"/>
        <v>0</v>
      </c>
      <c r="BB126" s="1198">
        <f t="shared" si="45"/>
        <v>0</v>
      </c>
      <c r="BC126" s="1198">
        <f t="shared" si="46"/>
        <v>0</v>
      </c>
      <c r="BD126" s="1198">
        <f t="shared" si="47"/>
        <v>0</v>
      </c>
      <c r="BE126" s="1198">
        <f t="shared" si="48"/>
        <v>0</v>
      </c>
    </row>
    <row r="127" spans="2:57" x14ac:dyDescent="0.25">
      <c r="B127" s="1221">
        <v>123</v>
      </c>
      <c r="C127" s="1193" t="s">
        <v>1191</v>
      </c>
      <c r="D127" s="1194" t="s">
        <v>1192</v>
      </c>
      <c r="E127" s="1199">
        <v>43101</v>
      </c>
      <c r="F127" s="1199">
        <v>44562</v>
      </c>
      <c r="G127" s="1194">
        <v>1</v>
      </c>
      <c r="H127" s="1199">
        <v>47118</v>
      </c>
      <c r="I127" s="1183">
        <v>10365909091</v>
      </c>
      <c r="J127" s="1183">
        <v>7601792795.6995802</v>
      </c>
      <c r="K127" s="1194">
        <f t="shared" si="53"/>
        <v>83</v>
      </c>
      <c r="L127" s="1194">
        <f t="shared" si="54"/>
        <v>2556</v>
      </c>
      <c r="M127" s="1195">
        <f t="shared" si="33"/>
        <v>91587865.008428678</v>
      </c>
      <c r="N127" s="1195">
        <f t="shared" si="49"/>
        <v>2974097.337910634</v>
      </c>
      <c r="O127" s="1196">
        <v>5522898756.5000515</v>
      </c>
      <c r="P127" s="1194">
        <v>31</v>
      </c>
      <c r="Q127" s="1195">
        <f t="shared" si="52"/>
        <v>92197017.475229651</v>
      </c>
      <c r="R127" s="1195">
        <f t="shared" si="50"/>
        <v>2171091056.6747584</v>
      </c>
      <c r="S127" s="1195">
        <f t="shared" si="51"/>
        <v>5430701739.0248222</v>
      </c>
      <c r="T127" s="1194">
        <v>5</v>
      </c>
      <c r="U127" s="1194" t="s">
        <v>1047</v>
      </c>
      <c r="V127" s="1201" t="s">
        <v>1047</v>
      </c>
      <c r="W127" s="1197"/>
      <c r="X127" s="1197"/>
      <c r="Y127" s="1197">
        <v>627</v>
      </c>
      <c r="Z127" s="1197" t="s">
        <v>814</v>
      </c>
      <c r="AA127" s="1197"/>
      <c r="AB127" s="1202">
        <v>92197017.475229651</v>
      </c>
      <c r="AC127" s="1202">
        <v>83274725.461497754</v>
      </c>
      <c r="AD127" s="1202">
        <v>92197017.475229651</v>
      </c>
      <c r="AE127" s="1202">
        <v>89222920.137319013</v>
      </c>
      <c r="AF127" s="1202">
        <v>92197017.475229651</v>
      </c>
      <c r="AG127" s="1202">
        <v>89222920.137319013</v>
      </c>
      <c r="AH127" s="1202">
        <v>92197017.475229651</v>
      </c>
      <c r="AI127" s="1202">
        <v>92197017.475229651</v>
      </c>
      <c r="AJ127" s="1202">
        <v>89222920.137319013</v>
      </c>
      <c r="AK127" s="1202">
        <v>92197017.475229651</v>
      </c>
      <c r="AL127" s="1202">
        <v>89222920.137319013</v>
      </c>
      <c r="AM127" s="1202">
        <v>92197017.475229651</v>
      </c>
      <c r="AN127" s="1197"/>
      <c r="AO127" s="1197">
        <v>627</v>
      </c>
      <c r="AP127" s="1197" t="s">
        <v>732</v>
      </c>
      <c r="AQ127" s="1197" t="s">
        <v>814</v>
      </c>
      <c r="AR127" s="1201">
        <f t="shared" si="55"/>
        <v>0</v>
      </c>
      <c r="AS127" s="1198">
        <f t="shared" si="56"/>
        <v>5430701739.0248222</v>
      </c>
      <c r="AT127" s="1198">
        <f t="shared" si="57"/>
        <v>1099054380.1011441</v>
      </c>
      <c r="AU127" s="1201">
        <f t="shared" si="58"/>
        <v>1085545528.3373811</v>
      </c>
      <c r="AV127" s="1198">
        <f t="shared" si="39"/>
        <v>1099054380.1011441</v>
      </c>
      <c r="AW127" s="1198">
        <f t="shared" si="40"/>
        <v>1099054380.1011441</v>
      </c>
      <c r="AX127" s="1198">
        <f t="shared" si="41"/>
        <v>1099054380.1011441</v>
      </c>
      <c r="AY127" s="1198">
        <f t="shared" si="42"/>
        <v>1099054380.1011441</v>
      </c>
      <c r="AZ127" s="1198">
        <f t="shared" si="43"/>
        <v>1034484218.6202459</v>
      </c>
      <c r="BA127" s="1198">
        <f t="shared" si="44"/>
        <v>0</v>
      </c>
      <c r="BB127" s="1198">
        <f t="shared" si="45"/>
        <v>0</v>
      </c>
      <c r="BC127" s="1198">
        <f t="shared" si="46"/>
        <v>0</v>
      </c>
      <c r="BD127" s="1198">
        <f t="shared" si="47"/>
        <v>0</v>
      </c>
      <c r="BE127" s="1198">
        <f t="shared" si="48"/>
        <v>0</v>
      </c>
    </row>
    <row r="128" spans="2:57" x14ac:dyDescent="0.25">
      <c r="B128" s="1221">
        <v>124</v>
      </c>
      <c r="C128" s="1193" t="s">
        <v>1193</v>
      </c>
      <c r="D128" s="1193" t="s">
        <v>1193</v>
      </c>
      <c r="E128" s="1199">
        <v>44378</v>
      </c>
      <c r="F128" s="1199">
        <v>44562</v>
      </c>
      <c r="G128" s="1194">
        <v>1</v>
      </c>
      <c r="H128" s="1199">
        <v>46387</v>
      </c>
      <c r="I128" s="1183">
        <f>2490000000+249000000+2000000+3400000</f>
        <v>2744400000</v>
      </c>
      <c r="J128" s="1183">
        <v>2606127929.9014235</v>
      </c>
      <c r="K128" s="1194">
        <f t="shared" si="53"/>
        <v>59</v>
      </c>
      <c r="L128" s="1194">
        <f t="shared" si="54"/>
        <v>1825</v>
      </c>
      <c r="M128" s="1195">
        <f t="shared" si="33"/>
        <v>44171659.828837685</v>
      </c>
      <c r="N128" s="1195">
        <f t="shared" si="49"/>
        <v>1428015.3040555746</v>
      </c>
      <c r="O128" s="1196">
        <v>1607945232.3665767</v>
      </c>
      <c r="P128" s="1194">
        <v>31</v>
      </c>
      <c r="Q128" s="1195">
        <f t="shared" si="52"/>
        <v>44268474.425722815</v>
      </c>
      <c r="R128" s="1195">
        <f t="shared" si="50"/>
        <v>1042451171.9605696</v>
      </c>
      <c r="S128" s="1195">
        <f t="shared" si="51"/>
        <v>1563676757.9408538</v>
      </c>
      <c r="T128" s="1194" t="s">
        <v>1156</v>
      </c>
      <c r="U128" s="1194" t="s">
        <v>1145</v>
      </c>
      <c r="V128" s="1201" t="s">
        <v>1145</v>
      </c>
      <c r="W128" s="1201" t="str">
        <f>V128</f>
        <v>VP</v>
      </c>
      <c r="X128" s="1197"/>
      <c r="Y128" s="1197">
        <v>627</v>
      </c>
      <c r="Z128" s="1197" t="s">
        <v>1158</v>
      </c>
      <c r="AA128" s="1197"/>
      <c r="AB128" s="1202">
        <v>44268474.425722815</v>
      </c>
      <c r="AC128" s="1202">
        <v>39984428.513556086</v>
      </c>
      <c r="AD128" s="1202">
        <v>44268474.425722815</v>
      </c>
      <c r="AE128" s="1202">
        <v>42840459.121667236</v>
      </c>
      <c r="AF128" s="1202">
        <v>44268474.425722815</v>
      </c>
      <c r="AG128" s="1202">
        <v>42840459.121667236</v>
      </c>
      <c r="AH128" s="1202">
        <v>44268474.425722815</v>
      </c>
      <c r="AI128" s="1202">
        <v>44268474.425722815</v>
      </c>
      <c r="AJ128" s="1202">
        <v>42840459.121667236</v>
      </c>
      <c r="AK128" s="1202">
        <v>44268474.425722815</v>
      </c>
      <c r="AL128" s="1202">
        <v>42840459.121667236</v>
      </c>
      <c r="AM128" s="1202">
        <v>44268474.425722815</v>
      </c>
      <c r="AN128" s="1197"/>
      <c r="AO128" s="1197">
        <v>627</v>
      </c>
      <c r="AP128" s="1197" t="s">
        <v>732</v>
      </c>
      <c r="AQ128" s="1197" t="s">
        <v>1158</v>
      </c>
      <c r="AR128" s="1201">
        <f t="shared" si="55"/>
        <v>0</v>
      </c>
      <c r="AS128" s="1198">
        <f t="shared" si="56"/>
        <v>1563676757.9408538</v>
      </c>
      <c r="AT128" s="1198">
        <f t="shared" si="57"/>
        <v>530059917.94605219</v>
      </c>
      <c r="AU128" s="1201">
        <f t="shared" si="58"/>
        <v>521225585.98028481</v>
      </c>
      <c r="AV128" s="1198">
        <f t="shared" si="39"/>
        <v>530059917.94605219</v>
      </c>
      <c r="AW128" s="1198">
        <f t="shared" si="40"/>
        <v>530059917.94605219</v>
      </c>
      <c r="AX128" s="1198">
        <f t="shared" si="41"/>
        <v>503556922.04874945</v>
      </c>
      <c r="AY128" s="1198">
        <f t="shared" si="42"/>
        <v>0</v>
      </c>
      <c r="AZ128" s="1198">
        <f t="shared" si="43"/>
        <v>0</v>
      </c>
      <c r="BA128" s="1198">
        <f t="shared" si="44"/>
        <v>0</v>
      </c>
      <c r="BB128" s="1198">
        <f t="shared" si="45"/>
        <v>0</v>
      </c>
      <c r="BC128" s="1198">
        <f t="shared" si="46"/>
        <v>0</v>
      </c>
      <c r="BD128" s="1198">
        <f t="shared" si="47"/>
        <v>0</v>
      </c>
      <c r="BE128" s="1198">
        <f t="shared" si="48"/>
        <v>0</v>
      </c>
    </row>
    <row r="129" spans="2:57" x14ac:dyDescent="0.25">
      <c r="B129" s="1221">
        <v>125</v>
      </c>
      <c r="C129" s="1193" t="s">
        <v>1194</v>
      </c>
      <c r="D129" s="1193" t="s">
        <v>1194</v>
      </c>
      <c r="E129" s="1199">
        <v>44409</v>
      </c>
      <c r="F129" s="1199">
        <v>44562</v>
      </c>
      <c r="G129" s="1194">
        <v>1</v>
      </c>
      <c r="H129" s="1199">
        <v>46387</v>
      </c>
      <c r="I129" s="1183">
        <f>625000000+39000000</f>
        <v>664000000</v>
      </c>
      <c r="J129" s="1183">
        <v>636276522.92950034</v>
      </c>
      <c r="K129" s="1194">
        <f t="shared" si="53"/>
        <v>59</v>
      </c>
      <c r="L129" s="1194">
        <f t="shared" si="54"/>
        <v>1825</v>
      </c>
      <c r="M129" s="1195">
        <f t="shared" si="33"/>
        <v>10784347.846262718</v>
      </c>
      <c r="N129" s="1195">
        <f t="shared" si="49"/>
        <v>348644.67009835638</v>
      </c>
      <c r="O129" s="1196">
        <v>392573898.53074944</v>
      </c>
      <c r="P129" s="1194">
        <v>31</v>
      </c>
      <c r="Q129" s="1195">
        <f t="shared" si="52"/>
        <v>10807984.773049047</v>
      </c>
      <c r="R129" s="1195">
        <f t="shared" si="50"/>
        <v>254510609.17179996</v>
      </c>
      <c r="S129" s="1195">
        <f t="shared" si="51"/>
        <v>381765913.75770038</v>
      </c>
      <c r="T129" s="1194"/>
      <c r="U129" s="1194" t="s">
        <v>1103</v>
      </c>
      <c r="V129" s="1201" t="s">
        <v>1043</v>
      </c>
      <c r="W129" s="1197"/>
      <c r="X129" s="1197"/>
      <c r="Y129" s="1197">
        <v>642</v>
      </c>
      <c r="Z129" s="1197" t="s">
        <v>1048</v>
      </c>
      <c r="AA129" s="1197"/>
      <c r="AB129" s="1202">
        <v>10807984.773049047</v>
      </c>
      <c r="AC129" s="1202">
        <v>9762050.7627539784</v>
      </c>
      <c r="AD129" s="1202">
        <v>10807984.773049047</v>
      </c>
      <c r="AE129" s="1202">
        <v>10459340.102950692</v>
      </c>
      <c r="AF129" s="1202">
        <v>10807984.773049047</v>
      </c>
      <c r="AG129" s="1202">
        <v>10459340.102950692</v>
      </c>
      <c r="AH129" s="1202">
        <v>10807984.773049047</v>
      </c>
      <c r="AI129" s="1202">
        <v>10807984.773049047</v>
      </c>
      <c r="AJ129" s="1202">
        <v>10459340.102950692</v>
      </c>
      <c r="AK129" s="1202">
        <v>10807984.773049047</v>
      </c>
      <c r="AL129" s="1202">
        <v>10459340.102950692</v>
      </c>
      <c r="AM129" s="1202">
        <v>10807984.773049047</v>
      </c>
      <c r="AN129" s="1197"/>
      <c r="AO129" s="1197">
        <v>642</v>
      </c>
      <c r="AP129" s="1197" t="s">
        <v>1358</v>
      </c>
      <c r="AQ129" s="1197" t="s">
        <v>1048</v>
      </c>
      <c r="AR129" s="1201">
        <f t="shared" si="55"/>
        <v>0</v>
      </c>
      <c r="AS129" s="1198">
        <f t="shared" si="56"/>
        <v>381765913.75770038</v>
      </c>
      <c r="AT129" s="1198">
        <f t="shared" si="57"/>
        <v>129412174.15515262</v>
      </c>
      <c r="AU129" s="1201">
        <f t="shared" si="58"/>
        <v>127255304.58590007</v>
      </c>
      <c r="AV129" s="1198">
        <f t="shared" si="39"/>
        <v>129412174.15515262</v>
      </c>
      <c r="AW129" s="1198">
        <f t="shared" si="40"/>
        <v>129412174.15515262</v>
      </c>
      <c r="AX129" s="1198">
        <f t="shared" si="41"/>
        <v>122941565.44739515</v>
      </c>
      <c r="AY129" s="1198">
        <f t="shared" si="42"/>
        <v>0</v>
      </c>
      <c r="AZ129" s="1198">
        <f t="shared" si="43"/>
        <v>0</v>
      </c>
      <c r="BA129" s="1198">
        <f t="shared" si="44"/>
        <v>0</v>
      </c>
      <c r="BB129" s="1198">
        <f t="shared" si="45"/>
        <v>0</v>
      </c>
      <c r="BC129" s="1198">
        <f t="shared" si="46"/>
        <v>0</v>
      </c>
      <c r="BD129" s="1198">
        <f t="shared" si="47"/>
        <v>0</v>
      </c>
      <c r="BE129" s="1198">
        <f t="shared" si="48"/>
        <v>0</v>
      </c>
    </row>
    <row r="130" spans="2:57" x14ac:dyDescent="0.25">
      <c r="B130" s="1221">
        <v>126</v>
      </c>
      <c r="C130" s="1193" t="s">
        <v>1195</v>
      </c>
      <c r="D130" s="1194" t="s">
        <v>1196</v>
      </c>
      <c r="E130" s="1199">
        <v>44440</v>
      </c>
      <c r="F130" s="1199">
        <v>44562</v>
      </c>
      <c r="G130" s="1194">
        <v>1</v>
      </c>
      <c r="H130" s="1199">
        <v>48092</v>
      </c>
      <c r="I130" s="1183">
        <v>295000000</v>
      </c>
      <c r="J130" s="1183">
        <v>285145125.95837891</v>
      </c>
      <c r="K130" s="1194">
        <f t="shared" si="53"/>
        <v>116</v>
      </c>
      <c r="L130" s="1194">
        <f t="shared" si="54"/>
        <v>3530</v>
      </c>
      <c r="M130" s="1195">
        <f t="shared" si="33"/>
        <v>2458147.6375722322</v>
      </c>
      <c r="N130" s="1195">
        <f t="shared" si="49"/>
        <v>80777.656078860877</v>
      </c>
      <c r="O130" s="1196">
        <v>228681544.35925511</v>
      </c>
      <c r="P130" s="1194">
        <v>31</v>
      </c>
      <c r="Q130" s="1195">
        <f t="shared" si="52"/>
        <v>2504107.338444687</v>
      </c>
      <c r="R130" s="1195">
        <f t="shared" si="50"/>
        <v>58967688.937568493</v>
      </c>
      <c r="S130" s="1195">
        <f t="shared" si="51"/>
        <v>226177437.02081043</v>
      </c>
      <c r="T130" s="1194" t="s">
        <v>1156</v>
      </c>
      <c r="U130" s="1194" t="s">
        <v>1145</v>
      </c>
      <c r="V130" s="1201" t="s">
        <v>1145</v>
      </c>
      <c r="W130" s="1201" t="str">
        <f>V130</f>
        <v>VP</v>
      </c>
      <c r="X130" s="1197"/>
      <c r="Y130" s="1197">
        <v>642</v>
      </c>
      <c r="Z130" s="1197" t="s">
        <v>1158</v>
      </c>
      <c r="AA130" s="1197"/>
      <c r="AB130" s="1202">
        <v>2504107.338444687</v>
      </c>
      <c r="AC130" s="1202">
        <v>2261774.3702081046</v>
      </c>
      <c r="AD130" s="1202">
        <v>2504107.338444687</v>
      </c>
      <c r="AE130" s="1202">
        <v>2423329.6823658263</v>
      </c>
      <c r="AF130" s="1202">
        <v>2504107.338444687</v>
      </c>
      <c r="AG130" s="1202">
        <v>2423329.6823658263</v>
      </c>
      <c r="AH130" s="1202">
        <v>2504107.338444687</v>
      </c>
      <c r="AI130" s="1202">
        <v>2504107.338444687</v>
      </c>
      <c r="AJ130" s="1202">
        <v>2423329.6823658263</v>
      </c>
      <c r="AK130" s="1202">
        <v>2504107.338444687</v>
      </c>
      <c r="AL130" s="1202">
        <v>2423329.6823658263</v>
      </c>
      <c r="AM130" s="1202">
        <v>2504107.338444687</v>
      </c>
      <c r="AN130" s="1197"/>
      <c r="AO130" s="1197">
        <v>641</v>
      </c>
      <c r="AP130" s="1197" t="s">
        <v>1357</v>
      </c>
      <c r="AQ130" s="1197" t="s">
        <v>1158</v>
      </c>
      <c r="AR130" s="1201">
        <f t="shared" si="55"/>
        <v>0</v>
      </c>
      <c r="AS130" s="1198">
        <f t="shared" si="56"/>
        <v>226177437.02081043</v>
      </c>
      <c r="AT130" s="1198">
        <f t="shared" si="57"/>
        <v>29497771.650866784</v>
      </c>
      <c r="AU130" s="1201">
        <f t="shared" si="58"/>
        <v>29483844.468784224</v>
      </c>
      <c r="AV130" s="1198">
        <f t="shared" si="39"/>
        <v>29497771.650866784</v>
      </c>
      <c r="AW130" s="1198">
        <f t="shared" si="40"/>
        <v>29497771.650866784</v>
      </c>
      <c r="AX130" s="1198">
        <f t="shared" si="41"/>
        <v>29497771.650866784</v>
      </c>
      <c r="AY130" s="1198">
        <f t="shared" si="42"/>
        <v>29497771.650866784</v>
      </c>
      <c r="AZ130" s="1198">
        <f t="shared" si="43"/>
        <v>29497771.650866784</v>
      </c>
      <c r="BA130" s="1198">
        <f t="shared" si="44"/>
        <v>29497771.650866784</v>
      </c>
      <c r="BB130" s="1198">
        <f t="shared" si="45"/>
        <v>29497771.650866784</v>
      </c>
      <c r="BC130" s="1198">
        <f t="shared" si="46"/>
        <v>19693035.464742929</v>
      </c>
      <c r="BD130" s="1198">
        <f t="shared" si="47"/>
        <v>0</v>
      </c>
      <c r="BE130" s="1198">
        <f t="shared" si="48"/>
        <v>0</v>
      </c>
    </row>
    <row r="131" spans="2:57" x14ac:dyDescent="0.25">
      <c r="B131" s="1221">
        <v>127</v>
      </c>
      <c r="C131" s="1193" t="s">
        <v>1197</v>
      </c>
      <c r="D131" s="1193" t="s">
        <v>1197</v>
      </c>
      <c r="E131" s="1199">
        <v>44470</v>
      </c>
      <c r="F131" s="1199">
        <v>44562</v>
      </c>
      <c r="G131" s="1194">
        <v>1</v>
      </c>
      <c r="H131" s="1199">
        <v>48122</v>
      </c>
      <c r="I131" s="1183">
        <v>6067100000</v>
      </c>
      <c r="J131" s="1183">
        <v>5914259583.7897053</v>
      </c>
      <c r="K131" s="1194">
        <f t="shared" si="53"/>
        <v>117</v>
      </c>
      <c r="L131" s="1194">
        <f t="shared" si="54"/>
        <v>3560</v>
      </c>
      <c r="M131" s="1195">
        <f t="shared" si="33"/>
        <v>50549227.211877823</v>
      </c>
      <c r="N131" s="1195">
        <f t="shared" si="49"/>
        <v>1661308.8718510407</v>
      </c>
      <c r="O131" s="1196">
        <v>4753004682.3658352</v>
      </c>
      <c r="P131" s="1194">
        <v>31</v>
      </c>
      <c r="Q131" s="1195">
        <f t="shared" si="52"/>
        <v>51500575.027382262</v>
      </c>
      <c r="R131" s="1195">
        <f t="shared" si="50"/>
        <v>1212755476.4512525</v>
      </c>
      <c r="S131" s="1195">
        <f t="shared" si="51"/>
        <v>4701504107.3384533</v>
      </c>
      <c r="T131" s="1194">
        <v>6</v>
      </c>
      <c r="U131" s="1194" t="s">
        <v>1095</v>
      </c>
      <c r="V131" s="1201" t="s">
        <v>1164</v>
      </c>
      <c r="W131" s="1197"/>
      <c r="X131" s="1197"/>
      <c r="Y131" s="1197">
        <v>627</v>
      </c>
      <c r="Z131" s="1197" t="s">
        <v>814</v>
      </c>
      <c r="AA131" s="1197"/>
      <c r="AB131" s="1202">
        <v>51500575.027382262</v>
      </c>
      <c r="AC131" s="1202">
        <v>46516648.411829144</v>
      </c>
      <c r="AD131" s="1202">
        <v>51500575.027382262</v>
      </c>
      <c r="AE131" s="1202">
        <v>49839266.15553122</v>
      </c>
      <c r="AF131" s="1202">
        <v>51500575.027382262</v>
      </c>
      <c r="AG131" s="1202">
        <v>49839266.15553122</v>
      </c>
      <c r="AH131" s="1202">
        <v>51500575.027382262</v>
      </c>
      <c r="AI131" s="1202">
        <v>51500575.027382262</v>
      </c>
      <c r="AJ131" s="1202">
        <v>49839266.15553122</v>
      </c>
      <c r="AK131" s="1202">
        <v>51500575.027382262</v>
      </c>
      <c r="AL131" s="1202">
        <v>49839266.15553122</v>
      </c>
      <c r="AM131" s="1202">
        <v>51500575.027382262</v>
      </c>
      <c r="AN131" s="1197"/>
      <c r="AO131" s="1197">
        <v>627</v>
      </c>
      <c r="AP131" s="1197" t="s">
        <v>732</v>
      </c>
      <c r="AQ131" s="1197" t="s">
        <v>814</v>
      </c>
      <c r="AR131" s="1201">
        <f t="shared" si="55"/>
        <v>0</v>
      </c>
      <c r="AS131" s="1198">
        <f t="shared" si="56"/>
        <v>4701504107.3384533</v>
      </c>
      <c r="AT131" s="1198">
        <f t="shared" si="57"/>
        <v>606590726.54253387</v>
      </c>
      <c r="AU131" s="1201">
        <f t="shared" si="58"/>
        <v>606377738.22562981</v>
      </c>
      <c r="AV131" s="1198">
        <f t="shared" si="39"/>
        <v>606590726.54253387</v>
      </c>
      <c r="AW131" s="1198">
        <f t="shared" si="40"/>
        <v>606590726.54253387</v>
      </c>
      <c r="AX131" s="1198">
        <f t="shared" si="41"/>
        <v>606590726.54253387</v>
      </c>
      <c r="AY131" s="1198">
        <f t="shared" si="42"/>
        <v>606590726.54253387</v>
      </c>
      <c r="AZ131" s="1198">
        <f t="shared" si="43"/>
        <v>606590726.54253387</v>
      </c>
      <c r="BA131" s="1198">
        <f t="shared" si="44"/>
        <v>606590726.54253387</v>
      </c>
      <c r="BB131" s="1198">
        <f t="shared" si="45"/>
        <v>606590726.54253387</v>
      </c>
      <c r="BC131" s="1198">
        <f t="shared" si="46"/>
        <v>455369021.54071617</v>
      </c>
      <c r="BD131" s="1198">
        <f t="shared" si="47"/>
        <v>0</v>
      </c>
      <c r="BE131" s="1198">
        <f t="shared" si="48"/>
        <v>0</v>
      </c>
    </row>
    <row r="132" spans="2:57" x14ac:dyDescent="0.25">
      <c r="B132" s="1221">
        <v>128</v>
      </c>
      <c r="C132" s="1193" t="s">
        <v>1198</v>
      </c>
      <c r="D132" s="1194" t="s">
        <v>1199</v>
      </c>
      <c r="E132" s="1199">
        <v>44470</v>
      </c>
      <c r="F132" s="1199">
        <v>44562</v>
      </c>
      <c r="G132" s="1194">
        <v>1</v>
      </c>
      <c r="H132" s="1199">
        <v>46387</v>
      </c>
      <c r="I132" s="1183">
        <v>429000000</v>
      </c>
      <c r="J132" s="1183">
        <v>415492813.14168382</v>
      </c>
      <c r="K132" s="1194">
        <f t="shared" si="53"/>
        <v>59</v>
      </c>
      <c r="L132" s="1194">
        <f t="shared" si="54"/>
        <v>1825</v>
      </c>
      <c r="M132" s="1195">
        <f t="shared" si="33"/>
        <v>7042251.0701980311</v>
      </c>
      <c r="N132" s="1195">
        <f t="shared" si="49"/>
        <v>227667.29487215553</v>
      </c>
      <c r="O132" s="1196">
        <v>256353374.02604732</v>
      </c>
      <c r="P132" s="1194">
        <v>31</v>
      </c>
      <c r="Q132" s="1195">
        <f t="shared" si="52"/>
        <v>7057686.1410368215</v>
      </c>
      <c r="R132" s="1195">
        <f t="shared" si="50"/>
        <v>166197125.25667331</v>
      </c>
      <c r="S132" s="1195">
        <f t="shared" si="51"/>
        <v>249295687.88501051</v>
      </c>
      <c r="T132" s="1194"/>
      <c r="U132" s="1194" t="s">
        <v>1047</v>
      </c>
      <c r="V132" s="1201" t="s">
        <v>1043</v>
      </c>
      <c r="W132" s="1197"/>
      <c r="X132" s="1197"/>
      <c r="Y132" s="1197">
        <v>627</v>
      </c>
      <c r="Z132" s="1197" t="s">
        <v>1048</v>
      </c>
      <c r="AA132" s="1197"/>
      <c r="AB132" s="1202">
        <v>7057686.1410368215</v>
      </c>
      <c r="AC132" s="1202">
        <v>6374684.2564203553</v>
      </c>
      <c r="AD132" s="1202">
        <v>7057686.1410368215</v>
      </c>
      <c r="AE132" s="1202">
        <v>6830018.8461646661</v>
      </c>
      <c r="AF132" s="1202">
        <v>7057686.1410368215</v>
      </c>
      <c r="AG132" s="1202">
        <v>6830018.8461646661</v>
      </c>
      <c r="AH132" s="1202">
        <v>7057686.1410368215</v>
      </c>
      <c r="AI132" s="1202">
        <v>7057686.1410368215</v>
      </c>
      <c r="AJ132" s="1202">
        <v>6830018.8461646661</v>
      </c>
      <c r="AK132" s="1202">
        <v>7057686.1410368215</v>
      </c>
      <c r="AL132" s="1202">
        <v>6830018.8461646661</v>
      </c>
      <c r="AM132" s="1202">
        <v>7057686.1410368215</v>
      </c>
      <c r="AN132" s="1197"/>
      <c r="AO132" s="1197">
        <v>627</v>
      </c>
      <c r="AP132" s="1197" t="s">
        <v>732</v>
      </c>
      <c r="AQ132" s="1204" t="s">
        <v>1048</v>
      </c>
      <c r="AR132" s="1201">
        <f t="shared" si="55"/>
        <v>0</v>
      </c>
      <c r="AS132" s="1198">
        <f t="shared" si="56"/>
        <v>249295687.88501051</v>
      </c>
      <c r="AT132" s="1198">
        <f t="shared" si="57"/>
        <v>84507012.842376381</v>
      </c>
      <c r="AU132" s="1201">
        <f t="shared" si="58"/>
        <v>83098562.628336772</v>
      </c>
      <c r="AV132" s="1198">
        <f t="shared" si="39"/>
        <v>84507012.842376381</v>
      </c>
      <c r="AW132" s="1198">
        <f t="shared" si="40"/>
        <v>84507012.842376381</v>
      </c>
      <c r="AX132" s="1198">
        <f t="shared" si="41"/>
        <v>80281662.200257748</v>
      </c>
      <c r="AY132" s="1198">
        <f t="shared" si="42"/>
        <v>0</v>
      </c>
      <c r="AZ132" s="1198">
        <f t="shared" si="43"/>
        <v>0</v>
      </c>
      <c r="BA132" s="1198">
        <f t="shared" si="44"/>
        <v>0</v>
      </c>
      <c r="BB132" s="1198">
        <f t="shared" si="45"/>
        <v>0</v>
      </c>
      <c r="BC132" s="1198">
        <f t="shared" si="46"/>
        <v>0</v>
      </c>
      <c r="BD132" s="1198">
        <f t="shared" si="47"/>
        <v>0</v>
      </c>
      <c r="BE132" s="1198">
        <f t="shared" si="48"/>
        <v>0</v>
      </c>
    </row>
    <row r="133" spans="2:57" x14ac:dyDescent="0.25">
      <c r="B133" s="1221">
        <v>129</v>
      </c>
      <c r="C133" s="1193" t="s">
        <v>1200</v>
      </c>
      <c r="D133" s="1194" t="s">
        <v>1201</v>
      </c>
      <c r="E133" s="1199">
        <v>44501</v>
      </c>
      <c r="F133" s="1199">
        <v>44562</v>
      </c>
      <c r="G133" s="1194">
        <v>1</v>
      </c>
      <c r="H133" s="1199">
        <v>46387</v>
      </c>
      <c r="I133" s="1183">
        <v>880000000</v>
      </c>
      <c r="J133" s="1183">
        <v>861629021.21834362</v>
      </c>
      <c r="K133" s="1194">
        <f t="shared" si="53"/>
        <v>59</v>
      </c>
      <c r="L133" s="1194">
        <f t="shared" si="54"/>
        <v>1825</v>
      </c>
      <c r="M133" s="1195">
        <f t="shared" ref="M133:M170" si="59">J133/K133</f>
        <v>14603881.715565147</v>
      </c>
      <c r="N133" s="1195">
        <f t="shared" si="49"/>
        <v>472125.49107854447</v>
      </c>
      <c r="O133" s="1196">
        <v>531613302.95444059</v>
      </c>
      <c r="P133" s="1194">
        <v>31</v>
      </c>
      <c r="Q133" s="1195">
        <f t="shared" si="52"/>
        <v>14635890.223434879</v>
      </c>
      <c r="R133" s="1195">
        <f t="shared" si="50"/>
        <v>344651608.48733789</v>
      </c>
      <c r="S133" s="1195">
        <f t="shared" si="51"/>
        <v>516977412.73100573</v>
      </c>
      <c r="T133" s="1194" t="s">
        <v>1071</v>
      </c>
      <c r="U133" s="1194" t="s">
        <v>809</v>
      </c>
      <c r="V133" s="1201" t="s">
        <v>1043</v>
      </c>
      <c r="W133" s="1197"/>
      <c r="X133" s="1197"/>
      <c r="Y133" s="1197">
        <v>642</v>
      </c>
      <c r="Z133" s="1197" t="s">
        <v>1048</v>
      </c>
      <c r="AA133" s="1197"/>
      <c r="AB133" s="1202">
        <v>14635890.223434879</v>
      </c>
      <c r="AC133" s="1202">
        <v>13219513.750199245</v>
      </c>
      <c r="AD133" s="1202">
        <v>14635890.223434879</v>
      </c>
      <c r="AE133" s="1202">
        <v>14163764.732356334</v>
      </c>
      <c r="AF133" s="1202">
        <v>14635890.223434879</v>
      </c>
      <c r="AG133" s="1202">
        <v>14163764.732356334</v>
      </c>
      <c r="AH133" s="1202">
        <v>14635890.223434879</v>
      </c>
      <c r="AI133" s="1202">
        <v>14635890.223434879</v>
      </c>
      <c r="AJ133" s="1202">
        <v>14163764.732356334</v>
      </c>
      <c r="AK133" s="1202">
        <v>14635890.223434879</v>
      </c>
      <c r="AL133" s="1202">
        <v>14163764.732356334</v>
      </c>
      <c r="AM133" s="1202">
        <v>14635890.223434879</v>
      </c>
      <c r="AN133" s="1197"/>
      <c r="AO133" s="1197">
        <v>642</v>
      </c>
      <c r="AP133" s="1197" t="s">
        <v>1358</v>
      </c>
      <c r="AQ133" s="1197" t="s">
        <v>1158</v>
      </c>
      <c r="AR133" s="1201">
        <f t="shared" ref="AR133:AR164" si="60">AS133-SUM(AV133:BE133)</f>
        <v>0</v>
      </c>
      <c r="AS133" s="1198">
        <f t="shared" ref="AS133:AS164" si="61">S133</f>
        <v>516977412.73100573</v>
      </c>
      <c r="AT133" s="1198">
        <f t="shared" ref="AT133:AT164" si="62">M133*12</f>
        <v>175246580.58678177</v>
      </c>
      <c r="AU133" s="1201">
        <f t="shared" ref="AU133:AU164" si="63">SUM(AB133:AM133)</f>
        <v>172325804.24366874</v>
      </c>
      <c r="AV133" s="1198">
        <f t="shared" si="39"/>
        <v>175246580.58678177</v>
      </c>
      <c r="AW133" s="1198">
        <f t="shared" si="40"/>
        <v>175246580.58678177</v>
      </c>
      <c r="AX133" s="1198">
        <f t="shared" si="41"/>
        <v>166484251.55744219</v>
      </c>
      <c r="AY133" s="1198">
        <f t="shared" si="42"/>
        <v>0</v>
      </c>
      <c r="AZ133" s="1198">
        <f t="shared" si="43"/>
        <v>0</v>
      </c>
      <c r="BA133" s="1198">
        <f t="shared" si="44"/>
        <v>0</v>
      </c>
      <c r="BB133" s="1198">
        <f t="shared" si="45"/>
        <v>0</v>
      </c>
      <c r="BC133" s="1198">
        <f t="shared" si="46"/>
        <v>0</v>
      </c>
      <c r="BD133" s="1198">
        <f t="shared" si="47"/>
        <v>0</v>
      </c>
      <c r="BE133" s="1198">
        <f t="shared" si="48"/>
        <v>0</v>
      </c>
    </row>
    <row r="134" spans="2:57" x14ac:dyDescent="0.25">
      <c r="B134" s="1221">
        <v>130</v>
      </c>
      <c r="C134" s="1193" t="s">
        <v>1202</v>
      </c>
      <c r="D134" s="1194" t="s">
        <v>1203</v>
      </c>
      <c r="E134" s="1199">
        <v>44501</v>
      </c>
      <c r="F134" s="1199">
        <v>44562</v>
      </c>
      <c r="G134" s="1194">
        <v>1</v>
      </c>
      <c r="H134" s="1199">
        <v>46387</v>
      </c>
      <c r="I134" s="1183">
        <v>459090909.09090906</v>
      </c>
      <c r="J134" s="1183">
        <v>449506875.73890853</v>
      </c>
      <c r="K134" s="1194">
        <f t="shared" si="53"/>
        <v>59</v>
      </c>
      <c r="L134" s="1194">
        <f t="shared" si="54"/>
        <v>1825</v>
      </c>
      <c r="M134" s="1195">
        <f t="shared" si="59"/>
        <v>7618760.6057442119</v>
      </c>
      <c r="N134" s="1195">
        <f t="shared" si="49"/>
        <v>246305.13739118277</v>
      </c>
      <c r="O134" s="1196">
        <v>277339584.70247197</v>
      </c>
      <c r="P134" s="1194">
        <v>31</v>
      </c>
      <c r="Q134" s="1195">
        <f t="shared" si="52"/>
        <v>7635459.259126666</v>
      </c>
      <c r="R134" s="1195">
        <f t="shared" si="50"/>
        <v>179802750.29556322</v>
      </c>
      <c r="S134" s="1195">
        <f t="shared" si="51"/>
        <v>269704125.44334531</v>
      </c>
      <c r="T134" s="1194"/>
      <c r="U134" s="1194" t="s">
        <v>1045</v>
      </c>
      <c r="V134" s="1201" t="s">
        <v>1043</v>
      </c>
      <c r="W134" s="1197"/>
      <c r="X134" s="1197"/>
      <c r="Y134" s="1197">
        <v>627</v>
      </c>
      <c r="Z134" s="1197" t="s">
        <v>1382</v>
      </c>
      <c r="AA134" s="1197"/>
      <c r="AB134" s="1202">
        <v>7635459.259126666</v>
      </c>
      <c r="AC134" s="1202">
        <v>6896543.8469531173</v>
      </c>
      <c r="AD134" s="1202">
        <v>7635459.259126666</v>
      </c>
      <c r="AE134" s="1202">
        <v>7389154.1217354834</v>
      </c>
      <c r="AF134" s="1202">
        <v>7635459.259126666</v>
      </c>
      <c r="AG134" s="1202">
        <v>7389154.1217354834</v>
      </c>
      <c r="AH134" s="1202">
        <v>7635459.259126666</v>
      </c>
      <c r="AI134" s="1202">
        <v>7635459.259126666</v>
      </c>
      <c r="AJ134" s="1202">
        <v>7389154.1217354834</v>
      </c>
      <c r="AK134" s="1202">
        <v>7635459.259126666</v>
      </c>
      <c r="AL134" s="1202">
        <v>7389154.1217354834</v>
      </c>
      <c r="AM134" s="1202">
        <v>7635459.259126666</v>
      </c>
      <c r="AN134" s="1197"/>
      <c r="AO134" s="1197">
        <v>641</v>
      </c>
      <c r="AP134" s="1197" t="s">
        <v>1357</v>
      </c>
      <c r="AQ134" s="1197" t="s">
        <v>1382</v>
      </c>
      <c r="AR134" s="1201">
        <f t="shared" si="60"/>
        <v>0</v>
      </c>
      <c r="AS134" s="1198">
        <f t="shared" si="61"/>
        <v>269704125.44334531</v>
      </c>
      <c r="AT134" s="1198">
        <f t="shared" si="62"/>
        <v>91425127.268930539</v>
      </c>
      <c r="AU134" s="1201">
        <f t="shared" si="63"/>
        <v>89901375.1477817</v>
      </c>
      <c r="AV134" s="1198">
        <f t="shared" ref="AV134:AV176" si="64">MIN(AS134,AT134)</f>
        <v>91425127.268930539</v>
      </c>
      <c r="AW134" s="1198">
        <f t="shared" ref="AW134:AW176" si="65">IF((AS134-AT134*$AW$2)&gt;0,MIN(AS134-AT134*$AW$2,AT134),0)</f>
        <v>91425127.268930539</v>
      </c>
      <c r="AX134" s="1198">
        <f t="shared" ref="AX134:AX176" si="66">IF((AS134-AT134*$AX$2)&gt;0,MIN(AS134-AT134*$AX$2,AT134),0)</f>
        <v>86853870.905484229</v>
      </c>
      <c r="AY134" s="1198">
        <f t="shared" ref="AY134:AY176" si="67">IF((AS134-AT134*$AY$2)&gt;0,MIN(AS134-AT134*$AY$2,AT134),0)</f>
        <v>0</v>
      </c>
      <c r="AZ134" s="1198">
        <f t="shared" ref="AZ134:AZ176" si="68">IF((AS134-AT134*$AZ$2)&gt;0,MIN(AS134-AT134*$AZ$2,AT134),0)</f>
        <v>0</v>
      </c>
      <c r="BA134" s="1198">
        <f t="shared" ref="BA134:BA176" si="69">IF((AS134-AT134*$BA$2)&gt;0,MIN(AS134-AT134*$BA$2,AT134),0)</f>
        <v>0</v>
      </c>
      <c r="BB134" s="1198">
        <f t="shared" ref="BB134:BB176" si="70">IF((AS134-AT134*$BB$2)&gt;0,MIN(AS134-AT134*$BB$2,AT134),0)</f>
        <v>0</v>
      </c>
      <c r="BC134" s="1198">
        <f t="shared" ref="BC134:BC176" si="71">IF((AS134-AT134*$BC$2)&gt;0,MIN(AS134-AT134*$BC$2,AT134),0)</f>
        <v>0</v>
      </c>
      <c r="BD134" s="1198">
        <f t="shared" ref="BD134:BD176" si="72">IF((AS134-AT134*$BD$2)&gt;0,MIN(AS134-AT134*$BD$2,AT134),0)</f>
        <v>0</v>
      </c>
      <c r="BE134" s="1198">
        <f t="shared" ref="BE134:BE176" si="73">IF((AS134-AT134*$BE$2)&gt;0,MIN(AS134-AT134*$BE$2,AT134),0)</f>
        <v>0</v>
      </c>
    </row>
    <row r="135" spans="2:57" x14ac:dyDescent="0.25">
      <c r="B135" s="1221">
        <v>131</v>
      </c>
      <c r="C135" s="1193" t="s">
        <v>1204</v>
      </c>
      <c r="D135" s="1194" t="s">
        <v>1203</v>
      </c>
      <c r="E135" s="1199">
        <v>44501</v>
      </c>
      <c r="F135" s="1199">
        <v>44562</v>
      </c>
      <c r="G135" s="1194">
        <v>1</v>
      </c>
      <c r="H135" s="1199">
        <v>46387</v>
      </c>
      <c r="I135" s="1183">
        <v>459090909.09090906</v>
      </c>
      <c r="J135" s="1183">
        <v>449506875.73890853</v>
      </c>
      <c r="K135" s="1194">
        <f t="shared" si="53"/>
        <v>59</v>
      </c>
      <c r="L135" s="1194">
        <f t="shared" si="54"/>
        <v>1825</v>
      </c>
      <c r="M135" s="1195">
        <f t="shared" si="59"/>
        <v>7618760.6057442119</v>
      </c>
      <c r="N135" s="1195">
        <f t="shared" ref="N135:N170" si="74">J135/L135</f>
        <v>246305.13739118277</v>
      </c>
      <c r="O135" s="1196">
        <v>277339584.70247197</v>
      </c>
      <c r="P135" s="1194">
        <v>31</v>
      </c>
      <c r="Q135" s="1195">
        <f t="shared" si="52"/>
        <v>7635459.259126666</v>
      </c>
      <c r="R135" s="1195">
        <f t="shared" ref="R135:R176" si="75">IF(Q135=0,J135,J135-O135+Q135)</f>
        <v>179802750.29556322</v>
      </c>
      <c r="S135" s="1195">
        <f t="shared" ref="S135:S164" si="76">J135-R135</f>
        <v>269704125.44334531</v>
      </c>
      <c r="T135" s="1194">
        <v>5</v>
      </c>
      <c r="U135" s="1194" t="s">
        <v>1045</v>
      </c>
      <c r="V135" s="1201" t="s">
        <v>1043</v>
      </c>
      <c r="W135" s="1197"/>
      <c r="X135" s="1197"/>
      <c r="Y135" s="1197">
        <v>627</v>
      </c>
      <c r="Z135" s="1197" t="s">
        <v>1382</v>
      </c>
      <c r="AA135" s="1197"/>
      <c r="AB135" s="1202">
        <v>7635459.259126666</v>
      </c>
      <c r="AC135" s="1202">
        <v>6896543.8469531173</v>
      </c>
      <c r="AD135" s="1202">
        <v>7635459.259126666</v>
      </c>
      <c r="AE135" s="1202">
        <v>7389154.1217354834</v>
      </c>
      <c r="AF135" s="1202">
        <v>7635459.259126666</v>
      </c>
      <c r="AG135" s="1202">
        <v>7389154.1217354834</v>
      </c>
      <c r="AH135" s="1202">
        <v>7635459.259126666</v>
      </c>
      <c r="AI135" s="1202">
        <v>7635459.259126666</v>
      </c>
      <c r="AJ135" s="1202">
        <v>7389154.1217354834</v>
      </c>
      <c r="AK135" s="1202">
        <v>7635459.259126666</v>
      </c>
      <c r="AL135" s="1202">
        <v>7389154.1217354834</v>
      </c>
      <c r="AM135" s="1202">
        <v>7635459.259126666</v>
      </c>
      <c r="AN135" s="1197"/>
      <c r="AO135" s="1197">
        <v>641</v>
      </c>
      <c r="AP135" s="1197" t="s">
        <v>1357</v>
      </c>
      <c r="AQ135" s="1197" t="s">
        <v>1382</v>
      </c>
      <c r="AR135" s="1201">
        <f t="shared" si="60"/>
        <v>0</v>
      </c>
      <c r="AS135" s="1198">
        <f t="shared" si="61"/>
        <v>269704125.44334531</v>
      </c>
      <c r="AT135" s="1198">
        <f t="shared" si="62"/>
        <v>91425127.268930539</v>
      </c>
      <c r="AU135" s="1201">
        <f t="shared" si="63"/>
        <v>89901375.1477817</v>
      </c>
      <c r="AV135" s="1198">
        <f t="shared" si="64"/>
        <v>91425127.268930539</v>
      </c>
      <c r="AW135" s="1198">
        <f t="shared" si="65"/>
        <v>91425127.268930539</v>
      </c>
      <c r="AX135" s="1198">
        <f t="shared" si="66"/>
        <v>86853870.905484229</v>
      </c>
      <c r="AY135" s="1198">
        <f t="shared" si="67"/>
        <v>0</v>
      </c>
      <c r="AZ135" s="1198">
        <f t="shared" si="68"/>
        <v>0</v>
      </c>
      <c r="BA135" s="1198">
        <f t="shared" si="69"/>
        <v>0</v>
      </c>
      <c r="BB135" s="1198">
        <f t="shared" si="70"/>
        <v>0</v>
      </c>
      <c r="BC135" s="1198">
        <f t="shared" si="71"/>
        <v>0</v>
      </c>
      <c r="BD135" s="1198">
        <f t="shared" si="72"/>
        <v>0</v>
      </c>
      <c r="BE135" s="1198">
        <f t="shared" si="73"/>
        <v>0</v>
      </c>
    </row>
    <row r="136" spans="2:57" x14ac:dyDescent="0.25">
      <c r="B136" s="1221">
        <v>132</v>
      </c>
      <c r="C136" s="1193" t="s">
        <v>1205</v>
      </c>
      <c r="D136" s="1194" t="s">
        <v>1206</v>
      </c>
      <c r="E136" s="1199">
        <v>44501</v>
      </c>
      <c r="F136" s="1199">
        <v>44562</v>
      </c>
      <c r="G136" s="1194">
        <v>1</v>
      </c>
      <c r="H136" s="1199">
        <v>46387</v>
      </c>
      <c r="I136" s="1183">
        <v>1031818181.8181818</v>
      </c>
      <c r="J136" s="1183">
        <v>1010277829.6310123</v>
      </c>
      <c r="K136" s="1194">
        <f t="shared" si="53"/>
        <v>59</v>
      </c>
      <c r="L136" s="1194">
        <f t="shared" si="54"/>
        <v>1825</v>
      </c>
      <c r="M136" s="1195">
        <f t="shared" si="59"/>
        <v>17123353.044593427</v>
      </c>
      <c r="N136" s="1195">
        <f t="shared" si="74"/>
        <v>553576.89294849988</v>
      </c>
      <c r="O136" s="1196">
        <v>623327581.46001053</v>
      </c>
      <c r="P136" s="1194">
        <v>31</v>
      </c>
      <c r="Q136" s="1195">
        <f t="shared" si="52"/>
        <v>17160883.681403495</v>
      </c>
      <c r="R136" s="1195">
        <f t="shared" si="75"/>
        <v>404111131.85240531</v>
      </c>
      <c r="S136" s="1195">
        <f t="shared" si="76"/>
        <v>606166697.77860701</v>
      </c>
      <c r="T136" s="1194" t="s">
        <v>1071</v>
      </c>
      <c r="U136" s="1194" t="s">
        <v>809</v>
      </c>
      <c r="V136" s="1201" t="s">
        <v>1043</v>
      </c>
      <c r="W136" s="1197"/>
      <c r="X136" s="1197"/>
      <c r="Y136" s="1197">
        <v>627</v>
      </c>
      <c r="Z136" s="1197" t="s">
        <v>1048</v>
      </c>
      <c r="AA136" s="1197"/>
      <c r="AB136" s="1202">
        <v>17160883.681403495</v>
      </c>
      <c r="AC136" s="1202">
        <v>15500153.002557997</v>
      </c>
      <c r="AD136" s="1202">
        <v>17160883.681403495</v>
      </c>
      <c r="AE136" s="1202">
        <v>16607306.788454996</v>
      </c>
      <c r="AF136" s="1202">
        <v>17160883.681403495</v>
      </c>
      <c r="AG136" s="1202">
        <v>16607306.788454996</v>
      </c>
      <c r="AH136" s="1202">
        <v>17160883.681403495</v>
      </c>
      <c r="AI136" s="1202">
        <v>17160883.681403495</v>
      </c>
      <c r="AJ136" s="1202">
        <v>16607306.788454996</v>
      </c>
      <c r="AK136" s="1202">
        <v>17160883.681403495</v>
      </c>
      <c r="AL136" s="1202">
        <v>16607306.788454996</v>
      </c>
      <c r="AM136" s="1202">
        <v>17160883.681403495</v>
      </c>
      <c r="AN136" s="1197"/>
      <c r="AO136" s="1197">
        <v>627</v>
      </c>
      <c r="AP136" s="1197" t="s">
        <v>732</v>
      </c>
      <c r="AQ136" s="1204" t="s">
        <v>1048</v>
      </c>
      <c r="AR136" s="1201">
        <f t="shared" si="60"/>
        <v>0</v>
      </c>
      <c r="AS136" s="1198">
        <f t="shared" si="61"/>
        <v>606166697.77860701</v>
      </c>
      <c r="AT136" s="1198">
        <f t="shared" si="62"/>
        <v>205480236.53512114</v>
      </c>
      <c r="AU136" s="1201">
        <f t="shared" si="63"/>
        <v>202055565.92620245</v>
      </c>
      <c r="AV136" s="1198">
        <f t="shared" si="64"/>
        <v>205480236.53512114</v>
      </c>
      <c r="AW136" s="1198">
        <f t="shared" si="65"/>
        <v>205480236.53512114</v>
      </c>
      <c r="AX136" s="1198">
        <f t="shared" si="66"/>
        <v>195206224.70836473</v>
      </c>
      <c r="AY136" s="1198">
        <f t="shared" si="67"/>
        <v>0</v>
      </c>
      <c r="AZ136" s="1198">
        <f t="shared" si="68"/>
        <v>0</v>
      </c>
      <c r="BA136" s="1198">
        <f t="shared" si="69"/>
        <v>0</v>
      </c>
      <c r="BB136" s="1198">
        <f t="shared" si="70"/>
        <v>0</v>
      </c>
      <c r="BC136" s="1198">
        <f t="shared" si="71"/>
        <v>0</v>
      </c>
      <c r="BD136" s="1198">
        <f t="shared" si="72"/>
        <v>0</v>
      </c>
      <c r="BE136" s="1198">
        <f t="shared" si="73"/>
        <v>0</v>
      </c>
    </row>
    <row r="137" spans="2:57" x14ac:dyDescent="0.25">
      <c r="B137" s="1221">
        <v>133</v>
      </c>
      <c r="C137" s="1193" t="s">
        <v>1207</v>
      </c>
      <c r="D137" s="1194" t="s">
        <v>1208</v>
      </c>
      <c r="E137" s="1199">
        <v>44501</v>
      </c>
      <c r="F137" s="1199">
        <v>44562</v>
      </c>
      <c r="G137" s="1194">
        <v>1</v>
      </c>
      <c r="H137" s="1199">
        <v>46387</v>
      </c>
      <c r="I137" s="1183">
        <v>545454545.45454538</v>
      </c>
      <c r="J137" s="1183">
        <v>534067575.13533688</v>
      </c>
      <c r="K137" s="1194">
        <f t="shared" si="53"/>
        <v>59</v>
      </c>
      <c r="L137" s="1194">
        <f t="shared" si="54"/>
        <v>1825</v>
      </c>
      <c r="M137" s="1195">
        <f t="shared" si="59"/>
        <v>9051992.7989040148</v>
      </c>
      <c r="N137" s="1195">
        <f t="shared" si="74"/>
        <v>292639.76719744486</v>
      </c>
      <c r="O137" s="1196">
        <v>329512377.86432278</v>
      </c>
      <c r="P137" s="1194">
        <v>31</v>
      </c>
      <c r="Q137" s="1195">
        <f t="shared" si="52"/>
        <v>9071832.7831207905</v>
      </c>
      <c r="R137" s="1195">
        <f t="shared" si="75"/>
        <v>213627030.05413488</v>
      </c>
      <c r="S137" s="1195">
        <f t="shared" si="76"/>
        <v>320440545.08120203</v>
      </c>
      <c r="T137" s="1194" t="s">
        <v>1071</v>
      </c>
      <c r="U137" s="1194" t="s">
        <v>1047</v>
      </c>
      <c r="V137" s="1201" t="s">
        <v>1043</v>
      </c>
      <c r="W137" s="1197"/>
      <c r="X137" s="1197"/>
      <c r="Y137" s="1197">
        <v>627</v>
      </c>
      <c r="Z137" s="1197" t="s">
        <v>809</v>
      </c>
      <c r="AA137" s="1197"/>
      <c r="AB137" s="1202">
        <v>9071832.7831207905</v>
      </c>
      <c r="AC137" s="1202">
        <v>8193913.4815284563</v>
      </c>
      <c r="AD137" s="1202">
        <v>9071832.7831207905</v>
      </c>
      <c r="AE137" s="1202">
        <v>8779193.0159233455</v>
      </c>
      <c r="AF137" s="1202">
        <v>9071832.7831207905</v>
      </c>
      <c r="AG137" s="1202">
        <v>8779193.0159233455</v>
      </c>
      <c r="AH137" s="1202">
        <v>9071832.7831207905</v>
      </c>
      <c r="AI137" s="1202">
        <v>9071832.7831207905</v>
      </c>
      <c r="AJ137" s="1202">
        <v>8779193.0159233455</v>
      </c>
      <c r="AK137" s="1202">
        <v>9071832.7831207905</v>
      </c>
      <c r="AL137" s="1202">
        <v>8779193.0159233455</v>
      </c>
      <c r="AM137" s="1202">
        <v>9071832.7831207905</v>
      </c>
      <c r="AN137" s="1197"/>
      <c r="AO137" s="1197">
        <v>627</v>
      </c>
      <c r="AP137" s="1197" t="s">
        <v>732</v>
      </c>
      <c r="AQ137" s="1204" t="s">
        <v>1359</v>
      </c>
      <c r="AR137" s="1201">
        <f t="shared" si="60"/>
        <v>0</v>
      </c>
      <c r="AS137" s="1198">
        <f t="shared" si="61"/>
        <v>320440545.08120203</v>
      </c>
      <c r="AT137" s="1198">
        <f t="shared" si="62"/>
        <v>108623913.58684817</v>
      </c>
      <c r="AU137" s="1201">
        <f t="shared" si="63"/>
        <v>106813515.02706739</v>
      </c>
      <c r="AV137" s="1198">
        <f t="shared" si="64"/>
        <v>108623913.58684817</v>
      </c>
      <c r="AW137" s="1198">
        <f t="shared" si="65"/>
        <v>108623913.58684817</v>
      </c>
      <c r="AX137" s="1198">
        <f t="shared" si="66"/>
        <v>103192717.90750569</v>
      </c>
      <c r="AY137" s="1198">
        <f t="shared" si="67"/>
        <v>0</v>
      </c>
      <c r="AZ137" s="1198">
        <f t="shared" si="68"/>
        <v>0</v>
      </c>
      <c r="BA137" s="1198">
        <f t="shared" si="69"/>
        <v>0</v>
      </c>
      <c r="BB137" s="1198">
        <f t="shared" si="70"/>
        <v>0</v>
      </c>
      <c r="BC137" s="1198">
        <f t="shared" si="71"/>
        <v>0</v>
      </c>
      <c r="BD137" s="1198">
        <f t="shared" si="72"/>
        <v>0</v>
      </c>
      <c r="BE137" s="1198">
        <f t="shared" si="73"/>
        <v>0</v>
      </c>
    </row>
    <row r="138" spans="2:57" x14ac:dyDescent="0.25">
      <c r="B138" s="1221">
        <v>134</v>
      </c>
      <c r="C138" s="1193" t="s">
        <v>1209</v>
      </c>
      <c r="D138" s="1194" t="s">
        <v>1208</v>
      </c>
      <c r="E138" s="1199">
        <v>44501</v>
      </c>
      <c r="F138" s="1199">
        <v>44562</v>
      </c>
      <c r="G138" s="1194">
        <v>1</v>
      </c>
      <c r="H138" s="1199">
        <v>46387</v>
      </c>
      <c r="I138" s="1183">
        <v>545454545.45454538</v>
      </c>
      <c r="J138" s="1183">
        <v>534067575.13533688</v>
      </c>
      <c r="K138" s="1194">
        <f t="shared" si="53"/>
        <v>59</v>
      </c>
      <c r="L138" s="1194">
        <f t="shared" si="54"/>
        <v>1825</v>
      </c>
      <c r="M138" s="1195">
        <f t="shared" si="59"/>
        <v>9051992.7989040148</v>
      </c>
      <c r="N138" s="1195">
        <f t="shared" si="74"/>
        <v>292639.76719744486</v>
      </c>
      <c r="O138" s="1196">
        <v>329512377.86432278</v>
      </c>
      <c r="P138" s="1194">
        <v>31</v>
      </c>
      <c r="Q138" s="1195">
        <f t="shared" si="52"/>
        <v>9071832.7831207905</v>
      </c>
      <c r="R138" s="1195">
        <f t="shared" si="75"/>
        <v>213627030.05413488</v>
      </c>
      <c r="S138" s="1195">
        <f t="shared" si="76"/>
        <v>320440545.08120203</v>
      </c>
      <c r="T138" s="1194" t="s">
        <v>1071</v>
      </c>
      <c r="U138" s="1194" t="s">
        <v>1095</v>
      </c>
      <c r="V138" s="1201" t="s">
        <v>1043</v>
      </c>
      <c r="W138" s="1197"/>
      <c r="X138" s="1197"/>
      <c r="Y138" s="1197">
        <v>627</v>
      </c>
      <c r="Z138" s="1197" t="s">
        <v>809</v>
      </c>
      <c r="AA138" s="1197"/>
      <c r="AB138" s="1202">
        <v>9071832.7831207905</v>
      </c>
      <c r="AC138" s="1202">
        <v>8193913.4815284563</v>
      </c>
      <c r="AD138" s="1202">
        <v>9071832.7831207905</v>
      </c>
      <c r="AE138" s="1202">
        <v>8779193.0159233455</v>
      </c>
      <c r="AF138" s="1202">
        <v>9071832.7831207905</v>
      </c>
      <c r="AG138" s="1202">
        <v>8779193.0159233455</v>
      </c>
      <c r="AH138" s="1202">
        <v>9071832.7831207905</v>
      </c>
      <c r="AI138" s="1202">
        <v>9071832.7831207905</v>
      </c>
      <c r="AJ138" s="1202">
        <v>8779193.0159233455</v>
      </c>
      <c r="AK138" s="1202">
        <v>9071832.7831207905</v>
      </c>
      <c r="AL138" s="1202">
        <v>8779193.0159233455</v>
      </c>
      <c r="AM138" s="1202">
        <v>9071832.7831207905</v>
      </c>
      <c r="AN138" s="1197"/>
      <c r="AO138" s="1197">
        <v>627</v>
      </c>
      <c r="AP138" s="1197" t="s">
        <v>732</v>
      </c>
      <c r="AQ138" s="1204" t="s">
        <v>1359</v>
      </c>
      <c r="AR138" s="1201">
        <f t="shared" si="60"/>
        <v>0</v>
      </c>
      <c r="AS138" s="1198">
        <f t="shared" si="61"/>
        <v>320440545.08120203</v>
      </c>
      <c r="AT138" s="1198">
        <f t="shared" si="62"/>
        <v>108623913.58684817</v>
      </c>
      <c r="AU138" s="1201">
        <f t="shared" si="63"/>
        <v>106813515.02706739</v>
      </c>
      <c r="AV138" s="1198">
        <f t="shared" si="64"/>
        <v>108623913.58684817</v>
      </c>
      <c r="AW138" s="1198">
        <f t="shared" si="65"/>
        <v>108623913.58684817</v>
      </c>
      <c r="AX138" s="1198">
        <f t="shared" si="66"/>
        <v>103192717.90750569</v>
      </c>
      <c r="AY138" s="1198">
        <f t="shared" si="67"/>
        <v>0</v>
      </c>
      <c r="AZ138" s="1198">
        <f t="shared" si="68"/>
        <v>0</v>
      </c>
      <c r="BA138" s="1198">
        <f t="shared" si="69"/>
        <v>0</v>
      </c>
      <c r="BB138" s="1198">
        <f t="shared" si="70"/>
        <v>0</v>
      </c>
      <c r="BC138" s="1198">
        <f t="shared" si="71"/>
        <v>0</v>
      </c>
      <c r="BD138" s="1198">
        <f t="shared" si="72"/>
        <v>0</v>
      </c>
      <c r="BE138" s="1198">
        <f t="shared" si="73"/>
        <v>0</v>
      </c>
    </row>
    <row r="139" spans="2:57" x14ac:dyDescent="0.25">
      <c r="B139" s="1221">
        <v>135</v>
      </c>
      <c r="C139" s="1193" t="s">
        <v>1210</v>
      </c>
      <c r="D139" s="1194" t="s">
        <v>1211</v>
      </c>
      <c r="E139" s="1199">
        <v>44501</v>
      </c>
      <c r="F139" s="1199">
        <v>44562</v>
      </c>
      <c r="G139" s="1194">
        <v>1</v>
      </c>
      <c r="H139" s="1199">
        <v>46387</v>
      </c>
      <c r="I139" s="1183">
        <v>1308475000</v>
      </c>
      <c r="J139" s="1183">
        <v>1281159129.0212183</v>
      </c>
      <c r="K139" s="1194">
        <f t="shared" si="53"/>
        <v>59</v>
      </c>
      <c r="L139" s="1194">
        <f t="shared" si="54"/>
        <v>1825</v>
      </c>
      <c r="M139" s="1195">
        <f t="shared" si="59"/>
        <v>21714561.508834209</v>
      </c>
      <c r="N139" s="1195">
        <f t="shared" si="74"/>
        <v>702005.00220340723</v>
      </c>
      <c r="O139" s="1196">
        <v>790457632.4810369</v>
      </c>
      <c r="P139" s="1194">
        <v>31</v>
      </c>
      <c r="Q139" s="1195">
        <f t="shared" si="52"/>
        <v>21762155.068305623</v>
      </c>
      <c r="R139" s="1195">
        <f t="shared" si="75"/>
        <v>512463651.60848701</v>
      </c>
      <c r="S139" s="1195">
        <f t="shared" si="76"/>
        <v>768695477.41273129</v>
      </c>
      <c r="T139" s="1194"/>
      <c r="U139" s="1194" t="s">
        <v>1103</v>
      </c>
      <c r="V139" s="1201" t="s">
        <v>1043</v>
      </c>
      <c r="W139" s="1197"/>
      <c r="X139" s="1197"/>
      <c r="Y139" s="1197">
        <v>627</v>
      </c>
      <c r="Z139" s="1197" t="s">
        <v>809</v>
      </c>
      <c r="AA139" s="1197"/>
      <c r="AB139" s="1202">
        <v>21762155.068305623</v>
      </c>
      <c r="AC139" s="1202">
        <v>19656140.061695404</v>
      </c>
      <c r="AD139" s="1202">
        <v>21762155.068305623</v>
      </c>
      <c r="AE139" s="1202">
        <v>21060150.066102218</v>
      </c>
      <c r="AF139" s="1202">
        <v>21762155.068305623</v>
      </c>
      <c r="AG139" s="1202">
        <v>21060150.066102218</v>
      </c>
      <c r="AH139" s="1202">
        <v>21762155.068305623</v>
      </c>
      <c r="AI139" s="1202">
        <v>21762155.068305623</v>
      </c>
      <c r="AJ139" s="1202">
        <v>21060150.066102218</v>
      </c>
      <c r="AK139" s="1202">
        <v>21762155.068305623</v>
      </c>
      <c r="AL139" s="1202">
        <v>21060150.066102218</v>
      </c>
      <c r="AM139" s="1202">
        <v>21762155.068305623</v>
      </c>
      <c r="AN139" s="1197"/>
      <c r="AO139" s="1197">
        <v>641</v>
      </c>
      <c r="AP139" s="1197" t="s">
        <v>1357</v>
      </c>
      <c r="AQ139" s="1253" t="s">
        <v>809</v>
      </c>
      <c r="AR139" s="1201">
        <f t="shared" si="60"/>
        <v>0</v>
      </c>
      <c r="AS139" s="1198">
        <f t="shared" si="61"/>
        <v>768695477.41273129</v>
      </c>
      <c r="AT139" s="1198">
        <f t="shared" si="62"/>
        <v>260574738.1060105</v>
      </c>
      <c r="AU139" s="1201">
        <f t="shared" si="63"/>
        <v>256231825.80424359</v>
      </c>
      <c r="AV139" s="1198">
        <f t="shared" si="64"/>
        <v>260574738.1060105</v>
      </c>
      <c r="AW139" s="1198">
        <f t="shared" si="65"/>
        <v>260574738.1060105</v>
      </c>
      <c r="AX139" s="1198">
        <f t="shared" si="66"/>
        <v>247546001.2007103</v>
      </c>
      <c r="AY139" s="1198">
        <f t="shared" si="67"/>
        <v>0</v>
      </c>
      <c r="AZ139" s="1198">
        <f t="shared" si="68"/>
        <v>0</v>
      </c>
      <c r="BA139" s="1198">
        <f t="shared" si="69"/>
        <v>0</v>
      </c>
      <c r="BB139" s="1198">
        <f t="shared" si="70"/>
        <v>0</v>
      </c>
      <c r="BC139" s="1198">
        <f t="shared" si="71"/>
        <v>0</v>
      </c>
      <c r="BD139" s="1198">
        <f t="shared" si="72"/>
        <v>0</v>
      </c>
      <c r="BE139" s="1198">
        <f t="shared" si="73"/>
        <v>0</v>
      </c>
    </row>
    <row r="140" spans="2:57" x14ac:dyDescent="0.25">
      <c r="B140" s="1221">
        <v>136</v>
      </c>
      <c r="C140" s="1193" t="s">
        <v>1212</v>
      </c>
      <c r="D140" s="1194" t="s">
        <v>1211</v>
      </c>
      <c r="E140" s="1199">
        <v>44501</v>
      </c>
      <c r="F140" s="1199">
        <v>44562</v>
      </c>
      <c r="G140" s="1194">
        <v>1</v>
      </c>
      <c r="H140" s="1199">
        <v>46387</v>
      </c>
      <c r="I140" s="1183">
        <v>1308475000</v>
      </c>
      <c r="J140" s="1183">
        <v>1281159129.0212183</v>
      </c>
      <c r="K140" s="1194">
        <f t="shared" si="53"/>
        <v>59</v>
      </c>
      <c r="L140" s="1194">
        <f t="shared" si="54"/>
        <v>1825</v>
      </c>
      <c r="M140" s="1195">
        <f t="shared" si="59"/>
        <v>21714561.508834209</v>
      </c>
      <c r="N140" s="1195">
        <f t="shared" si="74"/>
        <v>702005.00220340723</v>
      </c>
      <c r="O140" s="1196">
        <v>790457632.4810369</v>
      </c>
      <c r="P140" s="1194">
        <v>31</v>
      </c>
      <c r="Q140" s="1195">
        <f t="shared" ref="Q140:Q176" si="77">IF(O140&gt;=P140*N140,P140*N140,O140)</f>
        <v>21762155.068305623</v>
      </c>
      <c r="R140" s="1195">
        <f t="shared" si="75"/>
        <v>512463651.60848701</v>
      </c>
      <c r="S140" s="1195">
        <f t="shared" si="76"/>
        <v>768695477.41273129</v>
      </c>
      <c r="T140" s="1194"/>
      <c r="U140" s="1194" t="s">
        <v>1103</v>
      </c>
      <c r="V140" s="1201" t="s">
        <v>1043</v>
      </c>
      <c r="W140" s="1197"/>
      <c r="X140" s="1197"/>
      <c r="Y140" s="1197">
        <v>627</v>
      </c>
      <c r="Z140" s="1197" t="s">
        <v>809</v>
      </c>
      <c r="AA140" s="1197"/>
      <c r="AB140" s="1202">
        <v>21762155.068305623</v>
      </c>
      <c r="AC140" s="1202">
        <v>19656140.061695404</v>
      </c>
      <c r="AD140" s="1202">
        <v>21762155.068305623</v>
      </c>
      <c r="AE140" s="1202">
        <v>21060150.066102218</v>
      </c>
      <c r="AF140" s="1202">
        <v>21762155.068305623</v>
      </c>
      <c r="AG140" s="1202">
        <v>21060150.066102218</v>
      </c>
      <c r="AH140" s="1202">
        <v>21762155.068305623</v>
      </c>
      <c r="AI140" s="1202">
        <v>21762155.068305623</v>
      </c>
      <c r="AJ140" s="1202">
        <v>21060150.066102218</v>
      </c>
      <c r="AK140" s="1202">
        <v>21762155.068305623</v>
      </c>
      <c r="AL140" s="1202">
        <v>21060150.066102218</v>
      </c>
      <c r="AM140" s="1202">
        <v>21762155.068305623</v>
      </c>
      <c r="AN140" s="1197"/>
      <c r="AO140" s="1197">
        <v>641</v>
      </c>
      <c r="AP140" s="1197" t="s">
        <v>1357</v>
      </c>
      <c r="AQ140" s="1253" t="s">
        <v>809</v>
      </c>
      <c r="AR140" s="1201">
        <f t="shared" si="60"/>
        <v>0</v>
      </c>
      <c r="AS140" s="1198">
        <f t="shared" si="61"/>
        <v>768695477.41273129</v>
      </c>
      <c r="AT140" s="1198">
        <f t="shared" si="62"/>
        <v>260574738.1060105</v>
      </c>
      <c r="AU140" s="1201">
        <f t="shared" si="63"/>
        <v>256231825.80424359</v>
      </c>
      <c r="AV140" s="1198">
        <f t="shared" si="64"/>
        <v>260574738.1060105</v>
      </c>
      <c r="AW140" s="1198">
        <f t="shared" si="65"/>
        <v>260574738.1060105</v>
      </c>
      <c r="AX140" s="1198">
        <f t="shared" si="66"/>
        <v>247546001.2007103</v>
      </c>
      <c r="AY140" s="1198">
        <f t="shared" si="67"/>
        <v>0</v>
      </c>
      <c r="AZ140" s="1198">
        <f t="shared" si="68"/>
        <v>0</v>
      </c>
      <c r="BA140" s="1198">
        <f t="shared" si="69"/>
        <v>0</v>
      </c>
      <c r="BB140" s="1198">
        <f t="shared" si="70"/>
        <v>0</v>
      </c>
      <c r="BC140" s="1198">
        <f t="shared" si="71"/>
        <v>0</v>
      </c>
      <c r="BD140" s="1198">
        <f t="shared" si="72"/>
        <v>0</v>
      </c>
      <c r="BE140" s="1198">
        <f t="shared" si="73"/>
        <v>0</v>
      </c>
    </row>
    <row r="141" spans="2:57" x14ac:dyDescent="0.25">
      <c r="B141" s="1221">
        <v>137</v>
      </c>
      <c r="C141" s="1193" t="s">
        <v>1213</v>
      </c>
      <c r="D141" s="1194" t="s">
        <v>1211</v>
      </c>
      <c r="E141" s="1199">
        <v>44501</v>
      </c>
      <c r="F141" s="1199">
        <v>44562</v>
      </c>
      <c r="G141" s="1194">
        <v>1</v>
      </c>
      <c r="H141" s="1199">
        <v>46387</v>
      </c>
      <c r="I141" s="1183">
        <v>1308475000</v>
      </c>
      <c r="J141" s="1183">
        <v>1281159129.0212183</v>
      </c>
      <c r="K141" s="1194">
        <f t="shared" si="53"/>
        <v>59</v>
      </c>
      <c r="L141" s="1194">
        <f t="shared" si="54"/>
        <v>1825</v>
      </c>
      <c r="M141" s="1195">
        <f t="shared" si="59"/>
        <v>21714561.508834209</v>
      </c>
      <c r="N141" s="1195">
        <f t="shared" si="74"/>
        <v>702005.00220340723</v>
      </c>
      <c r="O141" s="1196">
        <v>790457632.4810369</v>
      </c>
      <c r="P141" s="1194">
        <v>31</v>
      </c>
      <c r="Q141" s="1195">
        <f t="shared" si="77"/>
        <v>21762155.068305623</v>
      </c>
      <c r="R141" s="1195">
        <f t="shared" si="75"/>
        <v>512463651.60848701</v>
      </c>
      <c r="S141" s="1195">
        <f t="shared" si="76"/>
        <v>768695477.41273129</v>
      </c>
      <c r="T141" s="1194"/>
      <c r="U141" s="1194" t="s">
        <v>1103</v>
      </c>
      <c r="V141" s="1201" t="s">
        <v>1043</v>
      </c>
      <c r="W141" s="1197"/>
      <c r="X141" s="1197"/>
      <c r="Y141" s="1197">
        <v>627</v>
      </c>
      <c r="Z141" s="1197" t="s">
        <v>809</v>
      </c>
      <c r="AA141" s="1197"/>
      <c r="AB141" s="1202">
        <v>21762155.068305623</v>
      </c>
      <c r="AC141" s="1202">
        <v>19656140.061695404</v>
      </c>
      <c r="AD141" s="1202">
        <v>21762155.068305623</v>
      </c>
      <c r="AE141" s="1202">
        <v>21060150.066102218</v>
      </c>
      <c r="AF141" s="1202">
        <v>21762155.068305623</v>
      </c>
      <c r="AG141" s="1202">
        <v>21060150.066102218</v>
      </c>
      <c r="AH141" s="1202">
        <v>21762155.068305623</v>
      </c>
      <c r="AI141" s="1202">
        <v>21762155.068305623</v>
      </c>
      <c r="AJ141" s="1202">
        <v>21060150.066102218</v>
      </c>
      <c r="AK141" s="1202">
        <v>21762155.068305623</v>
      </c>
      <c r="AL141" s="1202">
        <v>21060150.066102218</v>
      </c>
      <c r="AM141" s="1202">
        <v>21762155.068305623</v>
      </c>
      <c r="AN141" s="1197"/>
      <c r="AO141" s="1197">
        <v>641</v>
      </c>
      <c r="AP141" s="1197" t="s">
        <v>1357</v>
      </c>
      <c r="AQ141" s="1253" t="s">
        <v>809</v>
      </c>
      <c r="AR141" s="1201">
        <f t="shared" si="60"/>
        <v>0</v>
      </c>
      <c r="AS141" s="1198">
        <f t="shared" si="61"/>
        <v>768695477.41273129</v>
      </c>
      <c r="AT141" s="1198">
        <f t="shared" si="62"/>
        <v>260574738.1060105</v>
      </c>
      <c r="AU141" s="1201">
        <f t="shared" si="63"/>
        <v>256231825.80424359</v>
      </c>
      <c r="AV141" s="1198">
        <f t="shared" si="64"/>
        <v>260574738.1060105</v>
      </c>
      <c r="AW141" s="1198">
        <f t="shared" si="65"/>
        <v>260574738.1060105</v>
      </c>
      <c r="AX141" s="1198">
        <f t="shared" si="66"/>
        <v>247546001.2007103</v>
      </c>
      <c r="AY141" s="1198">
        <f t="shared" si="67"/>
        <v>0</v>
      </c>
      <c r="AZ141" s="1198">
        <f t="shared" si="68"/>
        <v>0</v>
      </c>
      <c r="BA141" s="1198">
        <f t="shared" si="69"/>
        <v>0</v>
      </c>
      <c r="BB141" s="1198">
        <f t="shared" si="70"/>
        <v>0</v>
      </c>
      <c r="BC141" s="1198">
        <f t="shared" si="71"/>
        <v>0</v>
      </c>
      <c r="BD141" s="1198">
        <f t="shared" si="72"/>
        <v>0</v>
      </c>
      <c r="BE141" s="1198">
        <f t="shared" si="73"/>
        <v>0</v>
      </c>
    </row>
    <row r="142" spans="2:57" x14ac:dyDescent="0.25">
      <c r="B142" s="1221">
        <v>138</v>
      </c>
      <c r="C142" s="1193" t="s">
        <v>1214</v>
      </c>
      <c r="D142" s="1194" t="s">
        <v>1211</v>
      </c>
      <c r="E142" s="1199">
        <v>44501</v>
      </c>
      <c r="F142" s="1199">
        <v>44562</v>
      </c>
      <c r="G142" s="1194">
        <v>1</v>
      </c>
      <c r="H142" s="1199">
        <v>46387</v>
      </c>
      <c r="I142" s="1183">
        <v>1308475000</v>
      </c>
      <c r="J142" s="1183">
        <v>1281159129.0212183</v>
      </c>
      <c r="K142" s="1194">
        <f t="shared" si="53"/>
        <v>59</v>
      </c>
      <c r="L142" s="1194">
        <f t="shared" si="54"/>
        <v>1825</v>
      </c>
      <c r="M142" s="1195">
        <f t="shared" si="59"/>
        <v>21714561.508834209</v>
      </c>
      <c r="N142" s="1195">
        <f t="shared" si="74"/>
        <v>702005.00220340723</v>
      </c>
      <c r="O142" s="1196">
        <v>790457632.4810369</v>
      </c>
      <c r="P142" s="1194">
        <v>31</v>
      </c>
      <c r="Q142" s="1195">
        <f t="shared" si="77"/>
        <v>21762155.068305623</v>
      </c>
      <c r="R142" s="1195">
        <f t="shared" si="75"/>
        <v>512463651.60848701</v>
      </c>
      <c r="S142" s="1195">
        <f t="shared" si="76"/>
        <v>768695477.41273129</v>
      </c>
      <c r="T142" s="1194"/>
      <c r="U142" s="1194" t="s">
        <v>1103</v>
      </c>
      <c r="V142" s="1201" t="s">
        <v>1043</v>
      </c>
      <c r="W142" s="1197"/>
      <c r="X142" s="1197"/>
      <c r="Y142" s="1197">
        <v>627</v>
      </c>
      <c r="Z142" s="1197" t="s">
        <v>809</v>
      </c>
      <c r="AA142" s="1197"/>
      <c r="AB142" s="1202">
        <v>21762155.068305623</v>
      </c>
      <c r="AC142" s="1202">
        <v>19656140.061695404</v>
      </c>
      <c r="AD142" s="1202">
        <v>21762155.068305623</v>
      </c>
      <c r="AE142" s="1202">
        <v>21060150.066102218</v>
      </c>
      <c r="AF142" s="1202">
        <v>21762155.068305623</v>
      </c>
      <c r="AG142" s="1202">
        <v>21060150.066102218</v>
      </c>
      <c r="AH142" s="1202">
        <v>21762155.068305623</v>
      </c>
      <c r="AI142" s="1202">
        <v>21762155.068305623</v>
      </c>
      <c r="AJ142" s="1202">
        <v>21060150.066102218</v>
      </c>
      <c r="AK142" s="1202">
        <v>21762155.068305623</v>
      </c>
      <c r="AL142" s="1202">
        <v>21060150.066102218</v>
      </c>
      <c r="AM142" s="1202">
        <v>21762155.068305623</v>
      </c>
      <c r="AN142" s="1197"/>
      <c r="AO142" s="1197">
        <v>641</v>
      </c>
      <c r="AP142" s="1197" t="s">
        <v>1357</v>
      </c>
      <c r="AQ142" s="1253" t="s">
        <v>809</v>
      </c>
      <c r="AR142" s="1201">
        <f t="shared" si="60"/>
        <v>0</v>
      </c>
      <c r="AS142" s="1198">
        <f t="shared" si="61"/>
        <v>768695477.41273129</v>
      </c>
      <c r="AT142" s="1198">
        <f t="shared" si="62"/>
        <v>260574738.1060105</v>
      </c>
      <c r="AU142" s="1201">
        <f t="shared" si="63"/>
        <v>256231825.80424359</v>
      </c>
      <c r="AV142" s="1198">
        <f t="shared" si="64"/>
        <v>260574738.1060105</v>
      </c>
      <c r="AW142" s="1198">
        <f t="shared" si="65"/>
        <v>260574738.1060105</v>
      </c>
      <c r="AX142" s="1198">
        <f t="shared" si="66"/>
        <v>247546001.2007103</v>
      </c>
      <c r="AY142" s="1198">
        <f t="shared" si="67"/>
        <v>0</v>
      </c>
      <c r="AZ142" s="1198">
        <f t="shared" si="68"/>
        <v>0</v>
      </c>
      <c r="BA142" s="1198">
        <f t="shared" si="69"/>
        <v>0</v>
      </c>
      <c r="BB142" s="1198">
        <f t="shared" si="70"/>
        <v>0</v>
      </c>
      <c r="BC142" s="1198">
        <f t="shared" si="71"/>
        <v>0</v>
      </c>
      <c r="BD142" s="1198">
        <f t="shared" si="72"/>
        <v>0</v>
      </c>
      <c r="BE142" s="1198">
        <f t="shared" si="73"/>
        <v>0</v>
      </c>
    </row>
    <row r="143" spans="2:57" x14ac:dyDescent="0.25">
      <c r="B143" s="1221">
        <v>139</v>
      </c>
      <c r="C143" s="1193" t="s">
        <v>1215</v>
      </c>
      <c r="D143" s="1193" t="s">
        <v>1215</v>
      </c>
      <c r="E143" s="1199">
        <v>44531</v>
      </c>
      <c r="F143" s="1199">
        <v>44562</v>
      </c>
      <c r="G143" s="1194">
        <v>1</v>
      </c>
      <c r="H143" s="1199">
        <v>46387</v>
      </c>
      <c r="I143" s="1183">
        <v>4100000000</v>
      </c>
      <c r="J143" s="1183">
        <v>4030394304.4906902</v>
      </c>
      <c r="K143" s="1194">
        <f t="shared" si="53"/>
        <v>59</v>
      </c>
      <c r="L143" s="1194">
        <f t="shared" si="54"/>
        <v>1825</v>
      </c>
      <c r="M143" s="1195">
        <f t="shared" si="59"/>
        <v>68311767.872723565</v>
      </c>
      <c r="N143" s="1195">
        <f t="shared" si="74"/>
        <v>2208435.2353373645</v>
      </c>
      <c r="O143" s="1196">
        <v>2486698074.989872</v>
      </c>
      <c r="P143" s="1194">
        <v>31</v>
      </c>
      <c r="Q143" s="1195">
        <f t="shared" si="77"/>
        <v>68461492.295458302</v>
      </c>
      <c r="R143" s="1195">
        <f t="shared" si="75"/>
        <v>1612157721.7962766</v>
      </c>
      <c r="S143" s="1195">
        <f t="shared" si="76"/>
        <v>2418236582.6944137</v>
      </c>
      <c r="T143" s="1194"/>
      <c r="U143" s="1194" t="s">
        <v>1103</v>
      </c>
      <c r="V143" s="1201" t="s">
        <v>1043</v>
      </c>
      <c r="W143" s="1197"/>
      <c r="X143" s="1197"/>
      <c r="Y143" s="1197">
        <v>627</v>
      </c>
      <c r="Z143" s="1197" t="s">
        <v>809</v>
      </c>
      <c r="AA143" s="1197"/>
      <c r="AB143" s="1202">
        <v>68461492.295458302</v>
      </c>
      <c r="AC143" s="1202">
        <v>61836186.589446202</v>
      </c>
      <c r="AD143" s="1202">
        <v>68461492.295458302</v>
      </c>
      <c r="AE143" s="1202">
        <v>66253057.060120933</v>
      </c>
      <c r="AF143" s="1202">
        <v>68461492.295458302</v>
      </c>
      <c r="AG143" s="1202">
        <v>66253057.060120933</v>
      </c>
      <c r="AH143" s="1202">
        <v>68461492.295458302</v>
      </c>
      <c r="AI143" s="1202">
        <v>68461492.295458302</v>
      </c>
      <c r="AJ143" s="1202">
        <v>66253057.060120933</v>
      </c>
      <c r="AK143" s="1202">
        <v>68461492.295458302</v>
      </c>
      <c r="AL143" s="1202">
        <v>66253057.060120933</v>
      </c>
      <c r="AM143" s="1202">
        <v>68461492.295458302</v>
      </c>
      <c r="AN143" s="1197"/>
      <c r="AO143" s="1197">
        <v>641</v>
      </c>
      <c r="AP143" s="1197" t="s">
        <v>1357</v>
      </c>
      <c r="AQ143" s="1253" t="s">
        <v>809</v>
      </c>
      <c r="AR143" s="1201">
        <f t="shared" si="60"/>
        <v>0</v>
      </c>
      <c r="AS143" s="1198">
        <f t="shared" si="61"/>
        <v>2418236582.6944137</v>
      </c>
      <c r="AT143" s="1198">
        <f t="shared" si="62"/>
        <v>819741214.47268271</v>
      </c>
      <c r="AU143" s="1201">
        <f t="shared" si="63"/>
        <v>806078860.89813817</v>
      </c>
      <c r="AV143" s="1198">
        <f t="shared" si="64"/>
        <v>819741214.47268271</v>
      </c>
      <c r="AW143" s="1198">
        <f t="shared" si="65"/>
        <v>819741214.47268271</v>
      </c>
      <c r="AX143" s="1198">
        <f t="shared" si="66"/>
        <v>778754153.74904823</v>
      </c>
      <c r="AY143" s="1198">
        <f t="shared" si="67"/>
        <v>0</v>
      </c>
      <c r="AZ143" s="1198">
        <f t="shared" si="68"/>
        <v>0</v>
      </c>
      <c r="BA143" s="1198">
        <f t="shared" si="69"/>
        <v>0</v>
      </c>
      <c r="BB143" s="1198">
        <f t="shared" si="70"/>
        <v>0</v>
      </c>
      <c r="BC143" s="1198">
        <f t="shared" si="71"/>
        <v>0</v>
      </c>
      <c r="BD143" s="1198">
        <f t="shared" si="72"/>
        <v>0</v>
      </c>
      <c r="BE143" s="1198">
        <f t="shared" si="73"/>
        <v>0</v>
      </c>
    </row>
    <row r="144" spans="2:57" x14ac:dyDescent="0.25">
      <c r="B144" s="1221">
        <v>140</v>
      </c>
      <c r="C144" s="1193" t="s">
        <v>1216</v>
      </c>
      <c r="D144" s="1194" t="s">
        <v>1217</v>
      </c>
      <c r="E144" s="1199">
        <v>44562</v>
      </c>
      <c r="F144" s="1199">
        <v>44562</v>
      </c>
      <c r="G144" s="1194">
        <v>1</v>
      </c>
      <c r="H144" s="1199">
        <v>46388</v>
      </c>
      <c r="I144" s="1183">
        <v>2000000000</v>
      </c>
      <c r="J144" s="1183">
        <v>2000000000</v>
      </c>
      <c r="K144" s="1194">
        <f t="shared" si="53"/>
        <v>60</v>
      </c>
      <c r="L144" s="1194">
        <f t="shared" si="54"/>
        <v>1826</v>
      </c>
      <c r="M144" s="1195">
        <f t="shared" si="59"/>
        <v>33333333.333333332</v>
      </c>
      <c r="N144" s="1195">
        <f t="shared" si="74"/>
        <v>1095290.251916758</v>
      </c>
      <c r="O144" s="1196">
        <v>1234392113.9101853</v>
      </c>
      <c r="P144" s="1194">
        <v>31</v>
      </c>
      <c r="Q144" s="1195">
        <f t="shared" si="77"/>
        <v>33953997.809419498</v>
      </c>
      <c r="R144" s="1195">
        <f t="shared" si="75"/>
        <v>799561883.89923418</v>
      </c>
      <c r="S144" s="1195">
        <f t="shared" si="76"/>
        <v>1200438116.1007657</v>
      </c>
      <c r="T144" s="1194">
        <v>5</v>
      </c>
      <c r="U144" s="1194" t="s">
        <v>1047</v>
      </c>
      <c r="V144" s="1201" t="s">
        <v>1043</v>
      </c>
      <c r="W144" s="1197"/>
      <c r="X144" s="1197"/>
      <c r="Y144" s="1197">
        <v>627</v>
      </c>
      <c r="Z144" s="1197" t="s">
        <v>809</v>
      </c>
      <c r="AA144" s="1197"/>
      <c r="AB144" s="1202">
        <v>33953997.809419498</v>
      </c>
      <c r="AC144" s="1202">
        <v>30668127.053669225</v>
      </c>
      <c r="AD144" s="1202">
        <v>33953997.809419498</v>
      </c>
      <c r="AE144" s="1202">
        <v>32858707.557502739</v>
      </c>
      <c r="AF144" s="1202">
        <v>33953997.809419498</v>
      </c>
      <c r="AG144" s="1202">
        <v>32858707.557502739</v>
      </c>
      <c r="AH144" s="1202">
        <v>33953997.809419498</v>
      </c>
      <c r="AI144" s="1202">
        <v>33953997.809419498</v>
      </c>
      <c r="AJ144" s="1202">
        <v>32858707.557502739</v>
      </c>
      <c r="AK144" s="1202">
        <v>33953997.809419498</v>
      </c>
      <c r="AL144" s="1202">
        <v>32858707.557502739</v>
      </c>
      <c r="AM144" s="1202">
        <v>33953997.809419498</v>
      </c>
      <c r="AN144" s="1197"/>
      <c r="AO144" s="1197">
        <v>641</v>
      </c>
      <c r="AP144" s="1197" t="s">
        <v>1357</v>
      </c>
      <c r="AQ144" s="1253" t="s">
        <v>809</v>
      </c>
      <c r="AR144" s="1201">
        <f t="shared" si="60"/>
        <v>0</v>
      </c>
      <c r="AS144" s="1198">
        <f t="shared" si="61"/>
        <v>1200438116.1007657</v>
      </c>
      <c r="AT144" s="1198">
        <f t="shared" si="62"/>
        <v>400000000</v>
      </c>
      <c r="AU144" s="1201">
        <f t="shared" si="63"/>
        <v>399780941.94961673</v>
      </c>
      <c r="AV144" s="1198">
        <f t="shared" si="64"/>
        <v>400000000</v>
      </c>
      <c r="AW144" s="1198">
        <f t="shared" si="65"/>
        <v>400000000</v>
      </c>
      <c r="AX144" s="1198">
        <f t="shared" si="66"/>
        <v>400000000</v>
      </c>
      <c r="AY144" s="1198">
        <f t="shared" si="67"/>
        <v>438116.10076570511</v>
      </c>
      <c r="AZ144" s="1198">
        <f t="shared" si="68"/>
        <v>0</v>
      </c>
      <c r="BA144" s="1198">
        <f t="shared" si="69"/>
        <v>0</v>
      </c>
      <c r="BB144" s="1198">
        <f t="shared" si="70"/>
        <v>0</v>
      </c>
      <c r="BC144" s="1198">
        <f t="shared" si="71"/>
        <v>0</v>
      </c>
      <c r="BD144" s="1198">
        <f t="shared" si="72"/>
        <v>0</v>
      </c>
      <c r="BE144" s="1198">
        <f t="shared" si="73"/>
        <v>0</v>
      </c>
    </row>
    <row r="145" spans="2:57" x14ac:dyDescent="0.25">
      <c r="B145" s="1221">
        <v>141</v>
      </c>
      <c r="C145" s="1193" t="s">
        <v>1218</v>
      </c>
      <c r="D145" s="1193" t="s">
        <v>1219</v>
      </c>
      <c r="E145" s="1199">
        <v>44621</v>
      </c>
      <c r="F145" s="1199">
        <v>44621</v>
      </c>
      <c r="G145" s="1194">
        <v>1</v>
      </c>
      <c r="H145" s="1199">
        <v>46447</v>
      </c>
      <c r="I145" s="1183">
        <v>490000000</v>
      </c>
      <c r="J145" s="1183">
        <v>490000000</v>
      </c>
      <c r="K145" s="1194">
        <f t="shared" si="53"/>
        <v>60</v>
      </c>
      <c r="L145" s="1194">
        <f t="shared" si="54"/>
        <v>1826</v>
      </c>
      <c r="M145" s="1195">
        <f t="shared" si="59"/>
        <v>8166666.666666667</v>
      </c>
      <c r="N145" s="1195">
        <f t="shared" si="74"/>
        <v>268346.11171960569</v>
      </c>
      <c r="O145" s="1196">
        <v>318258488.49945223</v>
      </c>
      <c r="P145" s="1194">
        <v>31</v>
      </c>
      <c r="Q145" s="1195">
        <f t="shared" si="77"/>
        <v>8318729.4633077765</v>
      </c>
      <c r="R145" s="1195">
        <f t="shared" si="75"/>
        <v>180060240.96385553</v>
      </c>
      <c r="S145" s="1195">
        <f t="shared" si="76"/>
        <v>309939759.0361445</v>
      </c>
      <c r="T145" s="1194"/>
      <c r="U145" s="1194" t="s">
        <v>1095</v>
      </c>
      <c r="V145" s="1201" t="s">
        <v>1043</v>
      </c>
      <c r="W145" s="1197"/>
      <c r="X145" s="1197"/>
      <c r="Y145" s="1197">
        <v>627</v>
      </c>
      <c r="Z145" s="1197" t="s">
        <v>809</v>
      </c>
      <c r="AA145" s="1197"/>
      <c r="AB145" s="1202">
        <v>8318729.4633077765</v>
      </c>
      <c r="AC145" s="1202">
        <v>7513691.128148959</v>
      </c>
      <c r="AD145" s="1202">
        <v>8318729.4633077765</v>
      </c>
      <c r="AE145" s="1202">
        <v>8050383.351588171</v>
      </c>
      <c r="AF145" s="1202">
        <v>8318729.4633077765</v>
      </c>
      <c r="AG145" s="1202">
        <v>8050383.351588171</v>
      </c>
      <c r="AH145" s="1202">
        <v>8318729.4633077765</v>
      </c>
      <c r="AI145" s="1202">
        <v>8318729.4633077765</v>
      </c>
      <c r="AJ145" s="1202">
        <v>8050383.351588171</v>
      </c>
      <c r="AK145" s="1202">
        <v>8318729.4633077765</v>
      </c>
      <c r="AL145" s="1202">
        <v>8050383.351588171</v>
      </c>
      <c r="AM145" s="1202">
        <v>8318729.4633077765</v>
      </c>
      <c r="AN145" s="1197"/>
      <c r="AO145" s="1197">
        <v>627</v>
      </c>
      <c r="AP145" s="1197" t="s">
        <v>732</v>
      </c>
      <c r="AQ145" s="1204" t="s">
        <v>1359</v>
      </c>
      <c r="AR145" s="1201">
        <f t="shared" si="60"/>
        <v>0</v>
      </c>
      <c r="AS145" s="1198">
        <f t="shared" si="61"/>
        <v>309939759.0361445</v>
      </c>
      <c r="AT145" s="1198">
        <f t="shared" si="62"/>
        <v>98000000</v>
      </c>
      <c r="AU145" s="1201">
        <f t="shared" si="63"/>
        <v>97946330.777656093</v>
      </c>
      <c r="AV145" s="1198">
        <f t="shared" si="64"/>
        <v>98000000</v>
      </c>
      <c r="AW145" s="1198">
        <f t="shared" si="65"/>
        <v>98000000</v>
      </c>
      <c r="AX145" s="1198">
        <f t="shared" si="66"/>
        <v>98000000</v>
      </c>
      <c r="AY145" s="1198">
        <f t="shared" si="67"/>
        <v>15939759.036144495</v>
      </c>
      <c r="AZ145" s="1198">
        <f t="shared" si="68"/>
        <v>0</v>
      </c>
      <c r="BA145" s="1198">
        <f t="shared" si="69"/>
        <v>0</v>
      </c>
      <c r="BB145" s="1198">
        <f t="shared" si="70"/>
        <v>0</v>
      </c>
      <c r="BC145" s="1198">
        <f t="shared" si="71"/>
        <v>0</v>
      </c>
      <c r="BD145" s="1198">
        <f t="shared" si="72"/>
        <v>0</v>
      </c>
      <c r="BE145" s="1198">
        <f t="shared" si="73"/>
        <v>0</v>
      </c>
    </row>
    <row r="146" spans="2:57" x14ac:dyDescent="0.25">
      <c r="B146" s="1221">
        <v>142</v>
      </c>
      <c r="C146" s="1193" t="s">
        <v>1220</v>
      </c>
      <c r="D146" s="1194" t="s">
        <v>1221</v>
      </c>
      <c r="E146" s="1199">
        <v>44652</v>
      </c>
      <c r="F146" s="1199">
        <v>44652</v>
      </c>
      <c r="G146" s="1194">
        <v>1</v>
      </c>
      <c r="H146" s="1199">
        <v>46478</v>
      </c>
      <c r="I146" s="1183">
        <v>1178087272.7272727</v>
      </c>
      <c r="J146" s="1183">
        <v>1178087272.7272727</v>
      </c>
      <c r="K146" s="1194">
        <f t="shared" si="53"/>
        <v>60</v>
      </c>
      <c r="L146" s="1194">
        <f t="shared" si="54"/>
        <v>1826</v>
      </c>
      <c r="M146" s="1195">
        <f t="shared" si="59"/>
        <v>19634787.878787879</v>
      </c>
      <c r="N146" s="1195">
        <f t="shared" si="74"/>
        <v>645173.75286269048</v>
      </c>
      <c r="O146" s="1196">
        <v>785176457.23389339</v>
      </c>
      <c r="P146" s="1194">
        <v>31</v>
      </c>
      <c r="Q146" s="1195">
        <f t="shared" si="77"/>
        <v>20000386.338743404</v>
      </c>
      <c r="R146" s="1195">
        <f t="shared" si="75"/>
        <v>412911201.83212274</v>
      </c>
      <c r="S146" s="1195">
        <f t="shared" si="76"/>
        <v>765176070.89514995</v>
      </c>
      <c r="T146" s="1194"/>
      <c r="U146" s="1194" t="s">
        <v>1103</v>
      </c>
      <c r="V146" s="1201" t="s">
        <v>1043</v>
      </c>
      <c r="W146" s="1197"/>
      <c r="X146" s="1197"/>
      <c r="Y146" s="1197">
        <v>627</v>
      </c>
      <c r="Z146" s="1197" t="s">
        <v>809</v>
      </c>
      <c r="AA146" s="1197"/>
      <c r="AB146" s="1202">
        <v>20000386.338743404</v>
      </c>
      <c r="AC146" s="1202">
        <v>18064865.080155335</v>
      </c>
      <c r="AD146" s="1202">
        <v>20000386.338743404</v>
      </c>
      <c r="AE146" s="1202">
        <v>19355212.585880715</v>
      </c>
      <c r="AF146" s="1202">
        <v>20000386.338743404</v>
      </c>
      <c r="AG146" s="1202">
        <v>19355212.585880715</v>
      </c>
      <c r="AH146" s="1202">
        <v>20000386.338743404</v>
      </c>
      <c r="AI146" s="1202">
        <v>20000386.338743404</v>
      </c>
      <c r="AJ146" s="1202">
        <v>19355212.585880715</v>
      </c>
      <c r="AK146" s="1202">
        <v>20000386.338743404</v>
      </c>
      <c r="AL146" s="1202">
        <v>19355212.585880715</v>
      </c>
      <c r="AM146" s="1202">
        <v>20000386.338743404</v>
      </c>
      <c r="AN146" s="1197"/>
      <c r="AO146" s="1197">
        <v>641</v>
      </c>
      <c r="AP146" s="1197" t="s">
        <v>1357</v>
      </c>
      <c r="AQ146" s="1253" t="s">
        <v>809</v>
      </c>
      <c r="AR146" s="1201">
        <f t="shared" si="60"/>
        <v>0</v>
      </c>
      <c r="AS146" s="1198">
        <f t="shared" si="61"/>
        <v>765176070.89514995</v>
      </c>
      <c r="AT146" s="1198">
        <f t="shared" si="62"/>
        <v>235617454.54545456</v>
      </c>
      <c r="AU146" s="1201">
        <f t="shared" si="63"/>
        <v>235488419.79488206</v>
      </c>
      <c r="AV146" s="1198">
        <f t="shared" si="64"/>
        <v>235617454.54545456</v>
      </c>
      <c r="AW146" s="1198">
        <f t="shared" si="65"/>
        <v>235617454.54545456</v>
      </c>
      <c r="AX146" s="1198">
        <f t="shared" si="66"/>
        <v>235617454.54545456</v>
      </c>
      <c r="AY146" s="1198">
        <f t="shared" si="67"/>
        <v>58323707.258786201</v>
      </c>
      <c r="AZ146" s="1198">
        <f t="shared" si="68"/>
        <v>0</v>
      </c>
      <c r="BA146" s="1198">
        <f t="shared" si="69"/>
        <v>0</v>
      </c>
      <c r="BB146" s="1198">
        <f t="shared" si="70"/>
        <v>0</v>
      </c>
      <c r="BC146" s="1198">
        <f t="shared" si="71"/>
        <v>0</v>
      </c>
      <c r="BD146" s="1198">
        <f t="shared" si="72"/>
        <v>0</v>
      </c>
      <c r="BE146" s="1198">
        <f t="shared" si="73"/>
        <v>0</v>
      </c>
    </row>
    <row r="147" spans="2:57" x14ac:dyDescent="0.25">
      <c r="B147" s="1221">
        <v>143</v>
      </c>
      <c r="C147" s="1193" t="s">
        <v>1222</v>
      </c>
      <c r="D147" s="1194" t="s">
        <v>1223</v>
      </c>
      <c r="E147" s="1199">
        <v>44652</v>
      </c>
      <c r="F147" s="1199">
        <v>44652</v>
      </c>
      <c r="G147" s="1194">
        <v>1</v>
      </c>
      <c r="H147" s="1199">
        <v>46478</v>
      </c>
      <c r="I147" s="1183">
        <v>1178087272.7272727</v>
      </c>
      <c r="J147" s="1183">
        <v>1178087272.7272727</v>
      </c>
      <c r="K147" s="1194">
        <f t="shared" si="53"/>
        <v>60</v>
      </c>
      <c r="L147" s="1194">
        <f t="shared" si="54"/>
        <v>1826</v>
      </c>
      <c r="M147" s="1195">
        <f t="shared" si="59"/>
        <v>19634787.878787879</v>
      </c>
      <c r="N147" s="1195">
        <f t="shared" si="74"/>
        <v>645173.75286269048</v>
      </c>
      <c r="O147" s="1196">
        <v>785176457.23389339</v>
      </c>
      <c r="P147" s="1194">
        <v>31</v>
      </c>
      <c r="Q147" s="1195">
        <f t="shared" si="77"/>
        <v>20000386.338743404</v>
      </c>
      <c r="R147" s="1195">
        <f t="shared" si="75"/>
        <v>412911201.83212274</v>
      </c>
      <c r="S147" s="1195">
        <f t="shared" si="76"/>
        <v>765176070.89514995</v>
      </c>
      <c r="T147" s="1194"/>
      <c r="U147" s="1194" t="s">
        <v>1103</v>
      </c>
      <c r="V147" s="1201" t="s">
        <v>1043</v>
      </c>
      <c r="W147" s="1197"/>
      <c r="X147" s="1197"/>
      <c r="Y147" s="1197">
        <v>627</v>
      </c>
      <c r="Z147" s="1197" t="s">
        <v>809</v>
      </c>
      <c r="AA147" s="1197"/>
      <c r="AB147" s="1202">
        <v>20000386.338743404</v>
      </c>
      <c r="AC147" s="1202">
        <v>18064865.080155335</v>
      </c>
      <c r="AD147" s="1202">
        <v>20000386.338743404</v>
      </c>
      <c r="AE147" s="1202">
        <v>19355212.585880715</v>
      </c>
      <c r="AF147" s="1202">
        <v>20000386.338743404</v>
      </c>
      <c r="AG147" s="1202">
        <v>19355212.585880715</v>
      </c>
      <c r="AH147" s="1202">
        <v>20000386.338743404</v>
      </c>
      <c r="AI147" s="1202">
        <v>20000386.338743404</v>
      </c>
      <c r="AJ147" s="1202">
        <v>19355212.585880715</v>
      </c>
      <c r="AK147" s="1202">
        <v>20000386.338743404</v>
      </c>
      <c r="AL147" s="1202">
        <v>19355212.585880715</v>
      </c>
      <c r="AM147" s="1202">
        <v>20000386.338743404</v>
      </c>
      <c r="AN147" s="1197"/>
      <c r="AO147" s="1197">
        <v>641</v>
      </c>
      <c r="AP147" s="1197" t="s">
        <v>1357</v>
      </c>
      <c r="AQ147" s="1253" t="s">
        <v>809</v>
      </c>
      <c r="AR147" s="1201">
        <f t="shared" si="60"/>
        <v>0</v>
      </c>
      <c r="AS147" s="1198">
        <f t="shared" si="61"/>
        <v>765176070.89514995</v>
      </c>
      <c r="AT147" s="1198">
        <f t="shared" si="62"/>
        <v>235617454.54545456</v>
      </c>
      <c r="AU147" s="1201">
        <f t="shared" si="63"/>
        <v>235488419.79488206</v>
      </c>
      <c r="AV147" s="1198">
        <f t="shared" si="64"/>
        <v>235617454.54545456</v>
      </c>
      <c r="AW147" s="1198">
        <f t="shared" si="65"/>
        <v>235617454.54545456</v>
      </c>
      <c r="AX147" s="1198">
        <f t="shared" si="66"/>
        <v>235617454.54545456</v>
      </c>
      <c r="AY147" s="1198">
        <f t="shared" si="67"/>
        <v>58323707.258786201</v>
      </c>
      <c r="AZ147" s="1198">
        <f t="shared" si="68"/>
        <v>0</v>
      </c>
      <c r="BA147" s="1198">
        <f t="shared" si="69"/>
        <v>0</v>
      </c>
      <c r="BB147" s="1198">
        <f t="shared" si="70"/>
        <v>0</v>
      </c>
      <c r="BC147" s="1198">
        <f t="shared" si="71"/>
        <v>0</v>
      </c>
      <c r="BD147" s="1198">
        <f t="shared" si="72"/>
        <v>0</v>
      </c>
      <c r="BE147" s="1198">
        <f t="shared" si="73"/>
        <v>0</v>
      </c>
    </row>
    <row r="148" spans="2:57" x14ac:dyDescent="0.25">
      <c r="B148" s="1221">
        <v>144</v>
      </c>
      <c r="C148" s="1193" t="s">
        <v>1224</v>
      </c>
      <c r="D148" s="1194" t="s">
        <v>1225</v>
      </c>
      <c r="E148" s="1199">
        <v>44652</v>
      </c>
      <c r="F148" s="1199">
        <v>44652</v>
      </c>
      <c r="G148" s="1194">
        <v>1</v>
      </c>
      <c r="H148" s="1199">
        <v>46478</v>
      </c>
      <c r="I148" s="1183">
        <v>1178087272.7272727</v>
      </c>
      <c r="J148" s="1183">
        <v>1178087272.7272727</v>
      </c>
      <c r="K148" s="1194">
        <f t="shared" si="53"/>
        <v>60</v>
      </c>
      <c r="L148" s="1194">
        <f t="shared" si="54"/>
        <v>1826</v>
      </c>
      <c r="M148" s="1195">
        <f t="shared" si="59"/>
        <v>19634787.878787879</v>
      </c>
      <c r="N148" s="1195">
        <f t="shared" si="74"/>
        <v>645173.75286269048</v>
      </c>
      <c r="O148" s="1196">
        <v>785176457.23389339</v>
      </c>
      <c r="P148" s="1194">
        <v>31</v>
      </c>
      <c r="Q148" s="1195">
        <f t="shared" si="77"/>
        <v>20000386.338743404</v>
      </c>
      <c r="R148" s="1195">
        <f t="shared" si="75"/>
        <v>412911201.83212274</v>
      </c>
      <c r="S148" s="1195">
        <f t="shared" si="76"/>
        <v>765176070.89514995</v>
      </c>
      <c r="T148" s="1194">
        <v>2</v>
      </c>
      <c r="U148" s="1194" t="s">
        <v>1103</v>
      </c>
      <c r="V148" s="1201" t="s">
        <v>1043</v>
      </c>
      <c r="W148" s="1197"/>
      <c r="X148" s="1197"/>
      <c r="Y148" s="1197">
        <v>627</v>
      </c>
      <c r="Z148" s="1197" t="s">
        <v>809</v>
      </c>
      <c r="AA148" s="1197"/>
      <c r="AB148" s="1202">
        <v>20000386.338743404</v>
      </c>
      <c r="AC148" s="1202">
        <v>18064865.080155335</v>
      </c>
      <c r="AD148" s="1202">
        <v>20000386.338743404</v>
      </c>
      <c r="AE148" s="1202">
        <v>19355212.585880715</v>
      </c>
      <c r="AF148" s="1202">
        <v>20000386.338743404</v>
      </c>
      <c r="AG148" s="1202">
        <v>19355212.585880715</v>
      </c>
      <c r="AH148" s="1202">
        <v>20000386.338743404</v>
      </c>
      <c r="AI148" s="1202">
        <v>20000386.338743404</v>
      </c>
      <c r="AJ148" s="1202">
        <v>19355212.585880715</v>
      </c>
      <c r="AK148" s="1202">
        <v>20000386.338743404</v>
      </c>
      <c r="AL148" s="1202">
        <v>19355212.585880715</v>
      </c>
      <c r="AM148" s="1202">
        <v>20000386.338743404</v>
      </c>
      <c r="AN148" s="1197"/>
      <c r="AO148" s="1197">
        <v>641</v>
      </c>
      <c r="AP148" s="1197" t="s">
        <v>1357</v>
      </c>
      <c r="AQ148" s="1253" t="s">
        <v>809</v>
      </c>
      <c r="AR148" s="1201">
        <f t="shared" si="60"/>
        <v>0</v>
      </c>
      <c r="AS148" s="1198">
        <f t="shared" si="61"/>
        <v>765176070.89514995</v>
      </c>
      <c r="AT148" s="1198">
        <f t="shared" si="62"/>
        <v>235617454.54545456</v>
      </c>
      <c r="AU148" s="1201">
        <f t="shared" si="63"/>
        <v>235488419.79488206</v>
      </c>
      <c r="AV148" s="1198">
        <f t="shared" si="64"/>
        <v>235617454.54545456</v>
      </c>
      <c r="AW148" s="1198">
        <f t="shared" si="65"/>
        <v>235617454.54545456</v>
      </c>
      <c r="AX148" s="1198">
        <f t="shared" si="66"/>
        <v>235617454.54545456</v>
      </c>
      <c r="AY148" s="1198">
        <f t="shared" si="67"/>
        <v>58323707.258786201</v>
      </c>
      <c r="AZ148" s="1198">
        <f t="shared" si="68"/>
        <v>0</v>
      </c>
      <c r="BA148" s="1198">
        <f t="shared" si="69"/>
        <v>0</v>
      </c>
      <c r="BB148" s="1198">
        <f t="shared" si="70"/>
        <v>0</v>
      </c>
      <c r="BC148" s="1198">
        <f t="shared" si="71"/>
        <v>0</v>
      </c>
      <c r="BD148" s="1198">
        <f t="shared" si="72"/>
        <v>0</v>
      </c>
      <c r="BE148" s="1198">
        <f t="shared" si="73"/>
        <v>0</v>
      </c>
    </row>
    <row r="149" spans="2:57" x14ac:dyDescent="0.25">
      <c r="B149" s="1221">
        <v>145</v>
      </c>
      <c r="C149" s="1193" t="s">
        <v>1226</v>
      </c>
      <c r="D149" s="1194" t="s">
        <v>1227</v>
      </c>
      <c r="E149" s="1199">
        <v>44652</v>
      </c>
      <c r="F149" s="1199">
        <v>44652</v>
      </c>
      <c r="G149" s="1194">
        <v>1</v>
      </c>
      <c r="H149" s="1199">
        <v>46478</v>
      </c>
      <c r="I149" s="1183">
        <v>1178087272.7272727</v>
      </c>
      <c r="J149" s="1183">
        <v>1178087272.7272727</v>
      </c>
      <c r="K149" s="1194">
        <f t="shared" si="53"/>
        <v>60</v>
      </c>
      <c r="L149" s="1194">
        <f t="shared" si="54"/>
        <v>1826</v>
      </c>
      <c r="M149" s="1195">
        <f t="shared" si="59"/>
        <v>19634787.878787879</v>
      </c>
      <c r="N149" s="1195">
        <f t="shared" si="74"/>
        <v>645173.75286269048</v>
      </c>
      <c r="O149" s="1196">
        <v>785176457.23389339</v>
      </c>
      <c r="P149" s="1194">
        <v>31</v>
      </c>
      <c r="Q149" s="1195">
        <f t="shared" si="77"/>
        <v>20000386.338743404</v>
      </c>
      <c r="R149" s="1195">
        <f t="shared" si="75"/>
        <v>412911201.83212274</v>
      </c>
      <c r="S149" s="1195">
        <f t="shared" si="76"/>
        <v>765176070.89514995</v>
      </c>
      <c r="T149" s="1194"/>
      <c r="U149" s="1194" t="s">
        <v>1103</v>
      </c>
      <c r="V149" s="1201" t="s">
        <v>1043</v>
      </c>
      <c r="W149" s="1197"/>
      <c r="X149" s="1197"/>
      <c r="Y149" s="1197">
        <v>627</v>
      </c>
      <c r="Z149" s="1197" t="s">
        <v>809</v>
      </c>
      <c r="AA149" s="1197"/>
      <c r="AB149" s="1202">
        <v>20000386.338743404</v>
      </c>
      <c r="AC149" s="1202">
        <v>18064865.080155335</v>
      </c>
      <c r="AD149" s="1202">
        <v>20000386.338743404</v>
      </c>
      <c r="AE149" s="1202">
        <v>19355212.585880715</v>
      </c>
      <c r="AF149" s="1202">
        <v>20000386.338743404</v>
      </c>
      <c r="AG149" s="1202">
        <v>19355212.585880715</v>
      </c>
      <c r="AH149" s="1202">
        <v>20000386.338743404</v>
      </c>
      <c r="AI149" s="1202">
        <v>20000386.338743404</v>
      </c>
      <c r="AJ149" s="1202">
        <v>19355212.585880715</v>
      </c>
      <c r="AK149" s="1202">
        <v>20000386.338743404</v>
      </c>
      <c r="AL149" s="1202">
        <v>19355212.585880715</v>
      </c>
      <c r="AM149" s="1202">
        <v>20000386.338743404</v>
      </c>
      <c r="AN149" s="1197"/>
      <c r="AO149" s="1197">
        <v>641</v>
      </c>
      <c r="AP149" s="1197" t="s">
        <v>1357</v>
      </c>
      <c r="AQ149" s="1253" t="s">
        <v>809</v>
      </c>
      <c r="AR149" s="1201">
        <f t="shared" si="60"/>
        <v>0</v>
      </c>
      <c r="AS149" s="1198">
        <f t="shared" si="61"/>
        <v>765176070.89514995</v>
      </c>
      <c r="AT149" s="1198">
        <f t="shared" si="62"/>
        <v>235617454.54545456</v>
      </c>
      <c r="AU149" s="1201">
        <f t="shared" si="63"/>
        <v>235488419.79488206</v>
      </c>
      <c r="AV149" s="1198">
        <f t="shared" si="64"/>
        <v>235617454.54545456</v>
      </c>
      <c r="AW149" s="1198">
        <f t="shared" si="65"/>
        <v>235617454.54545456</v>
      </c>
      <c r="AX149" s="1198">
        <f t="shared" si="66"/>
        <v>235617454.54545456</v>
      </c>
      <c r="AY149" s="1198">
        <f t="shared" si="67"/>
        <v>58323707.258786201</v>
      </c>
      <c r="AZ149" s="1198">
        <f t="shared" si="68"/>
        <v>0</v>
      </c>
      <c r="BA149" s="1198">
        <f t="shared" si="69"/>
        <v>0</v>
      </c>
      <c r="BB149" s="1198">
        <f t="shared" si="70"/>
        <v>0</v>
      </c>
      <c r="BC149" s="1198">
        <f t="shared" si="71"/>
        <v>0</v>
      </c>
      <c r="BD149" s="1198">
        <f t="shared" si="72"/>
        <v>0</v>
      </c>
      <c r="BE149" s="1198">
        <f t="shared" si="73"/>
        <v>0</v>
      </c>
    </row>
    <row r="150" spans="2:57" x14ac:dyDescent="0.25">
      <c r="B150" s="1221">
        <v>146</v>
      </c>
      <c r="C150" s="1203" t="s">
        <v>1228</v>
      </c>
      <c r="D150" s="1194" t="s">
        <v>1229</v>
      </c>
      <c r="E150" s="1199">
        <v>44652</v>
      </c>
      <c r="F150" s="1199">
        <v>44652</v>
      </c>
      <c r="G150" s="1194">
        <v>1</v>
      </c>
      <c r="H150" s="1199">
        <v>46478</v>
      </c>
      <c r="I150" s="1183">
        <v>1178087272.7272727</v>
      </c>
      <c r="J150" s="1183">
        <v>1178087272.7272727</v>
      </c>
      <c r="K150" s="1194">
        <f t="shared" si="53"/>
        <v>60</v>
      </c>
      <c r="L150" s="1194">
        <f t="shared" si="54"/>
        <v>1826</v>
      </c>
      <c r="M150" s="1195">
        <f t="shared" si="59"/>
        <v>19634787.878787879</v>
      </c>
      <c r="N150" s="1195">
        <f t="shared" si="74"/>
        <v>645173.75286269048</v>
      </c>
      <c r="O150" s="1196">
        <v>785176457.23389339</v>
      </c>
      <c r="P150" s="1194">
        <v>31</v>
      </c>
      <c r="Q150" s="1195">
        <f t="shared" si="77"/>
        <v>20000386.338743404</v>
      </c>
      <c r="R150" s="1195">
        <f t="shared" si="75"/>
        <v>412911201.83212274</v>
      </c>
      <c r="S150" s="1195">
        <f t="shared" si="76"/>
        <v>765176070.89514995</v>
      </c>
      <c r="T150" s="1194"/>
      <c r="U150" s="1194" t="s">
        <v>1103</v>
      </c>
      <c r="V150" s="1201" t="s">
        <v>1043</v>
      </c>
      <c r="W150" s="1197"/>
      <c r="X150" s="1197"/>
      <c r="Y150" s="1197">
        <v>627</v>
      </c>
      <c r="Z150" s="1197" t="s">
        <v>809</v>
      </c>
      <c r="AA150" s="1197"/>
      <c r="AB150" s="1202">
        <v>20000386.338743404</v>
      </c>
      <c r="AC150" s="1202">
        <v>18064865.080155335</v>
      </c>
      <c r="AD150" s="1202">
        <v>20000386.338743404</v>
      </c>
      <c r="AE150" s="1202">
        <v>19355212.585880715</v>
      </c>
      <c r="AF150" s="1202">
        <v>20000386.338743404</v>
      </c>
      <c r="AG150" s="1202">
        <v>19355212.585880715</v>
      </c>
      <c r="AH150" s="1202">
        <v>20000386.338743404</v>
      </c>
      <c r="AI150" s="1202">
        <v>20000386.338743404</v>
      </c>
      <c r="AJ150" s="1202">
        <v>19355212.585880715</v>
      </c>
      <c r="AK150" s="1202">
        <v>20000386.338743404</v>
      </c>
      <c r="AL150" s="1202">
        <v>19355212.585880715</v>
      </c>
      <c r="AM150" s="1202">
        <v>20000386.338743404</v>
      </c>
      <c r="AN150" s="1197"/>
      <c r="AO150" s="1197">
        <v>641</v>
      </c>
      <c r="AP150" s="1197" t="s">
        <v>1357</v>
      </c>
      <c r="AQ150" s="1253" t="s">
        <v>809</v>
      </c>
      <c r="AR150" s="1201">
        <f t="shared" si="60"/>
        <v>0</v>
      </c>
      <c r="AS150" s="1198">
        <f t="shared" si="61"/>
        <v>765176070.89514995</v>
      </c>
      <c r="AT150" s="1198">
        <f t="shared" si="62"/>
        <v>235617454.54545456</v>
      </c>
      <c r="AU150" s="1201">
        <f t="shared" si="63"/>
        <v>235488419.79488206</v>
      </c>
      <c r="AV150" s="1198">
        <f t="shared" si="64"/>
        <v>235617454.54545456</v>
      </c>
      <c r="AW150" s="1198">
        <f t="shared" si="65"/>
        <v>235617454.54545456</v>
      </c>
      <c r="AX150" s="1198">
        <f t="shared" si="66"/>
        <v>235617454.54545456</v>
      </c>
      <c r="AY150" s="1198">
        <f t="shared" si="67"/>
        <v>58323707.258786201</v>
      </c>
      <c r="AZ150" s="1198">
        <f t="shared" si="68"/>
        <v>0</v>
      </c>
      <c r="BA150" s="1198">
        <f t="shared" si="69"/>
        <v>0</v>
      </c>
      <c r="BB150" s="1198">
        <f t="shared" si="70"/>
        <v>0</v>
      </c>
      <c r="BC150" s="1198">
        <f t="shared" si="71"/>
        <v>0</v>
      </c>
      <c r="BD150" s="1198">
        <f t="shared" si="72"/>
        <v>0</v>
      </c>
      <c r="BE150" s="1198">
        <f t="shared" si="73"/>
        <v>0</v>
      </c>
    </row>
    <row r="151" spans="2:57" x14ac:dyDescent="0.25">
      <c r="B151" s="1221">
        <v>147</v>
      </c>
      <c r="C151" s="1193" t="s">
        <v>1230</v>
      </c>
      <c r="D151" s="1194" t="s">
        <v>1231</v>
      </c>
      <c r="E151" s="1199">
        <v>44652</v>
      </c>
      <c r="F151" s="1199">
        <v>44652</v>
      </c>
      <c r="G151" s="1194">
        <v>1</v>
      </c>
      <c r="H151" s="1199">
        <v>46478</v>
      </c>
      <c r="I151" s="1183">
        <v>1068454545.4545454</v>
      </c>
      <c r="J151" s="1183">
        <v>1068454545.4545454</v>
      </c>
      <c r="K151" s="1194">
        <f t="shared" si="53"/>
        <v>60</v>
      </c>
      <c r="L151" s="1194">
        <f t="shared" si="54"/>
        <v>1826</v>
      </c>
      <c r="M151" s="1195">
        <f t="shared" si="59"/>
        <v>17807575.757575758</v>
      </c>
      <c r="N151" s="1195">
        <f t="shared" si="74"/>
        <v>585133.92412625707</v>
      </c>
      <c r="O151" s="1196">
        <v>712107985.66165495</v>
      </c>
      <c r="P151" s="1194">
        <v>31</v>
      </c>
      <c r="Q151" s="1195">
        <f t="shared" si="77"/>
        <v>18139151.64791397</v>
      </c>
      <c r="R151" s="1195">
        <f t="shared" si="75"/>
        <v>374485711.44080442</v>
      </c>
      <c r="S151" s="1195">
        <f t="shared" si="76"/>
        <v>693968834.01374102</v>
      </c>
      <c r="T151" s="1194" t="s">
        <v>1385</v>
      </c>
      <c r="U151" s="1194" t="s">
        <v>1385</v>
      </c>
      <c r="V151" s="1201" t="s">
        <v>1043</v>
      </c>
      <c r="W151" s="1197"/>
      <c r="X151" s="1197"/>
      <c r="Y151" s="1197">
        <v>627</v>
      </c>
      <c r="Z151" s="1197" t="s">
        <v>1382</v>
      </c>
      <c r="AA151" s="1197"/>
      <c r="AB151" s="1202">
        <v>18139151.64791397</v>
      </c>
      <c r="AC151" s="1202">
        <v>16383749.875535198</v>
      </c>
      <c r="AD151" s="1202">
        <v>18139151.64791397</v>
      </c>
      <c r="AE151" s="1202">
        <v>17554017.723787714</v>
      </c>
      <c r="AF151" s="1202">
        <v>18139151.64791397</v>
      </c>
      <c r="AG151" s="1202">
        <v>17554017.723787714</v>
      </c>
      <c r="AH151" s="1202">
        <v>18139151.64791397</v>
      </c>
      <c r="AI151" s="1202">
        <v>18139151.64791397</v>
      </c>
      <c r="AJ151" s="1202">
        <v>17554017.723787714</v>
      </c>
      <c r="AK151" s="1202">
        <v>18139151.64791397</v>
      </c>
      <c r="AL151" s="1202">
        <v>17554017.723787714</v>
      </c>
      <c r="AM151" s="1202">
        <v>18139151.64791397</v>
      </c>
      <c r="AN151" s="1197"/>
      <c r="AO151" s="1197">
        <v>627</v>
      </c>
      <c r="AP151" s="1197" t="s">
        <v>732</v>
      </c>
      <c r="AQ151" s="1197" t="s">
        <v>1383</v>
      </c>
      <c r="AR151" s="1201">
        <f t="shared" si="60"/>
        <v>0</v>
      </c>
      <c r="AS151" s="1198">
        <f t="shared" si="61"/>
        <v>693968834.01374102</v>
      </c>
      <c r="AT151" s="1198">
        <f t="shared" si="62"/>
        <v>213690909.09090909</v>
      </c>
      <c r="AU151" s="1201">
        <f t="shared" si="63"/>
        <v>213573882.30608386</v>
      </c>
      <c r="AV151" s="1198">
        <f t="shared" si="64"/>
        <v>213690909.09090909</v>
      </c>
      <c r="AW151" s="1198">
        <f t="shared" si="65"/>
        <v>213690909.09090909</v>
      </c>
      <c r="AX151" s="1198">
        <f t="shared" si="66"/>
        <v>213690909.09090909</v>
      </c>
      <c r="AY151" s="1198">
        <f t="shared" si="67"/>
        <v>52896106.741013765</v>
      </c>
      <c r="AZ151" s="1198">
        <f t="shared" si="68"/>
        <v>0</v>
      </c>
      <c r="BA151" s="1198">
        <f t="shared" si="69"/>
        <v>0</v>
      </c>
      <c r="BB151" s="1198">
        <f t="shared" si="70"/>
        <v>0</v>
      </c>
      <c r="BC151" s="1198">
        <f t="shared" si="71"/>
        <v>0</v>
      </c>
      <c r="BD151" s="1198">
        <f t="shared" si="72"/>
        <v>0</v>
      </c>
      <c r="BE151" s="1198">
        <f t="shared" si="73"/>
        <v>0</v>
      </c>
    </row>
    <row r="152" spans="2:57" x14ac:dyDescent="0.25">
      <c r="B152" s="1221">
        <v>148</v>
      </c>
      <c r="C152" s="1193" t="s">
        <v>1232</v>
      </c>
      <c r="D152" s="1194" t="s">
        <v>1233</v>
      </c>
      <c r="E152" s="1199">
        <v>44652</v>
      </c>
      <c r="F152" s="1199">
        <v>44652</v>
      </c>
      <c r="G152" s="1194">
        <v>1</v>
      </c>
      <c r="H152" s="1199">
        <v>46478</v>
      </c>
      <c r="I152" s="1183">
        <v>1068454545.4545454</v>
      </c>
      <c r="J152" s="1183">
        <v>1068454545.4545454</v>
      </c>
      <c r="K152" s="1194">
        <f t="shared" si="53"/>
        <v>60</v>
      </c>
      <c r="L152" s="1194">
        <f t="shared" si="54"/>
        <v>1826</v>
      </c>
      <c r="M152" s="1195">
        <f t="shared" si="59"/>
        <v>17807575.757575758</v>
      </c>
      <c r="N152" s="1195">
        <f t="shared" si="74"/>
        <v>585133.92412625707</v>
      </c>
      <c r="O152" s="1196">
        <v>712107985.66165495</v>
      </c>
      <c r="P152" s="1194">
        <v>31</v>
      </c>
      <c r="Q152" s="1195">
        <f t="shared" si="77"/>
        <v>18139151.64791397</v>
      </c>
      <c r="R152" s="1195">
        <f t="shared" si="75"/>
        <v>374485711.44080442</v>
      </c>
      <c r="S152" s="1195">
        <f t="shared" si="76"/>
        <v>693968834.01374102</v>
      </c>
      <c r="T152" s="1194" t="s">
        <v>1071</v>
      </c>
      <c r="U152" s="1194" t="s">
        <v>1145</v>
      </c>
      <c r="V152" s="1201" t="s">
        <v>1234</v>
      </c>
      <c r="W152" s="1201" t="s">
        <v>1234</v>
      </c>
      <c r="X152" s="1197"/>
      <c r="Y152" s="1197">
        <v>627</v>
      </c>
      <c r="Z152" s="1197" t="s">
        <v>809</v>
      </c>
      <c r="AA152" s="1197"/>
      <c r="AB152" s="1202">
        <v>18139151.64791397</v>
      </c>
      <c r="AC152" s="1202">
        <v>16383749.875535198</v>
      </c>
      <c r="AD152" s="1202">
        <v>18139151.64791397</v>
      </c>
      <c r="AE152" s="1202">
        <v>17554017.723787714</v>
      </c>
      <c r="AF152" s="1202">
        <v>18139151.64791397</v>
      </c>
      <c r="AG152" s="1202">
        <v>17554017.723787714</v>
      </c>
      <c r="AH152" s="1202">
        <v>18139151.64791397</v>
      </c>
      <c r="AI152" s="1202">
        <v>18139151.64791397</v>
      </c>
      <c r="AJ152" s="1202">
        <v>17554017.723787714</v>
      </c>
      <c r="AK152" s="1202">
        <v>18139151.64791397</v>
      </c>
      <c r="AL152" s="1202">
        <v>17554017.723787714</v>
      </c>
      <c r="AM152" s="1202">
        <v>18139151.64791397</v>
      </c>
      <c r="AN152" s="1197"/>
      <c r="AO152" s="1197">
        <v>627</v>
      </c>
      <c r="AP152" s="1197" t="s">
        <v>732</v>
      </c>
      <c r="AQ152" s="1197" t="s">
        <v>1360</v>
      </c>
      <c r="AR152" s="1201">
        <f t="shared" si="60"/>
        <v>0</v>
      </c>
      <c r="AS152" s="1198">
        <f t="shared" si="61"/>
        <v>693968834.01374102</v>
      </c>
      <c r="AT152" s="1198">
        <f t="shared" si="62"/>
        <v>213690909.09090909</v>
      </c>
      <c r="AU152" s="1201">
        <f t="shared" si="63"/>
        <v>213573882.30608386</v>
      </c>
      <c r="AV152" s="1198">
        <f t="shared" si="64"/>
        <v>213690909.09090909</v>
      </c>
      <c r="AW152" s="1198">
        <f t="shared" si="65"/>
        <v>213690909.09090909</v>
      </c>
      <c r="AX152" s="1198">
        <f t="shared" si="66"/>
        <v>213690909.09090909</v>
      </c>
      <c r="AY152" s="1198">
        <f t="shared" si="67"/>
        <v>52896106.741013765</v>
      </c>
      <c r="AZ152" s="1198">
        <f t="shared" si="68"/>
        <v>0</v>
      </c>
      <c r="BA152" s="1198">
        <f t="shared" si="69"/>
        <v>0</v>
      </c>
      <c r="BB152" s="1198">
        <f t="shared" si="70"/>
        <v>0</v>
      </c>
      <c r="BC152" s="1198">
        <f t="shared" si="71"/>
        <v>0</v>
      </c>
      <c r="BD152" s="1198">
        <f t="shared" si="72"/>
        <v>0</v>
      </c>
      <c r="BE152" s="1198">
        <f t="shared" si="73"/>
        <v>0</v>
      </c>
    </row>
    <row r="153" spans="2:57" x14ac:dyDescent="0.25">
      <c r="B153" s="1221">
        <v>149</v>
      </c>
      <c r="C153" s="1187" t="s">
        <v>1235</v>
      </c>
      <c r="D153" s="1194" t="s">
        <v>1236</v>
      </c>
      <c r="E153" s="1199">
        <v>44682</v>
      </c>
      <c r="F153" s="1199">
        <v>44682</v>
      </c>
      <c r="G153" s="1194">
        <v>1</v>
      </c>
      <c r="H153" s="1199">
        <v>46508</v>
      </c>
      <c r="I153" s="1183">
        <v>6350000000</v>
      </c>
      <c r="J153" s="1183">
        <v>6350000000</v>
      </c>
      <c r="K153" s="1194">
        <f t="shared" si="53"/>
        <v>60</v>
      </c>
      <c r="L153" s="1194">
        <f t="shared" si="54"/>
        <v>1826</v>
      </c>
      <c r="M153" s="1195">
        <f t="shared" si="59"/>
        <v>105833333.33333333</v>
      </c>
      <c r="N153" s="1195">
        <f t="shared" si="74"/>
        <v>3477546.5498357066</v>
      </c>
      <c r="O153" s="1196">
        <v>4336500547.6451273</v>
      </c>
      <c r="P153" s="1194">
        <v>31</v>
      </c>
      <c r="Q153" s="1195">
        <f t="shared" si="77"/>
        <v>107803943.0449069</v>
      </c>
      <c r="R153" s="1195">
        <f t="shared" si="75"/>
        <v>2121303395.3997796</v>
      </c>
      <c r="S153" s="1195">
        <f t="shared" si="76"/>
        <v>4228696604.6002207</v>
      </c>
      <c r="T153" s="1194">
        <v>5</v>
      </c>
      <c r="U153" s="1194" t="s">
        <v>1047</v>
      </c>
      <c r="V153" s="1201" t="s">
        <v>1043</v>
      </c>
      <c r="W153" s="1197"/>
      <c r="X153" s="1197"/>
      <c r="Y153" s="1197">
        <v>627</v>
      </c>
      <c r="Z153" s="1197" t="s">
        <v>809</v>
      </c>
      <c r="AA153" s="1197"/>
      <c r="AB153" s="1202">
        <v>107803943.0449069</v>
      </c>
      <c r="AC153" s="1202">
        <v>97371303.395399779</v>
      </c>
      <c r="AD153" s="1202">
        <v>107803943.0449069</v>
      </c>
      <c r="AE153" s="1202">
        <v>104326396.4950712</v>
      </c>
      <c r="AF153" s="1202">
        <v>107803943.0449069</v>
      </c>
      <c r="AG153" s="1202">
        <v>104326396.4950712</v>
      </c>
      <c r="AH153" s="1202">
        <v>107803943.0449069</v>
      </c>
      <c r="AI153" s="1202">
        <v>107803943.0449069</v>
      </c>
      <c r="AJ153" s="1202">
        <v>104326396.4950712</v>
      </c>
      <c r="AK153" s="1202">
        <v>107803943.0449069</v>
      </c>
      <c r="AL153" s="1202">
        <v>104326396.4950712</v>
      </c>
      <c r="AM153" s="1202">
        <v>107803943.0449069</v>
      </c>
      <c r="AN153" s="1197"/>
      <c r="AO153" s="1197">
        <v>641</v>
      </c>
      <c r="AP153" s="1197" t="s">
        <v>1357</v>
      </c>
      <c r="AQ153" s="1253" t="s">
        <v>809</v>
      </c>
      <c r="AR153" s="1201">
        <f t="shared" si="60"/>
        <v>0</v>
      </c>
      <c r="AS153" s="1198">
        <f t="shared" si="61"/>
        <v>4228696604.6002207</v>
      </c>
      <c r="AT153" s="1198">
        <f t="shared" si="62"/>
        <v>1270000000</v>
      </c>
      <c r="AU153" s="1201">
        <f t="shared" si="63"/>
        <v>1269304490.6900327</v>
      </c>
      <c r="AV153" s="1198">
        <f t="shared" si="64"/>
        <v>1270000000</v>
      </c>
      <c r="AW153" s="1198">
        <f t="shared" si="65"/>
        <v>1270000000</v>
      </c>
      <c r="AX153" s="1198">
        <f t="shared" si="66"/>
        <v>1270000000</v>
      </c>
      <c r="AY153" s="1198">
        <f t="shared" si="67"/>
        <v>418696604.60022068</v>
      </c>
      <c r="AZ153" s="1198">
        <f t="shared" si="68"/>
        <v>0</v>
      </c>
      <c r="BA153" s="1198">
        <f t="shared" si="69"/>
        <v>0</v>
      </c>
      <c r="BB153" s="1198">
        <f t="shared" si="70"/>
        <v>0</v>
      </c>
      <c r="BC153" s="1198">
        <f t="shared" si="71"/>
        <v>0</v>
      </c>
      <c r="BD153" s="1198">
        <f t="shared" si="72"/>
        <v>0</v>
      </c>
      <c r="BE153" s="1198">
        <f t="shared" si="73"/>
        <v>0</v>
      </c>
    </row>
    <row r="154" spans="2:57" x14ac:dyDescent="0.25">
      <c r="B154" s="1221">
        <v>150</v>
      </c>
      <c r="C154" s="1193" t="s">
        <v>1237</v>
      </c>
      <c r="D154" s="1194" t="s">
        <v>1238</v>
      </c>
      <c r="E154" s="1199">
        <v>44682</v>
      </c>
      <c r="F154" s="1199">
        <v>44682</v>
      </c>
      <c r="G154" s="1194">
        <v>1</v>
      </c>
      <c r="H154" s="1199">
        <v>46508</v>
      </c>
      <c r="I154" s="1183">
        <v>4700000000</v>
      </c>
      <c r="J154" s="1183">
        <v>4700000000</v>
      </c>
      <c r="K154" s="1194">
        <f t="shared" si="53"/>
        <v>60</v>
      </c>
      <c r="L154" s="1194">
        <f t="shared" si="54"/>
        <v>1826</v>
      </c>
      <c r="M154" s="1195">
        <f t="shared" si="59"/>
        <v>78333333.333333328</v>
      </c>
      <c r="N154" s="1195">
        <f t="shared" si="74"/>
        <v>2573932.0920043811</v>
      </c>
      <c r="O154" s="1196">
        <v>3209693318.7294641</v>
      </c>
      <c r="P154" s="1194">
        <v>31</v>
      </c>
      <c r="Q154" s="1195">
        <f t="shared" si="77"/>
        <v>79791894.852135807</v>
      </c>
      <c r="R154" s="1195">
        <f t="shared" si="75"/>
        <v>1570098576.1226718</v>
      </c>
      <c r="S154" s="1195">
        <f t="shared" si="76"/>
        <v>3129901423.8773279</v>
      </c>
      <c r="T154" s="1194">
        <v>5</v>
      </c>
      <c r="U154" s="1194" t="s">
        <v>1047</v>
      </c>
      <c r="V154" s="1201" t="s">
        <v>1043</v>
      </c>
      <c r="W154" s="1197"/>
      <c r="X154" s="1197"/>
      <c r="Y154" s="1197">
        <v>627</v>
      </c>
      <c r="Z154" s="1197" t="s">
        <v>809</v>
      </c>
      <c r="AA154" s="1197"/>
      <c r="AB154" s="1202">
        <v>79791894.852135807</v>
      </c>
      <c r="AC154" s="1202">
        <v>72070098.576122671</v>
      </c>
      <c r="AD154" s="1202">
        <v>79791894.852135807</v>
      </c>
      <c r="AE154" s="1202">
        <v>77217962.760131434</v>
      </c>
      <c r="AF154" s="1202">
        <v>79791894.852135807</v>
      </c>
      <c r="AG154" s="1202">
        <v>77217962.760131434</v>
      </c>
      <c r="AH154" s="1202">
        <v>79791894.852135807</v>
      </c>
      <c r="AI154" s="1202">
        <v>79791894.852135807</v>
      </c>
      <c r="AJ154" s="1202">
        <v>77217962.760131434</v>
      </c>
      <c r="AK154" s="1202">
        <v>79791894.852135807</v>
      </c>
      <c r="AL154" s="1202">
        <v>77217962.760131434</v>
      </c>
      <c r="AM154" s="1202">
        <v>79791894.852135807</v>
      </c>
      <c r="AN154" s="1197"/>
      <c r="AO154" s="1197">
        <v>641</v>
      </c>
      <c r="AP154" s="1197" t="s">
        <v>1357</v>
      </c>
      <c r="AQ154" s="1253" t="s">
        <v>809</v>
      </c>
      <c r="AR154" s="1201">
        <f t="shared" si="60"/>
        <v>0</v>
      </c>
      <c r="AS154" s="1198">
        <f t="shared" si="61"/>
        <v>3129901423.8773279</v>
      </c>
      <c r="AT154" s="1198">
        <f t="shared" si="62"/>
        <v>940000000</v>
      </c>
      <c r="AU154" s="1201">
        <f t="shared" si="63"/>
        <v>939485213.58159912</v>
      </c>
      <c r="AV154" s="1198">
        <f t="shared" si="64"/>
        <v>940000000</v>
      </c>
      <c r="AW154" s="1198">
        <f t="shared" si="65"/>
        <v>940000000</v>
      </c>
      <c r="AX154" s="1198">
        <f t="shared" si="66"/>
        <v>940000000</v>
      </c>
      <c r="AY154" s="1198">
        <f t="shared" si="67"/>
        <v>309901423.87732792</v>
      </c>
      <c r="AZ154" s="1198">
        <f t="shared" si="68"/>
        <v>0</v>
      </c>
      <c r="BA154" s="1198">
        <f t="shared" si="69"/>
        <v>0</v>
      </c>
      <c r="BB154" s="1198">
        <f t="shared" si="70"/>
        <v>0</v>
      </c>
      <c r="BC154" s="1198">
        <f t="shared" si="71"/>
        <v>0</v>
      </c>
      <c r="BD154" s="1198">
        <f t="shared" si="72"/>
        <v>0</v>
      </c>
      <c r="BE154" s="1198">
        <f t="shared" si="73"/>
        <v>0</v>
      </c>
    </row>
    <row r="155" spans="2:57" x14ac:dyDescent="0.25">
      <c r="B155" s="1221">
        <v>151</v>
      </c>
      <c r="C155" s="1193" t="s">
        <v>1239</v>
      </c>
      <c r="D155" s="1194" t="s">
        <v>1240</v>
      </c>
      <c r="E155" s="1199">
        <v>44682</v>
      </c>
      <c r="F155" s="1199">
        <v>44682</v>
      </c>
      <c r="G155" s="1194">
        <v>1</v>
      </c>
      <c r="H155" s="1199">
        <v>48335</v>
      </c>
      <c r="I155" s="1183">
        <v>2049692727</v>
      </c>
      <c r="J155" s="1183">
        <v>2049692727</v>
      </c>
      <c r="K155" s="1194">
        <f t="shared" si="53"/>
        <v>120</v>
      </c>
      <c r="L155" s="1194">
        <f t="shared" si="54"/>
        <v>3653</v>
      </c>
      <c r="M155" s="1195">
        <f t="shared" si="59"/>
        <v>17080772.725000001</v>
      </c>
      <c r="N155" s="1195">
        <f t="shared" si="74"/>
        <v>561098.47440459894</v>
      </c>
      <c r="O155" s="1196">
        <v>1724816710.3197384</v>
      </c>
      <c r="P155" s="1194">
        <v>31</v>
      </c>
      <c r="Q155" s="1195">
        <f t="shared" si="77"/>
        <v>17394052.706542566</v>
      </c>
      <c r="R155" s="1195">
        <f t="shared" si="75"/>
        <v>342270069.38680416</v>
      </c>
      <c r="S155" s="1195">
        <f t="shared" si="76"/>
        <v>1707422657.6131959</v>
      </c>
      <c r="T155" s="1194">
        <v>6</v>
      </c>
      <c r="U155" s="1194" t="s">
        <v>1095</v>
      </c>
      <c r="V155" s="1201" t="s">
        <v>1164</v>
      </c>
      <c r="W155" s="1197"/>
      <c r="X155" s="1197"/>
      <c r="Y155" s="1197">
        <v>627</v>
      </c>
      <c r="Z155" s="1197" t="s">
        <v>814</v>
      </c>
      <c r="AA155" s="1197"/>
      <c r="AB155" s="1202">
        <v>17394052.706542566</v>
      </c>
      <c r="AC155" s="1202">
        <v>15710757.28332877</v>
      </c>
      <c r="AD155" s="1202">
        <v>17394052.706542566</v>
      </c>
      <c r="AE155" s="1202">
        <v>16832954.232137967</v>
      </c>
      <c r="AF155" s="1202">
        <v>17394052.706542566</v>
      </c>
      <c r="AG155" s="1202">
        <v>16832954.232137967</v>
      </c>
      <c r="AH155" s="1202">
        <v>17394052.706542566</v>
      </c>
      <c r="AI155" s="1202">
        <v>17394052.706542566</v>
      </c>
      <c r="AJ155" s="1202">
        <v>16832954.232137967</v>
      </c>
      <c r="AK155" s="1202">
        <v>17394052.706542566</v>
      </c>
      <c r="AL155" s="1202">
        <v>16832954.232137967</v>
      </c>
      <c r="AM155" s="1202">
        <v>17394052.706542566</v>
      </c>
      <c r="AN155" s="1197"/>
      <c r="AO155" s="1197">
        <v>627</v>
      </c>
      <c r="AP155" s="1197" t="s">
        <v>732</v>
      </c>
      <c r="AQ155" s="1197" t="s">
        <v>814</v>
      </c>
      <c r="AR155" s="1201">
        <f t="shared" si="60"/>
        <v>0</v>
      </c>
      <c r="AS155" s="1198">
        <f t="shared" si="61"/>
        <v>1707422657.6131959</v>
      </c>
      <c r="AT155" s="1198">
        <f t="shared" si="62"/>
        <v>204969272.70000002</v>
      </c>
      <c r="AU155" s="1201">
        <f t="shared" si="63"/>
        <v>204800943.1576786</v>
      </c>
      <c r="AV155" s="1198">
        <f t="shared" si="64"/>
        <v>204969272.70000002</v>
      </c>
      <c r="AW155" s="1198">
        <f t="shared" si="65"/>
        <v>204969272.70000002</v>
      </c>
      <c r="AX155" s="1198">
        <f t="shared" si="66"/>
        <v>204969272.70000002</v>
      </c>
      <c r="AY155" s="1198">
        <f t="shared" si="67"/>
        <v>204969272.70000002</v>
      </c>
      <c r="AZ155" s="1198">
        <f t="shared" si="68"/>
        <v>204969272.70000002</v>
      </c>
      <c r="BA155" s="1198">
        <f t="shared" si="69"/>
        <v>204969272.70000002</v>
      </c>
      <c r="BB155" s="1198">
        <f t="shared" si="70"/>
        <v>204969272.70000002</v>
      </c>
      <c r="BC155" s="1198">
        <f t="shared" si="71"/>
        <v>204969272.70000002</v>
      </c>
      <c r="BD155" s="1198">
        <f t="shared" si="72"/>
        <v>67668476.013195753</v>
      </c>
      <c r="BE155" s="1198">
        <f t="shared" si="73"/>
        <v>0</v>
      </c>
    </row>
    <row r="156" spans="2:57" x14ac:dyDescent="0.25">
      <c r="B156" s="1221">
        <v>152</v>
      </c>
      <c r="C156" s="1187" t="s">
        <v>1241</v>
      </c>
      <c r="D156" s="1194" t="s">
        <v>1242</v>
      </c>
      <c r="E156" s="1199">
        <v>44743</v>
      </c>
      <c r="F156" s="1199">
        <v>44743</v>
      </c>
      <c r="G156" s="1194">
        <v>1</v>
      </c>
      <c r="H156" s="1199">
        <v>46569</v>
      </c>
      <c r="I156" s="1183">
        <v>721538181.81818175</v>
      </c>
      <c r="J156" s="1183">
        <v>721538181.81818175</v>
      </c>
      <c r="K156" s="1194">
        <f t="shared" si="53"/>
        <v>60</v>
      </c>
      <c r="L156" s="1194">
        <f t="shared" si="54"/>
        <v>1826</v>
      </c>
      <c r="M156" s="1195">
        <f t="shared" si="59"/>
        <v>12025636.363636363</v>
      </c>
      <c r="N156" s="1195">
        <f t="shared" si="74"/>
        <v>395146.86846559792</v>
      </c>
      <c r="O156" s="1196">
        <v>516852103.95300233</v>
      </c>
      <c r="P156" s="1194">
        <v>31</v>
      </c>
      <c r="Q156" s="1195">
        <f t="shared" si="77"/>
        <v>12249552.922433535</v>
      </c>
      <c r="R156" s="1195">
        <f t="shared" si="75"/>
        <v>216935630.78761294</v>
      </c>
      <c r="S156" s="1195">
        <f t="shared" si="76"/>
        <v>504602551.03056884</v>
      </c>
      <c r="T156" s="1194" t="s">
        <v>1071</v>
      </c>
      <c r="U156" s="1194" t="s">
        <v>1145</v>
      </c>
      <c r="V156" s="1201" t="s">
        <v>1043</v>
      </c>
      <c r="W156" s="1201" t="s">
        <v>1243</v>
      </c>
      <c r="X156" s="1197"/>
      <c r="Y156" s="1197">
        <v>642</v>
      </c>
      <c r="Z156" s="1197" t="s">
        <v>809</v>
      </c>
      <c r="AA156" s="1197"/>
      <c r="AB156" s="1202">
        <v>12249552.922433535</v>
      </c>
      <c r="AC156" s="1202">
        <v>11064112.317036742</v>
      </c>
      <c r="AD156" s="1202">
        <v>12249552.922433535</v>
      </c>
      <c r="AE156" s="1202">
        <v>11854406.053967938</v>
      </c>
      <c r="AF156" s="1202">
        <v>12249552.922433535</v>
      </c>
      <c r="AG156" s="1202">
        <v>11854406.053967938</v>
      </c>
      <c r="AH156" s="1202">
        <v>12249552.922433535</v>
      </c>
      <c r="AI156" s="1202">
        <v>12249552.922433535</v>
      </c>
      <c r="AJ156" s="1202">
        <v>11854406.053967938</v>
      </c>
      <c r="AK156" s="1202">
        <v>12249552.922433535</v>
      </c>
      <c r="AL156" s="1202">
        <v>11854406.053967938</v>
      </c>
      <c r="AM156" s="1202">
        <v>12249552.922433535</v>
      </c>
      <c r="AN156" s="1197"/>
      <c r="AO156" s="1197">
        <v>642</v>
      </c>
      <c r="AP156" s="1197" t="s">
        <v>1358</v>
      </c>
      <c r="AQ156" s="1197" t="s">
        <v>1158</v>
      </c>
      <c r="AR156" s="1201">
        <f t="shared" si="60"/>
        <v>0</v>
      </c>
      <c r="AS156" s="1198">
        <f t="shared" si="61"/>
        <v>504602551.03056884</v>
      </c>
      <c r="AT156" s="1198">
        <f t="shared" si="62"/>
        <v>144307636.36363637</v>
      </c>
      <c r="AU156" s="1201">
        <f t="shared" si="63"/>
        <v>144228606.98994327</v>
      </c>
      <c r="AV156" s="1198">
        <f t="shared" si="64"/>
        <v>144307636.36363637</v>
      </c>
      <c r="AW156" s="1198">
        <f t="shared" si="65"/>
        <v>144307636.36363637</v>
      </c>
      <c r="AX156" s="1198">
        <f t="shared" si="66"/>
        <v>144307636.36363637</v>
      </c>
      <c r="AY156" s="1198">
        <f t="shared" si="67"/>
        <v>71679641.939659715</v>
      </c>
      <c r="AZ156" s="1198">
        <f t="shared" si="68"/>
        <v>0</v>
      </c>
      <c r="BA156" s="1198">
        <f t="shared" si="69"/>
        <v>0</v>
      </c>
      <c r="BB156" s="1198">
        <f t="shared" si="70"/>
        <v>0</v>
      </c>
      <c r="BC156" s="1198">
        <f t="shared" si="71"/>
        <v>0</v>
      </c>
      <c r="BD156" s="1198">
        <f t="shared" si="72"/>
        <v>0</v>
      </c>
      <c r="BE156" s="1198">
        <f t="shared" si="73"/>
        <v>0</v>
      </c>
    </row>
    <row r="157" spans="2:57" x14ac:dyDescent="0.25">
      <c r="B157" s="1221">
        <v>153</v>
      </c>
      <c r="C157" s="1193" t="s">
        <v>1244</v>
      </c>
      <c r="D157" s="1194" t="s">
        <v>1245</v>
      </c>
      <c r="E157" s="1199">
        <v>44774</v>
      </c>
      <c r="F157" s="1199">
        <v>44774</v>
      </c>
      <c r="G157" s="1194">
        <v>1</v>
      </c>
      <c r="H157" s="1199">
        <v>46600</v>
      </c>
      <c r="I157" s="1183">
        <v>2870370370.3703704</v>
      </c>
      <c r="J157" s="1183">
        <v>2870370370.3703704</v>
      </c>
      <c r="K157" s="1194">
        <f t="shared" ref="K157:K173" si="78">DATEDIF(F157,H157,"m")</f>
        <v>60</v>
      </c>
      <c r="L157" s="1194">
        <f t="shared" ref="L157:L165" si="79">DATEDIF(F157,H157,"d")</f>
        <v>1826</v>
      </c>
      <c r="M157" s="1195">
        <f t="shared" si="59"/>
        <v>47839506.172839507</v>
      </c>
      <c r="N157" s="1195">
        <f t="shared" si="74"/>
        <v>1571944.3430286804</v>
      </c>
      <c r="O157" s="1196">
        <v>2153563749.9492922</v>
      </c>
      <c r="P157" s="1194">
        <v>31</v>
      </c>
      <c r="Q157" s="1195">
        <f t="shared" si="77"/>
        <v>48730274.633889094</v>
      </c>
      <c r="R157" s="1195">
        <f t="shared" si="75"/>
        <v>765536895.05496728</v>
      </c>
      <c r="S157" s="1195">
        <f t="shared" si="76"/>
        <v>2104833475.315403</v>
      </c>
      <c r="T157" s="1194">
        <v>2</v>
      </c>
      <c r="U157" s="1194" t="s">
        <v>1103</v>
      </c>
      <c r="V157" s="1201" t="s">
        <v>1246</v>
      </c>
      <c r="W157" s="1197"/>
      <c r="X157" s="1197"/>
      <c r="Y157" s="1197">
        <v>627</v>
      </c>
      <c r="Z157" s="1197" t="s">
        <v>809</v>
      </c>
      <c r="AA157" s="1197"/>
      <c r="AB157" s="1202">
        <v>48730274.633889094</v>
      </c>
      <c r="AC157" s="1202">
        <v>44014441.604803056</v>
      </c>
      <c r="AD157" s="1202">
        <v>48730274.633889094</v>
      </c>
      <c r="AE157" s="1202">
        <v>47158330.290860415</v>
      </c>
      <c r="AF157" s="1202">
        <v>48730274.633889094</v>
      </c>
      <c r="AG157" s="1202">
        <v>47158330.290860415</v>
      </c>
      <c r="AH157" s="1202">
        <v>48730274.633889094</v>
      </c>
      <c r="AI157" s="1202">
        <v>48730274.633889094</v>
      </c>
      <c r="AJ157" s="1202">
        <v>47158330.290860415</v>
      </c>
      <c r="AK157" s="1202">
        <v>48730274.633889094</v>
      </c>
      <c r="AL157" s="1202">
        <v>47158330.290860415</v>
      </c>
      <c r="AM157" s="1202">
        <v>48730274.633889094</v>
      </c>
      <c r="AN157" s="1197"/>
      <c r="AO157" s="1197">
        <v>627</v>
      </c>
      <c r="AP157" s="1197" t="s">
        <v>732</v>
      </c>
      <c r="AQ157" s="1238" t="s">
        <v>809</v>
      </c>
      <c r="AR157" s="1201">
        <f t="shared" si="60"/>
        <v>0</v>
      </c>
      <c r="AS157" s="1198">
        <f t="shared" si="61"/>
        <v>2104833475.315403</v>
      </c>
      <c r="AT157" s="1198">
        <f t="shared" si="62"/>
        <v>574074074.07407403</v>
      </c>
      <c r="AU157" s="1201">
        <f t="shared" si="63"/>
        <v>573759685.2054683</v>
      </c>
      <c r="AV157" s="1198">
        <f t="shared" si="64"/>
        <v>574074074.07407403</v>
      </c>
      <c r="AW157" s="1198">
        <f t="shared" si="65"/>
        <v>574074074.07407403</v>
      </c>
      <c r="AX157" s="1198">
        <f t="shared" si="66"/>
        <v>574074074.07407403</v>
      </c>
      <c r="AY157" s="1198">
        <f t="shared" si="67"/>
        <v>382611253.09318089</v>
      </c>
      <c r="AZ157" s="1198">
        <f t="shared" si="68"/>
        <v>0</v>
      </c>
      <c r="BA157" s="1198">
        <f t="shared" si="69"/>
        <v>0</v>
      </c>
      <c r="BB157" s="1198">
        <f t="shared" si="70"/>
        <v>0</v>
      </c>
      <c r="BC157" s="1198">
        <f t="shared" si="71"/>
        <v>0</v>
      </c>
      <c r="BD157" s="1198">
        <f t="shared" si="72"/>
        <v>0</v>
      </c>
      <c r="BE157" s="1198">
        <f t="shared" si="73"/>
        <v>0</v>
      </c>
    </row>
    <row r="158" spans="2:57" x14ac:dyDescent="0.25">
      <c r="B158" s="1221">
        <v>154</v>
      </c>
      <c r="C158" s="1193" t="s">
        <v>1247</v>
      </c>
      <c r="D158" s="1194" t="s">
        <v>1248</v>
      </c>
      <c r="E158" s="1199">
        <v>44835</v>
      </c>
      <c r="F158" s="1199">
        <v>44835</v>
      </c>
      <c r="G158" s="1194">
        <v>1</v>
      </c>
      <c r="H158" s="1199">
        <v>46661</v>
      </c>
      <c r="I158" s="1183">
        <v>675500000</v>
      </c>
      <c r="J158" s="1183">
        <v>675500000</v>
      </c>
      <c r="K158" s="1194">
        <f t="shared" si="78"/>
        <v>60</v>
      </c>
      <c r="L158" s="1194">
        <f t="shared" si="79"/>
        <v>1826</v>
      </c>
      <c r="M158" s="1195">
        <f t="shared" si="59"/>
        <v>11258333.333333334</v>
      </c>
      <c r="N158" s="1195">
        <f t="shared" si="74"/>
        <v>369934.28258488502</v>
      </c>
      <c r="O158" s="1196">
        <v>517907995.61883855</v>
      </c>
      <c r="P158" s="1194">
        <v>31</v>
      </c>
      <c r="Q158" s="1195">
        <f t="shared" si="77"/>
        <v>11467962.760131435</v>
      </c>
      <c r="R158" s="1195">
        <f t="shared" si="75"/>
        <v>169059967.1412929</v>
      </c>
      <c r="S158" s="1195">
        <f t="shared" si="76"/>
        <v>506440032.85870707</v>
      </c>
      <c r="T158" s="1194"/>
      <c r="U158" s="1194" t="s">
        <v>1095</v>
      </c>
      <c r="V158" s="1201" t="s">
        <v>1164</v>
      </c>
      <c r="W158" s="1197"/>
      <c r="X158" s="1197"/>
      <c r="Y158" s="1197">
        <v>642</v>
      </c>
      <c r="Z158" s="1197" t="s">
        <v>1048</v>
      </c>
      <c r="AA158" s="1197"/>
      <c r="AB158" s="1202">
        <v>11467962.760131435</v>
      </c>
      <c r="AC158" s="1202">
        <v>10358159.91237678</v>
      </c>
      <c r="AD158" s="1202">
        <v>11467962.760131435</v>
      </c>
      <c r="AE158" s="1202">
        <v>11098028.47754655</v>
      </c>
      <c r="AF158" s="1202">
        <v>11467962.760131435</v>
      </c>
      <c r="AG158" s="1202">
        <v>11098028.47754655</v>
      </c>
      <c r="AH158" s="1202">
        <v>11467962.760131435</v>
      </c>
      <c r="AI158" s="1202">
        <v>11467962.760131435</v>
      </c>
      <c r="AJ158" s="1202">
        <v>11098028.47754655</v>
      </c>
      <c r="AK158" s="1202">
        <v>11467962.760131435</v>
      </c>
      <c r="AL158" s="1202">
        <v>11098028.47754655</v>
      </c>
      <c r="AM158" s="1202">
        <v>11467962.760131435</v>
      </c>
      <c r="AN158" s="1197"/>
      <c r="AO158" s="1197">
        <v>642</v>
      </c>
      <c r="AP158" s="1197" t="s">
        <v>1358</v>
      </c>
      <c r="AQ158" s="1197" t="s">
        <v>1158</v>
      </c>
      <c r="AR158" s="1201">
        <f t="shared" si="60"/>
        <v>0</v>
      </c>
      <c r="AS158" s="1198">
        <f t="shared" si="61"/>
        <v>506440032.85870707</v>
      </c>
      <c r="AT158" s="1198">
        <f t="shared" si="62"/>
        <v>135100000</v>
      </c>
      <c r="AU158" s="1201">
        <f t="shared" si="63"/>
        <v>135026013.14348304</v>
      </c>
      <c r="AV158" s="1198">
        <f t="shared" si="64"/>
        <v>135100000</v>
      </c>
      <c r="AW158" s="1198">
        <f t="shared" si="65"/>
        <v>135100000</v>
      </c>
      <c r="AX158" s="1198">
        <f t="shared" si="66"/>
        <v>135100000</v>
      </c>
      <c r="AY158" s="1198">
        <f t="shared" si="67"/>
        <v>101140032.85870707</v>
      </c>
      <c r="AZ158" s="1198">
        <f t="shared" si="68"/>
        <v>0</v>
      </c>
      <c r="BA158" s="1198">
        <f t="shared" si="69"/>
        <v>0</v>
      </c>
      <c r="BB158" s="1198">
        <f t="shared" si="70"/>
        <v>0</v>
      </c>
      <c r="BC158" s="1198">
        <f t="shared" si="71"/>
        <v>0</v>
      </c>
      <c r="BD158" s="1198">
        <f t="shared" si="72"/>
        <v>0</v>
      </c>
      <c r="BE158" s="1198">
        <f t="shared" si="73"/>
        <v>0</v>
      </c>
    </row>
    <row r="159" spans="2:57" x14ac:dyDescent="0.25">
      <c r="B159" s="1221">
        <v>155</v>
      </c>
      <c r="C159" s="1193" t="s">
        <v>1249</v>
      </c>
      <c r="D159" s="1194" t="s">
        <v>1250</v>
      </c>
      <c r="E159" s="1199">
        <v>44986</v>
      </c>
      <c r="F159" s="1199">
        <v>44986</v>
      </c>
      <c r="G159" s="1194">
        <v>1</v>
      </c>
      <c r="H159" s="1199">
        <v>45717</v>
      </c>
      <c r="I159" s="1183">
        <v>140000000</v>
      </c>
      <c r="J159" s="1183">
        <v>140000000</v>
      </c>
      <c r="K159" s="1194">
        <f t="shared" si="78"/>
        <v>24</v>
      </c>
      <c r="L159" s="1194">
        <f t="shared" si="79"/>
        <v>731</v>
      </c>
      <c r="M159" s="1195">
        <f t="shared" si="59"/>
        <v>5833333.333333333</v>
      </c>
      <c r="N159" s="1195">
        <f t="shared" si="74"/>
        <v>191518.46785225719</v>
      </c>
      <c r="O159" s="1196">
        <v>76032831.737346098</v>
      </c>
      <c r="P159" s="1194">
        <v>31</v>
      </c>
      <c r="Q159" s="1195">
        <f t="shared" si="77"/>
        <v>5937072.503419973</v>
      </c>
      <c r="R159" s="1195">
        <f t="shared" si="75"/>
        <v>69904240.766073883</v>
      </c>
      <c r="S159" s="1195">
        <f t="shared" si="76"/>
        <v>70095759.233926117</v>
      </c>
      <c r="T159" s="1194"/>
      <c r="U159" s="1194" t="s">
        <v>1095</v>
      </c>
      <c r="V159" s="1201" t="s">
        <v>1043</v>
      </c>
      <c r="W159" s="1197"/>
      <c r="X159" s="1197"/>
      <c r="Y159" s="1197">
        <v>627</v>
      </c>
      <c r="Z159" s="1197" t="s">
        <v>1048</v>
      </c>
      <c r="AA159" s="1197"/>
      <c r="AB159" s="1202">
        <v>5937072.503419973</v>
      </c>
      <c r="AC159" s="1202">
        <v>5362517.0998632014</v>
      </c>
      <c r="AD159" s="1202">
        <v>5937072.503419973</v>
      </c>
      <c r="AE159" s="1202">
        <v>5745554.0355677158</v>
      </c>
      <c r="AF159" s="1202">
        <v>5937072.503419973</v>
      </c>
      <c r="AG159" s="1202">
        <v>5745554.0355677158</v>
      </c>
      <c r="AH159" s="1202">
        <v>5937072.503419973</v>
      </c>
      <c r="AI159" s="1202">
        <v>5937072.503419973</v>
      </c>
      <c r="AJ159" s="1202">
        <v>5745554.0355677158</v>
      </c>
      <c r="AK159" s="1202">
        <v>5937072.503419973</v>
      </c>
      <c r="AL159" s="1202">
        <v>5745554.0355677158</v>
      </c>
      <c r="AM159" s="1202">
        <v>5937072.503419973</v>
      </c>
      <c r="AN159" s="1197"/>
      <c r="AO159" s="1197">
        <v>641</v>
      </c>
      <c r="AP159" s="1197" t="s">
        <v>1357</v>
      </c>
      <c r="AQ159" s="1197" t="s">
        <v>1383</v>
      </c>
      <c r="AR159" s="1201">
        <f t="shared" si="60"/>
        <v>0</v>
      </c>
      <c r="AS159" s="1198">
        <f t="shared" si="61"/>
        <v>70095759.233926117</v>
      </c>
      <c r="AT159" s="1198">
        <f t="shared" si="62"/>
        <v>70000000</v>
      </c>
      <c r="AU159" s="1201">
        <f t="shared" si="63"/>
        <v>69904240.766073883</v>
      </c>
      <c r="AV159" s="1198">
        <f t="shared" si="64"/>
        <v>70000000</v>
      </c>
      <c r="AW159" s="1198">
        <f t="shared" si="65"/>
        <v>95759.23392611742</v>
      </c>
      <c r="AX159" s="1198">
        <f t="shared" si="66"/>
        <v>0</v>
      </c>
      <c r="AY159" s="1198">
        <f t="shared" si="67"/>
        <v>0</v>
      </c>
      <c r="AZ159" s="1198">
        <f t="shared" si="68"/>
        <v>0</v>
      </c>
      <c r="BA159" s="1198">
        <f t="shared" si="69"/>
        <v>0</v>
      </c>
      <c r="BB159" s="1198">
        <f t="shared" si="70"/>
        <v>0</v>
      </c>
      <c r="BC159" s="1198">
        <f t="shared" si="71"/>
        <v>0</v>
      </c>
      <c r="BD159" s="1198">
        <f t="shared" si="72"/>
        <v>0</v>
      </c>
      <c r="BE159" s="1198">
        <f t="shared" si="73"/>
        <v>0</v>
      </c>
    </row>
    <row r="160" spans="2:57" x14ac:dyDescent="0.25">
      <c r="B160" s="1221">
        <v>156</v>
      </c>
      <c r="C160" s="1193" t="s">
        <v>1251</v>
      </c>
      <c r="D160" s="1194" t="s">
        <v>1252</v>
      </c>
      <c r="E160" s="1199">
        <v>44986</v>
      </c>
      <c r="F160" s="1199">
        <v>44986</v>
      </c>
      <c r="G160" s="1194">
        <v>1</v>
      </c>
      <c r="H160" s="1199">
        <v>45717</v>
      </c>
      <c r="I160" s="1183">
        <v>100000000</v>
      </c>
      <c r="J160" s="1183">
        <v>140000000</v>
      </c>
      <c r="K160" s="1194">
        <f t="shared" si="78"/>
        <v>24</v>
      </c>
      <c r="L160" s="1194">
        <f t="shared" si="79"/>
        <v>731</v>
      </c>
      <c r="M160" s="1195">
        <f t="shared" si="59"/>
        <v>5833333.333333333</v>
      </c>
      <c r="N160" s="1195">
        <f t="shared" si="74"/>
        <v>191518.46785225719</v>
      </c>
      <c r="O160" s="1196">
        <v>37729138.166894659</v>
      </c>
      <c r="P160" s="1194">
        <v>31</v>
      </c>
      <c r="Q160" s="1195">
        <f t="shared" si="77"/>
        <v>5937072.503419973</v>
      </c>
      <c r="R160" s="1195">
        <f t="shared" si="75"/>
        <v>108207934.33652532</v>
      </c>
      <c r="S160" s="1195">
        <f t="shared" si="76"/>
        <v>31792065.663474679</v>
      </c>
      <c r="T160" s="1194"/>
      <c r="U160" s="1194" t="s">
        <v>1047</v>
      </c>
      <c r="V160" s="1201" t="s">
        <v>1043</v>
      </c>
      <c r="W160" s="1197"/>
      <c r="X160" s="1197"/>
      <c r="Y160" s="1197">
        <v>627</v>
      </c>
      <c r="Z160" s="1197" t="s">
        <v>809</v>
      </c>
      <c r="AA160" s="1197"/>
      <c r="AB160" s="1202">
        <v>4240766.0738714086</v>
      </c>
      <c r="AC160" s="1202">
        <v>5362517.0998632014</v>
      </c>
      <c r="AD160" s="1202">
        <v>5937072.503419973</v>
      </c>
      <c r="AE160" s="1202">
        <v>5745554.0355677158</v>
      </c>
      <c r="AF160" s="1202">
        <v>5937072.503419973</v>
      </c>
      <c r="AG160" s="1202">
        <v>5745554.0355677158</v>
      </c>
      <c r="AH160" s="1202">
        <v>5937072.503419973</v>
      </c>
      <c r="AI160" s="1202">
        <v>5937072.503419973</v>
      </c>
      <c r="AJ160" s="1202">
        <v>5745554.0355677158</v>
      </c>
      <c r="AK160" s="1202">
        <v>5937072.503419973</v>
      </c>
      <c r="AL160" s="1202">
        <v>5745554.0355677158</v>
      </c>
      <c r="AM160" s="1202">
        <v>5937072.503419973</v>
      </c>
      <c r="AN160" s="1197"/>
      <c r="AO160" s="1197">
        <v>641</v>
      </c>
      <c r="AP160" s="1197" t="s">
        <v>1357</v>
      </c>
      <c r="AQ160" s="1197" t="s">
        <v>1383</v>
      </c>
      <c r="AR160" s="1201">
        <f t="shared" si="60"/>
        <v>0</v>
      </c>
      <c r="AS160" s="1198">
        <f t="shared" si="61"/>
        <v>31792065.663474679</v>
      </c>
      <c r="AT160" s="1198">
        <f t="shared" si="62"/>
        <v>70000000</v>
      </c>
      <c r="AU160" s="1201">
        <f t="shared" si="63"/>
        <v>68207934.336525321</v>
      </c>
      <c r="AV160" s="1198">
        <f t="shared" si="64"/>
        <v>31792065.663474679</v>
      </c>
      <c r="AW160" s="1198">
        <f t="shared" si="65"/>
        <v>0</v>
      </c>
      <c r="AX160" s="1198">
        <f t="shared" si="66"/>
        <v>0</v>
      </c>
      <c r="AY160" s="1198">
        <f t="shared" si="67"/>
        <v>0</v>
      </c>
      <c r="AZ160" s="1198">
        <f t="shared" si="68"/>
        <v>0</v>
      </c>
      <c r="BA160" s="1198">
        <f t="shared" si="69"/>
        <v>0</v>
      </c>
      <c r="BB160" s="1198">
        <f t="shared" si="70"/>
        <v>0</v>
      </c>
      <c r="BC160" s="1198">
        <f t="shared" si="71"/>
        <v>0</v>
      </c>
      <c r="BD160" s="1198">
        <f t="shared" si="72"/>
        <v>0</v>
      </c>
      <c r="BE160" s="1198">
        <f t="shared" si="73"/>
        <v>0</v>
      </c>
    </row>
    <row r="161" spans="2:57" x14ac:dyDescent="0.25">
      <c r="B161" s="1221">
        <v>157</v>
      </c>
      <c r="C161" s="1193" t="s">
        <v>1253</v>
      </c>
      <c r="D161" s="1194" t="s">
        <v>1254</v>
      </c>
      <c r="E161" s="1199">
        <v>44927</v>
      </c>
      <c r="F161" s="1199">
        <v>44927</v>
      </c>
      <c r="G161" s="1194">
        <v>1</v>
      </c>
      <c r="H161" s="1199">
        <v>45658</v>
      </c>
      <c r="I161" s="1183">
        <v>350000000</v>
      </c>
      <c r="J161" s="1183">
        <v>350000000</v>
      </c>
      <c r="K161" s="1194">
        <f t="shared" si="78"/>
        <v>24</v>
      </c>
      <c r="L161" s="1194">
        <f t="shared" si="79"/>
        <v>731</v>
      </c>
      <c r="M161" s="1195">
        <f t="shared" si="59"/>
        <v>14583333.333333334</v>
      </c>
      <c r="N161" s="1195">
        <f t="shared" si="74"/>
        <v>478796.16963064298</v>
      </c>
      <c r="O161" s="1196">
        <v>242079343.36525321</v>
      </c>
      <c r="P161" s="1194">
        <v>31</v>
      </c>
      <c r="Q161" s="1195">
        <f t="shared" si="77"/>
        <v>14842681.258549932</v>
      </c>
      <c r="R161" s="1195">
        <f t="shared" si="75"/>
        <v>122763337.89329672</v>
      </c>
      <c r="S161" s="1195">
        <f t="shared" si="76"/>
        <v>227236662.10670328</v>
      </c>
      <c r="T161" s="1194"/>
      <c r="U161" s="1194" t="s">
        <v>1047</v>
      </c>
      <c r="V161" s="1201" t="s">
        <v>1043</v>
      </c>
      <c r="W161" s="1197"/>
      <c r="X161" s="1197"/>
      <c r="Y161" s="1197">
        <v>627</v>
      </c>
      <c r="Z161" s="1197" t="s">
        <v>1048</v>
      </c>
      <c r="AA161" s="1197"/>
      <c r="AB161" s="1202">
        <v>14842681.258549932</v>
      </c>
      <c r="AC161" s="1202">
        <v>5362517.0998632014</v>
      </c>
      <c r="AD161" s="1202">
        <v>5937072.503419973</v>
      </c>
      <c r="AE161" s="1202">
        <v>5745554.0355677158</v>
      </c>
      <c r="AF161" s="1202">
        <v>5937072.503419973</v>
      </c>
      <c r="AG161" s="1202">
        <v>5745554.0355677158</v>
      </c>
      <c r="AH161" s="1202">
        <v>5937072.503419973</v>
      </c>
      <c r="AI161" s="1202">
        <v>14842681.258549932</v>
      </c>
      <c r="AJ161" s="1202">
        <v>14363885.088919289</v>
      </c>
      <c r="AK161" s="1202">
        <v>14842681.258549932</v>
      </c>
      <c r="AL161" s="1202">
        <v>14363885.088919289</v>
      </c>
      <c r="AM161" s="1202">
        <v>14842681.258549932</v>
      </c>
      <c r="AN161" s="1197"/>
      <c r="AO161" s="1197">
        <v>641</v>
      </c>
      <c r="AP161" s="1197" t="s">
        <v>1357</v>
      </c>
      <c r="AQ161" s="1197" t="s">
        <v>814</v>
      </c>
      <c r="AR161" s="1201">
        <f t="shared" si="60"/>
        <v>0</v>
      </c>
      <c r="AS161" s="1198">
        <f t="shared" si="61"/>
        <v>227236662.10670328</v>
      </c>
      <c r="AT161" s="1198">
        <f t="shared" si="62"/>
        <v>175000000</v>
      </c>
      <c r="AU161" s="1201">
        <f t="shared" si="63"/>
        <v>122763337.89329684</v>
      </c>
      <c r="AV161" s="1198">
        <f t="shared" si="64"/>
        <v>175000000</v>
      </c>
      <c r="AW161" s="1198">
        <f t="shared" si="65"/>
        <v>52236662.106703281</v>
      </c>
      <c r="AX161" s="1198">
        <f t="shared" si="66"/>
        <v>0</v>
      </c>
      <c r="AY161" s="1198">
        <f t="shared" si="67"/>
        <v>0</v>
      </c>
      <c r="AZ161" s="1198">
        <f t="shared" si="68"/>
        <v>0</v>
      </c>
      <c r="BA161" s="1198">
        <f t="shared" si="69"/>
        <v>0</v>
      </c>
      <c r="BB161" s="1198">
        <f t="shared" si="70"/>
        <v>0</v>
      </c>
      <c r="BC161" s="1198">
        <f t="shared" si="71"/>
        <v>0</v>
      </c>
      <c r="BD161" s="1198">
        <f t="shared" si="72"/>
        <v>0</v>
      </c>
      <c r="BE161" s="1198">
        <f t="shared" si="73"/>
        <v>0</v>
      </c>
    </row>
    <row r="162" spans="2:57" x14ac:dyDescent="0.25">
      <c r="B162" s="1221">
        <v>158</v>
      </c>
      <c r="C162" s="1193" t="s">
        <v>1255</v>
      </c>
      <c r="D162" s="1194" t="s">
        <v>1255</v>
      </c>
      <c r="E162" s="1199">
        <v>45078</v>
      </c>
      <c r="F162" s="1199">
        <v>45078</v>
      </c>
      <c r="G162" s="1194">
        <v>1</v>
      </c>
      <c r="H162" s="1199">
        <v>45444</v>
      </c>
      <c r="I162" s="1183">
        <v>35900000</v>
      </c>
      <c r="J162" s="1183">
        <v>35900000</v>
      </c>
      <c r="K162" s="1194">
        <f>DATEDIF(F162,H162,"m")</f>
        <v>12</v>
      </c>
      <c r="L162" s="1194">
        <f>DATEDIF(F162,H162,"d")</f>
        <v>366</v>
      </c>
      <c r="M162" s="1195">
        <f>J162/K162</f>
        <v>2991666.6666666665</v>
      </c>
      <c r="N162" s="1195">
        <f>J162/L162</f>
        <v>98087.43169398907</v>
      </c>
      <c r="O162" s="1196">
        <v>17950000.000000004</v>
      </c>
      <c r="P162" s="1194">
        <v>31</v>
      </c>
      <c r="Q162" s="1195">
        <f>IF(O162&gt;=P162*N162,P162*N162,O162)</f>
        <v>3040710.3825136614</v>
      </c>
      <c r="R162" s="1195">
        <f>IF(Q162=0,J162,J162-O162+Q162)</f>
        <v>20990710.382513657</v>
      </c>
      <c r="S162" s="1195">
        <f>J162-R162</f>
        <v>14909289.617486343</v>
      </c>
      <c r="T162" s="1194"/>
      <c r="U162" s="1194" t="s">
        <v>1047</v>
      </c>
      <c r="V162" s="1197" t="s">
        <v>1047</v>
      </c>
      <c r="W162" s="1197"/>
      <c r="X162" s="1197"/>
      <c r="Y162" s="1197">
        <v>627</v>
      </c>
      <c r="Z162" s="1197" t="s">
        <v>1048</v>
      </c>
      <c r="AA162" s="1197"/>
      <c r="AB162" s="1202">
        <v>0</v>
      </c>
      <c r="AC162" s="1202">
        <v>0</v>
      </c>
      <c r="AD162" s="1202">
        <v>0</v>
      </c>
      <c r="AE162" s="1202">
        <v>0</v>
      </c>
      <c r="AF162" s="1202">
        <v>0</v>
      </c>
      <c r="AG162" s="1202">
        <v>2942622.9508196721</v>
      </c>
      <c r="AH162" s="1202">
        <v>3040710.3825136614</v>
      </c>
      <c r="AI162" s="1202">
        <v>3040710.3825136614</v>
      </c>
      <c r="AJ162" s="1202">
        <v>2942622.9508196721</v>
      </c>
      <c r="AK162" s="1202">
        <v>3040710.3825136614</v>
      </c>
      <c r="AL162" s="1202">
        <v>2942622.9508196721</v>
      </c>
      <c r="AM162" s="1202">
        <v>3040710.3825136614</v>
      </c>
      <c r="AN162" s="1197"/>
      <c r="AO162" s="1197">
        <v>627</v>
      </c>
      <c r="AP162" s="1197" t="s">
        <v>732</v>
      </c>
      <c r="AQ162" s="1204" t="s">
        <v>1048</v>
      </c>
      <c r="AR162" s="1201">
        <f t="shared" si="60"/>
        <v>0</v>
      </c>
      <c r="AS162" s="1198">
        <f t="shared" si="61"/>
        <v>14909289.617486343</v>
      </c>
      <c r="AT162" s="1198">
        <f t="shared" si="62"/>
        <v>35900000</v>
      </c>
      <c r="AU162" s="1201">
        <f t="shared" si="63"/>
        <v>20990710.382513661</v>
      </c>
      <c r="AV162" s="1198">
        <f t="shared" si="64"/>
        <v>14909289.617486343</v>
      </c>
      <c r="AW162" s="1198">
        <f t="shared" si="65"/>
        <v>0</v>
      </c>
      <c r="AX162" s="1198">
        <f t="shared" si="66"/>
        <v>0</v>
      </c>
      <c r="AY162" s="1198">
        <f t="shared" si="67"/>
        <v>0</v>
      </c>
      <c r="AZ162" s="1198">
        <f t="shared" si="68"/>
        <v>0</v>
      </c>
      <c r="BA162" s="1198">
        <f t="shared" si="69"/>
        <v>0</v>
      </c>
      <c r="BB162" s="1198">
        <f t="shared" si="70"/>
        <v>0</v>
      </c>
      <c r="BC162" s="1198">
        <f t="shared" si="71"/>
        <v>0</v>
      </c>
      <c r="BD162" s="1198">
        <f t="shared" si="72"/>
        <v>0</v>
      </c>
      <c r="BE162" s="1198">
        <f t="shared" si="73"/>
        <v>0</v>
      </c>
    </row>
    <row r="163" spans="2:57" x14ac:dyDescent="0.25">
      <c r="B163" s="1221">
        <v>159</v>
      </c>
      <c r="C163" s="1193" t="s">
        <v>1256</v>
      </c>
      <c r="D163" s="1194" t="s">
        <v>1256</v>
      </c>
      <c r="E163" s="1199">
        <v>45092</v>
      </c>
      <c r="F163" s="1199">
        <v>45092</v>
      </c>
      <c r="G163" s="1194">
        <v>1</v>
      </c>
      <c r="H163" s="1199">
        <v>46919</v>
      </c>
      <c r="I163" s="1183">
        <v>420000000</v>
      </c>
      <c r="J163" s="1183">
        <v>420000000</v>
      </c>
      <c r="K163" s="1194">
        <f>DATEDIF(F163,H163,"m")</f>
        <v>60</v>
      </c>
      <c r="L163" s="1194">
        <f>DATEDIF(F163,H163,"d")</f>
        <v>1827</v>
      </c>
      <c r="M163" s="1195">
        <f>J163/K163</f>
        <v>7000000</v>
      </c>
      <c r="N163" s="1195">
        <f>J163/L163</f>
        <v>229885.05747126436</v>
      </c>
      <c r="O163" s="1196">
        <v>377931034.48275876</v>
      </c>
      <c r="P163" s="1194">
        <v>31</v>
      </c>
      <c r="Q163" s="1195">
        <f>IF(O163&gt;=P163*N163,P163*N163,O163)</f>
        <v>7126436.7816091953</v>
      </c>
      <c r="R163" s="1195">
        <f>IF(Q163=0,J163,J163-O163+Q163)</f>
        <v>49195402.298850432</v>
      </c>
      <c r="S163" s="1195">
        <f>J163-R163</f>
        <v>370804597.70114958</v>
      </c>
      <c r="T163" s="1194"/>
      <c r="U163" s="1194" t="s">
        <v>1103</v>
      </c>
      <c r="V163" s="1197" t="s">
        <v>1246</v>
      </c>
      <c r="W163" s="1197"/>
      <c r="X163" s="1197"/>
      <c r="Y163" s="1197">
        <v>627</v>
      </c>
      <c r="Z163" s="1197" t="s">
        <v>1048</v>
      </c>
      <c r="AA163" s="1197"/>
      <c r="AB163" s="1202">
        <v>0</v>
      </c>
      <c r="AC163" s="1202">
        <v>0</v>
      </c>
      <c r="AD163" s="1202">
        <v>0</v>
      </c>
      <c r="AE163" s="1202">
        <v>0</v>
      </c>
      <c r="AF163" s="1202">
        <v>0</v>
      </c>
      <c r="AG163" s="1202">
        <v>6896551.7241379311</v>
      </c>
      <c r="AH163" s="1202">
        <v>7126436.7816091953</v>
      </c>
      <c r="AI163" s="1202">
        <v>7126436.7816091953</v>
      </c>
      <c r="AJ163" s="1202">
        <v>6896551.7241379311</v>
      </c>
      <c r="AK163" s="1202">
        <v>7126436.7816091953</v>
      </c>
      <c r="AL163" s="1202">
        <v>6896551.7241379311</v>
      </c>
      <c r="AM163" s="1202">
        <v>7126436.7816091953</v>
      </c>
      <c r="AN163" s="1197"/>
      <c r="AO163" s="1197">
        <v>627</v>
      </c>
      <c r="AP163" s="1197" t="s">
        <v>732</v>
      </c>
      <c r="AQ163" s="1238" t="s">
        <v>1361</v>
      </c>
      <c r="AR163" s="1201">
        <f t="shared" si="60"/>
        <v>0</v>
      </c>
      <c r="AS163" s="1198">
        <f t="shared" si="61"/>
        <v>370804597.70114958</v>
      </c>
      <c r="AT163" s="1198">
        <f t="shared" si="62"/>
        <v>84000000</v>
      </c>
      <c r="AU163" s="1201">
        <f t="shared" si="63"/>
        <v>49195402.298850574</v>
      </c>
      <c r="AV163" s="1198">
        <f t="shared" si="64"/>
        <v>84000000</v>
      </c>
      <c r="AW163" s="1198">
        <f t="shared" si="65"/>
        <v>84000000</v>
      </c>
      <c r="AX163" s="1198">
        <f t="shared" si="66"/>
        <v>84000000</v>
      </c>
      <c r="AY163" s="1198">
        <f t="shared" si="67"/>
        <v>84000000</v>
      </c>
      <c r="AZ163" s="1198">
        <f t="shared" si="68"/>
        <v>34804597.701149583</v>
      </c>
      <c r="BA163" s="1198">
        <f t="shared" si="69"/>
        <v>0</v>
      </c>
      <c r="BB163" s="1198">
        <f t="shared" si="70"/>
        <v>0</v>
      </c>
      <c r="BC163" s="1198">
        <f t="shared" si="71"/>
        <v>0</v>
      </c>
      <c r="BD163" s="1198">
        <f t="shared" si="72"/>
        <v>0</v>
      </c>
      <c r="BE163" s="1198">
        <f t="shared" si="73"/>
        <v>0</v>
      </c>
    </row>
    <row r="164" spans="2:57" x14ac:dyDescent="0.25">
      <c r="B164" s="1221">
        <v>160</v>
      </c>
      <c r="C164" s="1193" t="s">
        <v>1257</v>
      </c>
      <c r="D164" s="1194" t="s">
        <v>1258</v>
      </c>
      <c r="E164" s="1199">
        <v>44927</v>
      </c>
      <c r="F164" s="1199">
        <v>45139</v>
      </c>
      <c r="G164" s="1194">
        <v>1</v>
      </c>
      <c r="H164" s="1199">
        <v>45870</v>
      </c>
      <c r="I164" s="1183">
        <v>53500000</v>
      </c>
      <c r="J164" s="1183">
        <v>53500000</v>
      </c>
      <c r="K164" s="1194">
        <f t="shared" si="78"/>
        <v>24</v>
      </c>
      <c r="L164" s="1194">
        <f t="shared" si="79"/>
        <v>731</v>
      </c>
      <c r="M164" s="1195">
        <f t="shared" si="59"/>
        <v>2229166.6666666665</v>
      </c>
      <c r="N164" s="1195">
        <f t="shared" si="74"/>
        <v>73187.414500683997</v>
      </c>
      <c r="O164" s="1196">
        <v>44571135.430916548</v>
      </c>
      <c r="P164" s="1194">
        <v>31</v>
      </c>
      <c r="Q164" s="1195">
        <f t="shared" si="77"/>
        <v>2268809.8495212039</v>
      </c>
      <c r="R164" s="1195">
        <f t="shared" si="75"/>
        <v>11197674.418604657</v>
      </c>
      <c r="S164" s="1195">
        <f t="shared" si="76"/>
        <v>42302325.581395343</v>
      </c>
      <c r="T164" s="1194"/>
      <c r="U164" s="1194" t="s">
        <v>1103</v>
      </c>
      <c r="V164" s="1201" t="s">
        <v>1246</v>
      </c>
      <c r="W164" s="1197"/>
      <c r="X164" s="1197"/>
      <c r="Y164" s="1197">
        <v>627</v>
      </c>
      <c r="Z164" s="1197" t="s">
        <v>1048</v>
      </c>
      <c r="AA164" s="1197"/>
      <c r="AB164" s="1202">
        <v>0</v>
      </c>
      <c r="AC164" s="1202">
        <v>0</v>
      </c>
      <c r="AD164" s="1202">
        <v>0</v>
      </c>
      <c r="AE164" s="1202">
        <v>0</v>
      </c>
      <c r="AF164" s="1202">
        <v>0</v>
      </c>
      <c r="AG164" s="1202">
        <v>0</v>
      </c>
      <c r="AH164" s="1202">
        <v>0</v>
      </c>
      <c r="AI164" s="1202">
        <v>2268809.8495212039</v>
      </c>
      <c r="AJ164" s="1202">
        <v>2195622.4350205199</v>
      </c>
      <c r="AK164" s="1202">
        <v>2268809.8495212039</v>
      </c>
      <c r="AL164" s="1202">
        <v>2195622.4350205199</v>
      </c>
      <c r="AM164" s="1202">
        <v>2268809.8495212039</v>
      </c>
      <c r="AN164" s="1197"/>
      <c r="AO164" s="1197">
        <v>641</v>
      </c>
      <c r="AP164" s="1197" t="s">
        <v>1357</v>
      </c>
      <c r="AQ164" s="1253" t="s">
        <v>1361</v>
      </c>
      <c r="AR164" s="1201">
        <f t="shared" si="60"/>
        <v>0</v>
      </c>
      <c r="AS164" s="1198">
        <f t="shared" si="61"/>
        <v>42302325.581395343</v>
      </c>
      <c r="AT164" s="1198">
        <f t="shared" si="62"/>
        <v>26750000</v>
      </c>
      <c r="AU164" s="1201">
        <f t="shared" si="63"/>
        <v>11197674.418604653</v>
      </c>
      <c r="AV164" s="1198">
        <f t="shared" si="64"/>
        <v>26750000</v>
      </c>
      <c r="AW164" s="1198">
        <f t="shared" si="65"/>
        <v>15552325.581395343</v>
      </c>
      <c r="AX164" s="1198">
        <f t="shared" si="66"/>
        <v>0</v>
      </c>
      <c r="AY164" s="1198">
        <f t="shared" si="67"/>
        <v>0</v>
      </c>
      <c r="AZ164" s="1198">
        <f t="shared" si="68"/>
        <v>0</v>
      </c>
      <c r="BA164" s="1198">
        <f t="shared" si="69"/>
        <v>0</v>
      </c>
      <c r="BB164" s="1198">
        <f t="shared" si="70"/>
        <v>0</v>
      </c>
      <c r="BC164" s="1198">
        <f t="shared" si="71"/>
        <v>0</v>
      </c>
      <c r="BD164" s="1198">
        <f t="shared" si="72"/>
        <v>0</v>
      </c>
      <c r="BE164" s="1198">
        <f t="shared" si="73"/>
        <v>0</v>
      </c>
    </row>
    <row r="165" spans="2:57" x14ac:dyDescent="0.25">
      <c r="B165" s="1221">
        <v>161</v>
      </c>
      <c r="C165" s="1193" t="s">
        <v>1259</v>
      </c>
      <c r="D165" s="1193" t="s">
        <v>1259</v>
      </c>
      <c r="E165" s="1199">
        <v>45199</v>
      </c>
      <c r="F165" s="1199">
        <v>45200</v>
      </c>
      <c r="G165" s="1194">
        <v>1</v>
      </c>
      <c r="H165" s="1199">
        <v>47757</v>
      </c>
      <c r="I165" s="1183">
        <v>2170000000</v>
      </c>
      <c r="J165" s="1183">
        <v>2170000000</v>
      </c>
      <c r="K165" s="1194">
        <f t="shared" si="78"/>
        <v>84</v>
      </c>
      <c r="L165" s="1194">
        <f t="shared" si="79"/>
        <v>2557</v>
      </c>
      <c r="M165" s="1195">
        <f t="shared" si="59"/>
        <v>25833333.333333332</v>
      </c>
      <c r="N165" s="1195">
        <f t="shared" si="74"/>
        <v>848650.76261243643</v>
      </c>
      <c r="O165" s="1196">
        <v>2170000000</v>
      </c>
      <c r="P165" s="1194">
        <v>31</v>
      </c>
      <c r="Q165" s="1195">
        <f t="shared" si="77"/>
        <v>26308173.64098553</v>
      </c>
      <c r="R165" s="1195">
        <f t="shared" si="75"/>
        <v>26308173.64098553</v>
      </c>
      <c r="S165" s="1195">
        <f>J165</f>
        <v>2170000000</v>
      </c>
      <c r="T165" s="1194"/>
      <c r="U165" s="1194"/>
      <c r="V165" s="1201" t="s">
        <v>1043</v>
      </c>
      <c r="W165" s="1197"/>
      <c r="X165" s="1197"/>
      <c r="Y165" s="1197">
        <v>627</v>
      </c>
      <c r="Z165" s="1197" t="s">
        <v>809</v>
      </c>
      <c r="AA165" s="1197"/>
      <c r="AB165" s="1202">
        <v>0</v>
      </c>
      <c r="AC165" s="1202">
        <v>0</v>
      </c>
      <c r="AD165" s="1202">
        <v>0</v>
      </c>
      <c r="AE165" s="1202">
        <v>0</v>
      </c>
      <c r="AF165" s="1202">
        <v>0</v>
      </c>
      <c r="AG165" s="1202">
        <v>0</v>
      </c>
      <c r="AH165" s="1202">
        <v>0</v>
      </c>
      <c r="AI165" s="1202">
        <v>0</v>
      </c>
      <c r="AJ165" s="1202">
        <v>25459522.878373094</v>
      </c>
      <c r="AK165" s="1202">
        <v>26308173.64098553</v>
      </c>
      <c r="AL165" s="1202">
        <v>25459522.878373094</v>
      </c>
      <c r="AM165" s="1202">
        <v>26308173.64098553</v>
      </c>
      <c r="AN165" s="1197"/>
      <c r="AO165" s="1197">
        <v>641</v>
      </c>
      <c r="AP165" s="1197" t="s">
        <v>1357</v>
      </c>
      <c r="AQ165" s="1253" t="s">
        <v>809</v>
      </c>
      <c r="AR165" s="1201">
        <f t="shared" ref="AR165:AR174" si="80">AS165-SUM(AV165:BE165)</f>
        <v>0</v>
      </c>
      <c r="AS165" s="1198">
        <f t="shared" ref="AS165:AS174" si="81">S165</f>
        <v>2170000000</v>
      </c>
      <c r="AT165" s="1198">
        <f t="shared" ref="AT165:AT174" si="82">M165*12</f>
        <v>310000000</v>
      </c>
      <c r="AU165" s="1201">
        <f t="shared" ref="AU165:AU174" si="83">SUM(AB165:AM165)</f>
        <v>103535393.03871725</v>
      </c>
      <c r="AV165" s="1198">
        <f t="shared" si="64"/>
        <v>310000000</v>
      </c>
      <c r="AW165" s="1198">
        <f t="shared" si="65"/>
        <v>310000000</v>
      </c>
      <c r="AX165" s="1198">
        <f t="shared" si="66"/>
        <v>310000000</v>
      </c>
      <c r="AY165" s="1198">
        <f t="shared" si="67"/>
        <v>310000000</v>
      </c>
      <c r="AZ165" s="1198">
        <f t="shared" si="68"/>
        <v>310000000</v>
      </c>
      <c r="BA165" s="1198">
        <f t="shared" si="69"/>
        <v>310000000</v>
      </c>
      <c r="BB165" s="1198">
        <f t="shared" si="70"/>
        <v>310000000</v>
      </c>
      <c r="BC165" s="1198">
        <f t="shared" si="71"/>
        <v>0</v>
      </c>
      <c r="BD165" s="1198">
        <f t="shared" si="72"/>
        <v>0</v>
      </c>
      <c r="BE165" s="1198">
        <f t="shared" si="73"/>
        <v>0</v>
      </c>
    </row>
    <row r="166" spans="2:57" x14ac:dyDescent="0.25">
      <c r="B166" s="1221">
        <v>162</v>
      </c>
      <c r="C166" s="1193" t="s">
        <v>1260</v>
      </c>
      <c r="D166" s="1193" t="s">
        <v>1260</v>
      </c>
      <c r="E166" s="1199">
        <v>45200</v>
      </c>
      <c r="F166" s="1199">
        <v>45200</v>
      </c>
      <c r="G166" s="1194">
        <v>1</v>
      </c>
      <c r="H166" s="1199">
        <v>48853</v>
      </c>
      <c r="I166" s="1183">
        <f>1808561378+659964789</f>
        <v>2468526167</v>
      </c>
      <c r="J166" s="1183">
        <f>1808561378+659964789</f>
        <v>2468526167</v>
      </c>
      <c r="K166" s="1194">
        <f t="shared" si="78"/>
        <v>120</v>
      </c>
      <c r="L166" s="1194">
        <f>DATEDIF(E166,H166,"d")</f>
        <v>3653</v>
      </c>
      <c r="M166" s="1195">
        <f t="shared" si="59"/>
        <v>20571051.391666666</v>
      </c>
      <c r="N166" s="1195">
        <f t="shared" si="74"/>
        <v>675753.12537640298</v>
      </c>
      <c r="O166" s="1196">
        <f>1778352658.37842+659964789</f>
        <v>2438317447.3784199</v>
      </c>
      <c r="P166" s="1194">
        <v>31</v>
      </c>
      <c r="Q166" s="1195">
        <f t="shared" si="77"/>
        <v>20948346.886668492</v>
      </c>
      <c r="R166" s="1195">
        <f t="shared" si="75"/>
        <v>51157066.508248612</v>
      </c>
      <c r="S166" s="1195">
        <f>J166-R166</f>
        <v>2417369100.4917512</v>
      </c>
      <c r="T166" s="1194"/>
      <c r="U166" s="1194"/>
      <c r="V166" s="1201" t="s">
        <v>1145</v>
      </c>
      <c r="W166" s="1197"/>
      <c r="X166" s="1197"/>
      <c r="Y166" s="1197">
        <v>627</v>
      </c>
      <c r="Z166" s="1197" t="s">
        <v>1158</v>
      </c>
      <c r="AA166" s="1197"/>
      <c r="AB166" s="1202">
        <v>0</v>
      </c>
      <c r="AC166" s="1202">
        <v>0</v>
      </c>
      <c r="AD166" s="1202">
        <v>0</v>
      </c>
      <c r="AE166" s="1202">
        <v>0</v>
      </c>
      <c r="AF166" s="1202">
        <v>0</v>
      </c>
      <c r="AG166" s="1202">
        <v>0</v>
      </c>
      <c r="AH166" s="1202">
        <v>0</v>
      </c>
      <c r="AI166" s="1202">
        <v>0</v>
      </c>
      <c r="AJ166" s="1202">
        <v>0</v>
      </c>
      <c r="AK166" s="1202">
        <v>15351972.266703177</v>
      </c>
      <c r="AL166" s="1202">
        <v>14856747.354874043</v>
      </c>
      <c r="AM166" s="1202">
        <v>20948346.886668492</v>
      </c>
      <c r="AN166" s="1197"/>
      <c r="AO166" s="1197">
        <v>627</v>
      </c>
      <c r="AP166" s="1197" t="s">
        <v>732</v>
      </c>
      <c r="AQ166" s="1197" t="s">
        <v>1158</v>
      </c>
      <c r="AR166" s="1201">
        <f t="shared" si="80"/>
        <v>0</v>
      </c>
      <c r="AS166" s="1198">
        <f t="shared" si="81"/>
        <v>2417369100.4917512</v>
      </c>
      <c r="AT166" s="1198">
        <f t="shared" si="82"/>
        <v>246852616.69999999</v>
      </c>
      <c r="AU166" s="1201">
        <f t="shared" si="83"/>
        <v>51157066.508245707</v>
      </c>
      <c r="AV166" s="1198">
        <f t="shared" si="64"/>
        <v>246852616.69999999</v>
      </c>
      <c r="AW166" s="1198">
        <f t="shared" si="65"/>
        <v>246852616.69999999</v>
      </c>
      <c r="AX166" s="1198">
        <f t="shared" si="66"/>
        <v>246852616.69999999</v>
      </c>
      <c r="AY166" s="1198">
        <f t="shared" si="67"/>
        <v>246852616.69999999</v>
      </c>
      <c r="AZ166" s="1198">
        <f t="shared" si="68"/>
        <v>246852616.69999999</v>
      </c>
      <c r="BA166" s="1198">
        <f t="shared" si="69"/>
        <v>246852616.69999999</v>
      </c>
      <c r="BB166" s="1198">
        <f t="shared" si="70"/>
        <v>246852616.69999999</v>
      </c>
      <c r="BC166" s="1198">
        <f t="shared" si="71"/>
        <v>246852616.69999999</v>
      </c>
      <c r="BD166" s="1198">
        <f t="shared" si="72"/>
        <v>246852616.69999999</v>
      </c>
      <c r="BE166" s="1198">
        <f t="shared" si="73"/>
        <v>195695550.19175148</v>
      </c>
    </row>
    <row r="167" spans="2:57" x14ac:dyDescent="0.25">
      <c r="B167" s="1221">
        <v>163</v>
      </c>
      <c r="C167" s="1193" t="s">
        <v>1261</v>
      </c>
      <c r="D167" s="1193" t="s">
        <v>1261</v>
      </c>
      <c r="E167" s="1199">
        <v>44930</v>
      </c>
      <c r="F167" s="1199">
        <v>45231</v>
      </c>
      <c r="G167" s="1194">
        <v>1</v>
      </c>
      <c r="H167" s="1199">
        <v>47058</v>
      </c>
      <c r="I167" s="1183">
        <v>380000000</v>
      </c>
      <c r="J167" s="1183">
        <v>380000000</v>
      </c>
      <c r="K167" s="1194">
        <f t="shared" si="78"/>
        <v>60</v>
      </c>
      <c r="L167" s="1194">
        <f t="shared" ref="L167:L173" si="84">DATEDIF(F167,H167,"d")</f>
        <v>1827</v>
      </c>
      <c r="M167" s="1195">
        <f t="shared" si="59"/>
        <v>6333333.333333333</v>
      </c>
      <c r="N167" s="1195">
        <f t="shared" si="74"/>
        <v>207991.2424740011</v>
      </c>
      <c r="O167" s="1183">
        <v>373760262.72577995</v>
      </c>
      <c r="P167" s="1194">
        <v>31</v>
      </c>
      <c r="Q167" s="1195">
        <f t="shared" si="77"/>
        <v>6447728.5166940344</v>
      </c>
      <c r="R167" s="1195">
        <f t="shared" si="75"/>
        <v>12687465.790914085</v>
      </c>
      <c r="S167" s="1195">
        <f t="shared" ref="S167:S173" si="85">J167-R167</f>
        <v>367312534.20908594</v>
      </c>
      <c r="T167" s="1194"/>
      <c r="U167" s="1194" t="s">
        <v>1103</v>
      </c>
      <c r="V167" s="1201" t="s">
        <v>1043</v>
      </c>
      <c r="W167" s="1197"/>
      <c r="X167" s="1197"/>
      <c r="Y167" s="1197">
        <v>627</v>
      </c>
      <c r="Z167" s="1197" t="s">
        <v>1048</v>
      </c>
      <c r="AA167" s="1197"/>
      <c r="AB167" s="1202">
        <v>0</v>
      </c>
      <c r="AC167" s="1202">
        <v>0</v>
      </c>
      <c r="AD167" s="1202">
        <v>0</v>
      </c>
      <c r="AE167" s="1202">
        <v>0</v>
      </c>
      <c r="AF167" s="1202">
        <v>0</v>
      </c>
      <c r="AG167" s="1202">
        <v>0</v>
      </c>
      <c r="AH167" s="1202">
        <v>0</v>
      </c>
      <c r="AI167" s="1202">
        <v>0</v>
      </c>
      <c r="AJ167" s="1202">
        <v>0</v>
      </c>
      <c r="AK167" s="1202">
        <v>0</v>
      </c>
      <c r="AL167" s="1202">
        <v>6239737.2742200335</v>
      </c>
      <c r="AM167" s="1202">
        <v>6447728.5166940344</v>
      </c>
      <c r="AN167" s="1197"/>
      <c r="AO167" s="1197">
        <v>627</v>
      </c>
      <c r="AP167" s="1197" t="s">
        <v>732</v>
      </c>
      <c r="AQ167" s="1204" t="s">
        <v>1048</v>
      </c>
      <c r="AR167" s="1201">
        <f t="shared" si="80"/>
        <v>0</v>
      </c>
      <c r="AS167" s="1198">
        <f t="shared" si="81"/>
        <v>367312534.20908594</v>
      </c>
      <c r="AT167" s="1198">
        <f t="shared" si="82"/>
        <v>76000000</v>
      </c>
      <c r="AU167" s="1201">
        <f t="shared" si="83"/>
        <v>12687465.790914068</v>
      </c>
      <c r="AV167" s="1198">
        <f t="shared" si="64"/>
        <v>76000000</v>
      </c>
      <c r="AW167" s="1198">
        <f t="shared" si="65"/>
        <v>76000000</v>
      </c>
      <c r="AX167" s="1198">
        <f t="shared" si="66"/>
        <v>76000000</v>
      </c>
      <c r="AY167" s="1198">
        <f t="shared" si="67"/>
        <v>76000000</v>
      </c>
      <c r="AZ167" s="1198">
        <f t="shared" si="68"/>
        <v>63312534.209085941</v>
      </c>
      <c r="BA167" s="1198">
        <f t="shared" si="69"/>
        <v>0</v>
      </c>
      <c r="BB167" s="1198">
        <f t="shared" si="70"/>
        <v>0</v>
      </c>
      <c r="BC167" s="1198">
        <f t="shared" si="71"/>
        <v>0</v>
      </c>
      <c r="BD167" s="1198">
        <f t="shared" si="72"/>
        <v>0</v>
      </c>
      <c r="BE167" s="1198">
        <f t="shared" si="73"/>
        <v>0</v>
      </c>
    </row>
    <row r="168" spans="2:57" x14ac:dyDescent="0.25">
      <c r="B168" s="1221">
        <v>164</v>
      </c>
      <c r="C168" s="1193" t="s">
        <v>1262</v>
      </c>
      <c r="D168" s="1193" t="s">
        <v>1263</v>
      </c>
      <c r="E168" s="1199">
        <v>45078</v>
      </c>
      <c r="F168" s="1199">
        <v>45231</v>
      </c>
      <c r="G168" s="1194">
        <v>1</v>
      </c>
      <c r="H168" s="1199">
        <v>47058</v>
      </c>
      <c r="I168" s="1183">
        <v>350000000</v>
      </c>
      <c r="J168" s="1183">
        <v>350000000</v>
      </c>
      <c r="K168" s="1194">
        <f t="shared" si="78"/>
        <v>60</v>
      </c>
      <c r="L168" s="1194">
        <f t="shared" si="84"/>
        <v>1827</v>
      </c>
      <c r="M168" s="1195">
        <f t="shared" si="59"/>
        <v>5833333.333333333</v>
      </c>
      <c r="N168" s="1195">
        <f t="shared" si="74"/>
        <v>191570.88122605364</v>
      </c>
      <c r="O168" s="1183">
        <v>344252873.56321841</v>
      </c>
      <c r="P168" s="1194">
        <v>31</v>
      </c>
      <c r="Q168" s="1195">
        <f t="shared" si="77"/>
        <v>5938697.3180076629</v>
      </c>
      <c r="R168" s="1195">
        <f t="shared" si="75"/>
        <v>11685823.754789248</v>
      </c>
      <c r="S168" s="1195">
        <f t="shared" si="85"/>
        <v>338314176.24521077</v>
      </c>
      <c r="T168" s="1194"/>
      <c r="U168" s="1194"/>
      <c r="V168" s="1201" t="s">
        <v>1043</v>
      </c>
      <c r="W168" s="1197"/>
      <c r="X168" s="1197"/>
      <c r="Y168" s="1197">
        <v>627</v>
      </c>
      <c r="Z168" s="1197" t="s">
        <v>1158</v>
      </c>
      <c r="AA168" s="1197"/>
      <c r="AB168" s="1202">
        <v>0</v>
      </c>
      <c r="AC168" s="1202">
        <v>0</v>
      </c>
      <c r="AD168" s="1202">
        <v>0</v>
      </c>
      <c r="AE168" s="1202">
        <v>0</v>
      </c>
      <c r="AF168" s="1202">
        <v>0</v>
      </c>
      <c r="AG168" s="1202">
        <v>0</v>
      </c>
      <c r="AH168" s="1202">
        <v>0</v>
      </c>
      <c r="AI168" s="1202">
        <v>0</v>
      </c>
      <c r="AJ168" s="1202">
        <v>0</v>
      </c>
      <c r="AK168" s="1202">
        <v>0</v>
      </c>
      <c r="AL168" s="1202">
        <v>5747126.4367816094</v>
      </c>
      <c r="AM168" s="1202">
        <v>5938697.3180076629</v>
      </c>
      <c r="AN168" s="1197"/>
      <c r="AO168" s="1197">
        <v>641</v>
      </c>
      <c r="AP168" s="1197" t="s">
        <v>1357</v>
      </c>
      <c r="AQ168" s="1197" t="s">
        <v>1383</v>
      </c>
      <c r="AR168" s="1201">
        <f t="shared" si="80"/>
        <v>0</v>
      </c>
      <c r="AS168" s="1198">
        <f t="shared" si="81"/>
        <v>338314176.24521077</v>
      </c>
      <c r="AT168" s="1198">
        <f t="shared" si="82"/>
        <v>70000000</v>
      </c>
      <c r="AU168" s="1201">
        <f t="shared" si="83"/>
        <v>11685823.754789272</v>
      </c>
      <c r="AV168" s="1198">
        <f t="shared" si="64"/>
        <v>70000000</v>
      </c>
      <c r="AW168" s="1198">
        <f t="shared" si="65"/>
        <v>70000000</v>
      </c>
      <c r="AX168" s="1198">
        <f t="shared" si="66"/>
        <v>70000000</v>
      </c>
      <c r="AY168" s="1198">
        <f t="shared" si="67"/>
        <v>70000000</v>
      </c>
      <c r="AZ168" s="1198">
        <f t="shared" si="68"/>
        <v>58314176.245210767</v>
      </c>
      <c r="BA168" s="1198">
        <f t="shared" si="69"/>
        <v>0</v>
      </c>
      <c r="BB168" s="1198">
        <f t="shared" si="70"/>
        <v>0</v>
      </c>
      <c r="BC168" s="1198">
        <f t="shared" si="71"/>
        <v>0</v>
      </c>
      <c r="BD168" s="1198">
        <f t="shared" si="72"/>
        <v>0</v>
      </c>
      <c r="BE168" s="1198">
        <f t="shared" si="73"/>
        <v>0</v>
      </c>
    </row>
    <row r="169" spans="2:57" x14ac:dyDescent="0.25">
      <c r="B169" s="1221">
        <v>165</v>
      </c>
      <c r="C169" s="1193" t="s">
        <v>1264</v>
      </c>
      <c r="D169" s="1193" t="s">
        <v>1265</v>
      </c>
      <c r="E169" s="1199">
        <v>45078</v>
      </c>
      <c r="F169" s="1199">
        <v>45231</v>
      </c>
      <c r="G169" s="1194">
        <v>1</v>
      </c>
      <c r="H169" s="1199">
        <v>47058</v>
      </c>
      <c r="I169" s="1183">
        <v>350000000</v>
      </c>
      <c r="J169" s="1183">
        <v>350000000</v>
      </c>
      <c r="K169" s="1194">
        <f t="shared" si="78"/>
        <v>60</v>
      </c>
      <c r="L169" s="1194">
        <f t="shared" si="84"/>
        <v>1827</v>
      </c>
      <c r="M169" s="1195">
        <f t="shared" si="59"/>
        <v>5833333.333333333</v>
      </c>
      <c r="N169" s="1195">
        <f t="shared" si="74"/>
        <v>191570.88122605364</v>
      </c>
      <c r="O169" s="1183">
        <v>344252873.56321841</v>
      </c>
      <c r="P169" s="1194">
        <v>31</v>
      </c>
      <c r="Q169" s="1195">
        <f t="shared" si="77"/>
        <v>5938697.3180076629</v>
      </c>
      <c r="R169" s="1195">
        <f t="shared" si="75"/>
        <v>11685823.754789248</v>
      </c>
      <c r="S169" s="1195">
        <f t="shared" si="85"/>
        <v>338314176.24521077</v>
      </c>
      <c r="T169" s="1194"/>
      <c r="U169" s="1194"/>
      <c r="V169" s="1201" t="s">
        <v>1043</v>
      </c>
      <c r="W169" s="1197"/>
      <c r="X169" s="1197"/>
      <c r="Y169" s="1197">
        <v>627</v>
      </c>
      <c r="Z169" s="1197" t="s">
        <v>1158</v>
      </c>
      <c r="AA169" s="1197"/>
      <c r="AB169" s="1202">
        <v>0</v>
      </c>
      <c r="AC169" s="1202">
        <v>0</v>
      </c>
      <c r="AD169" s="1202">
        <v>0</v>
      </c>
      <c r="AE169" s="1202">
        <v>0</v>
      </c>
      <c r="AF169" s="1202">
        <v>0</v>
      </c>
      <c r="AG169" s="1202">
        <v>0</v>
      </c>
      <c r="AH169" s="1202">
        <v>0</v>
      </c>
      <c r="AI169" s="1202">
        <v>0</v>
      </c>
      <c r="AJ169" s="1202">
        <v>0</v>
      </c>
      <c r="AK169" s="1202">
        <v>0</v>
      </c>
      <c r="AL169" s="1202">
        <v>5747126.4367816094</v>
      </c>
      <c r="AM169" s="1202">
        <v>5938697.3180076629</v>
      </c>
      <c r="AN169" s="1197"/>
      <c r="AO169" s="1197">
        <v>641</v>
      </c>
      <c r="AP169" s="1197" t="s">
        <v>1357</v>
      </c>
      <c r="AQ169" s="1197" t="s">
        <v>1383</v>
      </c>
      <c r="AR169" s="1201">
        <f t="shared" si="80"/>
        <v>0</v>
      </c>
      <c r="AS169" s="1198">
        <f t="shared" si="81"/>
        <v>338314176.24521077</v>
      </c>
      <c r="AT169" s="1198">
        <f t="shared" si="82"/>
        <v>70000000</v>
      </c>
      <c r="AU169" s="1201">
        <f t="shared" si="83"/>
        <v>11685823.754789272</v>
      </c>
      <c r="AV169" s="1198">
        <f t="shared" si="64"/>
        <v>70000000</v>
      </c>
      <c r="AW169" s="1198">
        <f t="shared" si="65"/>
        <v>70000000</v>
      </c>
      <c r="AX169" s="1198">
        <f t="shared" si="66"/>
        <v>70000000</v>
      </c>
      <c r="AY169" s="1198">
        <f t="shared" si="67"/>
        <v>70000000</v>
      </c>
      <c r="AZ169" s="1198">
        <f t="shared" si="68"/>
        <v>58314176.245210767</v>
      </c>
      <c r="BA169" s="1198">
        <f t="shared" si="69"/>
        <v>0</v>
      </c>
      <c r="BB169" s="1198">
        <f t="shared" si="70"/>
        <v>0</v>
      </c>
      <c r="BC169" s="1198">
        <f t="shared" si="71"/>
        <v>0</v>
      </c>
      <c r="BD169" s="1198">
        <f t="shared" si="72"/>
        <v>0</v>
      </c>
      <c r="BE169" s="1198">
        <f t="shared" si="73"/>
        <v>0</v>
      </c>
    </row>
    <row r="170" spans="2:57" x14ac:dyDescent="0.25">
      <c r="B170" s="1221">
        <v>166</v>
      </c>
      <c r="C170" s="1193" t="s">
        <v>1266</v>
      </c>
      <c r="D170" s="1193" t="s">
        <v>1267</v>
      </c>
      <c r="E170" s="1199">
        <v>45078</v>
      </c>
      <c r="F170" s="1199">
        <v>45231</v>
      </c>
      <c r="G170" s="1194">
        <v>1</v>
      </c>
      <c r="H170" s="1199">
        <v>47058</v>
      </c>
      <c r="I170" s="1183">
        <v>350000000</v>
      </c>
      <c r="J170" s="1183">
        <v>350000000</v>
      </c>
      <c r="K170" s="1194">
        <f t="shared" si="78"/>
        <v>60</v>
      </c>
      <c r="L170" s="1194">
        <f t="shared" si="84"/>
        <v>1827</v>
      </c>
      <c r="M170" s="1195">
        <f t="shared" si="59"/>
        <v>5833333.333333333</v>
      </c>
      <c r="N170" s="1195">
        <f t="shared" si="74"/>
        <v>191570.88122605364</v>
      </c>
      <c r="O170" s="1183">
        <v>344252873.56321841</v>
      </c>
      <c r="P170" s="1194">
        <v>31</v>
      </c>
      <c r="Q170" s="1195">
        <f t="shared" si="77"/>
        <v>5938697.3180076629</v>
      </c>
      <c r="R170" s="1195">
        <f t="shared" si="75"/>
        <v>11685823.754789248</v>
      </c>
      <c r="S170" s="1195">
        <f t="shared" si="85"/>
        <v>338314176.24521077</v>
      </c>
      <c r="T170" s="1194"/>
      <c r="U170" s="1194"/>
      <c r="V170" s="1201" t="s">
        <v>1043</v>
      </c>
      <c r="W170" s="1197"/>
      <c r="X170" s="1197"/>
      <c r="Y170" s="1197">
        <v>627</v>
      </c>
      <c r="Z170" s="1197" t="s">
        <v>1158</v>
      </c>
      <c r="AA170" s="1197"/>
      <c r="AB170" s="1202">
        <v>0</v>
      </c>
      <c r="AC170" s="1202">
        <v>0</v>
      </c>
      <c r="AD170" s="1202">
        <v>0</v>
      </c>
      <c r="AE170" s="1202">
        <v>0</v>
      </c>
      <c r="AF170" s="1202">
        <v>0</v>
      </c>
      <c r="AG170" s="1202">
        <v>0</v>
      </c>
      <c r="AH170" s="1202">
        <v>0</v>
      </c>
      <c r="AI170" s="1202">
        <v>0</v>
      </c>
      <c r="AJ170" s="1202">
        <v>0</v>
      </c>
      <c r="AK170" s="1202">
        <v>0</v>
      </c>
      <c r="AL170" s="1202">
        <v>5747126.4367816094</v>
      </c>
      <c r="AM170" s="1202">
        <v>5938697.3180076629</v>
      </c>
      <c r="AN170" s="1197"/>
      <c r="AO170" s="1197">
        <v>641</v>
      </c>
      <c r="AP170" s="1197" t="s">
        <v>1357</v>
      </c>
      <c r="AQ170" s="1197" t="s">
        <v>1383</v>
      </c>
      <c r="AR170" s="1201">
        <f t="shared" si="80"/>
        <v>0</v>
      </c>
      <c r="AS170" s="1198">
        <f t="shared" si="81"/>
        <v>338314176.24521077</v>
      </c>
      <c r="AT170" s="1198">
        <f t="shared" si="82"/>
        <v>70000000</v>
      </c>
      <c r="AU170" s="1201">
        <f t="shared" si="83"/>
        <v>11685823.754789272</v>
      </c>
      <c r="AV170" s="1198">
        <f t="shared" si="64"/>
        <v>70000000</v>
      </c>
      <c r="AW170" s="1198">
        <f t="shared" si="65"/>
        <v>70000000</v>
      </c>
      <c r="AX170" s="1198">
        <f t="shared" si="66"/>
        <v>70000000</v>
      </c>
      <c r="AY170" s="1198">
        <f t="shared" si="67"/>
        <v>70000000</v>
      </c>
      <c r="AZ170" s="1198">
        <f t="shared" si="68"/>
        <v>58314176.245210767</v>
      </c>
      <c r="BA170" s="1198">
        <f t="shared" si="69"/>
        <v>0</v>
      </c>
      <c r="BB170" s="1198">
        <f t="shared" si="70"/>
        <v>0</v>
      </c>
      <c r="BC170" s="1198">
        <f t="shared" si="71"/>
        <v>0</v>
      </c>
      <c r="BD170" s="1198">
        <f t="shared" si="72"/>
        <v>0</v>
      </c>
      <c r="BE170" s="1198">
        <f t="shared" si="73"/>
        <v>0</v>
      </c>
    </row>
    <row r="171" spans="2:57" x14ac:dyDescent="0.25">
      <c r="B171" s="1221">
        <v>167</v>
      </c>
      <c r="C171" s="1193" t="s">
        <v>1268</v>
      </c>
      <c r="D171" s="1193" t="s">
        <v>1269</v>
      </c>
      <c r="E171" s="1199">
        <v>45154</v>
      </c>
      <c r="F171" s="1199">
        <v>45231</v>
      </c>
      <c r="G171" s="1194">
        <v>1</v>
      </c>
      <c r="H171" s="1199">
        <v>47058</v>
      </c>
      <c r="I171" s="1183">
        <v>1830036910</v>
      </c>
      <c r="J171" s="1183">
        <v>1830036910</v>
      </c>
      <c r="K171" s="1194">
        <f t="shared" si="78"/>
        <v>60</v>
      </c>
      <c r="L171" s="1194">
        <f t="shared" si="84"/>
        <v>1827</v>
      </c>
      <c r="M171" s="1195">
        <f>J171/K171</f>
        <v>30500615.166666668</v>
      </c>
      <c r="N171" s="1195">
        <f>J171/L171</f>
        <v>1001662.2386425835</v>
      </c>
      <c r="O171" s="1183">
        <v>1799987042.8407226</v>
      </c>
      <c r="P171" s="1194">
        <v>31</v>
      </c>
      <c r="Q171" s="1195">
        <f t="shared" si="77"/>
        <v>31051529.397920087</v>
      </c>
      <c r="R171" s="1195">
        <f t="shared" si="75"/>
        <v>61101396.557197526</v>
      </c>
      <c r="S171" s="1195">
        <f t="shared" si="85"/>
        <v>1768935513.4428024</v>
      </c>
      <c r="T171" s="1194"/>
      <c r="U171" s="1194"/>
      <c r="V171" s="1201" t="s">
        <v>1043</v>
      </c>
      <c r="W171" s="1197"/>
      <c r="X171" s="1197"/>
      <c r="Y171" s="1197">
        <v>627</v>
      </c>
      <c r="Z171" s="1197" t="s">
        <v>1158</v>
      </c>
      <c r="AA171" s="1197"/>
      <c r="AB171" s="1202">
        <v>0</v>
      </c>
      <c r="AC171" s="1202">
        <v>0</v>
      </c>
      <c r="AD171" s="1202">
        <v>0</v>
      </c>
      <c r="AE171" s="1202">
        <v>0</v>
      </c>
      <c r="AF171" s="1202">
        <v>0</v>
      </c>
      <c r="AG171" s="1202">
        <v>0</v>
      </c>
      <c r="AH171" s="1202">
        <v>0</v>
      </c>
      <c r="AI171" s="1202">
        <v>0</v>
      </c>
      <c r="AJ171" s="1202">
        <v>0</v>
      </c>
      <c r="AK171" s="1202">
        <v>0</v>
      </c>
      <c r="AL171" s="1202">
        <v>30049867.159277506</v>
      </c>
      <c r="AM171" s="1202">
        <v>31051529.397920087</v>
      </c>
      <c r="AN171" s="1197"/>
      <c r="AO171" s="1197">
        <v>627</v>
      </c>
      <c r="AP171" s="1197" t="s">
        <v>732</v>
      </c>
      <c r="AQ171" s="1204" t="s">
        <v>1048</v>
      </c>
      <c r="AR171" s="1201">
        <f t="shared" si="80"/>
        <v>0</v>
      </c>
      <c r="AS171" s="1198">
        <f t="shared" si="81"/>
        <v>1768935513.4428024</v>
      </c>
      <c r="AT171" s="1198">
        <f t="shared" si="82"/>
        <v>366007382</v>
      </c>
      <c r="AU171" s="1201">
        <f t="shared" si="83"/>
        <v>61101396.557197593</v>
      </c>
      <c r="AV171" s="1198">
        <f t="shared" si="64"/>
        <v>366007382</v>
      </c>
      <c r="AW171" s="1198">
        <f t="shared" si="65"/>
        <v>366007382</v>
      </c>
      <c r="AX171" s="1198">
        <f t="shared" si="66"/>
        <v>366007382</v>
      </c>
      <c r="AY171" s="1198">
        <f t="shared" si="67"/>
        <v>366007382</v>
      </c>
      <c r="AZ171" s="1198">
        <f t="shared" si="68"/>
        <v>304905985.44280243</v>
      </c>
      <c r="BA171" s="1198">
        <f t="shared" si="69"/>
        <v>0</v>
      </c>
      <c r="BB171" s="1198">
        <f t="shared" si="70"/>
        <v>0</v>
      </c>
      <c r="BC171" s="1198">
        <f t="shared" si="71"/>
        <v>0</v>
      </c>
      <c r="BD171" s="1198">
        <f t="shared" si="72"/>
        <v>0</v>
      </c>
      <c r="BE171" s="1198">
        <f t="shared" si="73"/>
        <v>0</v>
      </c>
    </row>
    <row r="172" spans="2:57" x14ac:dyDescent="0.25">
      <c r="B172" s="1221">
        <v>168</v>
      </c>
      <c r="C172" s="1193" t="s">
        <v>1270</v>
      </c>
      <c r="D172" s="1193" t="s">
        <v>1271</v>
      </c>
      <c r="E172" s="1199">
        <v>45154</v>
      </c>
      <c r="F172" s="1199">
        <v>45231</v>
      </c>
      <c r="G172" s="1194">
        <v>1</v>
      </c>
      <c r="H172" s="1199">
        <v>47058</v>
      </c>
      <c r="I172" s="1183">
        <v>1830036910</v>
      </c>
      <c r="J172" s="1183">
        <v>1830036910</v>
      </c>
      <c r="K172" s="1194">
        <f t="shared" si="78"/>
        <v>60</v>
      </c>
      <c r="L172" s="1194">
        <f t="shared" si="84"/>
        <v>1827</v>
      </c>
      <c r="M172" s="1195">
        <f>J172/K172</f>
        <v>30500615.166666668</v>
      </c>
      <c r="N172" s="1195">
        <f>J172/L172</f>
        <v>1001662.2386425835</v>
      </c>
      <c r="O172" s="1183">
        <v>1799987042.8407226</v>
      </c>
      <c r="P172" s="1194">
        <v>31</v>
      </c>
      <c r="Q172" s="1195">
        <f t="shared" si="77"/>
        <v>31051529.397920087</v>
      </c>
      <c r="R172" s="1195">
        <f t="shared" si="75"/>
        <v>61101396.557197526</v>
      </c>
      <c r="S172" s="1195">
        <f t="shared" si="85"/>
        <v>1768935513.4428024</v>
      </c>
      <c r="T172" s="1194"/>
      <c r="U172" s="1194"/>
      <c r="V172" s="1201" t="s">
        <v>1043</v>
      </c>
      <c r="W172" s="1197"/>
      <c r="X172" s="1197"/>
      <c r="Y172" s="1197">
        <v>627</v>
      </c>
      <c r="Z172" s="1197" t="s">
        <v>1158</v>
      </c>
      <c r="AA172" s="1197"/>
      <c r="AB172" s="1202">
        <v>0</v>
      </c>
      <c r="AC172" s="1202">
        <v>0</v>
      </c>
      <c r="AD172" s="1202">
        <v>0</v>
      </c>
      <c r="AE172" s="1202">
        <v>0</v>
      </c>
      <c r="AF172" s="1202">
        <v>0</v>
      </c>
      <c r="AG172" s="1202">
        <v>0</v>
      </c>
      <c r="AH172" s="1202">
        <v>0</v>
      </c>
      <c r="AI172" s="1202">
        <v>0</v>
      </c>
      <c r="AJ172" s="1202">
        <v>0</v>
      </c>
      <c r="AK172" s="1202">
        <v>0</v>
      </c>
      <c r="AL172" s="1202">
        <v>30049867.159277506</v>
      </c>
      <c r="AM172" s="1202">
        <v>31051529.397920087</v>
      </c>
      <c r="AN172" s="1197"/>
      <c r="AO172" s="1197">
        <v>627</v>
      </c>
      <c r="AP172" s="1197" t="s">
        <v>732</v>
      </c>
      <c r="AQ172" s="1204" t="s">
        <v>1048</v>
      </c>
      <c r="AR172" s="1201">
        <f t="shared" si="80"/>
        <v>0</v>
      </c>
      <c r="AS172" s="1198">
        <f t="shared" si="81"/>
        <v>1768935513.4428024</v>
      </c>
      <c r="AT172" s="1198">
        <f t="shared" si="82"/>
        <v>366007382</v>
      </c>
      <c r="AU172" s="1201">
        <f t="shared" si="83"/>
        <v>61101396.557197593</v>
      </c>
      <c r="AV172" s="1198">
        <f t="shared" si="64"/>
        <v>366007382</v>
      </c>
      <c r="AW172" s="1198">
        <f t="shared" si="65"/>
        <v>366007382</v>
      </c>
      <c r="AX172" s="1198">
        <f t="shared" si="66"/>
        <v>366007382</v>
      </c>
      <c r="AY172" s="1198">
        <f t="shared" si="67"/>
        <v>366007382</v>
      </c>
      <c r="AZ172" s="1198">
        <f t="shared" si="68"/>
        <v>304905985.44280243</v>
      </c>
      <c r="BA172" s="1198">
        <f t="shared" si="69"/>
        <v>0</v>
      </c>
      <c r="BB172" s="1198">
        <f t="shared" si="70"/>
        <v>0</v>
      </c>
      <c r="BC172" s="1198">
        <f t="shared" si="71"/>
        <v>0</v>
      </c>
      <c r="BD172" s="1198">
        <f t="shared" si="72"/>
        <v>0</v>
      </c>
      <c r="BE172" s="1198">
        <f t="shared" si="73"/>
        <v>0</v>
      </c>
    </row>
    <row r="173" spans="2:57" x14ac:dyDescent="0.25">
      <c r="B173" s="1221">
        <v>169</v>
      </c>
      <c r="C173" s="1193" t="s">
        <v>1272</v>
      </c>
      <c r="D173" s="1193" t="s">
        <v>1273</v>
      </c>
      <c r="E173" s="1199">
        <v>45017</v>
      </c>
      <c r="F173" s="1199">
        <v>45231</v>
      </c>
      <c r="G173" s="1194">
        <v>1</v>
      </c>
      <c r="H173" s="1199">
        <v>46327</v>
      </c>
      <c r="I173" s="1183">
        <v>35000000</v>
      </c>
      <c r="J173" s="1183">
        <v>35000000</v>
      </c>
      <c r="K173" s="1194">
        <f t="shared" si="78"/>
        <v>36</v>
      </c>
      <c r="L173" s="1194">
        <f t="shared" si="84"/>
        <v>1096</v>
      </c>
      <c r="M173" s="1195">
        <f>J173/K173</f>
        <v>972222.22222222225</v>
      </c>
      <c r="N173" s="1195">
        <f>J173/L173</f>
        <v>31934.306569343065</v>
      </c>
      <c r="O173" s="1183">
        <v>34041970.802919708</v>
      </c>
      <c r="P173" s="1194">
        <v>31</v>
      </c>
      <c r="Q173" s="1195">
        <f t="shared" si="77"/>
        <v>989963.50364963501</v>
      </c>
      <c r="R173" s="1195">
        <f t="shared" si="75"/>
        <v>1947992.7007299268</v>
      </c>
      <c r="S173" s="1195">
        <f t="shared" si="85"/>
        <v>33052007.299270075</v>
      </c>
      <c r="T173" s="1194"/>
      <c r="U173" s="1194"/>
      <c r="V173" s="1201" t="s">
        <v>1164</v>
      </c>
      <c r="W173" s="1197"/>
      <c r="X173" s="1197"/>
      <c r="Y173" s="1197">
        <v>627</v>
      </c>
      <c r="Z173" s="1197" t="s">
        <v>809</v>
      </c>
      <c r="AA173" s="1197"/>
      <c r="AB173" s="1202">
        <v>0</v>
      </c>
      <c r="AC173" s="1202">
        <v>0</v>
      </c>
      <c r="AD173" s="1202">
        <v>0</v>
      </c>
      <c r="AE173" s="1202">
        <v>0</v>
      </c>
      <c r="AF173" s="1202">
        <v>0</v>
      </c>
      <c r="AG173" s="1202">
        <v>0</v>
      </c>
      <c r="AH173" s="1202">
        <v>0</v>
      </c>
      <c r="AI173" s="1202">
        <v>0</v>
      </c>
      <c r="AJ173" s="1202">
        <v>0</v>
      </c>
      <c r="AK173" s="1202">
        <v>0</v>
      </c>
      <c r="AL173" s="1202">
        <v>958029.19708029192</v>
      </c>
      <c r="AM173" s="1202">
        <v>989963.50364963501</v>
      </c>
      <c r="AN173" s="1197"/>
      <c r="AO173" s="1197">
        <v>641</v>
      </c>
      <c r="AP173" s="1197" t="s">
        <v>1357</v>
      </c>
      <c r="AQ173" s="1194" t="s">
        <v>1359</v>
      </c>
      <c r="AR173" s="1201">
        <f t="shared" si="80"/>
        <v>0</v>
      </c>
      <c r="AS173" s="1198">
        <f t="shared" si="81"/>
        <v>33052007.299270075</v>
      </c>
      <c r="AT173" s="1198">
        <f t="shared" si="82"/>
        <v>11666666.666666668</v>
      </c>
      <c r="AU173" s="1201">
        <f t="shared" si="83"/>
        <v>1947992.700729927</v>
      </c>
      <c r="AV173" s="1198">
        <f t="shared" si="64"/>
        <v>11666666.666666668</v>
      </c>
      <c r="AW173" s="1198">
        <f t="shared" si="65"/>
        <v>11666666.666666668</v>
      </c>
      <c r="AX173" s="1198">
        <f t="shared" si="66"/>
        <v>9718673.965936739</v>
      </c>
      <c r="AY173" s="1198">
        <f t="shared" si="67"/>
        <v>0</v>
      </c>
      <c r="AZ173" s="1198">
        <f t="shared" si="68"/>
        <v>0</v>
      </c>
      <c r="BA173" s="1198">
        <f t="shared" si="69"/>
        <v>0</v>
      </c>
      <c r="BB173" s="1198">
        <f t="shared" si="70"/>
        <v>0</v>
      </c>
      <c r="BC173" s="1198">
        <f t="shared" si="71"/>
        <v>0</v>
      </c>
      <c r="BD173" s="1198">
        <f t="shared" si="72"/>
        <v>0</v>
      </c>
      <c r="BE173" s="1198">
        <f t="shared" si="73"/>
        <v>0</v>
      </c>
    </row>
    <row r="174" spans="2:57" x14ac:dyDescent="0.25">
      <c r="B174" s="1221">
        <v>170</v>
      </c>
      <c r="C174" s="1193" t="s">
        <v>1274</v>
      </c>
      <c r="D174" s="1193" t="s">
        <v>1275</v>
      </c>
      <c r="E174" s="1199">
        <v>45261</v>
      </c>
      <c r="F174" s="1199">
        <v>45261</v>
      </c>
      <c r="G174" s="1194">
        <v>1</v>
      </c>
      <c r="H174" s="1199">
        <v>46357</v>
      </c>
      <c r="I174" s="1183">
        <v>48000000</v>
      </c>
      <c r="J174" s="1183">
        <v>48000000</v>
      </c>
      <c r="K174" s="1194">
        <v>36</v>
      </c>
      <c r="L174" s="1194">
        <f>DATEDIF(F174,H174,"d")</f>
        <v>1096</v>
      </c>
      <c r="M174" s="1195">
        <f>J174/K174</f>
        <v>1333333.3333333333</v>
      </c>
      <c r="N174" s="1195">
        <f>J174/L174</f>
        <v>43795.620437956204</v>
      </c>
      <c r="O174" s="1183">
        <v>48000000</v>
      </c>
      <c r="P174" s="1194">
        <v>31</v>
      </c>
      <c r="Q174" s="1195">
        <f t="shared" si="77"/>
        <v>1357664.2335766423</v>
      </c>
      <c r="R174" s="1195">
        <f t="shared" si="75"/>
        <v>1357664.2335766423</v>
      </c>
      <c r="S174" s="1195">
        <f>J174-R174</f>
        <v>46642335.76642336</v>
      </c>
      <c r="T174" s="1194"/>
      <c r="U174" s="1194"/>
      <c r="V174" s="1201" t="s">
        <v>1276</v>
      </c>
      <c r="W174" s="1197"/>
      <c r="X174" s="1197"/>
      <c r="Y174" s="1197">
        <v>627</v>
      </c>
      <c r="Z174" s="1197" t="s">
        <v>809</v>
      </c>
      <c r="AA174" s="1197"/>
      <c r="AB174" s="1202">
        <v>0</v>
      </c>
      <c r="AC174" s="1202">
        <v>0</v>
      </c>
      <c r="AD174" s="1202">
        <v>0</v>
      </c>
      <c r="AE174" s="1202">
        <v>0</v>
      </c>
      <c r="AF174" s="1202">
        <v>0</v>
      </c>
      <c r="AG174" s="1202">
        <v>0</v>
      </c>
      <c r="AH174" s="1202">
        <v>0</v>
      </c>
      <c r="AI174" s="1202">
        <v>0</v>
      </c>
      <c r="AJ174" s="1202">
        <v>0</v>
      </c>
      <c r="AK174" s="1202">
        <v>0</v>
      </c>
      <c r="AL174" s="1202">
        <v>0</v>
      </c>
      <c r="AM174" s="1202">
        <v>1357664.2335766423</v>
      </c>
      <c r="AN174" s="1197"/>
      <c r="AO174" s="1197">
        <v>641</v>
      </c>
      <c r="AP174" s="1197" t="s">
        <v>1357</v>
      </c>
      <c r="AQ174" s="1194" t="s">
        <v>1359</v>
      </c>
      <c r="AR174" s="1201">
        <f t="shared" si="80"/>
        <v>0</v>
      </c>
      <c r="AS174" s="1198">
        <f t="shared" si="81"/>
        <v>46642335.76642336</v>
      </c>
      <c r="AT174" s="1198">
        <f t="shared" si="82"/>
        <v>16000000</v>
      </c>
      <c r="AU174" s="1201">
        <f t="shared" si="83"/>
        <v>1357664.2335766423</v>
      </c>
      <c r="AV174" s="1198">
        <f t="shared" si="64"/>
        <v>16000000</v>
      </c>
      <c r="AW174" s="1198">
        <f t="shared" si="65"/>
        <v>16000000</v>
      </c>
      <c r="AX174" s="1198">
        <f t="shared" si="66"/>
        <v>14642335.76642336</v>
      </c>
      <c r="AY174" s="1198">
        <f t="shared" si="67"/>
        <v>0</v>
      </c>
      <c r="AZ174" s="1198">
        <f t="shared" si="68"/>
        <v>0</v>
      </c>
      <c r="BA174" s="1198">
        <f t="shared" si="69"/>
        <v>0</v>
      </c>
      <c r="BB174" s="1198">
        <f t="shared" si="70"/>
        <v>0</v>
      </c>
      <c r="BC174" s="1198">
        <f t="shared" si="71"/>
        <v>0</v>
      </c>
      <c r="BD174" s="1198">
        <f t="shared" si="72"/>
        <v>0</v>
      </c>
      <c r="BE174" s="1198">
        <f t="shared" si="73"/>
        <v>0</v>
      </c>
    </row>
    <row r="175" spans="2:57" x14ac:dyDescent="0.25">
      <c r="B175" s="1221"/>
      <c r="C175" s="1193" t="s">
        <v>1354</v>
      </c>
      <c r="D175" s="1193" t="s">
        <v>1355</v>
      </c>
      <c r="E175" s="1199"/>
      <c r="F175" s="1199"/>
      <c r="G175" s="1194"/>
      <c r="H175" s="1199"/>
      <c r="I175" s="1183"/>
      <c r="J175" s="1183"/>
      <c r="K175" s="1194"/>
      <c r="L175" s="1194"/>
      <c r="M175" s="1195"/>
      <c r="N175" s="1195"/>
      <c r="O175" s="1183"/>
      <c r="P175" s="1194"/>
      <c r="Q175" s="1195"/>
      <c r="R175" s="1195"/>
      <c r="S175" s="1195"/>
      <c r="T175" s="1194"/>
      <c r="U175" s="1194"/>
      <c r="V175" s="1201"/>
      <c r="W175" s="1197"/>
      <c r="X175" s="1197"/>
      <c r="Y175" s="1197"/>
      <c r="Z175" s="1197"/>
      <c r="AA175" s="1197"/>
      <c r="AB175" s="1202"/>
      <c r="AC175" s="1202"/>
      <c r="AD175" s="1202"/>
      <c r="AE175" s="1202"/>
      <c r="AF175" s="1202"/>
      <c r="AG175" s="1202"/>
      <c r="AH175" s="1202"/>
      <c r="AI175" s="1202"/>
      <c r="AJ175" s="1202"/>
      <c r="AK175" s="1202"/>
      <c r="AL175" s="1202"/>
      <c r="AM175" s="1202"/>
      <c r="AN175" s="1197"/>
      <c r="AO175" s="1197">
        <v>641</v>
      </c>
      <c r="AP175" s="1197" t="s">
        <v>1357</v>
      </c>
      <c r="AQ175" s="1197" t="s">
        <v>652</v>
      </c>
      <c r="AR175" s="1201"/>
      <c r="AS175" s="1198"/>
      <c r="AT175" s="1198"/>
      <c r="AU175" s="1201">
        <v>680000000</v>
      </c>
      <c r="AV175" s="1201">
        <v>680000000</v>
      </c>
      <c r="AW175" s="1201">
        <v>680000000</v>
      </c>
      <c r="AX175" s="1201">
        <v>680000000</v>
      </c>
      <c r="AY175" s="1201">
        <v>680000000</v>
      </c>
      <c r="AZ175" s="1201">
        <v>680000000</v>
      </c>
      <c r="BA175" s="1201">
        <v>680000000</v>
      </c>
      <c r="BB175" s="1201">
        <v>680000000</v>
      </c>
      <c r="BC175" s="1201">
        <v>680000000</v>
      </c>
      <c r="BD175" s="1201">
        <v>680000000</v>
      </c>
      <c r="BE175" s="1201">
        <v>680000000</v>
      </c>
    </row>
    <row r="176" spans="2:57" s="1263" customFormat="1" x14ac:dyDescent="0.25">
      <c r="B176" s="1254">
        <v>171</v>
      </c>
      <c r="C176" s="1255" t="s">
        <v>1277</v>
      </c>
      <c r="D176" s="1255" t="s">
        <v>1278</v>
      </c>
      <c r="E176" s="1256">
        <v>45261</v>
      </c>
      <c r="F176" s="1256">
        <v>45261</v>
      </c>
      <c r="G176" s="1257">
        <v>1</v>
      </c>
      <c r="H176" s="1256">
        <v>52566</v>
      </c>
      <c r="I176" s="1258">
        <v>15655159765</v>
      </c>
      <c r="J176" s="1258">
        <v>15655159765</v>
      </c>
      <c r="K176" s="1257">
        <v>240</v>
      </c>
      <c r="L176" s="1257">
        <f>DATEDIF(F176,H176,"d")</f>
        <v>7305</v>
      </c>
      <c r="M176" s="1259">
        <f>J176/K176</f>
        <v>65229832.354166664</v>
      </c>
      <c r="N176" s="1259">
        <f>J176/L176</f>
        <v>2143074.5742642027</v>
      </c>
      <c r="O176" s="1258">
        <v>15655159765</v>
      </c>
      <c r="P176" s="1257">
        <v>31</v>
      </c>
      <c r="Q176" s="1259">
        <f t="shared" si="77"/>
        <v>66435311.802190281</v>
      </c>
      <c r="R176" s="1259">
        <f t="shared" si="75"/>
        <v>66435311.802190281</v>
      </c>
      <c r="S176" s="1259">
        <f>J176-R176</f>
        <v>15588724453.197809</v>
      </c>
      <c r="T176" s="1257"/>
      <c r="U176" s="1257"/>
      <c r="V176" s="1260" t="s">
        <v>1145</v>
      </c>
      <c r="W176" s="1261"/>
      <c r="X176" s="1261"/>
      <c r="Y176" s="1261">
        <v>627</v>
      </c>
      <c r="Z176" s="1261" t="s">
        <v>652</v>
      </c>
      <c r="AA176" s="1261"/>
      <c r="AB176" s="1258">
        <v>0</v>
      </c>
      <c r="AC176" s="1258">
        <v>0</v>
      </c>
      <c r="AD176" s="1258">
        <v>0</v>
      </c>
      <c r="AE176" s="1258">
        <v>0</v>
      </c>
      <c r="AF176" s="1258">
        <v>0</v>
      </c>
      <c r="AG176" s="1258">
        <v>0</v>
      </c>
      <c r="AH176" s="1258">
        <v>0</v>
      </c>
      <c r="AI176" s="1258">
        <v>0</v>
      </c>
      <c r="AJ176" s="1258">
        <v>0</v>
      </c>
      <c r="AK176" s="1258">
        <v>0</v>
      </c>
      <c r="AL176" s="1258">
        <v>0</v>
      </c>
      <c r="AM176" s="1258">
        <v>66435311.802190281</v>
      </c>
      <c r="AN176" s="1261"/>
      <c r="AO176" s="1261">
        <v>627</v>
      </c>
      <c r="AP176" s="1197"/>
      <c r="AQ176" s="1261" t="s">
        <v>652</v>
      </c>
      <c r="AR176" s="1260">
        <f>AS176-SUM(AV176:BE176)</f>
        <v>7761144570.6978092</v>
      </c>
      <c r="AS176" s="1262">
        <f>S176</f>
        <v>15588724453.197809</v>
      </c>
      <c r="AT176" s="1262">
        <f>M176*12</f>
        <v>782757988.25</v>
      </c>
      <c r="AU176" s="1260">
        <f>SUM(AB176:AM176)</f>
        <v>66435311.802190281</v>
      </c>
      <c r="AV176" s="1198">
        <f t="shared" si="64"/>
        <v>782757988.25</v>
      </c>
      <c r="AW176" s="1262">
        <f t="shared" si="65"/>
        <v>782757988.25</v>
      </c>
      <c r="AX176" s="1262">
        <f t="shared" si="66"/>
        <v>782757988.25</v>
      </c>
      <c r="AY176" s="1262">
        <f t="shared" si="67"/>
        <v>782757988.25</v>
      </c>
      <c r="AZ176" s="1262">
        <f t="shared" si="68"/>
        <v>782757988.25</v>
      </c>
      <c r="BA176" s="1262">
        <f t="shared" si="69"/>
        <v>782757988.25</v>
      </c>
      <c r="BB176" s="1262">
        <f t="shared" si="70"/>
        <v>782757988.25</v>
      </c>
      <c r="BC176" s="1262">
        <f t="shared" si="71"/>
        <v>782757988.25</v>
      </c>
      <c r="BD176" s="1262">
        <f t="shared" si="72"/>
        <v>782757988.25</v>
      </c>
      <c r="BE176" s="1262">
        <f t="shared" si="73"/>
        <v>782757988.25</v>
      </c>
    </row>
    <row r="177" spans="2:59" s="1192" customFormat="1" x14ac:dyDescent="0.25">
      <c r="B177" s="1191"/>
      <c r="C177" s="1224"/>
      <c r="D177" s="1225"/>
      <c r="E177" s="1225"/>
      <c r="F177" s="1225"/>
      <c r="G177" s="1225"/>
      <c r="H177" s="1225"/>
      <c r="I177" s="1226"/>
      <c r="J177" s="1226"/>
      <c r="K177" s="1226"/>
      <c r="L177" s="1226"/>
      <c r="M177" s="1226"/>
      <c r="N177" s="1226"/>
      <c r="O177" s="1226"/>
      <c r="P177" s="1226"/>
      <c r="Q177" s="1227"/>
      <c r="R177" s="1226"/>
      <c r="S177" s="1226"/>
      <c r="T177" s="1226"/>
      <c r="U177" s="1226"/>
      <c r="AS177" s="1227"/>
      <c r="AT177" s="1227"/>
      <c r="AU177" s="1227">
        <f>SUM(AU5:AU176)</f>
        <v>26940155998.575275</v>
      </c>
      <c r="AV177" s="1227">
        <f>SUM(AV5:AV176)</f>
        <v>21769472424.360901</v>
      </c>
      <c r="AW177" s="1227">
        <f t="shared" ref="AW177:BE177" si="86">SUM(AW5:AW176)</f>
        <v>20540430881.023365</v>
      </c>
      <c r="AX177" s="1227">
        <f t="shared" si="86"/>
        <v>16297419916.738539</v>
      </c>
      <c r="AY177" s="1227">
        <f t="shared" si="86"/>
        <v>8049633645.7803488</v>
      </c>
      <c r="AZ177" s="1227">
        <f t="shared" si="86"/>
        <v>6043853522.9034615</v>
      </c>
      <c r="BA177" s="1227">
        <f t="shared" si="86"/>
        <v>3737998350.0405788</v>
      </c>
      <c r="BB177" s="1227">
        <f t="shared" si="86"/>
        <v>3737998350.0405788</v>
      </c>
      <c r="BC177" s="1227">
        <f t="shared" si="86"/>
        <v>3266971908.8526373</v>
      </c>
      <c r="BD177" s="1227">
        <f t="shared" si="86"/>
        <v>2654609055.1603737</v>
      </c>
      <c r="BE177" s="1227">
        <f t="shared" si="86"/>
        <v>2402647074.3373137</v>
      </c>
    </row>
    <row r="178" spans="2:59" s="1189" customFormat="1" x14ac:dyDescent="0.25">
      <c r="B178" s="1222"/>
      <c r="C178" s="1188"/>
      <c r="D178" s="1188"/>
      <c r="E178" s="1188"/>
      <c r="F178" s="1188"/>
      <c r="G178" s="1188"/>
      <c r="H178" s="1188"/>
      <c r="I178" s="1188"/>
      <c r="J178" s="1188"/>
      <c r="K178" s="1188"/>
      <c r="L178" s="1188"/>
      <c r="M178" s="1188"/>
      <c r="N178" s="1188"/>
      <c r="O178" s="1188"/>
      <c r="P178" s="1188"/>
      <c r="Q178" s="1206"/>
      <c r="R178" s="1188"/>
      <c r="S178" s="1188"/>
      <c r="T178" s="1188"/>
      <c r="U178" s="1188"/>
      <c r="V178" s="1188"/>
      <c r="W178" s="1188"/>
      <c r="X178" s="1188"/>
      <c r="Y178" s="1188"/>
      <c r="Z178" s="1188"/>
      <c r="AA178" s="1188"/>
      <c r="AB178" s="1188"/>
      <c r="AC178" s="1188"/>
      <c r="AD178" s="1188"/>
      <c r="AE178" s="1188"/>
      <c r="AF178" s="1188"/>
      <c r="AG178" s="1188"/>
      <c r="AH178" s="1188"/>
      <c r="AI178" s="1188"/>
      <c r="AJ178" s="1188"/>
      <c r="AK178" s="1188"/>
      <c r="AL178" s="1188"/>
      <c r="AM178" s="1188"/>
      <c r="AN178" s="1188"/>
      <c r="AO178" s="1188"/>
      <c r="AP178" s="1188"/>
      <c r="AQ178" s="1188"/>
      <c r="AR178" s="1188"/>
      <c r="AU178" s="1188"/>
      <c r="BF178" s="1188"/>
      <c r="BG178" s="1188"/>
    </row>
    <row r="179" spans="2:59" s="1189" customFormat="1" x14ac:dyDescent="0.25">
      <c r="B179" s="1222"/>
      <c r="C179" s="1188" t="s">
        <v>1279</v>
      </c>
      <c r="D179" s="1207">
        <v>13589000000</v>
      </c>
      <c r="E179" s="1188"/>
      <c r="F179" s="1188"/>
      <c r="G179" s="1188"/>
      <c r="H179" s="1188" t="s">
        <v>1280</v>
      </c>
      <c r="I179" s="1207">
        <v>6500000000</v>
      </c>
      <c r="J179" s="1188" t="s">
        <v>1164</v>
      </c>
      <c r="K179" s="1188"/>
      <c r="L179" s="1188"/>
      <c r="M179" s="1188"/>
      <c r="N179" s="1188"/>
      <c r="O179" s="1207"/>
      <c r="P179" s="1188"/>
      <c r="Q179" s="1207"/>
      <c r="R179" s="1206"/>
      <c r="S179" s="1188"/>
      <c r="T179" s="1188"/>
      <c r="U179" s="1188"/>
      <c r="V179" s="1188"/>
      <c r="W179" s="1188"/>
      <c r="X179" s="1188"/>
      <c r="Y179" s="1188"/>
      <c r="Z179" s="1188"/>
      <c r="AA179" s="1188"/>
      <c r="AB179" s="1207">
        <f>SUBTOTAL(9,AB5:AB176)</f>
        <v>2194470098.3275294</v>
      </c>
      <c r="AC179" s="1207">
        <f t="shared" ref="AC179:AM179" si="87">SUBTOTAL(9,AC5:AC176)</f>
        <v>1975590396.3888559</v>
      </c>
      <c r="AD179" s="1207">
        <f t="shared" si="87"/>
        <v>2187260796.0019474</v>
      </c>
      <c r="AE179" s="1207">
        <f t="shared" si="87"/>
        <v>2116703996.1309164</v>
      </c>
      <c r="AF179" s="1207">
        <f t="shared" si="87"/>
        <v>2187260796.0019474</v>
      </c>
      <c r="AG179" s="1207">
        <f t="shared" si="87"/>
        <v>2126543170.8058741</v>
      </c>
      <c r="AH179" s="1207">
        <f t="shared" si="87"/>
        <v>2197427943.16607</v>
      </c>
      <c r="AI179" s="1207">
        <f t="shared" si="87"/>
        <v>2208602361.7707214</v>
      </c>
      <c r="AJ179" s="1207">
        <f t="shared" si="87"/>
        <v>2162816647.1726193</v>
      </c>
      <c r="AK179" s="1207">
        <f t="shared" si="87"/>
        <v>2250262507.6784101</v>
      </c>
      <c r="AL179" s="1207">
        <f t="shared" si="87"/>
        <v>2262212274.6276927</v>
      </c>
      <c r="AM179" s="1207">
        <f t="shared" si="87"/>
        <v>2391005010.5027099</v>
      </c>
      <c r="AN179" s="1188"/>
      <c r="AO179" s="1188"/>
      <c r="AP179" s="1188"/>
      <c r="AQ179" s="1188"/>
      <c r="AR179" s="1188"/>
      <c r="AU179" s="1206"/>
      <c r="BF179" s="1188"/>
      <c r="BG179" s="1188"/>
    </row>
    <row r="180" spans="2:59" s="1189" customFormat="1" x14ac:dyDescent="0.25">
      <c r="B180" s="1222"/>
      <c r="C180" s="1188"/>
      <c r="D180" s="1188"/>
      <c r="E180" s="1188"/>
      <c r="F180" s="1188"/>
      <c r="G180" s="1188"/>
      <c r="H180" s="1188" t="s">
        <v>1281</v>
      </c>
      <c r="I180" s="1207">
        <v>1100000000</v>
      </c>
      <c r="J180" s="1188" t="s">
        <v>1164</v>
      </c>
      <c r="K180" s="1188"/>
      <c r="L180" s="1188"/>
      <c r="M180" s="1188"/>
      <c r="N180" s="1188"/>
      <c r="O180" s="1206"/>
      <c r="P180" s="1188"/>
      <c r="Q180" s="1206"/>
      <c r="R180" s="1188"/>
      <c r="S180" s="1206"/>
      <c r="T180" s="1188"/>
      <c r="U180" s="1188"/>
      <c r="V180" s="1188"/>
      <c r="W180" s="1188"/>
      <c r="X180" s="1188"/>
      <c r="Y180" s="1188"/>
      <c r="Z180" s="1188"/>
      <c r="AA180" s="1188"/>
      <c r="AB180" s="1207">
        <f>AB179-'[30]T1.23'!P164</f>
        <v>0</v>
      </c>
      <c r="AC180" s="1206">
        <f>AC179-'[30]T2.23'!P164</f>
        <v>0</v>
      </c>
      <c r="AD180" s="1206">
        <f>AD179-'[30]T3.23'!P164</f>
        <v>0</v>
      </c>
      <c r="AE180" s="1206">
        <f>AE179-'[30]T4.23'!P164</f>
        <v>0</v>
      </c>
      <c r="AF180" s="1206">
        <f>AF179-'[30]T5.23'!P164</f>
        <v>0</v>
      </c>
      <c r="AG180" s="1206">
        <f>AG179-'[30]T6.23'!P168</f>
        <v>0</v>
      </c>
      <c r="AH180" s="1206">
        <f>AH179-'[30]T7.23'!P168</f>
        <v>0</v>
      </c>
      <c r="AI180" s="1206">
        <f>AI179-'[30]T8.23'!P167</f>
        <v>0</v>
      </c>
      <c r="AJ180" s="1206">
        <f>AJ179-'[30]T9.23'!P167</f>
        <v>0</v>
      </c>
      <c r="AK180" s="1206">
        <f>AK179-'[30]T10.23'!P167</f>
        <v>0</v>
      </c>
      <c r="AL180" s="1206">
        <f>AL179-'[30]T11.23'!P174</f>
        <v>0</v>
      </c>
      <c r="AM180" s="1206">
        <f>AM179-Q177</f>
        <v>2391005010.5027099</v>
      </c>
      <c r="AN180" s="1188"/>
      <c r="AO180" s="1188"/>
      <c r="AP180" s="1188"/>
      <c r="AQ180" s="1204"/>
      <c r="AR180" s="1204"/>
      <c r="AS180" s="1225" t="s">
        <v>0</v>
      </c>
      <c r="AU180" s="1188"/>
      <c r="BF180" s="1188"/>
      <c r="BG180" s="1188"/>
    </row>
    <row r="181" spans="2:59" s="1189" customFormat="1" x14ac:dyDescent="0.25">
      <c r="B181" s="1222"/>
      <c r="C181" s="1188"/>
      <c r="D181" s="1205">
        <v>9798200682.6601734</v>
      </c>
      <c r="E181" s="1188"/>
      <c r="F181" s="1188"/>
      <c r="G181" s="1188"/>
      <c r="H181" s="1188"/>
      <c r="I181" s="1207"/>
      <c r="J181" s="1207"/>
      <c r="K181" s="1188"/>
      <c r="L181" s="1188"/>
      <c r="M181" s="1188"/>
      <c r="N181" s="1188"/>
      <c r="O181" s="1206"/>
      <c r="P181" s="1188"/>
      <c r="Q181" s="1206"/>
      <c r="R181" s="1188"/>
      <c r="S181" s="1206"/>
      <c r="T181" s="1188"/>
      <c r="U181" s="1188"/>
      <c r="V181" s="1188"/>
      <c r="W181" s="1188"/>
      <c r="X181" s="1188"/>
      <c r="Y181" s="1188"/>
      <c r="Z181" s="1188"/>
      <c r="AA181" s="1188"/>
      <c r="AB181" s="1188"/>
      <c r="AC181" s="1188"/>
      <c r="AD181" s="1188"/>
      <c r="AE181" s="1188"/>
      <c r="AF181" s="1188"/>
      <c r="AG181" s="1188"/>
      <c r="AH181" s="1188"/>
      <c r="AI181" s="1188"/>
      <c r="AJ181" s="1188"/>
      <c r="AK181" s="1188"/>
      <c r="AL181" s="1188"/>
      <c r="AM181" s="1188"/>
      <c r="AN181" s="1188"/>
      <c r="AO181" s="1188"/>
      <c r="AP181" s="1188"/>
      <c r="AQ181" s="1204" t="s">
        <v>809</v>
      </c>
      <c r="AR181" s="1204"/>
      <c r="AS181" s="1236">
        <v>235516453357</v>
      </c>
      <c r="AU181" s="1188"/>
      <c r="BF181" s="1188"/>
      <c r="BG181" s="1188"/>
    </row>
    <row r="182" spans="2:59" s="1189" customFormat="1" x14ac:dyDescent="0.25">
      <c r="B182" s="1222"/>
      <c r="C182" s="1188"/>
      <c r="D182" s="1207">
        <f>SUBTOTAL(9,D179:D181)</f>
        <v>23387200682.660172</v>
      </c>
      <c r="E182" s="1188"/>
      <c r="F182" s="1188"/>
      <c r="G182" s="1188"/>
      <c r="H182" s="1188"/>
      <c r="I182" s="1207"/>
      <c r="J182" s="1188"/>
      <c r="K182" s="1188"/>
      <c r="L182" s="1188"/>
      <c r="M182" s="1188"/>
      <c r="N182" s="1188"/>
      <c r="O182" s="1188"/>
      <c r="P182" s="1188"/>
      <c r="Q182" s="1188"/>
      <c r="R182" s="1188"/>
      <c r="S182" s="1188"/>
      <c r="T182" s="1188"/>
      <c r="U182" s="1188"/>
      <c r="V182" s="1188"/>
      <c r="W182" s="1188"/>
      <c r="X182" s="1188"/>
      <c r="Y182" s="1188"/>
      <c r="Z182" s="1188"/>
      <c r="AA182" s="1188"/>
      <c r="AB182" s="1188"/>
      <c r="AC182" s="1188"/>
      <c r="AD182" s="1188"/>
      <c r="AE182" s="1188"/>
      <c r="AF182" s="1188"/>
      <c r="AG182" s="1188"/>
      <c r="AH182" s="1188"/>
      <c r="AI182" s="1188"/>
      <c r="AJ182" s="1188"/>
      <c r="AK182" s="1188"/>
      <c r="AL182" s="1188"/>
      <c r="AM182" s="1188"/>
      <c r="AN182" s="1188"/>
      <c r="AO182" s="1188"/>
      <c r="AP182" s="1188"/>
      <c r="AQ182" s="1204" t="s">
        <v>814</v>
      </c>
      <c r="AR182" s="1204"/>
      <c r="AS182" s="1236">
        <v>7822671100</v>
      </c>
      <c r="AU182" s="1188"/>
      <c r="BF182" s="1188"/>
      <c r="BG182" s="1188"/>
    </row>
    <row r="183" spans="2:59" s="1189" customFormat="1" x14ac:dyDescent="0.25">
      <c r="B183" s="1222"/>
      <c r="C183" s="1188"/>
      <c r="D183" s="1188"/>
      <c r="E183" s="1188"/>
      <c r="F183" s="698">
        <v>17000000000</v>
      </c>
      <c r="G183" s="698">
        <v>17654900000</v>
      </c>
      <c r="H183" s="698">
        <v>17000000000</v>
      </c>
      <c r="I183" s="698">
        <v>17000000000</v>
      </c>
      <c r="J183" s="1188"/>
      <c r="K183" s="1188"/>
      <c r="L183" s="1188"/>
      <c r="M183" s="1188"/>
      <c r="N183" s="1188"/>
      <c r="O183" s="1188"/>
      <c r="P183" s="1188"/>
      <c r="Q183" s="1206"/>
      <c r="R183" s="1188" t="str">
        <f>+U11</f>
        <v>X5</v>
      </c>
      <c r="S183" s="1206"/>
      <c r="T183" s="1188"/>
      <c r="U183" s="1188"/>
      <c r="V183" s="1188"/>
      <c r="W183" s="1188"/>
      <c r="X183" s="1188"/>
      <c r="Y183" s="1188"/>
      <c r="Z183" s="1188"/>
      <c r="AA183" s="1188"/>
      <c r="AB183" s="1188"/>
      <c r="AC183" s="1188"/>
      <c r="AD183" s="1188"/>
      <c r="AE183" s="1188"/>
      <c r="AF183" s="1188"/>
      <c r="AG183" s="1188"/>
      <c r="AH183" s="1188"/>
      <c r="AI183" s="1188"/>
      <c r="AJ183" s="1188"/>
      <c r="AK183" s="1188"/>
      <c r="AL183" s="1188"/>
      <c r="AM183" s="1188"/>
      <c r="AN183" s="1188"/>
      <c r="AO183" s="1188"/>
      <c r="AP183" s="1188"/>
      <c r="AQ183" s="1204" t="s">
        <v>654</v>
      </c>
      <c r="AR183" s="1204"/>
      <c r="AS183" s="1236">
        <v>103525436615</v>
      </c>
      <c r="AU183" s="1188"/>
      <c r="BF183" s="1188"/>
      <c r="BG183" s="1188"/>
    </row>
    <row r="184" spans="2:59" s="1189" customFormat="1" x14ac:dyDescent="0.25">
      <c r="B184" s="1222"/>
      <c r="C184" s="1188"/>
      <c r="D184" s="1188"/>
      <c r="E184" s="1188"/>
      <c r="F184" s="698">
        <v>-283333333</v>
      </c>
      <c r="G184" s="698">
        <v>-1017908333</v>
      </c>
      <c r="H184" s="698">
        <v>-1643333333</v>
      </c>
      <c r="I184" s="698">
        <v>-2323333333</v>
      </c>
      <c r="J184" s="1188"/>
      <c r="K184" s="1188"/>
      <c r="L184" s="1188"/>
      <c r="M184" s="1188"/>
      <c r="N184" s="1188"/>
      <c r="O184" s="1188"/>
      <c r="P184" s="1188"/>
      <c r="Q184" s="1206"/>
      <c r="R184" s="1188"/>
      <c r="S184" s="1206"/>
      <c r="T184" s="1188"/>
      <c r="U184" s="1188"/>
      <c r="V184" s="1188"/>
      <c r="W184" s="1188"/>
      <c r="X184" s="1188"/>
      <c r="Y184" s="1188"/>
      <c r="Z184" s="1188"/>
      <c r="AA184" s="1188"/>
      <c r="AB184" s="1188"/>
      <c r="AC184" s="1188"/>
      <c r="AD184" s="1188"/>
      <c r="AE184" s="1188"/>
      <c r="AF184" s="1188"/>
      <c r="AG184" s="1188"/>
      <c r="AH184" s="1188"/>
      <c r="AI184" s="1188"/>
      <c r="AJ184" s="1188"/>
      <c r="AK184" s="1188"/>
      <c r="AL184" s="1188"/>
      <c r="AM184" s="1188"/>
      <c r="AN184" s="1188"/>
      <c r="AO184" s="1188"/>
      <c r="AP184" s="1188"/>
      <c r="AQ184" s="1204" t="s">
        <v>1384</v>
      </c>
      <c r="AR184" s="1204"/>
      <c r="AS184" s="1236">
        <v>85196225183</v>
      </c>
      <c r="AU184" s="1188"/>
      <c r="BF184" s="1188"/>
      <c r="BG184" s="1188"/>
    </row>
    <row r="185" spans="2:59" s="1189" customFormat="1" x14ac:dyDescent="0.25">
      <c r="B185" s="1222"/>
      <c r="C185" s="1188"/>
      <c r="D185" s="1188"/>
      <c r="E185" s="1188"/>
      <c r="F185" s="1188"/>
      <c r="G185" s="1188"/>
      <c r="H185" s="1188"/>
      <c r="I185" s="1207"/>
      <c r="J185" s="1188"/>
      <c r="K185" s="1188"/>
      <c r="L185" s="1188"/>
      <c r="M185" s="1188"/>
      <c r="N185" s="1188"/>
      <c r="O185" s="1188"/>
      <c r="P185" s="1188"/>
      <c r="Q185" s="1206"/>
      <c r="R185" s="1188"/>
      <c r="S185" s="1206"/>
      <c r="T185" s="1188"/>
      <c r="U185" s="1188"/>
      <c r="V185" s="1188"/>
      <c r="W185" s="1188"/>
      <c r="X185" s="1188"/>
      <c r="Y185" s="1188"/>
      <c r="Z185" s="1188"/>
      <c r="AA185" s="1188"/>
      <c r="AB185" s="1188"/>
      <c r="AC185" s="1188"/>
      <c r="AD185" s="1188"/>
      <c r="AE185" s="1188"/>
      <c r="AF185" s="1188"/>
      <c r="AG185" s="1188"/>
      <c r="AH185" s="1188"/>
      <c r="AI185" s="1188"/>
      <c r="AJ185" s="1188"/>
      <c r="AK185" s="1188"/>
      <c r="AL185" s="1188"/>
      <c r="AM185" s="1188"/>
      <c r="AN185" s="1188"/>
      <c r="AO185" s="1188"/>
      <c r="AP185" s="1188"/>
      <c r="AQ185" s="1204"/>
      <c r="AR185" s="1204"/>
      <c r="AS185" s="1237">
        <f>SUM(AS181:AS184)</f>
        <v>432060786255</v>
      </c>
      <c r="AU185" s="1188"/>
      <c r="BF185" s="1188"/>
      <c r="BG185" s="1188"/>
    </row>
    <row r="186" spans="2:59" s="1189" customFormat="1" x14ac:dyDescent="0.25">
      <c r="B186" s="1222"/>
      <c r="C186" s="1188"/>
      <c r="D186" s="1188"/>
      <c r="E186" s="1188"/>
      <c r="F186" s="1188"/>
      <c r="G186" s="1188"/>
      <c r="H186" s="1188"/>
      <c r="I186" s="1207"/>
      <c r="J186" s="1188"/>
      <c r="K186" s="1188"/>
      <c r="L186" s="1188"/>
      <c r="M186" s="1188"/>
      <c r="N186" s="1188"/>
      <c r="O186" s="1188"/>
      <c r="P186" s="1188"/>
      <c r="Q186" s="1206"/>
      <c r="R186" s="1188"/>
      <c r="S186" s="1206"/>
      <c r="T186" s="1188"/>
      <c r="U186" s="1188"/>
      <c r="V186" s="1188"/>
      <c r="W186" s="1188"/>
      <c r="X186" s="1188"/>
      <c r="Y186" s="1188"/>
      <c r="Z186" s="1188"/>
      <c r="AA186" s="1188"/>
      <c r="AB186" s="1188"/>
      <c r="AC186" s="1188"/>
      <c r="AD186" s="1188"/>
      <c r="AE186" s="1188"/>
      <c r="AF186" s="1188"/>
      <c r="AG186" s="1188"/>
      <c r="AH186" s="1188"/>
      <c r="AI186" s="1188"/>
      <c r="AJ186" s="1188"/>
      <c r="AK186" s="1188"/>
      <c r="AL186" s="1188"/>
      <c r="AM186" s="1188"/>
      <c r="AN186" s="1188"/>
      <c r="AO186" s="1188"/>
      <c r="AP186" s="1188"/>
      <c r="AQ186" s="1204"/>
      <c r="AR186" s="1204"/>
      <c r="AS186" s="1237"/>
      <c r="AU186" s="1188"/>
      <c r="BF186" s="1188"/>
      <c r="BG186" s="1188"/>
    </row>
    <row r="187" spans="2:59" s="1189" customFormat="1" x14ac:dyDescent="0.25">
      <c r="B187" s="1222"/>
      <c r="C187" s="1188"/>
      <c r="D187" s="1188"/>
      <c r="E187" s="1188"/>
      <c r="F187" s="1188"/>
      <c r="G187" s="1188"/>
      <c r="H187" s="1188"/>
      <c r="I187" s="1207"/>
      <c r="J187" s="1188"/>
      <c r="K187" s="1188"/>
      <c r="L187" s="1188"/>
      <c r="M187" s="1188"/>
      <c r="N187" s="1188"/>
      <c r="O187" s="1188"/>
      <c r="P187" s="1188"/>
      <c r="Q187" s="1206"/>
      <c r="R187" s="1188"/>
      <c r="S187" s="1206"/>
      <c r="T187" s="1188"/>
      <c r="U187" s="1188"/>
      <c r="V187" s="1188"/>
      <c r="W187" s="1188"/>
      <c r="X187" s="1188"/>
      <c r="Y187" s="1188"/>
      <c r="Z187" s="1188"/>
      <c r="AA187" s="1188"/>
      <c r="AB187" s="1188"/>
      <c r="AC187" s="1188"/>
      <c r="AD187" s="1188"/>
      <c r="AE187" s="1188"/>
      <c r="AF187" s="1188"/>
      <c r="AG187" s="1188"/>
      <c r="AH187" s="1188"/>
      <c r="AI187" s="1188"/>
      <c r="AJ187" s="1188"/>
      <c r="AK187" s="1188"/>
      <c r="AL187" s="1188"/>
      <c r="AM187" s="1188"/>
      <c r="AN187" s="1188"/>
      <c r="AO187" s="1188"/>
      <c r="AP187" s="1188"/>
      <c r="AQ187" s="1225">
        <v>627</v>
      </c>
      <c r="AR187" s="1204"/>
      <c r="AS187" s="1237"/>
      <c r="AU187" s="1188"/>
      <c r="BF187" s="1188"/>
      <c r="BG187" s="1188"/>
    </row>
    <row r="188" spans="2:59" s="1189" customFormat="1" x14ac:dyDescent="0.25">
      <c r="B188" s="1222"/>
      <c r="C188" s="1188"/>
      <c r="D188" s="1188"/>
      <c r="E188" s="1188"/>
      <c r="F188" s="1188"/>
      <c r="G188" s="1188"/>
      <c r="H188" s="1188"/>
      <c r="I188" s="1207"/>
      <c r="J188" s="1188"/>
      <c r="K188" s="1188"/>
      <c r="L188" s="1188"/>
      <c r="M188" s="1188"/>
      <c r="N188" s="1188"/>
      <c r="O188" s="1188"/>
      <c r="P188" s="1188"/>
      <c r="Q188" s="1206"/>
      <c r="R188" s="1188"/>
      <c r="S188" s="1206"/>
      <c r="T188" s="1188"/>
      <c r="U188" s="1188"/>
      <c r="V188" s="1188"/>
      <c r="W188" s="1188"/>
      <c r="X188" s="1188"/>
      <c r="Y188" s="1188"/>
      <c r="Z188" s="1188"/>
      <c r="AA188" s="1188"/>
      <c r="AB188" s="1188"/>
      <c r="AC188" s="1188"/>
      <c r="AD188" s="1188"/>
      <c r="AE188" s="1188"/>
      <c r="AF188" s="1188"/>
      <c r="AG188" s="1188"/>
      <c r="AH188" s="1188"/>
      <c r="AI188" s="1188"/>
      <c r="AJ188" s="1188"/>
      <c r="AK188" s="1188"/>
      <c r="AL188" s="1188"/>
      <c r="AM188" s="1188"/>
      <c r="AN188" s="1188"/>
      <c r="AO188" s="1188"/>
      <c r="AP188" s="1188"/>
      <c r="AR188" s="1204"/>
      <c r="AS188" s="1204"/>
      <c r="AU188" s="1188"/>
      <c r="BF188" s="1188"/>
      <c r="BG188" s="1188"/>
    </row>
    <row r="189" spans="2:59" s="1189" customFormat="1" x14ac:dyDescent="0.25">
      <c r="B189" s="1222"/>
      <c r="C189" s="1188"/>
      <c r="D189" s="1188"/>
      <c r="E189" s="1188"/>
      <c r="F189" s="1188"/>
      <c r="G189" s="1188"/>
      <c r="H189" s="1188"/>
      <c r="I189" s="1207"/>
      <c r="J189" s="1188"/>
      <c r="K189" s="1188"/>
      <c r="L189" s="1188"/>
      <c r="M189" s="1188"/>
      <c r="N189" s="1188"/>
      <c r="O189" s="1188"/>
      <c r="P189" s="1188"/>
      <c r="Q189" s="1206"/>
      <c r="R189" s="1188"/>
      <c r="S189" s="1206"/>
      <c r="T189" s="1188"/>
      <c r="U189" s="1188"/>
      <c r="V189" s="1188"/>
      <c r="W189" s="1188"/>
      <c r="X189" s="1188"/>
      <c r="Y189" s="1188"/>
      <c r="Z189" s="1188"/>
      <c r="AA189" s="1188"/>
      <c r="AB189" s="1188"/>
      <c r="AC189" s="1188"/>
      <c r="AD189" s="1188"/>
      <c r="AE189" s="1188"/>
      <c r="AF189" s="1188"/>
      <c r="AG189" s="1188"/>
      <c r="AH189" s="1188"/>
      <c r="AI189" s="1188"/>
      <c r="AJ189" s="1188"/>
      <c r="AK189" s="1188"/>
      <c r="AL189" s="1188"/>
      <c r="AM189" s="1188"/>
      <c r="AN189" s="1188"/>
      <c r="AO189" s="1188"/>
      <c r="AP189" s="1188"/>
      <c r="AQ189" s="1253" t="s">
        <v>809</v>
      </c>
      <c r="AR189" s="1204"/>
      <c r="AS189" s="1239">
        <f>SUMIFS($AU$5:$AU$176,$AO$5:$AO$176,"627",$AQ$5:$AQ$176,AQ189)</f>
        <v>2344492927.4223051</v>
      </c>
      <c r="AU189" s="1188"/>
      <c r="BF189" s="1188"/>
      <c r="BG189" s="1188"/>
    </row>
    <row r="190" spans="2:59" s="1189" customFormat="1" x14ac:dyDescent="0.25">
      <c r="B190" s="1222"/>
      <c r="C190" s="1188"/>
      <c r="D190" s="1188"/>
      <c r="E190" s="1188"/>
      <c r="F190" s="1188"/>
      <c r="G190" s="1188"/>
      <c r="H190" s="1188"/>
      <c r="I190" s="1207"/>
      <c r="J190" s="1188"/>
      <c r="K190" s="1188"/>
      <c r="L190" s="1188"/>
      <c r="M190" s="1188"/>
      <c r="N190" s="1188"/>
      <c r="O190" s="1188"/>
      <c r="P190" s="1188"/>
      <c r="Q190" s="1206"/>
      <c r="R190" s="1188"/>
      <c r="S190" s="1206"/>
      <c r="T190" s="1188"/>
      <c r="U190" s="1188"/>
      <c r="V190" s="1188"/>
      <c r="W190" s="1188"/>
      <c r="X190" s="1188"/>
      <c r="Y190" s="1188"/>
      <c r="Z190" s="1188"/>
      <c r="AA190" s="1188"/>
      <c r="AB190" s="1188"/>
      <c r="AC190" s="1188"/>
      <c r="AD190" s="1188"/>
      <c r="AE190" s="1188"/>
      <c r="AF190" s="1188"/>
      <c r="AG190" s="1188"/>
      <c r="AH190" s="1188"/>
      <c r="AI190" s="1188"/>
      <c r="AJ190" s="1188"/>
      <c r="AK190" s="1188"/>
      <c r="AL190" s="1188"/>
      <c r="AM190" s="1188"/>
      <c r="AN190" s="1188"/>
      <c r="AO190" s="1188"/>
      <c r="AP190" s="1188"/>
      <c r="AQ190" s="1253" t="s">
        <v>814</v>
      </c>
      <c r="AR190" s="1204"/>
      <c r="AS190" s="1239">
        <f>SUMIFS($AU$5:$AU$176,$AO$5:$AO$176,"627",$AQ$5:$AQ$176,AQ190)</f>
        <v>2304399546.8019047</v>
      </c>
      <c r="AU190" s="1188"/>
      <c r="BF190" s="1188"/>
      <c r="BG190" s="1188"/>
    </row>
    <row r="191" spans="2:59" s="1189" customFormat="1" x14ac:dyDescent="0.25">
      <c r="B191" s="1222"/>
      <c r="C191" s="1188"/>
      <c r="D191" s="1188"/>
      <c r="E191" s="1188"/>
      <c r="F191" s="1207">
        <f>F184-E184</f>
        <v>-283333333</v>
      </c>
      <c r="G191" s="1207">
        <f t="shared" ref="G191" si="88">G184-F184</f>
        <v>-734575000</v>
      </c>
      <c r="H191" s="1207">
        <f>H184-G184</f>
        <v>-625425000</v>
      </c>
      <c r="I191" s="1207">
        <f>I184-H184</f>
        <v>-680000000</v>
      </c>
      <c r="J191" s="1188"/>
      <c r="K191" s="1188"/>
      <c r="L191" s="1188"/>
      <c r="M191" s="1188"/>
      <c r="N191" s="1188"/>
      <c r="O191" s="1188"/>
      <c r="P191" s="1188"/>
      <c r="Q191" s="1206"/>
      <c r="R191" s="1188"/>
      <c r="S191" s="1206"/>
      <c r="T191" s="1188"/>
      <c r="U191" s="1188"/>
      <c r="V191" s="1188"/>
      <c r="W191" s="1188"/>
      <c r="X191" s="1188"/>
      <c r="Y191" s="1188"/>
      <c r="Z191" s="1188"/>
      <c r="AA191" s="1188"/>
      <c r="AB191" s="1188"/>
      <c r="AC191" s="1188"/>
      <c r="AD191" s="1188"/>
      <c r="AE191" s="1188"/>
      <c r="AF191" s="1188"/>
      <c r="AG191" s="1188"/>
      <c r="AH191" s="1188"/>
      <c r="AI191" s="1188"/>
      <c r="AJ191" s="1188"/>
      <c r="AK191" s="1188"/>
      <c r="AL191" s="1188"/>
      <c r="AM191" s="1188"/>
      <c r="AN191" s="1188"/>
      <c r="AO191" s="1188"/>
      <c r="AP191" s="1188"/>
      <c r="AQ191" s="1189" t="s">
        <v>1380</v>
      </c>
      <c r="AR191" s="1204"/>
      <c r="AS191" s="1239">
        <f>SUMIFS($AU$5:$AU$176,$AO$5:$AO$176,"627",$AQ$5:$AQ$176,AQ191)</f>
        <v>0</v>
      </c>
      <c r="AU191" s="1188"/>
      <c r="BF191" s="1188"/>
      <c r="BG191" s="1188"/>
    </row>
    <row r="192" spans="2:59" s="1189" customFormat="1" x14ac:dyDescent="0.25">
      <c r="B192" s="1222"/>
      <c r="C192" s="1188"/>
      <c r="D192" s="1188"/>
      <c r="E192" s="1188"/>
      <c r="F192" s="1188"/>
      <c r="G192" s="1188"/>
      <c r="H192" s="1188"/>
      <c r="I192" s="1207"/>
      <c r="J192" s="1188"/>
      <c r="K192" s="1188"/>
      <c r="L192" s="1188"/>
      <c r="M192" s="1188"/>
      <c r="N192" s="1188"/>
      <c r="O192" s="1188"/>
      <c r="P192" s="1188"/>
      <c r="Q192" s="1206"/>
      <c r="R192" s="1188"/>
      <c r="S192" s="1206"/>
      <c r="T192" s="1188"/>
      <c r="U192" s="1188"/>
      <c r="V192" s="1188"/>
      <c r="W192" s="1188"/>
      <c r="X192" s="1188"/>
      <c r="Y192" s="1188"/>
      <c r="Z192" s="1188"/>
      <c r="AA192" s="1188"/>
      <c r="AB192" s="1188"/>
      <c r="AC192" s="1188"/>
      <c r="AD192" s="1188"/>
      <c r="AE192" s="1188"/>
      <c r="AF192" s="1188"/>
      <c r="AG192" s="1188"/>
      <c r="AH192" s="1188"/>
      <c r="AI192" s="1188"/>
      <c r="AJ192" s="1188"/>
      <c r="AK192" s="1188"/>
      <c r="AL192" s="1188"/>
      <c r="AM192" s="1188"/>
      <c r="AN192" s="1188"/>
      <c r="AO192" s="1188"/>
      <c r="AP192" s="1188"/>
      <c r="AQ192" s="1194"/>
      <c r="AR192" s="1204"/>
      <c r="AS192" s="1204"/>
      <c r="AU192" s="1188"/>
      <c r="BF192" s="1188"/>
      <c r="BG192" s="1188"/>
    </row>
    <row r="193" spans="2:59" s="1189" customFormat="1" x14ac:dyDescent="0.25">
      <c r="B193" s="1222"/>
      <c r="C193" s="1188"/>
      <c r="D193" s="1188"/>
      <c r="E193" s="1188"/>
      <c r="F193" s="1188"/>
      <c r="G193" s="1188"/>
      <c r="H193" s="1188"/>
      <c r="I193" s="1207"/>
      <c r="J193" s="1188"/>
      <c r="K193" s="1188"/>
      <c r="L193" s="1188"/>
      <c r="M193" s="1188"/>
      <c r="N193" s="1188"/>
      <c r="O193" s="1188"/>
      <c r="P193" s="1188"/>
      <c r="Q193" s="1206"/>
      <c r="R193" s="1188"/>
      <c r="S193" s="1206"/>
      <c r="T193" s="1188"/>
      <c r="U193" s="1188"/>
      <c r="V193" s="1188"/>
      <c r="W193" s="1188"/>
      <c r="X193" s="1188"/>
      <c r="Y193" s="1188"/>
      <c r="Z193" s="1188"/>
      <c r="AA193" s="1188"/>
      <c r="AB193" s="1188"/>
      <c r="AC193" s="1188"/>
      <c r="AD193" s="1188"/>
      <c r="AE193" s="1188"/>
      <c r="AF193" s="1188"/>
      <c r="AG193" s="1188"/>
      <c r="AH193" s="1188"/>
      <c r="AI193" s="1188"/>
      <c r="AJ193" s="1188"/>
      <c r="AK193" s="1188"/>
      <c r="AL193" s="1188"/>
      <c r="AM193" s="1188"/>
      <c r="AN193" s="1188"/>
      <c r="AO193" s="1188"/>
      <c r="AP193" s="1188"/>
      <c r="AQ193" s="1204" t="s">
        <v>1048</v>
      </c>
      <c r="AR193" s="1204"/>
      <c r="AS193" s="1239">
        <f>SUMIFS($AU$5:$AU$176,$AO$5:$AO$176,"627",$AQ$5:$AQ$176,AQ193)</f>
        <v>1568622063.8420928</v>
      </c>
      <c r="AU193" s="1188"/>
      <c r="BF193" s="1188"/>
      <c r="BG193" s="1188"/>
    </row>
    <row r="194" spans="2:59" s="1189" customFormat="1" x14ac:dyDescent="0.25">
      <c r="B194" s="1222"/>
      <c r="C194" s="1188"/>
      <c r="D194" s="1188"/>
      <c r="E194" s="1188"/>
      <c r="F194" s="1188"/>
      <c r="G194" s="1188"/>
      <c r="H194" s="1188"/>
      <c r="I194" s="1207"/>
      <c r="J194" s="1188"/>
      <c r="K194" s="1188"/>
      <c r="L194" s="1188"/>
      <c r="M194" s="1188"/>
      <c r="N194" s="1188"/>
      <c r="O194" s="1188"/>
      <c r="P194" s="1188"/>
      <c r="Q194" s="1206"/>
      <c r="R194" s="1188"/>
      <c r="S194" s="1206"/>
      <c r="T194" s="1188"/>
      <c r="U194" s="1188"/>
      <c r="V194" s="1188"/>
      <c r="W194" s="1188"/>
      <c r="X194" s="1188"/>
      <c r="Y194" s="1188"/>
      <c r="Z194" s="1188"/>
      <c r="AA194" s="1188"/>
      <c r="AB194" s="1188"/>
      <c r="AC194" s="1188"/>
      <c r="AD194" s="1188"/>
      <c r="AE194" s="1188"/>
      <c r="AF194" s="1188"/>
      <c r="AG194" s="1188"/>
      <c r="AH194" s="1188"/>
      <c r="AI194" s="1188"/>
      <c r="AJ194" s="1188"/>
      <c r="AK194" s="1188"/>
      <c r="AL194" s="1188"/>
      <c r="AM194" s="1188"/>
      <c r="AN194" s="1188"/>
      <c r="AO194" s="1188"/>
      <c r="AP194" s="1188"/>
      <c r="AQ194" s="1197" t="s">
        <v>1360</v>
      </c>
      <c r="AR194" s="1204"/>
      <c r="AS194" s="1239">
        <f>SUMIFS($AU$5:$AU$176,$AO$5:$AO$176,"627",$AQ$5:$AQ$176,AQ194)</f>
        <v>213573882.30608386</v>
      </c>
      <c r="AU194" s="1188"/>
      <c r="BF194" s="1188"/>
      <c r="BG194" s="1188"/>
    </row>
    <row r="195" spans="2:59" s="1189" customFormat="1" x14ac:dyDescent="0.25">
      <c r="B195" s="1222"/>
      <c r="C195" s="1188"/>
      <c r="D195" s="1188"/>
      <c r="E195" s="1188"/>
      <c r="F195" s="1188"/>
      <c r="G195" s="1188"/>
      <c r="H195" s="1188"/>
      <c r="I195" s="1207"/>
      <c r="J195" s="1188"/>
      <c r="K195" s="1188"/>
      <c r="L195" s="1188"/>
      <c r="M195" s="1188"/>
      <c r="N195" s="1188"/>
      <c r="O195" s="1188"/>
      <c r="P195" s="1188"/>
      <c r="Q195" s="1206"/>
      <c r="R195" s="1188"/>
      <c r="S195" s="1206"/>
      <c r="T195" s="1188"/>
      <c r="U195" s="1188"/>
      <c r="V195" s="1188"/>
      <c r="W195" s="1188"/>
      <c r="X195" s="1188"/>
      <c r="Y195" s="1188"/>
      <c r="Z195" s="1188"/>
      <c r="AA195" s="1188"/>
      <c r="AB195" s="1188"/>
      <c r="AC195" s="1188"/>
      <c r="AD195" s="1188"/>
      <c r="AE195" s="1188"/>
      <c r="AF195" s="1188"/>
      <c r="AG195" s="1188"/>
      <c r="AH195" s="1188"/>
      <c r="AI195" s="1188"/>
      <c r="AJ195" s="1188"/>
      <c r="AK195" s="1188"/>
      <c r="AL195" s="1188"/>
      <c r="AM195" s="1188"/>
      <c r="AN195" s="1188"/>
      <c r="AO195" s="1188"/>
      <c r="AP195" s="1188"/>
      <c r="AQ195" s="1197" t="s">
        <v>1382</v>
      </c>
      <c r="AR195" s="1204"/>
      <c r="AS195" s="1239">
        <f t="shared" ref="AS195:AS197" si="89">SUMIFS($AU$5:$AU$176,$AO$5:$AO$176,"627",$AQ$5:$AQ$176,AQ195)</f>
        <v>122677239.45975542</v>
      </c>
      <c r="AU195" s="1188"/>
      <c r="BF195" s="1188"/>
      <c r="BG195" s="1188"/>
    </row>
    <row r="196" spans="2:59" s="1189" customFormat="1" x14ac:dyDescent="0.25">
      <c r="B196" s="1222"/>
      <c r="C196" s="1188"/>
      <c r="D196" s="1188"/>
      <c r="E196" s="1188"/>
      <c r="F196" s="1188"/>
      <c r="G196" s="1188"/>
      <c r="H196" s="1188"/>
      <c r="I196" s="1207"/>
      <c r="J196" s="1188"/>
      <c r="K196" s="1188"/>
      <c r="L196" s="1188"/>
      <c r="M196" s="1188"/>
      <c r="N196" s="1188"/>
      <c r="O196" s="1188"/>
      <c r="P196" s="1188"/>
      <c r="Q196" s="1206"/>
      <c r="R196" s="1188"/>
      <c r="S196" s="1206"/>
      <c r="T196" s="1188"/>
      <c r="U196" s="1188"/>
      <c r="V196" s="1188"/>
      <c r="W196" s="1188"/>
      <c r="X196" s="1188"/>
      <c r="Y196" s="1188"/>
      <c r="Z196" s="1188"/>
      <c r="AA196" s="1188"/>
      <c r="AB196" s="1188"/>
      <c r="AC196" s="1188"/>
      <c r="AD196" s="1188"/>
      <c r="AE196" s="1188"/>
      <c r="AF196" s="1188"/>
      <c r="AG196" s="1188"/>
      <c r="AH196" s="1188"/>
      <c r="AI196" s="1188"/>
      <c r="AJ196" s="1188"/>
      <c r="AK196" s="1188"/>
      <c r="AL196" s="1188"/>
      <c r="AM196" s="1188"/>
      <c r="AN196" s="1188"/>
      <c r="AO196" s="1188"/>
      <c r="AP196" s="1188"/>
      <c r="AQ196" s="1197" t="s">
        <v>1383</v>
      </c>
      <c r="AR196" s="1204"/>
      <c r="AS196" s="1239">
        <f t="shared" si="89"/>
        <v>656605705.46581244</v>
      </c>
      <c r="AU196" s="1188"/>
      <c r="BF196" s="1188"/>
      <c r="BG196" s="1188"/>
    </row>
    <row r="197" spans="2:59" s="1189" customFormat="1" x14ac:dyDescent="0.25">
      <c r="B197" s="1222"/>
      <c r="C197" s="1188"/>
      <c r="D197" s="1188"/>
      <c r="E197" s="1188"/>
      <c r="F197" s="1188"/>
      <c r="G197" s="1188"/>
      <c r="H197" s="1188"/>
      <c r="I197" s="1207"/>
      <c r="J197" s="1188"/>
      <c r="K197" s="1188"/>
      <c r="L197" s="1188"/>
      <c r="M197" s="1188"/>
      <c r="N197" s="1188"/>
      <c r="O197" s="1188"/>
      <c r="P197" s="1188"/>
      <c r="Q197" s="1206"/>
      <c r="R197" s="1188"/>
      <c r="S197" s="1206"/>
      <c r="T197" s="1188"/>
      <c r="U197" s="1188"/>
      <c r="V197" s="1188"/>
      <c r="W197" s="1188"/>
      <c r="X197" s="1188"/>
      <c r="Y197" s="1188"/>
      <c r="Z197" s="1188"/>
      <c r="AA197" s="1188"/>
      <c r="AB197" s="1188"/>
      <c r="AC197" s="1188"/>
      <c r="AD197" s="1188"/>
      <c r="AE197" s="1188"/>
      <c r="AF197" s="1188"/>
      <c r="AG197" s="1188"/>
      <c r="AH197" s="1188"/>
      <c r="AI197" s="1188"/>
      <c r="AJ197" s="1188"/>
      <c r="AK197" s="1188"/>
      <c r="AL197" s="1188"/>
      <c r="AM197" s="1188"/>
      <c r="AN197" s="1188"/>
      <c r="AO197" s="1188"/>
      <c r="AP197" s="1188"/>
      <c r="AQ197" s="1197" t="s">
        <v>1158</v>
      </c>
      <c r="AR197" s="1204"/>
      <c r="AS197" s="1239">
        <f t="shared" si="89"/>
        <v>572382652.48853052</v>
      </c>
      <c r="AU197" s="1188"/>
      <c r="BF197" s="1188"/>
      <c r="BG197" s="1188"/>
    </row>
    <row r="198" spans="2:59" s="1189" customFormat="1" x14ac:dyDescent="0.25">
      <c r="B198" s="1222"/>
      <c r="C198" s="1188"/>
      <c r="D198" s="1188"/>
      <c r="E198" s="1188"/>
      <c r="F198" s="1188"/>
      <c r="G198" s="1188"/>
      <c r="H198" s="1188"/>
      <c r="I198" s="1207"/>
      <c r="J198" s="1188"/>
      <c r="K198" s="1188"/>
      <c r="L198" s="1188"/>
      <c r="M198" s="1188"/>
      <c r="N198" s="1188"/>
      <c r="O198" s="1188"/>
      <c r="P198" s="1188"/>
      <c r="Q198" s="1206"/>
      <c r="R198" s="1188"/>
      <c r="S198" s="1206"/>
      <c r="T198" s="1188"/>
      <c r="U198" s="1188"/>
      <c r="V198" s="1188"/>
      <c r="W198" s="1188"/>
      <c r="X198" s="1188"/>
      <c r="Y198" s="1188"/>
      <c r="Z198" s="1188"/>
      <c r="AA198" s="1188"/>
      <c r="AB198" s="1188"/>
      <c r="AC198" s="1188"/>
      <c r="AD198" s="1188"/>
      <c r="AE198" s="1188"/>
      <c r="AF198" s="1188"/>
      <c r="AG198" s="1188"/>
      <c r="AH198" s="1188"/>
      <c r="AI198" s="1188"/>
      <c r="AJ198" s="1188"/>
      <c r="AK198" s="1188"/>
      <c r="AL198" s="1188"/>
      <c r="AM198" s="1188"/>
      <c r="AN198" s="1188"/>
      <c r="AO198" s="1188"/>
      <c r="AP198" s="1188"/>
      <c r="AQ198" s="1204"/>
      <c r="AR198" s="1204"/>
      <c r="AS198" s="1204"/>
      <c r="AU198" s="1188"/>
      <c r="BF198" s="1188"/>
      <c r="BG198" s="1188"/>
    </row>
    <row r="199" spans="2:59" s="1189" customFormat="1" x14ac:dyDescent="0.25">
      <c r="B199" s="1222"/>
      <c r="C199" s="1188"/>
      <c r="D199" s="1188"/>
      <c r="E199" s="1188"/>
      <c r="F199" s="1188"/>
      <c r="G199" s="1188"/>
      <c r="H199" s="1188"/>
      <c r="I199" s="1207"/>
      <c r="J199" s="1188"/>
      <c r="K199" s="1188"/>
      <c r="L199" s="1188"/>
      <c r="M199" s="1188"/>
      <c r="N199" s="1188"/>
      <c r="O199" s="1188"/>
      <c r="P199" s="1188"/>
      <c r="Q199" s="1206"/>
      <c r="R199" s="1188"/>
      <c r="S199" s="1206"/>
      <c r="T199" s="1188"/>
      <c r="U199" s="1188"/>
      <c r="V199" s="1188"/>
      <c r="W199" s="1188"/>
      <c r="X199" s="1188"/>
      <c r="Y199" s="1188"/>
      <c r="Z199" s="1188"/>
      <c r="AA199" s="1188"/>
      <c r="AB199" s="1188"/>
      <c r="AC199" s="1188"/>
      <c r="AD199" s="1188"/>
      <c r="AE199" s="1188"/>
      <c r="AF199" s="1188"/>
      <c r="AG199" s="1188"/>
      <c r="AH199" s="1188"/>
      <c r="AI199" s="1188"/>
      <c r="AJ199" s="1188"/>
      <c r="AK199" s="1188"/>
      <c r="AL199" s="1188"/>
      <c r="AM199" s="1188"/>
      <c r="AN199" s="1188"/>
      <c r="AO199" s="1188"/>
      <c r="AP199" s="1188"/>
      <c r="AQ199" s="1225">
        <v>641</v>
      </c>
      <c r="AR199" s="1204"/>
      <c r="AS199" s="1204"/>
      <c r="AU199" s="1188"/>
      <c r="BF199" s="1188"/>
      <c r="BG199" s="1188"/>
    </row>
    <row r="200" spans="2:59" s="1189" customFormat="1" x14ac:dyDescent="0.25">
      <c r="B200" s="1222"/>
      <c r="C200" s="1188"/>
      <c r="D200" s="1188"/>
      <c r="E200" s="1188"/>
      <c r="F200" s="1188"/>
      <c r="G200" s="1188"/>
      <c r="H200" s="1188"/>
      <c r="I200" s="1207"/>
      <c r="J200" s="1188"/>
      <c r="K200" s="1188"/>
      <c r="L200" s="1188"/>
      <c r="M200" s="1188"/>
      <c r="N200" s="1188"/>
      <c r="O200" s="1188"/>
      <c r="P200" s="1188"/>
      <c r="Q200" s="1206"/>
      <c r="R200" s="1188"/>
      <c r="S200" s="1206"/>
      <c r="T200" s="1188"/>
      <c r="U200" s="1188"/>
      <c r="V200" s="1188"/>
      <c r="W200" s="1188"/>
      <c r="X200" s="1188"/>
      <c r="Y200" s="1188"/>
      <c r="Z200" s="1188"/>
      <c r="AA200" s="1188"/>
      <c r="AB200" s="1188"/>
      <c r="AC200" s="1188"/>
      <c r="AD200" s="1188"/>
      <c r="AE200" s="1188"/>
      <c r="AF200" s="1188"/>
      <c r="AG200" s="1188"/>
      <c r="AH200" s="1188"/>
      <c r="AI200" s="1188"/>
      <c r="AJ200" s="1188"/>
      <c r="AK200" s="1188"/>
      <c r="AL200" s="1188"/>
      <c r="AM200" s="1188"/>
      <c r="AN200" s="1188"/>
      <c r="AO200" s="1188"/>
      <c r="AP200" s="1188"/>
      <c r="AQ200" s="1253" t="s">
        <v>809</v>
      </c>
      <c r="AR200" s="1204"/>
      <c r="AS200" s="1239">
        <f t="shared" ref="AS200:AS205" si="90">SUMIFS($AU$5:$AU$176,$AO$5:$AO$176,$AQ$199,$AQ$5:$AQ$176,AQ200)</f>
        <v>15604702125.4858</v>
      </c>
      <c r="AU200" s="1188"/>
      <c r="BF200" s="1188"/>
      <c r="BG200" s="1188"/>
    </row>
    <row r="201" spans="2:59" s="1189" customFormat="1" x14ac:dyDescent="0.25">
      <c r="B201" s="1222"/>
      <c r="C201" s="1188"/>
      <c r="D201" s="1188"/>
      <c r="E201" s="1188"/>
      <c r="F201" s="1188"/>
      <c r="G201" s="1188"/>
      <c r="H201" s="1188"/>
      <c r="I201" s="1207"/>
      <c r="J201" s="1188"/>
      <c r="K201" s="1188"/>
      <c r="L201" s="1188"/>
      <c r="M201" s="1188"/>
      <c r="N201" s="1188"/>
      <c r="O201" s="1188"/>
      <c r="P201" s="1188"/>
      <c r="Q201" s="1206"/>
      <c r="R201" s="1188"/>
      <c r="S201" s="1206"/>
      <c r="T201" s="1188"/>
      <c r="U201" s="1188"/>
      <c r="V201" s="1188"/>
      <c r="W201" s="1188"/>
      <c r="X201" s="1188"/>
      <c r="Y201" s="1188"/>
      <c r="Z201" s="1188"/>
      <c r="AA201" s="1188"/>
      <c r="AB201" s="1188"/>
      <c r="AC201" s="1188"/>
      <c r="AD201" s="1188"/>
      <c r="AE201" s="1188"/>
      <c r="AF201" s="1188"/>
      <c r="AG201" s="1188"/>
      <c r="AH201" s="1188"/>
      <c r="AI201" s="1188"/>
      <c r="AJ201" s="1188"/>
      <c r="AK201" s="1188"/>
      <c r="AL201" s="1188"/>
      <c r="AM201" s="1188"/>
      <c r="AN201" s="1188"/>
      <c r="AO201" s="1188"/>
      <c r="AP201" s="1188"/>
      <c r="AQ201" s="1197" t="s">
        <v>814</v>
      </c>
      <c r="AR201" s="1204"/>
      <c r="AS201" s="1239">
        <f t="shared" si="90"/>
        <v>122763337.89329684</v>
      </c>
      <c r="AU201" s="1188"/>
      <c r="BF201" s="1188"/>
      <c r="BG201" s="1188"/>
    </row>
    <row r="202" spans="2:59" s="1189" customFormat="1" x14ac:dyDescent="0.25">
      <c r="B202" s="1222"/>
      <c r="C202" s="1188"/>
      <c r="D202" s="1188"/>
      <c r="E202" s="1188"/>
      <c r="F202" s="1188"/>
      <c r="G202" s="1188"/>
      <c r="H202" s="1188"/>
      <c r="I202" s="1207"/>
      <c r="J202" s="1188"/>
      <c r="K202" s="1188"/>
      <c r="L202" s="1188"/>
      <c r="M202" s="1188"/>
      <c r="N202" s="1188"/>
      <c r="O202" s="1188"/>
      <c r="P202" s="1188"/>
      <c r="Q202" s="1206"/>
      <c r="R202" s="1188"/>
      <c r="S202" s="1206"/>
      <c r="T202" s="1188"/>
      <c r="U202" s="1188"/>
      <c r="V202" s="1188"/>
      <c r="W202" s="1188"/>
      <c r="X202" s="1188"/>
      <c r="Y202" s="1188"/>
      <c r="Z202" s="1188"/>
      <c r="AA202" s="1188"/>
      <c r="AB202" s="1188"/>
      <c r="AC202" s="1188"/>
      <c r="AD202" s="1188"/>
      <c r="AE202" s="1188"/>
      <c r="AF202" s="1188"/>
      <c r="AG202" s="1188"/>
      <c r="AH202" s="1188"/>
      <c r="AI202" s="1188"/>
      <c r="AJ202" s="1188"/>
      <c r="AK202" s="1188"/>
      <c r="AL202" s="1188"/>
      <c r="AM202" s="1188"/>
      <c r="AN202" s="1188"/>
      <c r="AO202" s="1188"/>
      <c r="AP202" s="1188"/>
      <c r="AQ202" s="1194" t="s">
        <v>1359</v>
      </c>
      <c r="AR202" s="1204"/>
      <c r="AS202" s="1239">
        <f t="shared" si="90"/>
        <v>3305656.9343065694</v>
      </c>
      <c r="AU202" s="1188"/>
      <c r="BF202" s="1188"/>
      <c r="BG202" s="1188"/>
    </row>
    <row r="203" spans="2:59" s="1189" customFormat="1" x14ac:dyDescent="0.25">
      <c r="B203" s="1222"/>
      <c r="C203" s="1188"/>
      <c r="D203" s="1188"/>
      <c r="E203" s="1188"/>
      <c r="F203" s="1188"/>
      <c r="G203" s="1188"/>
      <c r="H203" s="1188"/>
      <c r="I203" s="1207"/>
      <c r="J203" s="1188"/>
      <c r="K203" s="1188"/>
      <c r="L203" s="1188"/>
      <c r="M203" s="1188"/>
      <c r="N203" s="1188"/>
      <c r="O203" s="1188"/>
      <c r="P203" s="1188"/>
      <c r="Q203" s="1206"/>
      <c r="R203" s="1188"/>
      <c r="S203" s="1206"/>
      <c r="T203" s="1188"/>
      <c r="U203" s="1188"/>
      <c r="V203" s="1188"/>
      <c r="W203" s="1188"/>
      <c r="X203" s="1188"/>
      <c r="Y203" s="1188"/>
      <c r="Z203" s="1188"/>
      <c r="AA203" s="1188"/>
      <c r="AB203" s="1188"/>
      <c r="AC203" s="1188"/>
      <c r="AD203" s="1188"/>
      <c r="AE203" s="1188"/>
      <c r="AF203" s="1188"/>
      <c r="AG203" s="1188"/>
      <c r="AH203" s="1188"/>
      <c r="AI203" s="1188"/>
      <c r="AJ203" s="1188"/>
      <c r="AK203" s="1188"/>
      <c r="AL203" s="1188"/>
      <c r="AM203" s="1188"/>
      <c r="AN203" s="1188"/>
      <c r="AO203" s="1188"/>
      <c r="AP203" s="1188"/>
      <c r="AQ203" s="1197" t="s">
        <v>1383</v>
      </c>
      <c r="AR203" s="1238"/>
      <c r="AS203" s="1239">
        <f t="shared" si="90"/>
        <v>331320868.63608146</v>
      </c>
      <c r="AU203" s="1188"/>
      <c r="BF203" s="1188"/>
      <c r="BG203" s="1188"/>
    </row>
    <row r="204" spans="2:59" s="1189" customFormat="1" x14ac:dyDescent="0.25">
      <c r="B204" s="1222"/>
      <c r="C204" s="1188"/>
      <c r="D204" s="1188"/>
      <c r="E204" s="1188"/>
      <c r="F204" s="1188"/>
      <c r="G204" s="1188"/>
      <c r="H204" s="1188"/>
      <c r="I204" s="1207"/>
      <c r="J204" s="1188"/>
      <c r="K204" s="1188"/>
      <c r="L204" s="1188"/>
      <c r="M204" s="1188"/>
      <c r="N204" s="1188"/>
      <c r="O204" s="1188"/>
      <c r="P204" s="1188"/>
      <c r="Q204" s="1206"/>
      <c r="R204" s="1188"/>
      <c r="S204" s="1206"/>
      <c r="T204" s="1188"/>
      <c r="U204" s="1188"/>
      <c r="V204" s="1188"/>
      <c r="W204" s="1188"/>
      <c r="X204" s="1188"/>
      <c r="Y204" s="1188"/>
      <c r="Z204" s="1188"/>
      <c r="AA204" s="1188"/>
      <c r="AB204" s="1188"/>
      <c r="AC204" s="1188"/>
      <c r="AD204" s="1188"/>
      <c r="AE204" s="1188"/>
      <c r="AF204" s="1188"/>
      <c r="AG204" s="1188"/>
      <c r="AH204" s="1188"/>
      <c r="AI204" s="1188"/>
      <c r="AJ204" s="1188"/>
      <c r="AK204" s="1188"/>
      <c r="AL204" s="1188"/>
      <c r="AM204" s="1188"/>
      <c r="AN204" s="1188"/>
      <c r="AO204" s="1188"/>
      <c r="AP204" s="1188"/>
      <c r="AQ204" s="1197" t="s">
        <v>1382</v>
      </c>
      <c r="AR204" s="1238"/>
      <c r="AS204" s="1239">
        <f t="shared" si="90"/>
        <v>527276921.03577268</v>
      </c>
      <c r="AU204" s="1188"/>
      <c r="BF204" s="1188"/>
      <c r="BG204" s="1188"/>
    </row>
    <row r="205" spans="2:59" s="1189" customFormat="1" x14ac:dyDescent="0.25">
      <c r="B205" s="1222"/>
      <c r="C205" s="1188"/>
      <c r="D205" s="1188"/>
      <c r="E205" s="1188"/>
      <c r="F205" s="1188"/>
      <c r="G205" s="1188"/>
      <c r="H205" s="1188"/>
      <c r="I205" s="1207"/>
      <c r="J205" s="1188"/>
      <c r="K205" s="1188"/>
      <c r="L205" s="1188"/>
      <c r="M205" s="1188"/>
      <c r="N205" s="1188"/>
      <c r="O205" s="1188"/>
      <c r="P205" s="1188"/>
      <c r="Q205" s="1206"/>
      <c r="R205" s="1188"/>
      <c r="S205" s="1206"/>
      <c r="T205" s="1188"/>
      <c r="U205" s="1188"/>
      <c r="V205" s="1188"/>
      <c r="W205" s="1188"/>
      <c r="X205" s="1188"/>
      <c r="Y205" s="1188"/>
      <c r="Z205" s="1188"/>
      <c r="AA205" s="1188"/>
      <c r="AB205" s="1188"/>
      <c r="AC205" s="1188"/>
      <c r="AD205" s="1188"/>
      <c r="AE205" s="1188"/>
      <c r="AF205" s="1188"/>
      <c r="AG205" s="1188"/>
      <c r="AH205" s="1188"/>
      <c r="AI205" s="1188"/>
      <c r="AJ205" s="1188"/>
      <c r="AK205" s="1188"/>
      <c r="AL205" s="1188"/>
      <c r="AM205" s="1188"/>
      <c r="AN205" s="1188"/>
      <c r="AO205" s="1188"/>
      <c r="AP205" s="1188"/>
      <c r="AQ205" s="1197" t="s">
        <v>1158</v>
      </c>
      <c r="AR205" s="1238"/>
      <c r="AS205" s="1239">
        <f t="shared" si="90"/>
        <v>29483844.468784224</v>
      </c>
      <c r="AU205" s="1188"/>
      <c r="BF205" s="1188"/>
      <c r="BG205" s="1188"/>
    </row>
    <row r="206" spans="2:59" s="1189" customFormat="1" x14ac:dyDescent="0.25">
      <c r="B206" s="1222"/>
      <c r="C206" s="1188"/>
      <c r="D206" s="1188"/>
      <c r="E206" s="1188"/>
      <c r="F206" s="1188"/>
      <c r="G206" s="1188"/>
      <c r="H206" s="1188"/>
      <c r="I206" s="1207"/>
      <c r="J206" s="1188"/>
      <c r="K206" s="1188"/>
      <c r="L206" s="1188"/>
      <c r="M206" s="1188"/>
      <c r="N206" s="1188"/>
      <c r="O206" s="1188"/>
      <c r="P206" s="1188"/>
      <c r="Q206" s="1206"/>
      <c r="R206" s="1188"/>
      <c r="S206" s="1206"/>
      <c r="T206" s="1188"/>
      <c r="U206" s="1188"/>
      <c r="V206" s="1188"/>
      <c r="W206" s="1188"/>
      <c r="X206" s="1188"/>
      <c r="Y206" s="1188"/>
      <c r="Z206" s="1188"/>
      <c r="AA206" s="1188"/>
      <c r="AB206" s="1188"/>
      <c r="AC206" s="1188"/>
      <c r="AD206" s="1188"/>
      <c r="AE206" s="1188"/>
      <c r="AF206" s="1188"/>
      <c r="AG206" s="1188"/>
      <c r="AH206" s="1188"/>
      <c r="AI206" s="1188"/>
      <c r="AJ206" s="1188"/>
      <c r="AK206" s="1188"/>
      <c r="AL206" s="1188"/>
      <c r="AM206" s="1188"/>
      <c r="AN206" s="1188"/>
      <c r="AO206" s="1188"/>
      <c r="AP206" s="1188"/>
      <c r="AQ206" s="1188"/>
      <c r="AR206" s="1238"/>
      <c r="AS206" s="1239"/>
      <c r="AU206" s="1188"/>
      <c r="BF206" s="1188"/>
      <c r="BG206" s="1188"/>
    </row>
    <row r="207" spans="2:59" s="1189" customFormat="1" x14ac:dyDescent="0.25">
      <c r="B207" s="1222"/>
      <c r="C207" s="1188"/>
      <c r="D207" s="1188"/>
      <c r="E207" s="1188"/>
      <c r="F207" s="1188"/>
      <c r="G207" s="1188"/>
      <c r="H207" s="1188"/>
      <c r="I207" s="1207"/>
      <c r="J207" s="1188"/>
      <c r="K207" s="1188"/>
      <c r="L207" s="1188"/>
      <c r="M207" s="1188"/>
      <c r="N207" s="1188"/>
      <c r="O207" s="1188"/>
      <c r="P207" s="1188"/>
      <c r="Q207" s="1206"/>
      <c r="R207" s="1188"/>
      <c r="S207" s="1206"/>
      <c r="T207" s="1188"/>
      <c r="U207" s="1188"/>
      <c r="V207" s="1188"/>
      <c r="W207" s="1188"/>
      <c r="X207" s="1188"/>
      <c r="Y207" s="1188"/>
      <c r="Z207" s="1188"/>
      <c r="AA207" s="1188"/>
      <c r="AB207" s="1188"/>
      <c r="AC207" s="1188"/>
      <c r="AD207" s="1188"/>
      <c r="AE207" s="1188"/>
      <c r="AF207" s="1188"/>
      <c r="AG207" s="1188"/>
      <c r="AH207" s="1188"/>
      <c r="AI207" s="1188"/>
      <c r="AJ207" s="1188"/>
      <c r="AK207" s="1188"/>
      <c r="AL207" s="1188"/>
      <c r="AM207" s="1188"/>
      <c r="AN207" s="1188"/>
      <c r="AO207" s="1188"/>
      <c r="AP207" s="1188"/>
      <c r="AQ207" s="1188"/>
      <c r="AR207" s="1238"/>
      <c r="AS207" s="1239"/>
      <c r="AU207" s="1188"/>
      <c r="BF207" s="1188"/>
      <c r="BG207" s="1188"/>
    </row>
    <row r="208" spans="2:59" s="1189" customFormat="1" x14ac:dyDescent="0.25">
      <c r="B208" s="1222"/>
      <c r="C208" s="1188"/>
      <c r="D208" s="1188"/>
      <c r="E208" s="1188"/>
      <c r="F208" s="1188"/>
      <c r="G208" s="1188"/>
      <c r="H208" s="1188"/>
      <c r="I208" s="1207"/>
      <c r="J208" s="1188"/>
      <c r="K208" s="1188"/>
      <c r="L208" s="1188"/>
      <c r="M208" s="1188"/>
      <c r="N208" s="1188"/>
      <c r="O208" s="1188"/>
      <c r="P208" s="1188"/>
      <c r="Q208" s="1206"/>
      <c r="R208" s="1188"/>
      <c r="S208" s="1206"/>
      <c r="T208" s="1188"/>
      <c r="U208" s="1188"/>
      <c r="V208" s="1188"/>
      <c r="W208" s="1188"/>
      <c r="X208" s="1188"/>
      <c r="Y208" s="1188"/>
      <c r="Z208" s="1188"/>
      <c r="AA208" s="1188"/>
      <c r="AB208" s="1188"/>
      <c r="AC208" s="1188"/>
      <c r="AD208" s="1188"/>
      <c r="AE208" s="1188"/>
      <c r="AF208" s="1188"/>
      <c r="AG208" s="1188"/>
      <c r="AH208" s="1188"/>
      <c r="AI208" s="1188"/>
      <c r="AJ208" s="1188"/>
      <c r="AK208" s="1188"/>
      <c r="AL208" s="1188"/>
      <c r="AM208" s="1188"/>
      <c r="AN208" s="1188"/>
      <c r="AO208" s="1188"/>
      <c r="AP208" s="1188"/>
      <c r="AQ208" s="1225">
        <v>642</v>
      </c>
      <c r="AR208" s="1238"/>
      <c r="AS208" s="1239"/>
      <c r="AU208" s="1188"/>
      <c r="BF208" s="1188"/>
      <c r="BG208" s="1188"/>
    </row>
    <row r="209" spans="2:59" s="1189" customFormat="1" x14ac:dyDescent="0.25">
      <c r="B209" s="1222"/>
      <c r="C209" s="1188"/>
      <c r="D209" s="1188"/>
      <c r="E209" s="1188"/>
      <c r="F209" s="1188"/>
      <c r="G209" s="1188"/>
      <c r="H209" s="1188"/>
      <c r="I209" s="1207"/>
      <c r="J209" s="1188"/>
      <c r="K209" s="1188"/>
      <c r="L209" s="1188"/>
      <c r="M209" s="1188"/>
      <c r="N209" s="1188"/>
      <c r="O209" s="1188"/>
      <c r="P209" s="1188"/>
      <c r="Q209" s="1206"/>
      <c r="R209" s="1188"/>
      <c r="S209" s="1206"/>
      <c r="T209" s="1188"/>
      <c r="U209" s="1188"/>
      <c r="V209" s="1188"/>
      <c r="W209" s="1188"/>
      <c r="X209" s="1188"/>
      <c r="Y209" s="1188"/>
      <c r="Z209" s="1188"/>
      <c r="AA209" s="1188"/>
      <c r="AB209" s="1188"/>
      <c r="AC209" s="1188"/>
      <c r="AD209" s="1188"/>
      <c r="AE209" s="1188"/>
      <c r="AF209" s="1188"/>
      <c r="AG209" s="1188"/>
      <c r="AH209" s="1188"/>
      <c r="AI209" s="1188"/>
      <c r="AJ209" s="1188"/>
      <c r="AK209" s="1188"/>
      <c r="AL209" s="1188"/>
      <c r="AM209" s="1188"/>
      <c r="AN209" s="1188"/>
      <c r="AO209" s="1188"/>
      <c r="AP209" s="1188"/>
      <c r="AQ209" s="1197" t="s">
        <v>1158</v>
      </c>
      <c r="AR209" s="1238"/>
      <c r="AS209" s="1239">
        <f>SUMIFS($AU$5:$AU$176,$AO$5:$AO$176,$AQ$208,$AQ$5:$AQ$176,AQ209)</f>
        <v>1559171214.2695808</v>
      </c>
      <c r="AU209" s="1188"/>
      <c r="BF209" s="1188"/>
      <c r="BG209" s="1188"/>
    </row>
    <row r="210" spans="2:59" s="1189" customFormat="1" x14ac:dyDescent="0.25">
      <c r="B210" s="1222"/>
      <c r="C210" s="1188"/>
      <c r="D210" s="1188"/>
      <c r="E210" s="1188"/>
      <c r="F210" s="1188"/>
      <c r="G210" s="1188"/>
      <c r="H210" s="1188"/>
      <c r="I210" s="1207"/>
      <c r="J210" s="1188"/>
      <c r="K210" s="1188"/>
      <c r="L210" s="1188"/>
      <c r="M210" s="1188"/>
      <c r="N210" s="1188"/>
      <c r="O210" s="1188"/>
      <c r="P210" s="1188"/>
      <c r="Q210" s="1206"/>
      <c r="R210" s="1188"/>
      <c r="S210" s="1206"/>
      <c r="T210" s="1188"/>
      <c r="U210" s="1188"/>
      <c r="V210" s="1188"/>
      <c r="W210" s="1188"/>
      <c r="X210" s="1188"/>
      <c r="Y210" s="1188"/>
      <c r="Z210" s="1188"/>
      <c r="AA210" s="1188"/>
      <c r="AB210" s="1188"/>
      <c r="AC210" s="1188"/>
      <c r="AD210" s="1188"/>
      <c r="AE210" s="1188"/>
      <c r="AF210" s="1188"/>
      <c r="AG210" s="1188"/>
      <c r="AH210" s="1188"/>
      <c r="AI210" s="1188"/>
      <c r="AJ210" s="1188"/>
      <c r="AK210" s="1188"/>
      <c r="AL210" s="1188"/>
      <c r="AM210" s="1188"/>
      <c r="AN210" s="1188"/>
      <c r="AO210" s="1188"/>
      <c r="AP210" s="1188"/>
      <c r="AQ210" s="1197" t="s">
        <v>1048</v>
      </c>
      <c r="AR210" s="1238"/>
      <c r="AS210" s="1239">
        <f>SUMIFS($AU$5:$AU$176,$AO$5:$AO$176,$AQ$208,$AQ$5:$AQ$176,AQ210)</f>
        <v>172549623.54551676</v>
      </c>
      <c r="AU210" s="1188"/>
      <c r="BF210" s="1188"/>
      <c r="BG210" s="1188"/>
    </row>
    <row r="211" spans="2:59" s="1189" customFormat="1" x14ac:dyDescent="0.25">
      <c r="B211" s="1222"/>
      <c r="C211" s="1188"/>
      <c r="D211" s="1188"/>
      <c r="E211" s="1188"/>
      <c r="F211" s="1188"/>
      <c r="G211" s="1188"/>
      <c r="H211" s="1188"/>
      <c r="I211" s="1207"/>
      <c r="J211" s="1188"/>
      <c r="K211" s="1188"/>
      <c r="L211" s="1188"/>
      <c r="M211" s="1188"/>
      <c r="N211" s="1188"/>
      <c r="O211" s="1188"/>
      <c r="P211" s="1188"/>
      <c r="Q211" s="1206"/>
      <c r="R211" s="1188"/>
      <c r="S211" s="1206"/>
      <c r="T211" s="1188"/>
      <c r="U211" s="1188"/>
      <c r="V211" s="1188"/>
      <c r="W211" s="1188"/>
      <c r="X211" s="1188"/>
      <c r="Y211" s="1188"/>
      <c r="Z211" s="1188"/>
      <c r="AA211" s="1188"/>
      <c r="AB211" s="1188"/>
      <c r="AC211" s="1188"/>
      <c r="AD211" s="1188"/>
      <c r="AE211" s="1188"/>
      <c r="AF211" s="1188"/>
      <c r="AG211" s="1188"/>
      <c r="AH211" s="1188"/>
      <c r="AI211" s="1188"/>
      <c r="AJ211" s="1188"/>
      <c r="AK211" s="1188"/>
      <c r="AL211" s="1188"/>
      <c r="AM211" s="1188"/>
      <c r="AN211" s="1188"/>
      <c r="AO211" s="1188"/>
      <c r="AP211" s="1188"/>
      <c r="AQ211" s="1188"/>
      <c r="AR211" s="1238"/>
      <c r="AS211" s="1239"/>
      <c r="AU211" s="1188"/>
      <c r="BF211" s="1188"/>
      <c r="BG211" s="1188"/>
    </row>
    <row r="212" spans="2:59" s="1189" customFormat="1" x14ac:dyDescent="0.25">
      <c r="B212" s="1222"/>
      <c r="C212" s="1188"/>
      <c r="D212" s="1188"/>
      <c r="E212" s="1188"/>
      <c r="F212" s="1188"/>
      <c r="G212" s="1188"/>
      <c r="H212" s="1188"/>
      <c r="I212" s="1207"/>
      <c r="J212" s="1188"/>
      <c r="K212" s="1188"/>
      <c r="L212" s="1188"/>
      <c r="M212" s="1188"/>
      <c r="N212" s="1188"/>
      <c r="O212" s="1188"/>
      <c r="P212" s="1188"/>
      <c r="Q212" s="1206"/>
      <c r="R212" s="1188"/>
      <c r="S212" s="1206"/>
      <c r="T212" s="1188"/>
      <c r="U212" s="1188"/>
      <c r="V212" s="1188"/>
      <c r="W212" s="1188"/>
      <c r="X212" s="1188"/>
      <c r="Y212" s="1188"/>
      <c r="Z212" s="1188"/>
      <c r="AA212" s="1188"/>
      <c r="AB212" s="1188"/>
      <c r="AC212" s="1188"/>
      <c r="AD212" s="1188"/>
      <c r="AE212" s="1188"/>
      <c r="AF212" s="1188"/>
      <c r="AG212" s="1188"/>
      <c r="AH212" s="1188"/>
      <c r="AI212" s="1188"/>
      <c r="AJ212" s="1188"/>
      <c r="AK212" s="1188"/>
      <c r="AL212" s="1188"/>
      <c r="AM212" s="1188"/>
      <c r="AN212" s="1188"/>
      <c r="AO212" s="1188"/>
      <c r="AP212" s="1188"/>
      <c r="AQ212" s="1188"/>
      <c r="AR212" s="1238"/>
      <c r="AS212" s="1239"/>
      <c r="AU212" s="1188"/>
      <c r="BF212" s="1188"/>
      <c r="BG212" s="1188"/>
    </row>
    <row r="213" spans="2:59" s="1189" customFormat="1" x14ac:dyDescent="0.25">
      <c r="B213" s="1222"/>
      <c r="C213" s="1188"/>
      <c r="D213" s="1188"/>
      <c r="E213" s="1188"/>
      <c r="F213" s="1188"/>
      <c r="G213" s="1188"/>
      <c r="H213" s="1188"/>
      <c r="I213" s="1188"/>
      <c r="J213" s="1188"/>
      <c r="K213" s="1188"/>
      <c r="L213" s="1188"/>
      <c r="M213" s="1188"/>
      <c r="N213" s="1188"/>
      <c r="O213" s="1188"/>
      <c r="P213" s="1188"/>
      <c r="Q213" s="1188"/>
      <c r="R213" s="1207"/>
      <c r="S213" s="1188"/>
      <c r="T213" s="1188"/>
      <c r="U213" s="1188"/>
      <c r="V213" s="1188"/>
      <c r="W213" s="1188"/>
      <c r="X213" s="1188"/>
      <c r="Y213" s="1188"/>
      <c r="Z213" s="1188"/>
      <c r="AA213" s="1188"/>
      <c r="AB213" s="1188"/>
      <c r="AC213" s="1188"/>
      <c r="AD213" s="1188"/>
      <c r="AE213" s="1188"/>
      <c r="AF213" s="1188"/>
      <c r="AG213" s="1188"/>
      <c r="AH213" s="1188"/>
      <c r="AI213" s="1188"/>
      <c r="AJ213" s="1188"/>
      <c r="AK213" s="1188"/>
      <c r="AL213" s="1188"/>
      <c r="AM213" s="1188"/>
      <c r="AN213" s="1188"/>
      <c r="AO213" s="1188"/>
      <c r="AP213" s="1188"/>
      <c r="AR213" s="1238"/>
      <c r="AS213" s="1239">
        <f>SUMIFS($AU$5:$AU$176,$AO$5:$AO$176,"627",$AQ$5:$AQ$176,AQ190)</f>
        <v>2304399546.8019047</v>
      </c>
      <c r="AU213" s="1188"/>
      <c r="BF213" s="1188"/>
      <c r="BG213" s="1188"/>
    </row>
    <row r="214" spans="2:59" s="1189" customFormat="1" x14ac:dyDescent="0.25">
      <c r="B214" s="1222"/>
      <c r="C214" s="1188"/>
      <c r="D214" s="1188"/>
      <c r="E214" s="1188"/>
      <c r="F214" s="1188"/>
      <c r="G214" s="1188"/>
      <c r="H214" s="1188"/>
      <c r="I214" s="1206"/>
      <c r="J214" s="1188"/>
      <c r="K214" s="1188"/>
      <c r="L214" s="1188"/>
      <c r="M214" s="1188"/>
      <c r="N214" s="1188"/>
      <c r="O214" s="1206"/>
      <c r="P214" s="1188"/>
      <c r="Q214" s="1206"/>
      <c r="R214" s="1188"/>
      <c r="S214" s="1188"/>
      <c r="T214" s="1188"/>
      <c r="U214" s="1188"/>
      <c r="V214" s="1188"/>
      <c r="W214" s="1188"/>
      <c r="X214" s="1188"/>
      <c r="Y214" s="1188"/>
      <c r="Z214" s="1188"/>
      <c r="AA214" s="1188"/>
      <c r="AB214" s="1188"/>
      <c r="AC214" s="1188"/>
      <c r="AD214" s="1188"/>
      <c r="AE214" s="1188"/>
      <c r="AF214" s="1188"/>
      <c r="AG214" s="1188"/>
      <c r="AH214" s="1188"/>
      <c r="AI214" s="1188"/>
      <c r="AJ214" s="1188"/>
      <c r="AK214" s="1188"/>
      <c r="AL214" s="1188"/>
      <c r="AM214" s="1188"/>
      <c r="AN214" s="1188"/>
      <c r="AO214" s="1188"/>
      <c r="AP214" s="1188"/>
      <c r="AQ214" s="1204"/>
      <c r="AR214" s="1204"/>
      <c r="AS214" s="1204"/>
      <c r="AU214" s="1188"/>
      <c r="BF214" s="1188"/>
      <c r="BG214" s="1188"/>
    </row>
    <row r="215" spans="2:59" s="1189" customFormat="1" x14ac:dyDescent="0.25">
      <c r="B215" s="1222"/>
      <c r="C215" s="1188"/>
      <c r="D215" s="1188"/>
      <c r="E215" s="1207"/>
      <c r="F215" s="1207"/>
      <c r="G215" s="1188"/>
      <c r="H215" s="1188"/>
      <c r="I215" s="1188"/>
      <c r="J215" s="1188"/>
      <c r="K215" s="1188"/>
      <c r="L215" s="1188"/>
      <c r="M215" s="1188"/>
      <c r="N215" s="1188"/>
      <c r="O215" s="1188"/>
      <c r="P215" s="1188"/>
      <c r="Q215" s="1188"/>
      <c r="R215" s="1206"/>
      <c r="S215" s="1188"/>
      <c r="T215" s="1188"/>
      <c r="U215" s="1188"/>
      <c r="V215" s="1188"/>
      <c r="W215" s="1188"/>
      <c r="X215" s="1188"/>
      <c r="Y215" s="1188"/>
      <c r="Z215" s="1188"/>
      <c r="AA215" s="1188"/>
      <c r="AB215" s="1188"/>
      <c r="AC215" s="1188"/>
      <c r="AD215" s="1188"/>
      <c r="AE215" s="1188"/>
      <c r="AF215" s="1188"/>
      <c r="AG215" s="1188"/>
      <c r="AH215" s="1188"/>
      <c r="AI215" s="1188"/>
      <c r="AJ215" s="1188"/>
      <c r="AK215" s="1188"/>
      <c r="AL215" s="1188"/>
      <c r="AM215" s="1188"/>
      <c r="AN215" s="1188"/>
      <c r="AO215" s="1188"/>
      <c r="AP215" s="1188"/>
      <c r="AQ215" s="1225">
        <v>627</v>
      </c>
      <c r="AR215" s="1204"/>
      <c r="AS215" s="1204" t="s">
        <v>1284</v>
      </c>
      <c r="AU215" s="1188"/>
      <c r="BF215" s="1188"/>
      <c r="BG215" s="1188"/>
    </row>
    <row r="216" spans="2:59" s="1189" customFormat="1" x14ac:dyDescent="0.25">
      <c r="B216" s="1222"/>
      <c r="C216" s="1188"/>
      <c r="D216" s="1188"/>
      <c r="E216" s="1207"/>
      <c r="F216" s="1207"/>
      <c r="G216" s="1188"/>
      <c r="H216" s="1188"/>
      <c r="I216" s="1188"/>
      <c r="J216" s="1188"/>
      <c r="K216" s="1188"/>
      <c r="L216" s="1188"/>
      <c r="M216" s="1188"/>
      <c r="N216" s="1188"/>
      <c r="O216" s="1188"/>
      <c r="P216" s="1188"/>
      <c r="Q216" s="1188"/>
      <c r="R216" s="1188"/>
      <c r="S216" s="1188"/>
      <c r="T216" s="1188"/>
      <c r="U216" s="1188"/>
      <c r="V216" s="1188"/>
      <c r="W216" s="1188"/>
      <c r="X216" s="1188"/>
      <c r="Y216" s="1188"/>
      <c r="Z216" s="1188"/>
      <c r="AA216" s="1188"/>
      <c r="AB216" s="1188"/>
      <c r="AC216" s="1188"/>
      <c r="AD216" s="1188"/>
      <c r="AE216" s="1188"/>
      <c r="AF216" s="1188"/>
      <c r="AG216" s="1188"/>
      <c r="AH216" s="1188"/>
      <c r="AI216" s="1188"/>
      <c r="AJ216" s="1188"/>
      <c r="AK216" s="1188"/>
      <c r="AL216" s="1188"/>
      <c r="AM216" s="1188"/>
      <c r="AN216" s="1188"/>
      <c r="AO216" s="1188"/>
      <c r="AP216" s="1188"/>
      <c r="AQ216" s="1225" t="s">
        <v>1048</v>
      </c>
      <c r="AR216" s="1225"/>
      <c r="AS216" s="1242">
        <f>SUMIFS($AU$5:$AU$176,$AO$5:$AO$176,"627",$AQ$5:$AQ$176,AQ216)</f>
        <v>1568622063.8420928</v>
      </c>
      <c r="AU216" s="1188"/>
      <c r="BF216" s="1188"/>
      <c r="BG216" s="1188"/>
    </row>
    <row r="217" spans="2:59" s="1189" customFormat="1" x14ac:dyDescent="0.25">
      <c r="B217" s="1222"/>
      <c r="C217" s="1188"/>
      <c r="D217" s="1188"/>
      <c r="E217" s="1207"/>
      <c r="F217" s="1207"/>
      <c r="G217" s="1188"/>
      <c r="H217" s="1188"/>
      <c r="I217" s="1188"/>
      <c r="J217" s="1188"/>
      <c r="K217" s="1188"/>
      <c r="L217" s="1188"/>
      <c r="M217" s="1208"/>
      <c r="N217" s="1188"/>
      <c r="O217" s="1188"/>
      <c r="P217" s="1188"/>
      <c r="Q217" s="1206"/>
      <c r="R217" s="1188"/>
      <c r="S217" s="1188"/>
      <c r="T217" s="1188"/>
      <c r="U217" s="1188"/>
      <c r="V217" s="1188"/>
      <c r="W217" s="1188"/>
      <c r="X217" s="1188"/>
      <c r="Y217" s="1188"/>
      <c r="Z217" s="1188"/>
      <c r="AA217" s="1188"/>
      <c r="AB217" s="1188"/>
      <c r="AC217" s="1188"/>
      <c r="AD217" s="1188"/>
      <c r="AE217" s="1188"/>
      <c r="AF217" s="1188"/>
      <c r="AG217" s="1188"/>
      <c r="AH217" s="1188"/>
      <c r="AI217" s="1188"/>
      <c r="AJ217" s="1188"/>
      <c r="AK217" s="1188"/>
      <c r="AL217" s="1188"/>
      <c r="AM217" s="1188"/>
      <c r="AN217" s="1188"/>
      <c r="AO217" s="1188"/>
      <c r="AP217" s="1188"/>
      <c r="AQ217" s="1240" t="s">
        <v>809</v>
      </c>
      <c r="AR217" s="1240"/>
      <c r="AS217" s="1241">
        <f>AS216*AS181/(AS181+AS182)</f>
        <v>1518195259.2210863</v>
      </c>
      <c r="AU217" s="1188"/>
      <c r="BF217" s="1188"/>
      <c r="BG217" s="1188"/>
    </row>
    <row r="218" spans="2:59" x14ac:dyDescent="0.25">
      <c r="D218" s="1188" t="s">
        <v>1283</v>
      </c>
      <c r="E218" s="1207">
        <v>113900000</v>
      </c>
      <c r="F218" s="1207"/>
      <c r="M218" s="1208"/>
      <c r="AQ218" s="1240" t="s">
        <v>814</v>
      </c>
      <c r="AR218" s="1240"/>
      <c r="AS218" s="1241">
        <f>AS216*AS182/(AS181+AS182)</f>
        <v>50426804.621006377</v>
      </c>
    </row>
    <row r="219" spans="2:59" x14ac:dyDescent="0.25">
      <c r="D219" s="1188" t="s">
        <v>1285</v>
      </c>
      <c r="E219" s="1207">
        <f>1280000000*4</f>
        <v>5120000000</v>
      </c>
      <c r="F219" s="1207"/>
      <c r="M219" s="1208">
        <v>1444554067</v>
      </c>
      <c r="AQ219" s="1225" t="s">
        <v>1382</v>
      </c>
      <c r="AR219" s="1225"/>
      <c r="AS219" s="1242">
        <f>SUMIFS($AU$5:$AU$176,$AO$5:$AO$176,"627",$AQ$5:$AQ$176,AQ219)</f>
        <v>122677239.45975542</v>
      </c>
    </row>
    <row r="220" spans="2:59" s="1209" customFormat="1" x14ac:dyDescent="0.25">
      <c r="B220" s="1223"/>
      <c r="E220" s="1210"/>
      <c r="F220" s="1210"/>
      <c r="M220" s="1211"/>
      <c r="V220" s="1188"/>
      <c r="W220" s="1188"/>
      <c r="X220" s="1188"/>
      <c r="AQ220" s="1240" t="s">
        <v>654</v>
      </c>
      <c r="AR220" s="1240"/>
      <c r="AS220" s="1241">
        <f>AS219*AS183/(AS183+AS184)</f>
        <v>67296009.672635674</v>
      </c>
      <c r="AX220" s="1212"/>
      <c r="AY220" s="1212"/>
      <c r="AZ220" s="1212"/>
      <c r="BA220" s="1212"/>
      <c r="BB220" s="1212"/>
      <c r="BC220" s="1212"/>
      <c r="BD220" s="1212"/>
      <c r="BE220" s="1212"/>
    </row>
    <row r="221" spans="2:59" s="1209" customFormat="1" x14ac:dyDescent="0.25">
      <c r="B221" s="1223"/>
      <c r="E221" s="1210"/>
      <c r="F221" s="1210"/>
      <c r="M221" s="1211"/>
      <c r="V221" s="1188"/>
      <c r="W221" s="1188"/>
      <c r="X221" s="1188"/>
      <c r="AQ221" s="1240" t="s">
        <v>865</v>
      </c>
      <c r="AR221" s="1240"/>
      <c r="AS221" s="1241">
        <f>AS219*AS184/(AS183+AS184)</f>
        <v>55381229.787119754</v>
      </c>
      <c r="AX221" s="1212"/>
      <c r="AY221" s="1212"/>
      <c r="AZ221" s="1212"/>
      <c r="BA221" s="1212"/>
      <c r="BB221" s="1212"/>
      <c r="BC221" s="1212"/>
      <c r="BD221" s="1212"/>
      <c r="BE221" s="1212"/>
    </row>
    <row r="222" spans="2:59" s="1209" customFormat="1" x14ac:dyDescent="0.25">
      <c r="B222" s="1223"/>
      <c r="E222" s="1210"/>
      <c r="F222" s="1210"/>
      <c r="M222" s="1211"/>
      <c r="V222" s="1188"/>
      <c r="W222" s="1188"/>
      <c r="X222" s="1188"/>
      <c r="AQ222" s="1240"/>
      <c r="AR222" s="1240"/>
      <c r="AS222" s="1241"/>
      <c r="AX222" s="1212"/>
      <c r="AY222" s="1212"/>
      <c r="AZ222" s="1212"/>
      <c r="BA222" s="1212"/>
      <c r="BB222" s="1212"/>
      <c r="BC222" s="1212"/>
      <c r="BD222" s="1212"/>
      <c r="BE222" s="1212"/>
    </row>
    <row r="223" spans="2:59" s="1209" customFormat="1" x14ac:dyDescent="0.25">
      <c r="B223" s="1223"/>
      <c r="E223" s="1210"/>
      <c r="F223" s="1210"/>
      <c r="M223" s="1211"/>
      <c r="V223" s="1188"/>
      <c r="W223" s="1188"/>
      <c r="X223" s="1188"/>
      <c r="AQ223" s="1225">
        <v>627</v>
      </c>
      <c r="AR223" s="1225"/>
      <c r="AS223" s="1242">
        <f>SUMIFS($AU$5:$AU$176,$AO$5:$AO$176,"627",$AQ$5:$AQ$176,"Chung")</f>
        <v>572382652.48853052</v>
      </c>
      <c r="AX223" s="1212"/>
      <c r="AY223" s="1212"/>
      <c r="AZ223" s="1212"/>
      <c r="BA223" s="1212"/>
      <c r="BB223" s="1212"/>
      <c r="BC223" s="1212"/>
      <c r="BD223" s="1212"/>
      <c r="BE223" s="1212"/>
    </row>
    <row r="224" spans="2:59" s="1209" customFormat="1" x14ac:dyDescent="0.25">
      <c r="B224" s="1223"/>
      <c r="E224" s="1210"/>
      <c r="F224" s="1210"/>
      <c r="M224" s="1211"/>
      <c r="V224" s="1188"/>
      <c r="W224" s="1188"/>
      <c r="X224" s="1188"/>
      <c r="AQ224" s="1204" t="s">
        <v>809</v>
      </c>
      <c r="AR224" s="1204"/>
      <c r="AS224" s="1237">
        <f>$AS$223*AS181/$AS$185</f>
        <v>312005941.21404344</v>
      </c>
      <c r="AX224" s="1212"/>
      <c r="AY224" s="1212"/>
      <c r="AZ224" s="1212"/>
      <c r="BA224" s="1212"/>
      <c r="BB224" s="1212"/>
      <c r="BC224" s="1212"/>
      <c r="BD224" s="1212"/>
      <c r="BE224" s="1212"/>
    </row>
    <row r="225" spans="2:57" s="1209" customFormat="1" x14ac:dyDescent="0.25">
      <c r="B225" s="1223"/>
      <c r="E225" s="1210"/>
      <c r="F225" s="1210"/>
      <c r="M225" s="1211"/>
      <c r="V225" s="1188"/>
      <c r="W225" s="1188"/>
      <c r="X225" s="1188"/>
      <c r="AQ225" s="1204" t="s">
        <v>814</v>
      </c>
      <c r="AR225" s="1204"/>
      <c r="AS225" s="1237">
        <f>$AS$223*AS182/$AS$185</f>
        <v>10363266.874029012</v>
      </c>
      <c r="AX225" s="1212"/>
      <c r="AY225" s="1212"/>
      <c r="AZ225" s="1212"/>
      <c r="BA225" s="1212"/>
      <c r="BB225" s="1212"/>
      <c r="BC225" s="1212"/>
      <c r="BD225" s="1212"/>
      <c r="BE225" s="1212"/>
    </row>
    <row r="226" spans="2:57" s="1209" customFormat="1" x14ac:dyDescent="0.25">
      <c r="B226" s="1223"/>
      <c r="E226" s="1210"/>
      <c r="F226" s="1210"/>
      <c r="M226" s="1211"/>
      <c r="V226" s="1188"/>
      <c r="W226" s="1188"/>
      <c r="X226" s="1188"/>
      <c r="AQ226" s="1204" t="s">
        <v>654</v>
      </c>
      <c r="AR226" s="1204"/>
      <c r="AS226" s="1237">
        <f>$AS$223*AS183/$AS$185</f>
        <v>137147748.40675834</v>
      </c>
      <c r="AX226" s="1212"/>
      <c r="AY226" s="1212"/>
      <c r="AZ226" s="1212"/>
      <c r="BA226" s="1212"/>
      <c r="BB226" s="1212"/>
      <c r="BC226" s="1212"/>
      <c r="BD226" s="1212"/>
      <c r="BE226" s="1212"/>
    </row>
    <row r="227" spans="2:57" s="1209" customFormat="1" x14ac:dyDescent="0.25">
      <c r="B227" s="1223"/>
      <c r="E227" s="1210"/>
      <c r="F227" s="1210"/>
      <c r="M227" s="1211"/>
      <c r="V227" s="1188"/>
      <c r="W227" s="1188"/>
      <c r="X227" s="1188"/>
      <c r="AQ227" s="1204" t="s">
        <v>865</v>
      </c>
      <c r="AR227" s="1204"/>
      <c r="AS227" s="1237">
        <f>$AS$223*AS184/$AS$185</f>
        <v>112865695.99369967</v>
      </c>
      <c r="AX227" s="1212"/>
      <c r="AY227" s="1212"/>
      <c r="AZ227" s="1212"/>
      <c r="BA227" s="1212"/>
      <c r="BB227" s="1212"/>
      <c r="BC227" s="1212"/>
      <c r="BD227" s="1212"/>
      <c r="BE227" s="1212"/>
    </row>
    <row r="228" spans="2:57" s="1209" customFormat="1" x14ac:dyDescent="0.25">
      <c r="B228" s="1223"/>
      <c r="E228" s="1210"/>
      <c r="F228" s="1210"/>
      <c r="M228" s="1211"/>
      <c r="V228" s="1188"/>
      <c r="W228" s="1188"/>
      <c r="X228" s="1188"/>
      <c r="AQ228" s="1240"/>
      <c r="AR228" s="1240"/>
      <c r="AS228" s="1241"/>
      <c r="AX228" s="1212"/>
      <c r="AY228" s="1212"/>
      <c r="AZ228" s="1212"/>
      <c r="BA228" s="1212"/>
      <c r="BB228" s="1212"/>
      <c r="BC228" s="1212"/>
      <c r="BD228" s="1212"/>
      <c r="BE228" s="1212"/>
    </row>
    <row r="229" spans="2:57" s="1209" customFormat="1" x14ac:dyDescent="0.25">
      <c r="B229" s="1223"/>
      <c r="E229" s="1210"/>
      <c r="F229" s="1210"/>
      <c r="M229" s="1211"/>
      <c r="V229" s="1188"/>
      <c r="W229" s="1188"/>
      <c r="X229" s="1188"/>
      <c r="AQ229" s="1240"/>
      <c r="AR229" s="1240"/>
      <c r="AS229" s="1241"/>
      <c r="AX229" s="1212"/>
      <c r="AY229" s="1212"/>
      <c r="AZ229" s="1212"/>
      <c r="BA229" s="1212"/>
      <c r="BB229" s="1212"/>
      <c r="BC229" s="1212"/>
      <c r="BD229" s="1212"/>
      <c r="BE229" s="1212"/>
    </row>
    <row r="230" spans="2:57" s="1209" customFormat="1" x14ac:dyDescent="0.25">
      <c r="B230" s="1223"/>
      <c r="E230" s="1210"/>
      <c r="F230" s="1210"/>
      <c r="M230" s="1211"/>
      <c r="V230" s="1188"/>
      <c r="W230" s="1188"/>
      <c r="X230" s="1188"/>
      <c r="AQ230" s="1240"/>
      <c r="AR230" s="1240"/>
      <c r="AS230" s="1241"/>
      <c r="AX230" s="1212"/>
      <c r="AY230" s="1212"/>
      <c r="AZ230" s="1212"/>
      <c r="BA230" s="1212"/>
      <c r="BB230" s="1212"/>
      <c r="BC230" s="1212"/>
      <c r="BD230" s="1212"/>
      <c r="BE230" s="1212"/>
    </row>
    <row r="231" spans="2:57" x14ac:dyDescent="0.25">
      <c r="E231" s="1207">
        <f>+E219+E218</f>
        <v>5233900000</v>
      </c>
      <c r="F231" s="1207"/>
      <c r="M231" s="1208">
        <v>251765579</v>
      </c>
      <c r="AQ231" s="1204"/>
      <c r="AR231" s="1204"/>
      <c r="AS231" s="1204"/>
    </row>
    <row r="232" spans="2:57" s="1209" customFormat="1" x14ac:dyDescent="0.25">
      <c r="B232" s="1223"/>
      <c r="E232" s="1210"/>
      <c r="F232" s="1210"/>
      <c r="M232" s="1211"/>
      <c r="V232" s="1188"/>
      <c r="W232" s="1188"/>
      <c r="X232" s="1188"/>
      <c r="AQ232" s="1225">
        <v>641</v>
      </c>
      <c r="AR232" s="1204"/>
      <c r="AS232" s="1204" t="s">
        <v>1286</v>
      </c>
      <c r="AX232" s="1212"/>
      <c r="AY232" s="1212"/>
      <c r="AZ232" s="1212"/>
      <c r="BA232" s="1212"/>
      <c r="BB232" s="1212"/>
      <c r="BC232" s="1212"/>
      <c r="BD232" s="1212"/>
      <c r="BE232" s="1212"/>
    </row>
    <row r="233" spans="2:57" s="1209" customFormat="1" x14ac:dyDescent="0.25">
      <c r="B233" s="1223"/>
      <c r="E233" s="1210"/>
      <c r="F233" s="1210"/>
      <c r="M233" s="1211"/>
      <c r="V233" s="1188"/>
      <c r="W233" s="1188"/>
      <c r="X233" s="1188"/>
      <c r="AQ233" s="1225" t="s">
        <v>1048</v>
      </c>
      <c r="AR233" s="1225"/>
      <c r="AS233" s="1242">
        <f>SUMIFS($AU$5:$AU$176,$Y$5:$Y$176,"641",$Z$5:$Z$176,AQ233)</f>
        <v>0</v>
      </c>
      <c r="AX233" s="1212"/>
      <c r="AY233" s="1212"/>
      <c r="AZ233" s="1212"/>
      <c r="BA233" s="1212"/>
      <c r="BB233" s="1212"/>
      <c r="BC233" s="1212"/>
      <c r="BD233" s="1212"/>
      <c r="BE233" s="1212"/>
    </row>
    <row r="234" spans="2:57" x14ac:dyDescent="0.25">
      <c r="E234" s="1207">
        <f>+E231/4</f>
        <v>1308475000</v>
      </c>
      <c r="F234" s="1207"/>
      <c r="M234" s="1208">
        <f>+M219-M231</f>
        <v>1192788488</v>
      </c>
      <c r="AQ234" s="1225" t="s">
        <v>1382</v>
      </c>
      <c r="AR234" s="1225"/>
      <c r="AS234" s="1242">
        <f>SUMIFS($AU$5:$AU$176,$AO$5:$AO$176,"641",$AQ$5:$AQ$176,AQ234)</f>
        <v>527276921.03577268</v>
      </c>
    </row>
    <row r="235" spans="2:57" x14ac:dyDescent="0.25">
      <c r="E235" s="1207"/>
      <c r="F235" s="1207"/>
      <c r="M235" s="1208"/>
      <c r="AQ235" s="1240" t="s">
        <v>654</v>
      </c>
      <c r="AR235" s="1240"/>
      <c r="AS235" s="1241">
        <f>AS234*AS183/(AS183+AS184)</f>
        <v>289243815.18889177</v>
      </c>
    </row>
    <row r="236" spans="2:57" x14ac:dyDescent="0.25">
      <c r="E236" s="1207"/>
      <c r="F236" s="1207"/>
      <c r="AQ236" s="1240" t="s">
        <v>865</v>
      </c>
      <c r="AR236" s="1240"/>
      <c r="AS236" s="1241">
        <f>AS234*(AS184/(AS183+AS184))</f>
        <v>238033105.84688094</v>
      </c>
    </row>
    <row r="237" spans="2:57" x14ac:dyDescent="0.25">
      <c r="E237" s="1207"/>
      <c r="F237" s="1207"/>
      <c r="AQ237" s="1204"/>
      <c r="AR237" s="1204"/>
      <c r="AS237" s="1204"/>
    </row>
    <row r="238" spans="2:57" s="1209" customFormat="1" x14ac:dyDescent="0.25">
      <c r="B238" s="1223"/>
      <c r="E238" s="1210"/>
      <c r="F238" s="1210"/>
      <c r="V238" s="1188"/>
      <c r="W238" s="1188"/>
      <c r="X238" s="1188"/>
      <c r="AQ238" s="1225">
        <v>642</v>
      </c>
      <c r="AR238" s="1204"/>
      <c r="AS238" s="1204" t="s">
        <v>1287</v>
      </c>
      <c r="AX238" s="1212"/>
      <c r="AY238" s="1212"/>
      <c r="AZ238" s="1212"/>
      <c r="BA238" s="1212"/>
      <c r="BB238" s="1212"/>
      <c r="BC238" s="1212"/>
      <c r="BD238" s="1212"/>
      <c r="BE238" s="1212"/>
    </row>
    <row r="239" spans="2:57" s="1209" customFormat="1" x14ac:dyDescent="0.25">
      <c r="B239" s="1223"/>
      <c r="E239" s="1210"/>
      <c r="F239" s="1210"/>
      <c r="V239" s="1188"/>
      <c r="W239" s="1188"/>
      <c r="X239" s="1188"/>
      <c r="AQ239" s="1225" t="s">
        <v>1048</v>
      </c>
      <c r="AR239" s="1225"/>
      <c r="AS239" s="1242">
        <f>SUMIFS($AU$5:$AU$176,$AO$5:$AO$176,"642",$AQ$5:$AQ$176,AQ239)</f>
        <v>172549623.54551676</v>
      </c>
      <c r="AX239" s="1212"/>
      <c r="AY239" s="1212"/>
      <c r="AZ239" s="1212"/>
      <c r="BA239" s="1212"/>
      <c r="BB239" s="1212"/>
      <c r="BC239" s="1212"/>
      <c r="BD239" s="1212"/>
      <c r="BE239" s="1212"/>
    </row>
    <row r="240" spans="2:57" x14ac:dyDescent="0.25">
      <c r="AQ240" s="1240" t="s">
        <v>809</v>
      </c>
      <c r="AR240" s="1240"/>
      <c r="AS240" s="1241">
        <f>AS239*AS181/(AS181+AS182)</f>
        <v>167002636.57234752</v>
      </c>
    </row>
    <row r="241" spans="2:57" x14ac:dyDescent="0.25">
      <c r="AQ241" s="1240" t="s">
        <v>814</v>
      </c>
      <c r="AR241" s="1240"/>
      <c r="AS241" s="1241">
        <f>AS239*AS182/(AS181+AS182)</f>
        <v>5546986.9731692644</v>
      </c>
    </row>
    <row r="242" spans="2:57" x14ac:dyDescent="0.25">
      <c r="AQ242" s="1225" t="s">
        <v>1382</v>
      </c>
      <c r="AR242" s="1225"/>
      <c r="AS242" s="1242">
        <f>SUMIFS($AU$5:$AU$176,$Y$5:$Y$176,"642",$Z$5:$Z$176,AQ242)</f>
        <v>0</v>
      </c>
    </row>
    <row r="243" spans="2:57" s="1209" customFormat="1" x14ac:dyDescent="0.25">
      <c r="B243" s="1223"/>
      <c r="AQ243" s="1204"/>
      <c r="AR243" s="1204"/>
      <c r="AS243" s="1204"/>
      <c r="AX243" s="1212"/>
      <c r="AY243" s="1212"/>
      <c r="AZ243" s="1212"/>
      <c r="BA243" s="1212"/>
      <c r="BB243" s="1212"/>
      <c r="BC243" s="1212"/>
      <c r="BD243" s="1212"/>
      <c r="BE243" s="1212"/>
    </row>
    <row r="244" spans="2:57" s="1209" customFormat="1" x14ac:dyDescent="0.25">
      <c r="B244" s="1223"/>
      <c r="AQ244" s="1204"/>
      <c r="AR244" s="1204"/>
      <c r="AS244" s="1204" t="s">
        <v>1288</v>
      </c>
      <c r="AX244" s="1212"/>
      <c r="AY244" s="1212"/>
      <c r="AZ244" s="1212"/>
      <c r="BA244" s="1212"/>
      <c r="BB244" s="1212"/>
      <c r="BC244" s="1212"/>
      <c r="BD244" s="1212"/>
      <c r="BE244" s="1212"/>
    </row>
    <row r="245" spans="2:57" x14ac:dyDescent="0.25">
      <c r="AQ245" s="1225">
        <v>642</v>
      </c>
      <c r="AR245" s="1225"/>
      <c r="AS245" s="1242">
        <f>SUMIFS($AU$5:$AU$176,$AO$5:$AO$176,"642",$AQ$5:$AQ$176,"Chung")</f>
        <v>1559171214.2695808</v>
      </c>
    </row>
    <row r="246" spans="2:57" x14ac:dyDescent="0.25">
      <c r="AQ246" s="1204" t="s">
        <v>809</v>
      </c>
      <c r="AR246" s="1204"/>
      <c r="AS246" s="1236">
        <f>$AS$245*AS181/$AS$185</f>
        <v>849904657.49968135</v>
      </c>
    </row>
    <row r="247" spans="2:57" x14ac:dyDescent="0.25">
      <c r="AQ247" s="1204" t="s">
        <v>814</v>
      </c>
      <c r="AR247" s="1204"/>
      <c r="AS247" s="1236">
        <f>$AS$245*AS182/$AS$185</f>
        <v>28229554.696546845</v>
      </c>
    </row>
    <row r="248" spans="2:57" x14ac:dyDescent="0.25">
      <c r="AQ248" s="1204" t="s">
        <v>654</v>
      </c>
      <c r="AR248" s="1204"/>
      <c r="AS248" s="1236">
        <f>$AS$245*AS183/$AS$185</f>
        <v>373590674.85363609</v>
      </c>
    </row>
    <row r="249" spans="2:57" x14ac:dyDescent="0.25">
      <c r="AQ249" s="1204" t="s">
        <v>865</v>
      </c>
      <c r="AR249" s="1204"/>
      <c r="AS249" s="1236">
        <f>$AS$245*AS184/$AS$185</f>
        <v>307446327.21971661</v>
      </c>
    </row>
    <row r="250" spans="2:57" x14ac:dyDescent="0.25">
      <c r="AQ250" s="1204"/>
      <c r="AR250" s="1204"/>
      <c r="AS250" s="1236"/>
    </row>
    <row r="251" spans="2:57" x14ac:dyDescent="0.25">
      <c r="AS251" s="1188"/>
    </row>
    <row r="252" spans="2:57" x14ac:dyDescent="0.25">
      <c r="AS252" s="1188"/>
    </row>
    <row r="253" spans="2:57" x14ac:dyDescent="0.25">
      <c r="AS253" s="1188"/>
    </row>
    <row r="254" spans="2:57" x14ac:dyDescent="0.25">
      <c r="Q254" s="1208"/>
      <c r="AS254" s="1188"/>
    </row>
    <row r="255" spans="2:57" x14ac:dyDescent="0.25">
      <c r="AS255" s="1188"/>
    </row>
    <row r="256" spans="2:57" x14ac:dyDescent="0.25">
      <c r="AQ256" s="1204"/>
      <c r="AR256" s="1204"/>
      <c r="AS256" s="1204"/>
    </row>
    <row r="257" spans="43:45" x14ac:dyDescent="0.25">
      <c r="AQ257" s="1204"/>
      <c r="AR257" s="1204"/>
      <c r="AS257" s="1204"/>
    </row>
    <row r="258" spans="43:45" x14ac:dyDescent="0.25">
      <c r="AQ258" s="1204"/>
      <c r="AR258" s="1204"/>
      <c r="AS258" s="1252">
        <f>AS223+AS245+AS239+AS234+AS219+AS216+AS213+AS189</f>
        <v>9171572188.8654594</v>
      </c>
    </row>
  </sheetData>
  <autoFilter ref="B4:BG176" xr:uid="{E917FE89-39CE-495F-BFED-9D71D0B4DABB}"/>
  <mergeCells count="3">
    <mergeCell ref="B1:U1"/>
    <mergeCell ref="B2:U2"/>
    <mergeCell ref="P3:Q3"/>
  </mergeCells>
  <printOptions horizontalCentered="1"/>
  <pageMargins left="0.51181102362204722" right="0.11811023622047245" top="0.35433070866141736" bottom="0" header="0.31496062992125984" footer="0.31496062992125984"/>
  <pageSetup paperSize="9" scale="85"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DF161-70E7-49CB-A260-70286284164E}">
  <sheetPr>
    <tabColor theme="8" tint="0.39997558519241921"/>
  </sheetPr>
  <dimension ref="A2:O73"/>
  <sheetViews>
    <sheetView zoomScale="70" zoomScaleNormal="70" workbookViewId="0">
      <pane xSplit="5" ySplit="2" topLeftCell="F3" activePane="bottomRight" state="frozen"/>
      <selection pane="topRight" activeCell="D1" sqref="D1"/>
      <selection pane="bottomLeft" activeCell="A5" sqref="A5"/>
      <selection pane="bottomRight" activeCell="E19" sqref="E19"/>
    </sheetView>
  </sheetViews>
  <sheetFormatPr defaultColWidth="8.7109375" defaultRowHeight="15.75" x14ac:dyDescent="0.25"/>
  <cols>
    <col min="1" max="2" width="8.7109375" style="1188"/>
    <col min="3" max="3" width="9.28515625" style="1222" customWidth="1"/>
    <col min="4" max="4" width="19.28515625" style="1188" customWidth="1"/>
    <col min="5" max="5" width="41.28515625" style="1243" bestFit="1" customWidth="1"/>
    <col min="6" max="8" width="24.85546875" style="1243" bestFit="1" customWidth="1"/>
    <col min="9" max="15" width="18.42578125" style="1243" bestFit="1" customWidth="1"/>
    <col min="16" max="16384" width="8.7109375" style="1188"/>
  </cols>
  <sheetData>
    <row r="2" spans="1:15" x14ac:dyDescent="0.25">
      <c r="C2" s="2250"/>
      <c r="D2" s="2250"/>
      <c r="E2" s="2250"/>
    </row>
    <row r="3" spans="1:15" s="1192" customFormat="1" x14ac:dyDescent="0.25">
      <c r="C3" s="1191"/>
      <c r="D3" s="1224"/>
      <c r="E3" s="1244">
        <v>2023</v>
      </c>
      <c r="F3" s="1244">
        <v>2024</v>
      </c>
      <c r="G3" s="1244">
        <v>2025</v>
      </c>
      <c r="H3" s="1244">
        <v>2026</v>
      </c>
      <c r="I3" s="1244">
        <v>2027</v>
      </c>
      <c r="J3" s="1244">
        <v>2028</v>
      </c>
      <c r="K3" s="1244">
        <v>2029</v>
      </c>
      <c r="L3" s="1244">
        <v>2030</v>
      </c>
      <c r="M3" s="1244">
        <v>2031</v>
      </c>
      <c r="N3" s="1244">
        <v>2032</v>
      </c>
      <c r="O3" s="1244">
        <v>2033</v>
      </c>
    </row>
    <row r="4" spans="1:15" x14ac:dyDescent="0.25">
      <c r="C4" s="1204"/>
      <c r="D4" s="1204"/>
      <c r="E4" s="1225" t="s">
        <v>0</v>
      </c>
    </row>
    <row r="5" spans="1:15" s="1192" customFormat="1" x14ac:dyDescent="0.25">
      <c r="C5" s="1225" t="s">
        <v>615</v>
      </c>
      <c r="D5" s="1225"/>
      <c r="E5" s="1268">
        <f>SUM(E6:E9)</f>
        <v>432060786255</v>
      </c>
      <c r="F5" s="1251">
        <f t="shared" ref="F5:O5" si="0">SUM(F6:F10)</f>
        <v>462.46907327710716</v>
      </c>
      <c r="G5" s="1251">
        <f t="shared" si="0"/>
        <v>467.09376400987821</v>
      </c>
      <c r="H5" s="1251">
        <f t="shared" si="0"/>
        <v>471.76470164997704</v>
      </c>
      <c r="I5" s="1251">
        <f t="shared" si="0"/>
        <v>476.48234866647687</v>
      </c>
      <c r="J5" s="1251">
        <f t="shared" si="0"/>
        <v>481.24717215314161</v>
      </c>
      <c r="K5" s="1251">
        <f t="shared" si="0"/>
        <v>486.05964387467304</v>
      </c>
      <c r="L5" s="1251">
        <f t="shared" si="0"/>
        <v>490.92024031341981</v>
      </c>
      <c r="M5" s="1251">
        <f t="shared" si="0"/>
        <v>495.82944271655401</v>
      </c>
      <c r="N5" s="1251">
        <f t="shared" si="0"/>
        <v>500.78773714371954</v>
      </c>
      <c r="O5" s="1251">
        <f t="shared" si="0"/>
        <v>505.79561451515679</v>
      </c>
    </row>
    <row r="6" spans="1:15" x14ac:dyDescent="0.25">
      <c r="C6" s="1204" t="s">
        <v>809</v>
      </c>
      <c r="D6" s="1204"/>
      <c r="E6" s="1266">
        <v>235516453357</v>
      </c>
      <c r="F6" s="1249">
        <f>'4. KQ-PL'!I6</f>
        <v>268.52214140334996</v>
      </c>
      <c r="G6" s="1249">
        <f>'4. KQ-PL'!J6</f>
        <v>271.20736281738345</v>
      </c>
      <c r="H6" s="1249">
        <f>'4. KQ-PL'!K6</f>
        <v>273.91943644555732</v>
      </c>
      <c r="I6" s="1249">
        <f>'4. KQ-PL'!L6</f>
        <v>276.65863081001294</v>
      </c>
      <c r="J6" s="1249">
        <f>'4. KQ-PL'!M6</f>
        <v>279.42521711811304</v>
      </c>
      <c r="K6" s="1249">
        <f>'4. KQ-PL'!N6</f>
        <v>282.21946928929418</v>
      </c>
      <c r="L6" s="1249">
        <f>'4. KQ-PL'!O6</f>
        <v>285.04166398218717</v>
      </c>
      <c r="M6" s="1249">
        <f>'4. KQ-PL'!P6</f>
        <v>287.89208062200902</v>
      </c>
      <c r="N6" s="1249">
        <f>'4. KQ-PL'!Q6</f>
        <v>290.77100142822911</v>
      </c>
      <c r="O6" s="1249">
        <f>'4. KQ-PL'!R6</f>
        <v>293.67871144251143</v>
      </c>
    </row>
    <row r="7" spans="1:15" x14ac:dyDescent="0.25">
      <c r="C7" s="1204" t="s">
        <v>814</v>
      </c>
      <c r="D7" s="1204"/>
      <c r="E7" s="1266">
        <v>7822671100</v>
      </c>
      <c r="F7" s="1249">
        <f>'4. KQ-PL'!I7</f>
        <v>11.638686929817602</v>
      </c>
      <c r="G7" s="1249">
        <f>'4. KQ-PL'!J7</f>
        <v>11.755073799115777</v>
      </c>
      <c r="H7" s="1249">
        <f>'4. KQ-PL'!K7</f>
        <v>11.872624537106937</v>
      </c>
      <c r="I7" s="1249">
        <f>'4. KQ-PL'!L7</f>
        <v>11.991350782478005</v>
      </c>
      <c r="J7" s="1249">
        <f>'4. KQ-PL'!M7</f>
        <v>12.111264290302787</v>
      </c>
      <c r="K7" s="1249">
        <f>'4. KQ-PL'!N7</f>
        <v>12.232376933205813</v>
      </c>
      <c r="L7" s="1249">
        <f>'4. KQ-PL'!O7</f>
        <v>12.354700702537873</v>
      </c>
      <c r="M7" s="1249">
        <f>'4. KQ-PL'!P7</f>
        <v>12.478247709563252</v>
      </c>
      <c r="N7" s="1249">
        <f>'4. KQ-PL'!Q7</f>
        <v>12.603030186658884</v>
      </c>
      <c r="O7" s="1249">
        <f>'4. KQ-PL'!R7</f>
        <v>12.729060488525473</v>
      </c>
    </row>
    <row r="8" spans="1:15" x14ac:dyDescent="0.25">
      <c r="C8" s="1204" t="s">
        <v>654</v>
      </c>
      <c r="D8" s="1204"/>
      <c r="E8" s="1266">
        <v>103525436615</v>
      </c>
      <c r="F8" s="1249">
        <f>'4. KQ-PL'!I8</f>
        <v>90.221212148936871</v>
      </c>
      <c r="G8" s="1249">
        <f>'4. KQ-PL'!J8</f>
        <v>91.123424270426256</v>
      </c>
      <c r="H8" s="1249">
        <f>'4. KQ-PL'!K8</f>
        <v>92.034658513130509</v>
      </c>
      <c r="I8" s="1249">
        <f>'4. KQ-PL'!L8</f>
        <v>92.955005098261822</v>
      </c>
      <c r="J8" s="1249">
        <f>'4. KQ-PL'!M8</f>
        <v>93.884555149244449</v>
      </c>
      <c r="K8" s="1249">
        <f>'4. KQ-PL'!N8</f>
        <v>94.823400700736883</v>
      </c>
      <c r="L8" s="1249">
        <f>'4. KQ-PL'!O8</f>
        <v>95.771634707744269</v>
      </c>
      <c r="M8" s="1249">
        <f>'4. KQ-PL'!P8</f>
        <v>96.729351054821691</v>
      </c>
      <c r="N8" s="1249">
        <f>'4. KQ-PL'!Q8</f>
        <v>97.696644565369922</v>
      </c>
      <c r="O8" s="1249">
        <f>'4. KQ-PL'!R8</f>
        <v>98.673611011023652</v>
      </c>
    </row>
    <row r="9" spans="1:15" x14ac:dyDescent="0.25">
      <c r="C9" s="1204" t="s">
        <v>865</v>
      </c>
      <c r="D9" s="1204"/>
      <c r="E9" s="1266">
        <v>85196225183</v>
      </c>
      <c r="F9" s="1249">
        <f>'4. KQ-PL'!I9</f>
        <v>92.087032795002699</v>
      </c>
      <c r="G9" s="1249">
        <f>'4. KQ-PL'!J9</f>
        <v>93.007903122952726</v>
      </c>
      <c r="H9" s="1249">
        <f>'4. KQ-PL'!K9</f>
        <v>93.937982154182251</v>
      </c>
      <c r="I9" s="1249">
        <f>'4. KQ-PL'!L9</f>
        <v>94.877361975724099</v>
      </c>
      <c r="J9" s="1249">
        <f>'4. KQ-PL'!M9</f>
        <v>95.826135595481347</v>
      </c>
      <c r="K9" s="1249">
        <f>'4. KQ-PL'!N9</f>
        <v>96.784396951436165</v>
      </c>
      <c r="L9" s="1249">
        <f>'4. KQ-PL'!O9</f>
        <v>97.752240920950513</v>
      </c>
      <c r="M9" s="1249">
        <f>'4. KQ-PL'!P9</f>
        <v>98.72976333016004</v>
      </c>
      <c r="N9" s="1249">
        <f>'4. KQ-PL'!Q9</f>
        <v>99.717060963461634</v>
      </c>
      <c r="O9" s="1249">
        <f>'4. KQ-PL'!R9</f>
        <v>100.71423157309627</v>
      </c>
    </row>
    <row r="10" spans="1:15" x14ac:dyDescent="0.25">
      <c r="C10" s="1204"/>
      <c r="D10" s="1204"/>
      <c r="E10" s="1267"/>
    </row>
    <row r="11" spans="1:15" x14ac:dyDescent="0.25">
      <c r="A11" s="1293"/>
      <c r="B11" s="1293"/>
      <c r="C11" s="1294">
        <v>627</v>
      </c>
      <c r="D11" s="1295"/>
      <c r="E11" s="1294" t="s">
        <v>1381</v>
      </c>
      <c r="F11" s="1296"/>
      <c r="G11" s="1296"/>
      <c r="H11" s="1296"/>
      <c r="I11" s="1296"/>
      <c r="J11" s="1296"/>
      <c r="K11" s="1296"/>
      <c r="L11" s="1296"/>
      <c r="M11" s="1296"/>
      <c r="N11" s="1296"/>
      <c r="O11" s="1296"/>
    </row>
    <row r="12" spans="1:15" x14ac:dyDescent="0.25">
      <c r="D12" s="1204"/>
      <c r="E12" s="1291" t="s">
        <v>1282</v>
      </c>
    </row>
    <row r="13" spans="1:15" x14ac:dyDescent="0.25">
      <c r="B13" s="1188">
        <v>627</v>
      </c>
      <c r="C13" s="1269" t="s">
        <v>809</v>
      </c>
      <c r="D13" s="1269"/>
      <c r="E13" s="1264">
        <f>SUMIFS('KH- Phan bo'!AU$5:AU$176,'KH- Phan bo'!$AO$5:$AO$176,$C11,'KH- Phan bo'!$AQ$5:$AQ$176,$C13)</f>
        <v>2344492927.4223051</v>
      </c>
      <c r="F13" s="1264">
        <f>SUMIFS('KH- Phan bo'!AV$5:AV$176,'KH- Phan bo'!$AO$5:$AO$176,$C11,'KH- Phan bo'!$AQ$5:$AQ$176,$C13)</f>
        <v>1388657395.4988921</v>
      </c>
      <c r="G13" s="1264">
        <f>SUMIFS('KH- Phan bo'!AW$5:AW$176,'KH- Phan bo'!$AO$5:$AO$176,$C11,'KH- Phan bo'!$AQ$5:$AQ$176,$C13)</f>
        <v>1361686844.0474396</v>
      </c>
      <c r="H13" s="1264">
        <f>SUMIFS('KH- Phan bo'!AX$5:AX$176,'KH- Phan bo'!$AO$5:$AO$176,$C11,'KH- Phan bo'!$AQ$5:$AQ$176,$C13)</f>
        <v>741364160.66400158</v>
      </c>
      <c r="I13" s="1264">
        <f>SUMIFS('KH- Phan bo'!AY$5:AY$176,'KH- Phan bo'!$AO$5:$AO$176,$C11,'KH- Phan bo'!$AQ$5:$AQ$176,$C13)</f>
        <v>549901339.68310845</v>
      </c>
      <c r="J13" s="1264">
        <f>SUMIFS('KH- Phan bo'!AZ$5:AZ$176,'KH- Phan bo'!$AO$5:$AO$176,$C11,'KH- Phan bo'!$AQ$5:$AQ$176,$C13)</f>
        <v>167290086.58992752</v>
      </c>
      <c r="K13" s="1264">
        <f>SUMIFS('KH- Phan bo'!BA$5:BA$176,'KH- Phan bo'!$AO$5:$AO$176,$C11,'KH- Phan bo'!$AQ$5:$AQ$176,$C13)</f>
        <v>167290086.58992752</v>
      </c>
      <c r="L13" s="1264">
        <f>SUMIFS('KH- Phan bo'!BB$5:BB$176,'KH- Phan bo'!$AO$5:$AO$176,$C11,'KH- Phan bo'!$AQ$5:$AQ$176,$C13)</f>
        <v>167290086.58992752</v>
      </c>
      <c r="M13" s="1264">
        <f>SUMIFS('KH- Phan bo'!BC$5:BC$176,'KH- Phan bo'!$AO$5:$AO$176,$C11,'KH- Phan bo'!$AQ$5:$AQ$176,$C13)</f>
        <v>167290086.58992752</v>
      </c>
      <c r="N13" s="1264">
        <f>SUMIFS('KH- Phan bo'!BD$5:BD$176,'KH- Phan bo'!$AO$5:$AO$176,$C11,'KH- Phan bo'!$AQ$5:$AQ$176,$C13)</f>
        <v>167290086.58992752</v>
      </c>
      <c r="O13" s="1264">
        <f>SUMIFS('KH- Phan bo'!BE$5:BE$176,'KH- Phan bo'!$AO$5:$AO$176,$C11,'KH- Phan bo'!$AQ$5:$AQ$176,$C13)</f>
        <v>167290086.58992752</v>
      </c>
    </row>
    <row r="14" spans="1:15" x14ac:dyDescent="0.25">
      <c r="B14" s="1188">
        <v>627</v>
      </c>
      <c r="C14" s="1269" t="s">
        <v>814</v>
      </c>
      <c r="D14" s="1269"/>
      <c r="E14" s="1264">
        <f>SUMIFS('KH- Phan bo'!AU$5:AU$176,'KH- Phan bo'!$AO$5:$AO$176,$C11,'KH- Phan bo'!$AQ$5:$AQ$176,$C14)</f>
        <v>2304399546.8019047</v>
      </c>
      <c r="F14" s="1264">
        <f>SUMIFS('KH- Phan bo'!AV$5:AV$176,'KH- Phan bo'!$AO$5:$AO$176,$C11,'KH- Phan bo'!$AQ$5:$AQ$176,$C14)</f>
        <v>2323362949.7003388</v>
      </c>
      <c r="G14" s="1264">
        <f>SUMIFS('KH- Phan bo'!AW$5:AW$176,'KH- Phan bo'!$AO$5:$AO$176,$C11,'KH- Phan bo'!$AQ$5:$AQ$176,$C14)</f>
        <v>2323362949.7003388</v>
      </c>
      <c r="H14" s="1264">
        <f>SUMIFS('KH- Phan bo'!AX$5:AX$176,'KH- Phan bo'!$AO$5:$AO$176,$C11,'KH- Phan bo'!$AQ$5:$AQ$176,$C14)</f>
        <v>2323362949.7003388</v>
      </c>
      <c r="I14" s="1264">
        <f>SUMIFS('KH- Phan bo'!AY$5:AY$176,'KH- Phan bo'!$AO$5:$AO$176,$C11,'KH- Phan bo'!$AQ$5:$AQ$176,$C14)</f>
        <v>2323362949.7003388</v>
      </c>
      <c r="J14" s="1264">
        <f>SUMIFS('KH- Phan bo'!AZ$5:AZ$176,'KH- Phan bo'!$AO$5:$AO$176,$C11,'KH- Phan bo'!$AQ$5:$AQ$176,$C14)</f>
        <v>2234543540.5739441</v>
      </c>
      <c r="K14" s="1264">
        <f>SUMIFS('KH- Phan bo'!BA$5:BA$176,'KH- Phan bo'!$AO$5:$AO$176,$C11,'KH- Phan bo'!$AQ$5:$AQ$176,$C14)</f>
        <v>811559999.24253392</v>
      </c>
      <c r="L14" s="1264">
        <f>SUMIFS('KH- Phan bo'!BB$5:BB$176,'KH- Phan bo'!$AO$5:$AO$176,$C11,'KH- Phan bo'!$AQ$5:$AQ$176,$C14)</f>
        <v>811559999.24253392</v>
      </c>
      <c r="M14" s="1264">
        <f>SUMIFS('KH- Phan bo'!BC$5:BC$176,'KH- Phan bo'!$AO$5:$AO$176,$C11,'KH- Phan bo'!$AQ$5:$AQ$176,$C14)</f>
        <v>660338294.24071622</v>
      </c>
      <c r="N14" s="1264">
        <f>SUMIFS('KH- Phan bo'!BD$5:BD$176,'KH- Phan bo'!$AO$5:$AO$176,$C11,'KH- Phan bo'!$AQ$5:$AQ$176,$C14)</f>
        <v>67668476.013195753</v>
      </c>
      <c r="O14" s="1264">
        <f>SUMIFS('KH- Phan bo'!BE$5:BE$176,'KH- Phan bo'!$AO$5:$AO$176,$C11,'KH- Phan bo'!$AQ$5:$AQ$176,$C14)</f>
        <v>0</v>
      </c>
    </row>
    <row r="15" spans="1:15" x14ac:dyDescent="0.25">
      <c r="C15" s="1204"/>
      <c r="D15" s="1204"/>
    </row>
    <row r="16" spans="1:15" x14ac:dyDescent="0.25">
      <c r="C16" s="1225">
        <v>627</v>
      </c>
      <c r="D16" s="1204"/>
      <c r="E16" s="1291" t="s">
        <v>1284</v>
      </c>
    </row>
    <row r="17" spans="2:15" x14ac:dyDescent="0.25">
      <c r="C17" s="1225" t="s">
        <v>1048</v>
      </c>
      <c r="D17" s="1225"/>
      <c r="E17" s="1264">
        <f>SUMIFS('KH- Phan bo'!AU$5:AU$176,'KH- Phan bo'!$AO$5:$AO$176,$C16,'KH- Phan bo'!$AQ$5:$AQ$176,$C17)</f>
        <v>1568622063.8420928</v>
      </c>
      <c r="F17" s="1264">
        <f>SUMIFS('KH- Phan bo'!AV$5:AV$176,'KH- Phan bo'!$AO$5:$AO$176,$C16,'KH- Phan bo'!$AQ$5:$AQ$176,$C17)</f>
        <v>2250933378.1463108</v>
      </c>
      <c r="G17" s="1264">
        <f>SUMIFS('KH- Phan bo'!AW$5:AW$176,'KH- Phan bo'!$AO$5:$AO$176,$C16,'KH- Phan bo'!$AQ$5:$AQ$176,$C17)</f>
        <v>2199668253.2513342</v>
      </c>
      <c r="H17" s="1264">
        <f>SUMIFS('KH- Phan bo'!AX$5:AX$176,'KH- Phan bo'!$AO$5:$AO$176,$C16,'KH- Phan bo'!$AQ$5:$AQ$176,$C17)</f>
        <v>2019507778.2970858</v>
      </c>
      <c r="I17" s="1264">
        <f>SUMIFS('KH- Phan bo'!AY$5:AY$176,'KH- Phan bo'!$AO$5:$AO$176,$C16,'KH- Phan bo'!$AQ$5:$AQ$176,$C17)</f>
        <v>1200952151.5222158</v>
      </c>
      <c r="J17" s="1264">
        <f>SUMIFS('KH- Phan bo'!AZ$5:AZ$176,'KH- Phan bo'!$AO$5:$AO$176,$C16,'KH- Phan bo'!$AQ$5:$AQ$176,$C17)</f>
        <v>1050122133.5807621</v>
      </c>
      <c r="K17" s="1264">
        <f>SUMIFS('KH- Phan bo'!BA$5:BA$176,'KH- Phan bo'!$AO$5:$AO$176,$C16,'KH- Phan bo'!$AQ$5:$AQ$176,$C17)</f>
        <v>376997628.48607129</v>
      </c>
      <c r="L17" s="1264">
        <f>SUMIFS('KH- Phan bo'!BB$5:BB$176,'KH- Phan bo'!$AO$5:$AO$176,$C16,'KH- Phan bo'!$AQ$5:$AQ$176,$C17)</f>
        <v>376997628.48607129</v>
      </c>
      <c r="M17" s="1264">
        <f>SUMIFS('KH- Phan bo'!BC$5:BC$176,'KH- Phan bo'!$AO$5:$AO$176,$C16,'KH- Phan bo'!$AQ$5:$AQ$176,$C17)</f>
        <v>376997628.48607129</v>
      </c>
      <c r="N17" s="1264">
        <f>SUMIFS('KH- Phan bo'!BD$5:BD$176,'KH- Phan bo'!$AO$5:$AO$176,$C16,'KH- Phan bo'!$AQ$5:$AQ$176,$C17)</f>
        <v>376997628.48607129</v>
      </c>
      <c r="O17" s="1264">
        <f>SUMIFS('KH- Phan bo'!BE$5:BE$176,'KH- Phan bo'!$AO$5:$AO$176,$C16,'KH- Phan bo'!$AQ$5:$AQ$176,$C17)</f>
        <v>376997628.48607129</v>
      </c>
    </row>
    <row r="18" spans="2:15" x14ac:dyDescent="0.25">
      <c r="B18" s="1188">
        <v>627</v>
      </c>
      <c r="C18" s="1240" t="s">
        <v>809</v>
      </c>
      <c r="D18" s="1240"/>
      <c r="E18" s="1248">
        <f>E17*E6/(E6+E7)</f>
        <v>1518195259.2210863</v>
      </c>
      <c r="F18" s="1248">
        <f t="shared" ref="F18:O18" si="1">F17*F6/(F6+F7)</f>
        <v>2157423128.8941669</v>
      </c>
      <c r="G18" s="1248">
        <f t="shared" si="1"/>
        <v>2108287704.7950523</v>
      </c>
      <c r="H18" s="1248">
        <f t="shared" si="1"/>
        <v>1935611614.3552094</v>
      </c>
      <c r="I18" s="1248">
        <f t="shared" si="1"/>
        <v>1151061143.587888</v>
      </c>
      <c r="J18" s="1248">
        <f t="shared" si="1"/>
        <v>1006497038.5825273</v>
      </c>
      <c r="K18" s="1248">
        <f t="shared" si="1"/>
        <v>361336062.24450117</v>
      </c>
      <c r="L18" s="1248">
        <f t="shared" si="1"/>
        <v>361336062.24450111</v>
      </c>
      <c r="M18" s="1248">
        <f t="shared" si="1"/>
        <v>361336062.24450111</v>
      </c>
      <c r="N18" s="1248">
        <f t="shared" si="1"/>
        <v>361336062.24450111</v>
      </c>
      <c r="O18" s="1248">
        <f t="shared" si="1"/>
        <v>361336062.24450111</v>
      </c>
    </row>
    <row r="19" spans="2:15" x14ac:dyDescent="0.25">
      <c r="B19" s="1188">
        <v>627</v>
      </c>
      <c r="C19" s="1240" t="s">
        <v>814</v>
      </c>
      <c r="D19" s="1240"/>
      <c r="E19" s="1248">
        <f>E17*E7/(E6+E7)</f>
        <v>50426804.621006377</v>
      </c>
      <c r="F19" s="1248">
        <f t="shared" ref="F19:O19" si="2">F17*F7/(F6+F7)</f>
        <v>93510249.252144098</v>
      </c>
      <c r="G19" s="1248">
        <f t="shared" si="2"/>
        <v>91380548.456281617</v>
      </c>
      <c r="H19" s="1248">
        <f t="shared" si="2"/>
        <v>83896163.941876248</v>
      </c>
      <c r="I19" s="1248">
        <f t="shared" si="2"/>
        <v>49891007.9343279</v>
      </c>
      <c r="J19" s="1248">
        <f t="shared" si="2"/>
        <v>43625094.998234808</v>
      </c>
      <c r="K19" s="1248">
        <f t="shared" si="2"/>
        <v>15661566.241570162</v>
      </c>
      <c r="L19" s="1248">
        <f t="shared" si="2"/>
        <v>15661566.241570158</v>
      </c>
      <c r="M19" s="1248">
        <f t="shared" si="2"/>
        <v>15661566.241570158</v>
      </c>
      <c r="N19" s="1248">
        <f t="shared" si="2"/>
        <v>15661566.241570158</v>
      </c>
      <c r="O19" s="1248">
        <f t="shared" si="2"/>
        <v>15661566.241570158</v>
      </c>
    </row>
    <row r="20" spans="2:15" x14ac:dyDescent="0.25">
      <c r="C20" s="1225" t="s">
        <v>1382</v>
      </c>
      <c r="D20" s="1225"/>
      <c r="E20" s="1264">
        <f>SUMIFS('KH- Phan bo'!AU$5:AU$176,'KH- Phan bo'!$AO$5:$AO$176,$C16,'KH- Phan bo'!$AQ$5:$AQ$176,$C20)</f>
        <v>122677239.45975542</v>
      </c>
      <c r="F20" s="1264">
        <f>SUMIFS('KH- Phan bo'!AV$5:AV$176,'KH- Phan bo'!$AO$5:$AO$176,$C16,'KH- Phan bo'!$AQ$5:$AQ$176,$C20)</f>
        <v>122789273.46839446</v>
      </c>
      <c r="G20" s="1264">
        <f>SUMIFS('KH- Phan bo'!AW$5:AW$176,'KH- Phan bo'!$AO$5:$AO$176,$C16,'KH- Phan bo'!$AQ$5:$AQ$176,$C20)</f>
        <v>122789273.46839446</v>
      </c>
      <c r="H20" s="1264">
        <f>SUMIFS('KH- Phan bo'!AX$5:AX$176,'KH- Phan bo'!$AO$5:$AO$176,$C16,'KH- Phan bo'!$AQ$5:$AQ$176,$C20)</f>
        <v>122789273.46839446</v>
      </c>
      <c r="I20" s="1264">
        <f>SUMIFS('KH- Phan bo'!AY$5:AY$176,'KH- Phan bo'!$AO$5:$AO$176,$C16,'KH- Phan bo'!$AQ$5:$AQ$176,$C20)</f>
        <v>122789273.46839446</v>
      </c>
      <c r="J20" s="1264">
        <f>SUMIFS('KH- Phan bo'!AZ$5:AZ$176,'KH- Phan bo'!$AO$5:$AO$176,$C16,'KH- Phan bo'!$AQ$5:$AQ$176,$C20)</f>
        <v>122789273.46839446</v>
      </c>
      <c r="K20" s="1264">
        <f>SUMIFS('KH- Phan bo'!BA$5:BA$176,'KH- Phan bo'!$AO$5:$AO$176,$C16,'KH- Phan bo'!$AQ$5:$AQ$176,$C20)</f>
        <v>122789273.46839446</v>
      </c>
      <c r="L20" s="1264">
        <f>SUMIFS('KH- Phan bo'!BB$5:BB$176,'KH- Phan bo'!$AO$5:$AO$176,$C16,'KH- Phan bo'!$AQ$5:$AQ$176,$C20)</f>
        <v>122789273.46839446</v>
      </c>
      <c r="M20" s="1264">
        <f>SUMIFS('KH- Phan bo'!BC$5:BC$176,'KH- Phan bo'!$AO$5:$AO$176,$C16,'KH- Phan bo'!$AQ$5:$AQ$176,$C20)</f>
        <v>122789273.46839446</v>
      </c>
      <c r="N20" s="1264">
        <f>SUMIFS('KH- Phan bo'!BD$5:BD$176,'KH- Phan bo'!$AO$5:$AO$176,$C16,'KH- Phan bo'!$AQ$5:$AQ$176,$C20)</f>
        <v>122789273.46839446</v>
      </c>
      <c r="O20" s="1264">
        <f>SUMIFS('KH- Phan bo'!BE$5:BE$176,'KH- Phan bo'!$AO$5:$AO$176,$C16,'KH- Phan bo'!$AQ$5:$AQ$176,$C20)</f>
        <v>122789273.46839446</v>
      </c>
    </row>
    <row r="21" spans="2:15" x14ac:dyDescent="0.25">
      <c r="B21" s="1188">
        <v>627</v>
      </c>
      <c r="C21" s="1240" t="s">
        <v>654</v>
      </c>
      <c r="D21" s="1240"/>
      <c r="E21" s="1248">
        <f>E20*E8/(E8+E9)</f>
        <v>67296009.672635674</v>
      </c>
      <c r="F21" s="1248">
        <f t="shared" ref="F21:O21" si="3">F20*F8/(F8+F9)</f>
        <v>60766297.73169297</v>
      </c>
      <c r="G21" s="1248">
        <f t="shared" si="3"/>
        <v>60766297.731692985</v>
      </c>
      <c r="H21" s="1248">
        <f t="shared" si="3"/>
        <v>60766297.731692977</v>
      </c>
      <c r="I21" s="1248">
        <f t="shared" si="3"/>
        <v>60766297.73169297</v>
      </c>
      <c r="J21" s="1248">
        <f t="shared" si="3"/>
        <v>60766297.73169297</v>
      </c>
      <c r="K21" s="1248">
        <f t="shared" si="3"/>
        <v>60766297.73169297</v>
      </c>
      <c r="L21" s="1248">
        <f t="shared" si="3"/>
        <v>60766297.731692977</v>
      </c>
      <c r="M21" s="1248">
        <f t="shared" si="3"/>
        <v>60766297.731692962</v>
      </c>
      <c r="N21" s="1248">
        <f t="shared" si="3"/>
        <v>60766297.731692977</v>
      </c>
      <c r="O21" s="1248">
        <f t="shared" si="3"/>
        <v>60766297.73169297</v>
      </c>
    </row>
    <row r="22" spans="2:15" x14ac:dyDescent="0.25">
      <c r="B22" s="1188">
        <v>627</v>
      </c>
      <c r="C22" s="1240" t="s">
        <v>865</v>
      </c>
      <c r="D22" s="1240"/>
      <c r="E22" s="1248">
        <f>E20*E9/(E8+E9)</f>
        <v>55381229.787119754</v>
      </c>
      <c r="F22" s="1248">
        <f t="shared" ref="F22:O22" si="4">F20*F9/(F8+F9)</f>
        <v>62022975.736701481</v>
      </c>
      <c r="G22" s="1248">
        <f t="shared" si="4"/>
        <v>62022975.736701481</v>
      </c>
      <c r="H22" s="1248">
        <f t="shared" si="4"/>
        <v>62022975.736701488</v>
      </c>
      <c r="I22" s="1248">
        <f t="shared" si="4"/>
        <v>62022975.736701488</v>
      </c>
      <c r="J22" s="1248">
        <f t="shared" si="4"/>
        <v>62022975.736701481</v>
      </c>
      <c r="K22" s="1248">
        <f t="shared" si="4"/>
        <v>62022975.736701488</v>
      </c>
      <c r="L22" s="1248">
        <f t="shared" si="4"/>
        <v>62022975.736701481</v>
      </c>
      <c r="M22" s="1248">
        <f t="shared" si="4"/>
        <v>62022975.736701496</v>
      </c>
      <c r="N22" s="1248">
        <f t="shared" si="4"/>
        <v>62022975.736701488</v>
      </c>
      <c r="O22" s="1248">
        <f t="shared" si="4"/>
        <v>62022975.736701488</v>
      </c>
    </row>
    <row r="23" spans="2:15" x14ac:dyDescent="0.25">
      <c r="C23" s="1240"/>
      <c r="D23" s="1240"/>
      <c r="E23" s="1248"/>
    </row>
    <row r="24" spans="2:15" s="1209" customFormat="1" x14ac:dyDescent="0.25">
      <c r="C24" s="1225">
        <v>627</v>
      </c>
      <c r="D24" s="1204"/>
      <c r="E24" s="1225" t="s">
        <v>1284</v>
      </c>
      <c r="F24" s="1245"/>
      <c r="G24" s="1245"/>
      <c r="H24" s="1245"/>
      <c r="I24" s="1245"/>
      <c r="J24" s="1245"/>
      <c r="K24" s="1245"/>
      <c r="L24" s="1245"/>
      <c r="M24" s="1245"/>
      <c r="N24" s="1245"/>
      <c r="O24" s="1245"/>
    </row>
    <row r="25" spans="2:15" x14ac:dyDescent="0.25">
      <c r="C25" s="1192"/>
      <c r="D25" s="1225"/>
      <c r="E25" s="1264">
        <f>SUMIFS('KH- Phan bo'!AU$5:AU$176,'KH- Phan bo'!$AO$5:$AO$176,$C24,'KH- Phan bo'!$AQ$5:$AQ$176,"chung")</f>
        <v>572382652.48853052</v>
      </c>
      <c r="F25" s="1264">
        <f>SUMIFS('KH- Phan bo'!AV$5:AV$176,'KH- Phan bo'!$AO$5:$AO$176,$C24,'KH- Phan bo'!$AQ$5:$AQ$176,"chung")</f>
        <v>776912534.64605212</v>
      </c>
      <c r="G25" s="1264">
        <f>SUMIFS('KH- Phan bo'!AW$5:AW$176,'KH- Phan bo'!$AO$5:$AO$176,$C24,'KH- Phan bo'!$AQ$5:$AQ$176,"chung")</f>
        <v>776912534.64605212</v>
      </c>
      <c r="H25" s="1264">
        <f>SUMIFS('KH- Phan bo'!AX$5:AX$176,'KH- Phan bo'!$AO$5:$AO$176,$C24,'KH- Phan bo'!$AQ$5:$AQ$176,"chung")</f>
        <v>750409538.74874949</v>
      </c>
      <c r="I25" s="1264">
        <f>SUMIFS('KH- Phan bo'!AY$5:AY$176,'KH- Phan bo'!$AO$5:$AO$176,$C24,'KH- Phan bo'!$AQ$5:$AQ$176,"chung")</f>
        <v>246852616.69999999</v>
      </c>
      <c r="J25" s="1264">
        <f>SUMIFS('KH- Phan bo'!AZ$5:AZ$176,'KH- Phan bo'!$AO$5:$AO$176,$C24,'KH- Phan bo'!$AQ$5:$AQ$176,"chung")</f>
        <v>246852616.69999999</v>
      </c>
      <c r="K25" s="1264">
        <f>SUMIFS('KH- Phan bo'!BA$5:BA$176,'KH- Phan bo'!$AO$5:$AO$176,$C24,'KH- Phan bo'!$AQ$5:$AQ$176,"chung")</f>
        <v>246852616.69999999</v>
      </c>
      <c r="L25" s="1264">
        <f>SUMIFS('KH- Phan bo'!BB$5:BB$176,'KH- Phan bo'!$AO$5:$AO$176,$C24,'KH- Phan bo'!$AQ$5:$AQ$176,"chung")</f>
        <v>246852616.69999999</v>
      </c>
      <c r="M25" s="1264">
        <f>SUMIFS('KH- Phan bo'!BC$5:BC$176,'KH- Phan bo'!$AO$5:$AO$176,$C24,'KH- Phan bo'!$AQ$5:$AQ$176,"chung")</f>
        <v>246852616.69999999</v>
      </c>
      <c r="N25" s="1264">
        <f>SUMIFS('KH- Phan bo'!BD$5:BD$176,'KH- Phan bo'!$AO$5:$AO$176,$C24,'KH- Phan bo'!$AQ$5:$AQ$176,"chung")</f>
        <v>246852616.69999999</v>
      </c>
      <c r="O25" s="1264">
        <f>SUMIFS('KH- Phan bo'!BE$5:BE$176,'KH- Phan bo'!$AO$5:$AO$176,$C24,'KH- Phan bo'!$AQ$5:$AQ$176,"chung")</f>
        <v>195695550.19175148</v>
      </c>
    </row>
    <row r="26" spans="2:15" s="1209" customFormat="1" x14ac:dyDescent="0.25">
      <c r="B26" s="1188">
        <v>627</v>
      </c>
      <c r="C26" s="1240" t="s">
        <v>809</v>
      </c>
      <c r="D26" s="1240"/>
      <c r="E26" s="1292">
        <f>E25*E6/E$5</f>
        <v>312005941.21404344</v>
      </c>
      <c r="F26" s="1292">
        <f t="shared" ref="F26:O26" si="5">F25*F6/F$5</f>
        <v>451096580.3788141</v>
      </c>
      <c r="G26" s="1292">
        <f t="shared" si="5"/>
        <v>451096580.3788141</v>
      </c>
      <c r="H26" s="1292">
        <f t="shared" si="5"/>
        <v>435708219.03063011</v>
      </c>
      <c r="I26" s="1292">
        <f t="shared" si="5"/>
        <v>143329353.41513476</v>
      </c>
      <c r="J26" s="1292">
        <f t="shared" si="5"/>
        <v>143329353.41513476</v>
      </c>
      <c r="K26" s="1292">
        <f t="shared" si="5"/>
        <v>143329353.41513476</v>
      </c>
      <c r="L26" s="1292">
        <f t="shared" si="5"/>
        <v>143329353.41513476</v>
      </c>
      <c r="M26" s="1292">
        <f t="shared" si="5"/>
        <v>143329353.41513476</v>
      </c>
      <c r="N26" s="1292">
        <f t="shared" si="5"/>
        <v>143329353.41513479</v>
      </c>
      <c r="O26" s="1292">
        <f t="shared" si="5"/>
        <v>113626167.10395516</v>
      </c>
    </row>
    <row r="27" spans="2:15" s="1209" customFormat="1" x14ac:dyDescent="0.25">
      <c r="B27" s="1188">
        <v>627</v>
      </c>
      <c r="C27" s="1240" t="s">
        <v>814</v>
      </c>
      <c r="D27" s="1240"/>
      <c r="E27" s="1292">
        <f>E25*E7/E$5</f>
        <v>10363266.874029012</v>
      </c>
      <c r="F27" s="1292">
        <f t="shared" ref="F27:O27" si="6">F25*F7/F$5</f>
        <v>19552100.421596073</v>
      </c>
      <c r="G27" s="1292">
        <f t="shared" si="6"/>
        <v>19552100.421596073</v>
      </c>
      <c r="H27" s="1292">
        <f t="shared" si="6"/>
        <v>18885115.125119571</v>
      </c>
      <c r="I27" s="1292">
        <f t="shared" si="6"/>
        <v>6212394.4920659913</v>
      </c>
      <c r="J27" s="1292">
        <f t="shared" si="6"/>
        <v>6212394.4920659922</v>
      </c>
      <c r="K27" s="1292">
        <f t="shared" si="6"/>
        <v>6212394.4920659913</v>
      </c>
      <c r="L27" s="1292">
        <f t="shared" si="6"/>
        <v>6212394.4920659913</v>
      </c>
      <c r="M27" s="1292">
        <f t="shared" si="6"/>
        <v>6212394.4920659922</v>
      </c>
      <c r="N27" s="1292">
        <f t="shared" si="6"/>
        <v>6212394.4920659913</v>
      </c>
      <c r="O27" s="1292">
        <f t="shared" si="6"/>
        <v>4924954.7134051528</v>
      </c>
    </row>
    <row r="28" spans="2:15" s="1209" customFormat="1" x14ac:dyDescent="0.25">
      <c r="B28" s="1188">
        <v>627</v>
      </c>
      <c r="C28" s="1240" t="s">
        <v>654</v>
      </c>
      <c r="D28" s="1240"/>
      <c r="E28" s="1292">
        <f>E25*E8/E5</f>
        <v>137147748.40675834</v>
      </c>
      <c r="F28" s="1292">
        <f t="shared" ref="F28:O28" si="7">F25*F8/F5</f>
        <v>151564709.20914981</v>
      </c>
      <c r="G28" s="1292">
        <f t="shared" si="7"/>
        <v>151564709.20914981</v>
      </c>
      <c r="H28" s="1292">
        <f t="shared" si="7"/>
        <v>146394347.44097984</v>
      </c>
      <c r="I28" s="1292">
        <f t="shared" si="7"/>
        <v>48157473.845750794</v>
      </c>
      <c r="J28" s="1292">
        <f t="shared" si="7"/>
        <v>48157473.845750801</v>
      </c>
      <c r="K28" s="1292">
        <f t="shared" si="7"/>
        <v>48157473.845750794</v>
      </c>
      <c r="L28" s="1292">
        <f t="shared" si="7"/>
        <v>48157473.845750794</v>
      </c>
      <c r="M28" s="1292">
        <f t="shared" si="7"/>
        <v>48157473.845750786</v>
      </c>
      <c r="N28" s="1292">
        <f t="shared" si="7"/>
        <v>48157473.845750794</v>
      </c>
      <c r="O28" s="1292">
        <f t="shared" si="7"/>
        <v>38177449.629964106</v>
      </c>
    </row>
    <row r="29" spans="2:15" s="1209" customFormat="1" x14ac:dyDescent="0.25">
      <c r="B29" s="1188">
        <v>627</v>
      </c>
      <c r="C29" s="1240" t="s">
        <v>865</v>
      </c>
      <c r="D29" s="1240"/>
      <c r="E29" s="1292">
        <f>E25*E9/E5</f>
        <v>112865695.99369967</v>
      </c>
      <c r="F29" s="1292">
        <f t="shared" ref="F29:O29" si="8">F25*F9/F5</f>
        <v>154699144.6364921</v>
      </c>
      <c r="G29" s="1292">
        <f t="shared" si="8"/>
        <v>154699144.63649213</v>
      </c>
      <c r="H29" s="1292">
        <f t="shared" si="8"/>
        <v>149421857.15201992</v>
      </c>
      <c r="I29" s="1292">
        <f t="shared" si="8"/>
        <v>49153394.947048433</v>
      </c>
      <c r="J29" s="1292">
        <f t="shared" si="8"/>
        <v>49153394.947048448</v>
      </c>
      <c r="K29" s="1292">
        <f t="shared" si="8"/>
        <v>49153394.947048441</v>
      </c>
      <c r="L29" s="1292">
        <f t="shared" si="8"/>
        <v>49153394.947048433</v>
      </c>
      <c r="M29" s="1292">
        <f t="shared" si="8"/>
        <v>49153394.947048441</v>
      </c>
      <c r="N29" s="1292">
        <f t="shared" si="8"/>
        <v>49153394.947048433</v>
      </c>
      <c r="O29" s="1292">
        <f t="shared" si="8"/>
        <v>38966978.74442707</v>
      </c>
    </row>
    <row r="30" spans="2:15" s="1209" customFormat="1" x14ac:dyDescent="0.25">
      <c r="C30" s="1240"/>
      <c r="D30" s="1240"/>
      <c r="E30" s="1292"/>
      <c r="F30" s="1292"/>
      <c r="G30" s="1292"/>
      <c r="H30" s="1292"/>
      <c r="I30" s="1292"/>
      <c r="J30" s="1292"/>
      <c r="K30" s="1292"/>
      <c r="L30" s="1292"/>
      <c r="M30" s="1292"/>
      <c r="N30" s="1292"/>
      <c r="O30" s="1292"/>
    </row>
    <row r="31" spans="2:15" x14ac:dyDescent="0.25">
      <c r="C31" s="1225">
        <v>627</v>
      </c>
      <c r="D31" s="1204"/>
      <c r="E31" s="1225" t="s">
        <v>1284</v>
      </c>
    </row>
    <row r="32" spans="2:15" x14ac:dyDescent="0.25">
      <c r="C32" s="1192" t="s">
        <v>1383</v>
      </c>
      <c r="D32" s="1204"/>
      <c r="E32" s="1264">
        <f>SUMIFS('KH- Phan bo'!AU$5:AU$176,'KH- Phan bo'!$AO$5:$AO$176,$C31,'KH- Phan bo'!$AQ$5:$AQ$176,$C32)</f>
        <v>656605705.46581244</v>
      </c>
      <c r="F32" s="1264">
        <f>SUMIFS('KH- Phan bo'!AV$5:AV$176,'KH- Phan bo'!$AO$5:$AO$176,$C31,'KH- Phan bo'!$AQ$5:$AQ$176,$C32)</f>
        <v>658440939.39715207</v>
      </c>
      <c r="G32" s="1264">
        <f>SUMIFS('KH- Phan bo'!AW$5:AW$176,'KH- Phan bo'!$AO$5:$AO$176,$C31,'KH- Phan bo'!$AQ$5:$AQ$176,$C32)</f>
        <v>329527460.25734687</v>
      </c>
      <c r="H32" s="1264">
        <f>SUMIFS('KH- Phan bo'!AX$5:AX$176,'KH- Phan bo'!$AO$5:$AO$176,$C31,'KH- Phan bo'!$AQ$5:$AQ$176,$C32)</f>
        <v>311548873.0727731</v>
      </c>
      <c r="I32" s="1264">
        <f>SUMIFS('KH- Phan bo'!AY$5:AY$176,'KH- Phan bo'!$AO$5:$AO$176,$C31,'KH- Phan bo'!$AQ$5:$AQ$176,$C32)</f>
        <v>52896106.741013765</v>
      </c>
      <c r="J32" s="1264">
        <f>SUMIFS('KH- Phan bo'!AZ$5:AZ$176,'KH- Phan bo'!$AO$5:$AO$176,$C31,'KH- Phan bo'!$AQ$5:$AQ$176,$C32)</f>
        <v>0</v>
      </c>
      <c r="K32" s="1264">
        <f>SUMIFS('KH- Phan bo'!BA$5:BA$176,'KH- Phan bo'!$AO$5:$AO$176,$C31,'KH- Phan bo'!$AQ$5:$AQ$176,$C32)</f>
        <v>0</v>
      </c>
      <c r="L32" s="1264">
        <f>SUMIFS('KH- Phan bo'!BB$5:BB$176,'KH- Phan bo'!$AO$5:$AO$176,$C31,'KH- Phan bo'!$AQ$5:$AQ$176,$C32)</f>
        <v>0</v>
      </c>
      <c r="M32" s="1264">
        <f>SUMIFS('KH- Phan bo'!BC$5:BC$176,'KH- Phan bo'!$AO$5:$AO$176,$C31,'KH- Phan bo'!$AQ$5:$AQ$176,$C32)</f>
        <v>0</v>
      </c>
      <c r="N32" s="1264">
        <f>SUMIFS('KH- Phan bo'!BD$5:BD$176,'KH- Phan bo'!$AO$5:$AO$176,$C31,'KH- Phan bo'!$AQ$5:$AQ$176,$C32)</f>
        <v>0</v>
      </c>
      <c r="O32" s="1264">
        <f>SUMIFS('KH- Phan bo'!BE$5:BE$176,'KH- Phan bo'!$AO$5:$AO$176,$C31,'KH- Phan bo'!$AQ$5:$AQ$176,$C32)</f>
        <v>0</v>
      </c>
    </row>
    <row r="33" spans="1:15" s="1209" customFormat="1" x14ac:dyDescent="0.25">
      <c r="B33" s="1188">
        <v>627</v>
      </c>
      <c r="C33" s="1240" t="s">
        <v>814</v>
      </c>
      <c r="D33" s="1240"/>
      <c r="E33" s="1292">
        <f>E$32*E7/(SUM(E$7:E$9))</f>
        <v>26133597.445967317</v>
      </c>
      <c r="F33" s="1292">
        <f t="shared" ref="F33:O33" si="9">F$32*F7/(SUM(F$7:F$9))</f>
        <v>39512808.382071584</v>
      </c>
      <c r="G33" s="1292">
        <f t="shared" si="9"/>
        <v>19774826.586117905</v>
      </c>
      <c r="H33" s="1292">
        <f t="shared" si="9"/>
        <v>18695937.914561674</v>
      </c>
      <c r="I33" s="1292">
        <f t="shared" si="9"/>
        <v>3174276.6962954751</v>
      </c>
      <c r="J33" s="1292">
        <f t="shared" si="9"/>
        <v>0</v>
      </c>
      <c r="K33" s="1292">
        <f t="shared" si="9"/>
        <v>0</v>
      </c>
      <c r="L33" s="1292">
        <f t="shared" si="9"/>
        <v>0</v>
      </c>
      <c r="M33" s="1292">
        <f t="shared" si="9"/>
        <v>0</v>
      </c>
      <c r="N33" s="1292">
        <f t="shared" si="9"/>
        <v>0</v>
      </c>
      <c r="O33" s="1292">
        <f t="shared" si="9"/>
        <v>0</v>
      </c>
    </row>
    <row r="34" spans="1:15" s="1209" customFormat="1" x14ac:dyDescent="0.25">
      <c r="B34" s="1188">
        <v>627</v>
      </c>
      <c r="C34" s="1240" t="s">
        <v>654</v>
      </c>
      <c r="D34" s="1240"/>
      <c r="E34" s="1292">
        <f>E$32*E8/(SUM(E$7:E$9))</f>
        <v>345852721.06281132</v>
      </c>
      <c r="F34" s="1292">
        <f t="shared" ref="F34:O34" si="10">F$32*F8/(SUM(F$7:F$9))</f>
        <v>306296877.7436682</v>
      </c>
      <c r="G34" s="1292">
        <f t="shared" si="10"/>
        <v>153291246.28860012</v>
      </c>
      <c r="H34" s="1292">
        <f t="shared" si="10"/>
        <v>144927876.40774319</v>
      </c>
      <c r="I34" s="1292">
        <f t="shared" si="10"/>
        <v>24606477.772178441</v>
      </c>
      <c r="J34" s="1292">
        <f t="shared" si="10"/>
        <v>0</v>
      </c>
      <c r="K34" s="1292">
        <f t="shared" si="10"/>
        <v>0</v>
      </c>
      <c r="L34" s="1292">
        <f t="shared" si="10"/>
        <v>0</v>
      </c>
      <c r="M34" s="1292">
        <f t="shared" si="10"/>
        <v>0</v>
      </c>
      <c r="N34" s="1292">
        <f t="shared" si="10"/>
        <v>0</v>
      </c>
      <c r="O34" s="1292">
        <f t="shared" si="10"/>
        <v>0</v>
      </c>
    </row>
    <row r="35" spans="1:15" s="1209" customFormat="1" x14ac:dyDescent="0.25">
      <c r="B35" s="1188">
        <v>627</v>
      </c>
      <c r="C35" s="1240" t="s">
        <v>865</v>
      </c>
      <c r="D35" s="1240"/>
      <c r="E35" s="1292">
        <f>E$32*E9/(SUM(E$7:E$9))</f>
        <v>284619386.95703381</v>
      </c>
      <c r="F35" s="1292">
        <f t="shared" ref="F35:O35" si="11">F$32*F9/(SUM(F$7:F$9))</f>
        <v>312631253.27141231</v>
      </c>
      <c r="G35" s="1292">
        <f t="shared" si="11"/>
        <v>156461387.38262886</v>
      </c>
      <c r="H35" s="1292">
        <f t="shared" si="11"/>
        <v>147925058.75046819</v>
      </c>
      <c r="I35" s="1292">
        <f t="shared" si="11"/>
        <v>25115352.27253985</v>
      </c>
      <c r="J35" s="1292">
        <f t="shared" si="11"/>
        <v>0</v>
      </c>
      <c r="K35" s="1292">
        <f t="shared" si="11"/>
        <v>0</v>
      </c>
      <c r="L35" s="1292">
        <f t="shared" si="11"/>
        <v>0</v>
      </c>
      <c r="M35" s="1292">
        <f t="shared" si="11"/>
        <v>0</v>
      </c>
      <c r="N35" s="1292">
        <f t="shared" si="11"/>
        <v>0</v>
      </c>
      <c r="O35" s="1292">
        <f t="shared" si="11"/>
        <v>0</v>
      </c>
    </row>
    <row r="36" spans="1:15" x14ac:dyDescent="0.25">
      <c r="C36" s="1204"/>
      <c r="D36" s="1204"/>
      <c r="E36" s="1247"/>
    </row>
    <row r="37" spans="1:15" x14ac:dyDescent="0.25">
      <c r="C37" s="1204"/>
      <c r="D37" s="1204"/>
      <c r="E37" s="1247"/>
    </row>
    <row r="38" spans="1:15" s="1192" customFormat="1" x14ac:dyDescent="0.25">
      <c r="A38" s="1297"/>
      <c r="B38" s="1297"/>
      <c r="C38" s="1294">
        <v>641</v>
      </c>
      <c r="D38" s="1294"/>
      <c r="E38" s="1298">
        <f>E40+E41+E44+E48+E51+E55</f>
        <v>16618852754.454042</v>
      </c>
      <c r="F38" s="1298">
        <f t="shared" ref="F38:O38" si="12">F40+F41+F44+F48+F51</f>
        <v>11739256647.974337</v>
      </c>
      <c r="G38" s="1298">
        <f t="shared" si="12"/>
        <v>10928561934.541641</v>
      </c>
      <c r="H38" s="1298">
        <f t="shared" si="12"/>
        <v>7566718787.266468</v>
      </c>
      <c r="I38" s="1298">
        <f t="shared" si="12"/>
        <v>1750907666.5250301</v>
      </c>
      <c r="J38" s="1298">
        <f t="shared" si="12"/>
        <v>695195514.38841712</v>
      </c>
      <c r="K38" s="1298">
        <f t="shared" si="12"/>
        <v>520252985.65278482</v>
      </c>
      <c r="L38" s="1298">
        <f t="shared" si="12"/>
        <v>520252985.65278482</v>
      </c>
      <c r="M38" s="1298">
        <f t="shared" si="12"/>
        <v>210252985.65278482</v>
      </c>
      <c r="N38" s="1298">
        <f t="shared" si="12"/>
        <v>210252985.65278482</v>
      </c>
      <c r="O38" s="1298">
        <f t="shared" si="12"/>
        <v>77116547.351168588</v>
      </c>
    </row>
    <row r="39" spans="1:15" x14ac:dyDescent="0.25">
      <c r="C39" s="1204"/>
      <c r="D39" s="1204"/>
      <c r="E39" s="1247"/>
    </row>
    <row r="40" spans="1:15" x14ac:dyDescent="0.25">
      <c r="B40" s="1188">
        <v>641</v>
      </c>
      <c r="C40" s="1269" t="s">
        <v>809</v>
      </c>
      <c r="D40" s="1204"/>
      <c r="E40" s="1264">
        <f>SUMIFS('KH- Phan bo'!AU$5:AU$176,'KH- Phan bo'!$AO$5:$AO$176,$C38,'KH- Phan bo'!$AQ$5:$AQ$176,$C40)</f>
        <v>15604702125.4858</v>
      </c>
      <c r="F40" s="1264">
        <f>SUMIFS('KH- Phan bo'!AV$5:AV$176,'KH- Phan bo'!$AO$5:$AO$176,$C38,'KH- Phan bo'!$AQ$5:$AQ$176,$C40)</f>
        <v>10745566280.583145</v>
      </c>
      <c r="G40" s="1264">
        <f>SUMIFS('KH- Phan bo'!AW$5:AW$176,'KH- Phan bo'!$AO$5:$AO$176,$C38,'KH- Phan bo'!$AQ$5:$AQ$176,$C40)</f>
        <v>10245459606.3437</v>
      </c>
      <c r="H40" s="1264">
        <f>SUMIFS('KH- Phan bo'!AX$5:AX$176,'KH- Phan bo'!$AO$5:$AO$176,$C38,'KH- Phan bo'!$AQ$5:$AQ$176,$C40)</f>
        <v>6948397050.0703545</v>
      </c>
      <c r="I40" s="1264">
        <f>SUMIFS('KH- Phan bo'!AY$5:AY$176,'KH- Phan bo'!$AO$5:$AO$176,$C38,'KH- Phan bo'!$AQ$5:$AQ$176,$C40)</f>
        <v>1330654680.8722453</v>
      </c>
      <c r="J40" s="1264">
        <f>SUMIFS('KH- Phan bo'!AZ$5:AZ$176,'KH- Phan bo'!$AO$5:$AO$176,$C38,'KH- Phan bo'!$AQ$5:$AQ$176,$C40)</f>
        <v>310000000</v>
      </c>
      <c r="K40" s="1264">
        <f>SUMIFS('KH- Phan bo'!BA$5:BA$176,'KH- Phan bo'!$AO$5:$AO$176,$C38,'KH- Phan bo'!$AQ$5:$AQ$176,$C40)</f>
        <v>310000000</v>
      </c>
      <c r="L40" s="1264">
        <f>SUMIFS('KH- Phan bo'!BB$5:BB$176,'KH- Phan bo'!$AO$5:$AO$176,$C38,'KH- Phan bo'!$AQ$5:$AQ$176,$C40)</f>
        <v>310000000</v>
      </c>
      <c r="M40" s="1264">
        <f>SUMIFS('KH- Phan bo'!BC$5:BC$176,'KH- Phan bo'!$AO$5:$AO$176,$C38,'KH- Phan bo'!$AQ$5:$AQ$176,$C40)</f>
        <v>0</v>
      </c>
      <c r="N40" s="1264">
        <f>SUMIFS('KH- Phan bo'!BD$5:BD$176,'KH- Phan bo'!$AO$5:$AO$176,$C38,'KH- Phan bo'!$AQ$5:$AQ$176,$C40)</f>
        <v>0</v>
      </c>
      <c r="O40" s="1264">
        <f>SUMIFS('KH- Phan bo'!BE$5:BE$176,'KH- Phan bo'!$AO$5:$AO$176,$C38,'KH- Phan bo'!$AQ$5:$AQ$176,$C40)</f>
        <v>0</v>
      </c>
    </row>
    <row r="41" spans="1:15" x14ac:dyDescent="0.25">
      <c r="B41" s="1188">
        <v>641</v>
      </c>
      <c r="C41" s="1269" t="s">
        <v>814</v>
      </c>
      <c r="D41" s="1204"/>
      <c r="E41" s="1264">
        <f>SUMIFS('KH- Phan bo'!AU$5:AU$176,'KH- Phan bo'!$AO$5:$AO$176,$C38,'KH- Phan bo'!$AQ$5:$AQ$176,$C41)</f>
        <v>122763337.89329684</v>
      </c>
      <c r="F41" s="1264">
        <f>SUMIFS('KH- Phan bo'!AV$5:AV$176,'KH- Phan bo'!$AO$5:$AO$176,$C38,'KH- Phan bo'!$AQ$5:$AQ$176,$C41)</f>
        <v>175000000</v>
      </c>
      <c r="G41" s="1264">
        <f>SUMIFS('KH- Phan bo'!AW$5:AW$176,'KH- Phan bo'!$AO$5:$AO$176,$C38,'KH- Phan bo'!$AQ$5:$AQ$176,$C41)</f>
        <v>52236662.106703281</v>
      </c>
      <c r="H41" s="1264">
        <f>SUMIFS('KH- Phan bo'!AX$5:AX$176,'KH- Phan bo'!$AO$5:$AO$176,$C38,'KH- Phan bo'!$AQ$5:$AQ$176,$C41)</f>
        <v>0</v>
      </c>
      <c r="I41" s="1264">
        <f>SUMIFS('KH- Phan bo'!AY$5:AY$176,'KH- Phan bo'!$AO$5:$AO$176,$C38,'KH- Phan bo'!$AQ$5:$AQ$176,$C41)</f>
        <v>0</v>
      </c>
      <c r="J41" s="1264">
        <f>SUMIFS('KH- Phan bo'!AZ$5:AZ$176,'KH- Phan bo'!$AO$5:$AO$176,$C38,'KH- Phan bo'!$AQ$5:$AQ$176,$C41)</f>
        <v>0</v>
      </c>
      <c r="K41" s="1264">
        <f>SUMIFS('KH- Phan bo'!BA$5:BA$176,'KH- Phan bo'!$AO$5:$AO$176,$C38,'KH- Phan bo'!$AQ$5:$AQ$176,$C41)</f>
        <v>0</v>
      </c>
      <c r="L41" s="1264">
        <f>SUMIFS('KH- Phan bo'!BB$5:BB$176,'KH- Phan bo'!$AO$5:$AO$176,$C38,'KH- Phan bo'!$AQ$5:$AQ$176,$C41)</f>
        <v>0</v>
      </c>
      <c r="M41" s="1264">
        <f>SUMIFS('KH- Phan bo'!BC$5:BC$176,'KH- Phan bo'!$AO$5:$AO$176,$C38,'KH- Phan bo'!$AQ$5:$AQ$176,$C41)</f>
        <v>0</v>
      </c>
      <c r="N41" s="1264">
        <f>SUMIFS('KH- Phan bo'!BD$5:BD$176,'KH- Phan bo'!$AO$5:$AO$176,$C38,'KH- Phan bo'!$AQ$5:$AQ$176,$C41)</f>
        <v>0</v>
      </c>
      <c r="O41" s="1264">
        <f>SUMIFS('KH- Phan bo'!BE$5:BE$176,'KH- Phan bo'!$AO$5:$AO$176,$C38,'KH- Phan bo'!$AQ$5:$AQ$176,$C41)</f>
        <v>0</v>
      </c>
    </row>
    <row r="42" spans="1:15" x14ac:dyDescent="0.25">
      <c r="C42" s="1204"/>
      <c r="D42" s="1204"/>
      <c r="E42" s="1247"/>
    </row>
    <row r="43" spans="1:15" s="1209" customFormat="1" x14ac:dyDescent="0.25">
      <c r="C43" s="1225">
        <v>641</v>
      </c>
      <c r="D43" s="1204"/>
      <c r="E43" s="1225" t="s">
        <v>1286</v>
      </c>
      <c r="F43" s="1245"/>
      <c r="G43" s="1245"/>
      <c r="H43" s="1245"/>
      <c r="I43" s="1245"/>
      <c r="J43" s="1245"/>
      <c r="K43" s="1245"/>
      <c r="L43" s="1245"/>
      <c r="M43" s="1245"/>
      <c r="N43" s="1245"/>
      <c r="O43" s="1245"/>
    </row>
    <row r="44" spans="1:15" x14ac:dyDescent="0.25">
      <c r="C44" s="1225" t="s">
        <v>1048</v>
      </c>
      <c r="D44" s="1225"/>
      <c r="E44" s="1264">
        <f>SUMIFS('KH- Phan bo'!AU$5:AU$176,'KH- Phan bo'!$AO$5:$AO$176,$C43,'KH- Phan bo'!$AQ$5:$AQ$176,$C44)</f>
        <v>3305656.9343065694</v>
      </c>
      <c r="F44" s="1264">
        <f>SUMIFS('KH- Phan bo'!AV$5:AV$176,'KH- Phan bo'!$AO$5:$AO$176,$C43,'KH- Phan bo'!$AQ$5:$AQ$176,$C44)</f>
        <v>27666666.666666668</v>
      </c>
      <c r="G44" s="1264">
        <f>SUMIFS('KH- Phan bo'!AW$5:AW$176,'KH- Phan bo'!$AO$5:$AO$176,$C43,'KH- Phan bo'!$AQ$5:$AQ$176,$C44)</f>
        <v>27666666.666666668</v>
      </c>
      <c r="H44" s="1264">
        <f>SUMIFS('KH- Phan bo'!AX$5:AX$176,'KH- Phan bo'!$AO$5:$AO$176,$C43,'KH- Phan bo'!$AQ$5:$AQ$176,$C44)</f>
        <v>24361009.732360099</v>
      </c>
      <c r="I44" s="1264">
        <f>SUMIFS('KH- Phan bo'!AY$5:AY$176,'KH- Phan bo'!$AO$5:$AO$176,$C43,'KH- Phan bo'!$AQ$5:$AQ$176,$C44)</f>
        <v>0</v>
      </c>
      <c r="J44" s="1264">
        <f>SUMIFS('KH- Phan bo'!AZ$5:AZ$176,'KH- Phan bo'!$AO$5:$AO$176,$C43,'KH- Phan bo'!$AQ$5:$AQ$176,$C44)</f>
        <v>0</v>
      </c>
      <c r="K44" s="1264">
        <f>SUMIFS('KH- Phan bo'!BA$5:BA$176,'KH- Phan bo'!$AO$5:$AO$176,$C43,'KH- Phan bo'!$AQ$5:$AQ$176,$C44)</f>
        <v>0</v>
      </c>
      <c r="L44" s="1264">
        <f>SUMIFS('KH- Phan bo'!BB$5:BB$176,'KH- Phan bo'!$AO$5:$AO$176,$C43,'KH- Phan bo'!$AQ$5:$AQ$176,$C44)</f>
        <v>0</v>
      </c>
      <c r="M44" s="1264">
        <f>SUMIFS('KH- Phan bo'!BC$5:BC$176,'KH- Phan bo'!$AO$5:$AO$176,$C43,'KH- Phan bo'!$AQ$5:$AQ$176,$C44)</f>
        <v>0</v>
      </c>
      <c r="N44" s="1264">
        <f>SUMIFS('KH- Phan bo'!BD$5:BD$176,'KH- Phan bo'!$AO$5:$AO$176,$C43,'KH- Phan bo'!$AQ$5:$AQ$176,$C44)</f>
        <v>0</v>
      </c>
      <c r="O44" s="1264">
        <f>SUMIFS('KH- Phan bo'!BE$5:BE$176,'KH- Phan bo'!$AO$5:$AO$176,$C43,'KH- Phan bo'!$AQ$5:$AQ$176,$C44)</f>
        <v>0</v>
      </c>
    </row>
    <row r="45" spans="1:15" x14ac:dyDescent="0.25">
      <c r="B45" s="1188">
        <v>641</v>
      </c>
      <c r="C45" s="1204" t="s">
        <v>809</v>
      </c>
      <c r="D45" s="1204"/>
      <c r="E45" s="1299">
        <f>E$44*E$6/SUM(E$6:E$7)</f>
        <v>3199389.3251655488</v>
      </c>
      <c r="F45" s="1299">
        <f t="shared" ref="F45:O45" si="13">F$44*F$6/SUM(F$6:F$7)</f>
        <v>26517313.726640284</v>
      </c>
      <c r="G45" s="1299">
        <f t="shared" si="13"/>
        <v>26517313.72664028</v>
      </c>
      <c r="H45" s="1299">
        <f t="shared" si="13"/>
        <v>23348983.292917948</v>
      </c>
      <c r="I45" s="1299">
        <f t="shared" si="13"/>
        <v>0</v>
      </c>
      <c r="J45" s="1299">
        <f t="shared" si="13"/>
        <v>0</v>
      </c>
      <c r="K45" s="1299">
        <f t="shared" si="13"/>
        <v>0</v>
      </c>
      <c r="L45" s="1299">
        <f t="shared" si="13"/>
        <v>0</v>
      </c>
      <c r="M45" s="1299">
        <f t="shared" si="13"/>
        <v>0</v>
      </c>
      <c r="N45" s="1299">
        <f t="shared" si="13"/>
        <v>0</v>
      </c>
      <c r="O45" s="1299">
        <f t="shared" si="13"/>
        <v>0</v>
      </c>
    </row>
    <row r="46" spans="1:15" x14ac:dyDescent="0.25">
      <c r="B46" s="1188">
        <v>641</v>
      </c>
      <c r="C46" s="1204" t="s">
        <v>814</v>
      </c>
      <c r="D46" s="1204"/>
      <c r="E46" s="1299">
        <f>E$44*E$7/SUM(E$6:E$7)</f>
        <v>106267.60914102042</v>
      </c>
      <c r="F46" s="1299">
        <f t="shared" ref="F46:O46" si="14">F$44*F$7/SUM(F$6:F$7)</f>
        <v>1149352.9400263857</v>
      </c>
      <c r="G46" s="1299">
        <f t="shared" si="14"/>
        <v>1149352.9400263855</v>
      </c>
      <c r="H46" s="1299">
        <f t="shared" si="14"/>
        <v>1012026.4394421496</v>
      </c>
      <c r="I46" s="1299">
        <f t="shared" si="14"/>
        <v>0</v>
      </c>
      <c r="J46" s="1299">
        <f t="shared" si="14"/>
        <v>0</v>
      </c>
      <c r="K46" s="1299">
        <f t="shared" si="14"/>
        <v>0</v>
      </c>
      <c r="L46" s="1299">
        <f t="shared" si="14"/>
        <v>0</v>
      </c>
      <c r="M46" s="1299">
        <f t="shared" si="14"/>
        <v>0</v>
      </c>
      <c r="N46" s="1299">
        <f t="shared" si="14"/>
        <v>0</v>
      </c>
      <c r="O46" s="1299">
        <f t="shared" si="14"/>
        <v>0</v>
      </c>
    </row>
    <row r="47" spans="1:15" x14ac:dyDescent="0.25">
      <c r="B47" s="1188">
        <v>641</v>
      </c>
      <c r="C47" s="1204" t="s">
        <v>1353</v>
      </c>
      <c r="D47" s="1204"/>
      <c r="E47" s="1299"/>
      <c r="F47" s="1299">
        <f>680000000</f>
        <v>680000000</v>
      </c>
      <c r="G47" s="1299">
        <f>F47</f>
        <v>680000000</v>
      </c>
      <c r="H47" s="1299">
        <f t="shared" ref="H47:O47" si="15">G47</f>
        <v>680000000</v>
      </c>
      <c r="I47" s="1299">
        <f t="shared" si="15"/>
        <v>680000000</v>
      </c>
      <c r="J47" s="1299">
        <f t="shared" si="15"/>
        <v>680000000</v>
      </c>
      <c r="K47" s="1299">
        <f t="shared" si="15"/>
        <v>680000000</v>
      </c>
      <c r="L47" s="1299">
        <f t="shared" si="15"/>
        <v>680000000</v>
      </c>
      <c r="M47" s="1299">
        <f t="shared" si="15"/>
        <v>680000000</v>
      </c>
      <c r="N47" s="1299">
        <f t="shared" si="15"/>
        <v>680000000</v>
      </c>
      <c r="O47" s="1299">
        <f t="shared" si="15"/>
        <v>680000000</v>
      </c>
    </row>
    <row r="48" spans="1:15" s="1209" customFormat="1" x14ac:dyDescent="0.25">
      <c r="C48" s="1225" t="s">
        <v>1382</v>
      </c>
      <c r="D48" s="1225"/>
      <c r="E48" s="1264">
        <f>SUMIFS('KH- Phan bo'!AU$5:AU$176,'KH- Phan bo'!$AO$5:$AO$176,$C43,'KH- Phan bo'!$AQ$5:$AQ$176,$C48)</f>
        <v>527276921.03577268</v>
      </c>
      <c r="F48" s="1264">
        <f>SUMIFS('KH- Phan bo'!AV$5:AV$176,'KH- Phan bo'!$AO$5:$AO$176,$C43,'KH- Phan bo'!$AQ$5:$AQ$176,$C48)</f>
        <v>465058608.05705941</v>
      </c>
      <c r="G48" s="1264">
        <f>SUMIFS('KH- Phan bo'!AW$5:AW$176,'KH- Phan bo'!$AO$5:$AO$176,$C43,'KH- Phan bo'!$AQ$5:$AQ$176,$C48)</f>
        <v>393103240.19064593</v>
      </c>
      <c r="H48" s="1264">
        <f>SUMIFS('KH- Phan bo'!AX$5:AX$176,'KH- Phan bo'!$AO$5:$AO$176,$C43,'KH- Phan bo'!$AQ$5:$AQ$176,$C48)</f>
        <v>383960727.46375322</v>
      </c>
      <c r="I48" s="1264">
        <f>SUMIFS('KH- Phan bo'!AY$5:AY$176,'KH- Phan bo'!$AO$5:$AO$176,$C43,'KH- Phan bo'!$AQ$5:$AQ$176,$C48)</f>
        <v>210252985.65278482</v>
      </c>
      <c r="J48" s="1264">
        <f>SUMIFS('KH- Phan bo'!AZ$5:AZ$176,'KH- Phan bo'!$AO$5:$AO$176,$C43,'KH- Phan bo'!$AQ$5:$AQ$176,$C48)</f>
        <v>210252985.65278482</v>
      </c>
      <c r="K48" s="1264">
        <f>SUMIFS('KH- Phan bo'!BA$5:BA$176,'KH- Phan bo'!$AO$5:$AO$176,$C43,'KH- Phan bo'!$AQ$5:$AQ$176,$C48)</f>
        <v>210252985.65278482</v>
      </c>
      <c r="L48" s="1264">
        <f>SUMIFS('KH- Phan bo'!BB$5:BB$176,'KH- Phan bo'!$AO$5:$AO$176,$C43,'KH- Phan bo'!$AQ$5:$AQ$176,$C48)</f>
        <v>210252985.65278482</v>
      </c>
      <c r="M48" s="1264">
        <f>SUMIFS('KH- Phan bo'!BC$5:BC$176,'KH- Phan bo'!$AO$5:$AO$176,$C43,'KH- Phan bo'!$AQ$5:$AQ$176,$C48)</f>
        <v>210252985.65278482</v>
      </c>
      <c r="N48" s="1264">
        <f>SUMIFS('KH- Phan bo'!BD$5:BD$176,'KH- Phan bo'!$AO$5:$AO$176,$C43,'KH- Phan bo'!$AQ$5:$AQ$176,$C48)</f>
        <v>210252985.65278482</v>
      </c>
      <c r="O48" s="1264">
        <f>SUMIFS('KH- Phan bo'!BE$5:BE$176,'KH- Phan bo'!$AO$5:$AO$176,$C43,'KH- Phan bo'!$AQ$5:$AQ$176,$C48)</f>
        <v>77116547.351168588</v>
      </c>
    </row>
    <row r="49" spans="2:15" s="1209" customFormat="1" x14ac:dyDescent="0.25">
      <c r="B49" s="1188">
        <v>641</v>
      </c>
      <c r="C49" s="1240" t="s">
        <v>654</v>
      </c>
      <c r="D49" s="1240"/>
      <c r="E49" s="1248">
        <f>E48*E8/(E8+E9)</f>
        <v>289243815.18889177</v>
      </c>
      <c r="F49" s="1248">
        <f t="shared" ref="F49:O49" si="16">F48*F8/(F8+F9)</f>
        <v>230149499.55833057</v>
      </c>
      <c r="G49" s="1248">
        <f t="shared" si="16"/>
        <v>194540026.6487166</v>
      </c>
      <c r="H49" s="1248">
        <f t="shared" si="16"/>
        <v>190015554.4803789</v>
      </c>
      <c r="I49" s="1248">
        <f t="shared" si="16"/>
        <v>104050583.28195964</v>
      </c>
      <c r="J49" s="1248">
        <f t="shared" si="16"/>
        <v>104050583.28195962</v>
      </c>
      <c r="K49" s="1248">
        <f t="shared" si="16"/>
        <v>104050583.28195962</v>
      </c>
      <c r="L49" s="1248">
        <f t="shared" si="16"/>
        <v>104050583.28195962</v>
      </c>
      <c r="M49" s="1248">
        <f t="shared" si="16"/>
        <v>104050583.28195962</v>
      </c>
      <c r="N49" s="1248">
        <f t="shared" si="16"/>
        <v>104050583.28195964</v>
      </c>
      <c r="O49" s="1248">
        <f t="shared" si="16"/>
        <v>38163651.791518189</v>
      </c>
    </row>
    <row r="50" spans="2:15" x14ac:dyDescent="0.25">
      <c r="B50" s="1188">
        <v>641</v>
      </c>
      <c r="C50" s="1240" t="s">
        <v>865</v>
      </c>
      <c r="D50" s="1240"/>
      <c r="E50" s="1248">
        <f>E48*(E9/(E8+E9))</f>
        <v>238033105.84688094</v>
      </c>
      <c r="F50" s="1248">
        <f t="shared" ref="F50:O50" si="17">F48*(F9/(F8+F9))</f>
        <v>234909108.49872884</v>
      </c>
      <c r="G50" s="1248">
        <f t="shared" si="17"/>
        <v>198563213.54192933</v>
      </c>
      <c r="H50" s="1248">
        <f t="shared" si="17"/>
        <v>193945172.9833743</v>
      </c>
      <c r="I50" s="1248">
        <f t="shared" si="17"/>
        <v>106202402.3708252</v>
      </c>
      <c r="J50" s="1248">
        <f t="shared" si="17"/>
        <v>106202402.37082519</v>
      </c>
      <c r="K50" s="1248">
        <f t="shared" si="17"/>
        <v>106202402.3708252</v>
      </c>
      <c r="L50" s="1248">
        <f t="shared" si="17"/>
        <v>106202402.37082519</v>
      </c>
      <c r="M50" s="1248">
        <f t="shared" si="17"/>
        <v>106202402.3708252</v>
      </c>
      <c r="N50" s="1248">
        <f t="shared" si="17"/>
        <v>106202402.3708252</v>
      </c>
      <c r="O50" s="1248">
        <f t="shared" si="17"/>
        <v>38952895.559650391</v>
      </c>
    </row>
    <row r="51" spans="2:15" x14ac:dyDescent="0.25">
      <c r="C51" s="1225" t="s">
        <v>1383</v>
      </c>
      <c r="D51" s="1240"/>
      <c r="E51" s="1264">
        <f>SUMIFS('KH- Phan bo'!AU$5:AU$176,'KH- Phan bo'!$AO$5:$AO$176,$C43,'KH- Phan bo'!$AQ$5:$AQ$176,$C51)</f>
        <v>331320868.63608146</v>
      </c>
      <c r="F51" s="1264">
        <f>SUMIFS('KH- Phan bo'!AV$5:AV$176,'KH- Phan bo'!$AO$5:$AO$176,$C43,'KH- Phan bo'!$AQ$5:$AQ$176,$C51)</f>
        <v>325965092.66746521</v>
      </c>
      <c r="G51" s="1264">
        <f>SUMIFS('KH- Phan bo'!AW$5:AW$176,'KH- Phan bo'!$AO$5:$AO$176,$C43,'KH- Phan bo'!$AQ$5:$AQ$176,$C51)</f>
        <v>210095759.23392612</v>
      </c>
      <c r="H51" s="1264">
        <f>SUMIFS('KH- Phan bo'!AX$5:AX$176,'KH- Phan bo'!$AO$5:$AO$176,$C43,'KH- Phan bo'!$AQ$5:$AQ$176,$C51)</f>
        <v>210000000</v>
      </c>
      <c r="I51" s="1264">
        <f>SUMIFS('KH- Phan bo'!AY$5:AY$176,'KH- Phan bo'!$AO$5:$AO$176,$C43,'KH- Phan bo'!$AQ$5:$AQ$176,$C51)</f>
        <v>210000000</v>
      </c>
      <c r="J51" s="1264">
        <f>SUMIFS('KH- Phan bo'!AZ$5:AZ$176,'KH- Phan bo'!$AO$5:$AO$176,$C43,'KH- Phan bo'!$AQ$5:$AQ$176,$C51)</f>
        <v>174942528.7356323</v>
      </c>
      <c r="K51" s="1264">
        <f>SUMIFS('KH- Phan bo'!BA$5:BA$176,'KH- Phan bo'!$AO$5:$AO$176,$C43,'KH- Phan bo'!$AQ$5:$AQ$176,$C51)</f>
        <v>0</v>
      </c>
      <c r="L51" s="1264">
        <f>SUMIFS('KH- Phan bo'!BB$5:BB$176,'KH- Phan bo'!$AO$5:$AO$176,$C43,'KH- Phan bo'!$AQ$5:$AQ$176,$C51)</f>
        <v>0</v>
      </c>
      <c r="M51" s="1264">
        <f>SUMIFS('KH- Phan bo'!BC$5:BC$176,'KH- Phan bo'!$AO$5:$AO$176,$C43,'KH- Phan bo'!$AQ$5:$AQ$176,$C51)</f>
        <v>0</v>
      </c>
      <c r="N51" s="1264">
        <f>SUMIFS('KH- Phan bo'!BD$5:BD$176,'KH- Phan bo'!$AO$5:$AO$176,$C43,'KH- Phan bo'!$AQ$5:$AQ$176,$C51)</f>
        <v>0</v>
      </c>
      <c r="O51" s="1264">
        <f>SUMIFS('KH- Phan bo'!BE$5:BE$176,'KH- Phan bo'!$AO$5:$AO$176,$C43,'KH- Phan bo'!$AQ$5:$AQ$176,$C51)</f>
        <v>0</v>
      </c>
    </row>
    <row r="52" spans="2:15" x14ac:dyDescent="0.25">
      <c r="B52" s="1188">
        <v>641</v>
      </c>
      <c r="C52" s="1240" t="s">
        <v>814</v>
      </c>
      <c r="D52" s="1240"/>
      <c r="E52" s="1248">
        <f>E$51*$E7/SUM($E$7:$E$9)</f>
        <v>13186918.929132577</v>
      </c>
      <c r="F52" s="1248">
        <f t="shared" ref="F52:O52" si="18">F$51*$E7/SUM($E$7:$E$9)</f>
        <v>12973753.414411215</v>
      </c>
      <c r="G52" s="1248">
        <f t="shared" si="18"/>
        <v>8362032.1164117167</v>
      </c>
      <c r="H52" s="1248">
        <f t="shared" si="18"/>
        <v>8358220.7982182754</v>
      </c>
      <c r="I52" s="1248">
        <f t="shared" si="18"/>
        <v>8358220.7982182754</v>
      </c>
      <c r="J52" s="1248">
        <f t="shared" si="18"/>
        <v>6962896.5817669537</v>
      </c>
      <c r="K52" s="1248">
        <f t="shared" si="18"/>
        <v>0</v>
      </c>
      <c r="L52" s="1248">
        <f t="shared" si="18"/>
        <v>0</v>
      </c>
      <c r="M52" s="1248">
        <f t="shared" si="18"/>
        <v>0</v>
      </c>
      <c r="N52" s="1248">
        <f t="shared" si="18"/>
        <v>0</v>
      </c>
      <c r="O52" s="1248">
        <f t="shared" si="18"/>
        <v>0</v>
      </c>
    </row>
    <row r="53" spans="2:15" x14ac:dyDescent="0.25">
      <c r="B53" s="1188">
        <v>641</v>
      </c>
      <c r="C53" s="1240" t="s">
        <v>654</v>
      </c>
      <c r="D53" s="1240"/>
      <c r="E53" s="1248">
        <f>E$51*$E8/SUM($E$7:$E$9)</f>
        <v>174516034.52240989</v>
      </c>
      <c r="F53" s="1248">
        <f t="shared" ref="F53:O53" si="19">F$51*$E8/SUM($E$7:$E$9)</f>
        <v>171694996.45233303</v>
      </c>
      <c r="G53" s="1248">
        <f t="shared" si="19"/>
        <v>110663354.59766109</v>
      </c>
      <c r="H53" s="1248">
        <f t="shared" si="19"/>
        <v>110612915.51170045</v>
      </c>
      <c r="I53" s="1248">
        <f t="shared" si="19"/>
        <v>110612915.51170045</v>
      </c>
      <c r="J53" s="1248">
        <f t="shared" si="19"/>
        <v>92147157.859227255</v>
      </c>
      <c r="K53" s="1248">
        <f t="shared" si="19"/>
        <v>0</v>
      </c>
      <c r="L53" s="1248">
        <f t="shared" si="19"/>
        <v>0</v>
      </c>
      <c r="M53" s="1248">
        <f t="shared" si="19"/>
        <v>0</v>
      </c>
      <c r="N53" s="1248">
        <f t="shared" si="19"/>
        <v>0</v>
      </c>
      <c r="O53" s="1248">
        <f t="shared" si="19"/>
        <v>0</v>
      </c>
    </row>
    <row r="54" spans="2:15" x14ac:dyDescent="0.25">
      <c r="B54" s="1188">
        <v>641</v>
      </c>
      <c r="C54" s="1240" t="s">
        <v>865</v>
      </c>
      <c r="D54" s="1240"/>
      <c r="E54" s="1248">
        <f>E$51*$E9/SUM($E$7:$E$9)</f>
        <v>143617915.18453899</v>
      </c>
      <c r="F54" s="1248">
        <f t="shared" ref="F54:O54" si="20">F$51*$E9/SUM($E$7:$E$9)</f>
        <v>141296342.80072096</v>
      </c>
      <c r="G54" s="1248">
        <f t="shared" si="20"/>
        <v>91070372.519853309</v>
      </c>
      <c r="H54" s="1248">
        <f t="shared" si="20"/>
        <v>91028863.690081283</v>
      </c>
      <c r="I54" s="1248">
        <f t="shared" si="20"/>
        <v>91028863.690081283</v>
      </c>
      <c r="J54" s="1248">
        <f t="shared" si="20"/>
        <v>75832474.294638097</v>
      </c>
      <c r="K54" s="1248">
        <f t="shared" si="20"/>
        <v>0</v>
      </c>
      <c r="L54" s="1248">
        <f t="shared" si="20"/>
        <v>0</v>
      </c>
      <c r="M54" s="1248">
        <f t="shared" si="20"/>
        <v>0</v>
      </c>
      <c r="N54" s="1248">
        <f t="shared" si="20"/>
        <v>0</v>
      </c>
      <c r="O54" s="1248">
        <f t="shared" si="20"/>
        <v>0</v>
      </c>
    </row>
    <row r="55" spans="2:15" x14ac:dyDescent="0.25">
      <c r="C55" s="1240"/>
      <c r="D55" s="1240"/>
      <c r="E55" s="1264">
        <f>SUMIFS('KH- Phan bo'!AU$5:AU$176,'KH- Phan bo'!$AO$5:$AO$176,$C38,'KH- Phan bo'!$AQ$5:$AQ$176,"chung")</f>
        <v>29483844.468784224</v>
      </c>
      <c r="F55" s="1264">
        <f>SUMIFS('KH- Phan bo'!AV$5:AV$176,'KH- Phan bo'!$AO$5:$AO$176,$C38,'KH- Phan bo'!$AQ$5:$AQ$176,"chung")</f>
        <v>29497771.650866784</v>
      </c>
      <c r="G55" s="1264">
        <f>SUMIFS('KH- Phan bo'!AW$5:AW$176,'KH- Phan bo'!$AO$5:$AO$176,$C38,'KH- Phan bo'!$AQ$5:$AQ$176,"chung")</f>
        <v>29497771.650866784</v>
      </c>
      <c r="H55" s="1264">
        <f>SUMIFS('KH- Phan bo'!AX$5:AX$176,'KH- Phan bo'!$AO$5:$AO$176,$C38,'KH- Phan bo'!$AQ$5:$AQ$176,"chung")</f>
        <v>29497771.650866784</v>
      </c>
      <c r="I55" s="1264">
        <f>SUMIFS('KH- Phan bo'!AY$5:AY$176,'KH- Phan bo'!$AO$5:$AO$176,$C38,'KH- Phan bo'!$AQ$5:$AQ$176,"chung")</f>
        <v>29497771.650866784</v>
      </c>
      <c r="J55" s="1264">
        <f>SUMIFS('KH- Phan bo'!AZ$5:AZ$176,'KH- Phan bo'!$AO$5:$AO$176,$C38,'KH- Phan bo'!$AQ$5:$AQ$176,"chung")</f>
        <v>29497771.650866784</v>
      </c>
      <c r="K55" s="1264">
        <f>SUMIFS('KH- Phan bo'!BA$5:BA$176,'KH- Phan bo'!$AO$5:$AO$176,$C38,'KH- Phan bo'!$AQ$5:$AQ$176,"chung")</f>
        <v>29497771.650866784</v>
      </c>
      <c r="L55" s="1264">
        <f>SUMIFS('KH- Phan bo'!BB$5:BB$176,'KH- Phan bo'!$AO$5:$AO$176,$C38,'KH- Phan bo'!$AQ$5:$AQ$176,"chung")</f>
        <v>29497771.650866784</v>
      </c>
      <c r="M55" s="1264">
        <f>SUMIFS('KH- Phan bo'!BC$5:BC$176,'KH- Phan bo'!$AO$5:$AO$176,$C38,'KH- Phan bo'!$AQ$5:$AQ$176,"chung")</f>
        <v>19693035.464742929</v>
      </c>
      <c r="N55" s="1264">
        <f>SUMIFS('KH- Phan bo'!BD$5:BD$176,'KH- Phan bo'!$AO$5:$AO$176,$C38,'KH- Phan bo'!$AQ$5:$AQ$176,"chung")</f>
        <v>0</v>
      </c>
      <c r="O55" s="1264">
        <f>SUMIFS('KH- Phan bo'!BE$5:BE$176,'KH- Phan bo'!$AO$5:$AO$176,$C38,'KH- Phan bo'!$AQ$5:$AQ$176,"chung")</f>
        <v>0</v>
      </c>
    </row>
    <row r="56" spans="2:15" x14ac:dyDescent="0.25">
      <c r="B56" s="1188">
        <v>641</v>
      </c>
      <c r="C56" s="1240" t="s">
        <v>809</v>
      </c>
      <c r="D56" s="1240"/>
      <c r="E56" s="1248">
        <f>E$55*$E6/SUM($E$6:$E$9)</f>
        <v>16071651.724762613</v>
      </c>
      <c r="F56" s="1248">
        <f t="shared" ref="F56:O56" si="21">F$55*$E6/SUM($E$6:$E$9)</f>
        <v>16079243.435544269</v>
      </c>
      <c r="G56" s="1248">
        <f t="shared" si="21"/>
        <v>16079243.435544269</v>
      </c>
      <c r="H56" s="1248">
        <f t="shared" si="21"/>
        <v>16079243.435544269</v>
      </c>
      <c r="I56" s="1248">
        <f t="shared" si="21"/>
        <v>16079243.435544269</v>
      </c>
      <c r="J56" s="1248">
        <f t="shared" si="21"/>
        <v>16079243.435544269</v>
      </c>
      <c r="K56" s="1248">
        <f t="shared" si="21"/>
        <v>16079243.435544269</v>
      </c>
      <c r="L56" s="1248">
        <f t="shared" si="21"/>
        <v>16079243.435544269</v>
      </c>
      <c r="M56" s="1248">
        <f t="shared" si="21"/>
        <v>10734679.045259459</v>
      </c>
      <c r="N56" s="1248">
        <f t="shared" si="21"/>
        <v>0</v>
      </c>
      <c r="O56" s="1248">
        <f t="shared" si="21"/>
        <v>0</v>
      </c>
    </row>
    <row r="57" spans="2:15" x14ac:dyDescent="0.25">
      <c r="B57" s="1188">
        <v>641</v>
      </c>
      <c r="C57" s="1240" t="s">
        <v>814</v>
      </c>
      <c r="D57" s="1240"/>
      <c r="E57" s="1248">
        <f>E$55*$E7/SUM($E$6:$E$9)</f>
        <v>533819.37306092225</v>
      </c>
      <c r="F57" s="1248">
        <f t="shared" ref="F57:O57" si="22">F$55*$E7/SUM($E$6:$E$9)</f>
        <v>534071.53147994005</v>
      </c>
      <c r="G57" s="1248">
        <f t="shared" si="22"/>
        <v>534071.53147994005</v>
      </c>
      <c r="H57" s="1248">
        <f t="shared" si="22"/>
        <v>534071.53147994005</v>
      </c>
      <c r="I57" s="1248">
        <f t="shared" si="22"/>
        <v>534071.53147994005</v>
      </c>
      <c r="J57" s="1248">
        <f t="shared" si="22"/>
        <v>534071.53147994005</v>
      </c>
      <c r="K57" s="1248">
        <f t="shared" si="22"/>
        <v>534071.53147994005</v>
      </c>
      <c r="L57" s="1248">
        <f t="shared" si="22"/>
        <v>534071.53147994005</v>
      </c>
      <c r="M57" s="1248">
        <f t="shared" si="22"/>
        <v>356552.00449132826</v>
      </c>
      <c r="N57" s="1248">
        <f t="shared" si="22"/>
        <v>0</v>
      </c>
      <c r="O57" s="1248">
        <f t="shared" si="22"/>
        <v>0</v>
      </c>
    </row>
    <row r="58" spans="2:15" x14ac:dyDescent="0.25">
      <c r="B58" s="1188">
        <v>641</v>
      </c>
      <c r="C58" s="1240" t="s">
        <v>654</v>
      </c>
      <c r="D58" s="1240"/>
      <c r="E58" s="1248">
        <f>E$55*$E8/SUM($E$6:$E$9)</f>
        <v>7064579.7277195426</v>
      </c>
      <c r="F58" s="1248">
        <f t="shared" ref="F58:O58" si="23">F$55*$E8/SUM($E$6:$E$9)</f>
        <v>7067916.7989182761</v>
      </c>
      <c r="G58" s="1248">
        <f t="shared" si="23"/>
        <v>7067916.7989182761</v>
      </c>
      <c r="H58" s="1248">
        <f t="shared" si="23"/>
        <v>7067916.7989182761</v>
      </c>
      <c r="I58" s="1248">
        <f t="shared" si="23"/>
        <v>7067916.7989182761</v>
      </c>
      <c r="J58" s="1248">
        <f t="shared" si="23"/>
        <v>7067916.7989182761</v>
      </c>
      <c r="K58" s="1248">
        <f t="shared" si="23"/>
        <v>7067916.7989182761</v>
      </c>
      <c r="L58" s="1248">
        <f t="shared" si="23"/>
        <v>7067916.7989182761</v>
      </c>
      <c r="M58" s="1248">
        <f t="shared" si="23"/>
        <v>4718618.675009639</v>
      </c>
      <c r="N58" s="1248">
        <f t="shared" si="23"/>
        <v>0</v>
      </c>
      <c r="O58" s="1248">
        <f t="shared" si="23"/>
        <v>0</v>
      </c>
    </row>
    <row r="59" spans="2:15" x14ac:dyDescent="0.25">
      <c r="B59" s="1188">
        <v>641</v>
      </c>
      <c r="C59" s="1240" t="s">
        <v>865</v>
      </c>
      <c r="D59" s="1240"/>
      <c r="E59" s="1248">
        <f>E$55*$E9/SUM($E$6:$E$9)</f>
        <v>5813793.6432411438</v>
      </c>
      <c r="F59" s="1248">
        <f t="shared" ref="F59:O59" si="24">F$55*$E9/SUM($E$6:$E$9)</f>
        <v>5816539.8849243</v>
      </c>
      <c r="G59" s="1248">
        <f t="shared" si="24"/>
        <v>5816539.8849243</v>
      </c>
      <c r="H59" s="1248">
        <f t="shared" si="24"/>
        <v>5816539.8849243</v>
      </c>
      <c r="I59" s="1248">
        <f t="shared" si="24"/>
        <v>5816539.8849243</v>
      </c>
      <c r="J59" s="1248">
        <f t="shared" si="24"/>
        <v>5816539.8849243</v>
      </c>
      <c r="K59" s="1248">
        <f t="shared" si="24"/>
        <v>5816539.8849243</v>
      </c>
      <c r="L59" s="1248">
        <f t="shared" si="24"/>
        <v>5816539.8849243</v>
      </c>
      <c r="M59" s="1248">
        <f t="shared" si="24"/>
        <v>3883185.7399825016</v>
      </c>
      <c r="N59" s="1248">
        <f t="shared" si="24"/>
        <v>0</v>
      </c>
      <c r="O59" s="1248">
        <f t="shared" si="24"/>
        <v>0</v>
      </c>
    </row>
    <row r="60" spans="2:15" x14ac:dyDescent="0.25">
      <c r="C60" s="1240"/>
      <c r="D60" s="1240"/>
      <c r="E60" s="1248"/>
      <c r="F60" s="1248"/>
      <c r="G60" s="1248"/>
      <c r="H60" s="1248"/>
      <c r="I60" s="1248"/>
      <c r="J60" s="1248"/>
      <c r="K60" s="1248"/>
      <c r="L60" s="1248"/>
      <c r="M60" s="1248"/>
      <c r="N60" s="1248"/>
      <c r="O60" s="1248"/>
    </row>
    <row r="61" spans="2:15" x14ac:dyDescent="0.25">
      <c r="B61" s="1293"/>
      <c r="C61" s="1294">
        <v>642</v>
      </c>
      <c r="D61" s="1294"/>
      <c r="E61" s="1294"/>
      <c r="F61" s="1296"/>
      <c r="G61" s="1296"/>
      <c r="H61" s="1296"/>
      <c r="I61" s="1296"/>
      <c r="J61" s="1296"/>
      <c r="K61" s="1296"/>
      <c r="L61" s="1296"/>
      <c r="M61" s="1296"/>
      <c r="N61" s="1296"/>
      <c r="O61" s="1296"/>
    </row>
    <row r="62" spans="2:15" x14ac:dyDescent="0.25">
      <c r="C62" s="1225" t="s">
        <v>1048</v>
      </c>
      <c r="D62" s="1225"/>
      <c r="E62" s="1264">
        <f>SUMIFS('KH- Phan bo'!AU$5:AU$176,'KH- Phan bo'!$AO$5:$AO$176,$C61,'KH- Phan bo'!$AQ$5:$AQ$176,$C62)</f>
        <v>172549623.54551676</v>
      </c>
      <c r="F62" s="1264">
        <f>SUMIFS('KH- Phan bo'!AV$5:AV$176,'KH- Phan bo'!$AO$5:$AO$176,$C61,'KH- Phan bo'!$AQ$5:$AQ$176,$C62)</f>
        <v>175474193.43611875</v>
      </c>
      <c r="G62" s="1264">
        <f>SUMIFS('KH- Phan bo'!AW$5:AW$176,'KH- Phan bo'!$AO$5:$AO$176,$C61,'KH- Phan bo'!$AQ$5:$AQ$176,$C62)</f>
        <v>175474193.43611875</v>
      </c>
      <c r="H62" s="1264">
        <f>SUMIFS('KH- Phan bo'!AX$5:AX$176,'KH- Phan bo'!$AO$5:$AO$176,$C61,'KH- Phan bo'!$AQ$5:$AQ$176,$C62)</f>
        <v>166700483.76431298</v>
      </c>
      <c r="I62" s="1264">
        <f>SUMIFS('KH- Phan bo'!AY$5:AY$176,'KH- Phan bo'!$AO$5:$AO$176,$C61,'KH- Phan bo'!$AQ$5:$AQ$176,$C62)</f>
        <v>0</v>
      </c>
      <c r="J62" s="1264">
        <f>SUMIFS('KH- Phan bo'!AZ$5:AZ$176,'KH- Phan bo'!$AO$5:$AO$176,$C61,'KH- Phan bo'!$AQ$5:$AQ$176,$C62)</f>
        <v>0</v>
      </c>
      <c r="K62" s="1264">
        <f>SUMIFS('KH- Phan bo'!BA$5:BA$176,'KH- Phan bo'!$AO$5:$AO$176,$C61,'KH- Phan bo'!$AQ$5:$AQ$176,$C62)</f>
        <v>0</v>
      </c>
      <c r="L62" s="1264">
        <f>SUMIFS('KH- Phan bo'!BB$5:BB$176,'KH- Phan bo'!$AO$5:$AO$176,$C61,'KH- Phan bo'!$AQ$5:$AQ$176,$C62)</f>
        <v>0</v>
      </c>
      <c r="M62" s="1264">
        <f>SUMIFS('KH- Phan bo'!BC$5:BC$176,'KH- Phan bo'!$AO$5:$AO$176,$C61,'KH- Phan bo'!$AQ$5:$AQ$176,$C62)</f>
        <v>0</v>
      </c>
      <c r="N62" s="1264">
        <f>SUMIFS('KH- Phan bo'!BD$5:BD$176,'KH- Phan bo'!$AO$5:$AO$176,$C61,'KH- Phan bo'!$AQ$5:$AQ$176,$C62)</f>
        <v>0</v>
      </c>
      <c r="O62" s="1264">
        <f>SUMIFS('KH- Phan bo'!BE$5:BE$176,'KH- Phan bo'!$AO$5:$AO$176,$C61,'KH- Phan bo'!$AQ$5:$AQ$176,$C62)</f>
        <v>0</v>
      </c>
    </row>
    <row r="63" spans="2:15" s="1209" customFormat="1" x14ac:dyDescent="0.25">
      <c r="B63" s="1188">
        <v>642</v>
      </c>
      <c r="C63" s="1240" t="s">
        <v>809</v>
      </c>
      <c r="D63" s="1240"/>
      <c r="E63" s="1248">
        <f t="shared" ref="E63:O63" si="25">E62*E6/(E6+E7)</f>
        <v>167002636.57234752</v>
      </c>
      <c r="F63" s="1248">
        <f t="shared" si="25"/>
        <v>168184490.54005027</v>
      </c>
      <c r="G63" s="1248">
        <f t="shared" si="25"/>
        <v>168184490.54005024</v>
      </c>
      <c r="H63" s="1248">
        <f t="shared" si="25"/>
        <v>159775266.0130479</v>
      </c>
      <c r="I63" s="1248">
        <f t="shared" si="25"/>
        <v>0</v>
      </c>
      <c r="J63" s="1248">
        <f t="shared" si="25"/>
        <v>0</v>
      </c>
      <c r="K63" s="1248">
        <f t="shared" si="25"/>
        <v>0</v>
      </c>
      <c r="L63" s="1248">
        <f t="shared" si="25"/>
        <v>0</v>
      </c>
      <c r="M63" s="1248">
        <f t="shared" si="25"/>
        <v>0</v>
      </c>
      <c r="N63" s="1248">
        <f t="shared" si="25"/>
        <v>0</v>
      </c>
      <c r="O63" s="1248">
        <f t="shared" si="25"/>
        <v>0</v>
      </c>
    </row>
    <row r="64" spans="2:15" s="1209" customFormat="1" x14ac:dyDescent="0.25">
      <c r="B64" s="1188">
        <v>642</v>
      </c>
      <c r="C64" s="1240" t="s">
        <v>814</v>
      </c>
      <c r="D64" s="1240"/>
      <c r="E64" s="1248">
        <f t="shared" ref="E64:O64" si="26">E62*E7/(E6+E7)</f>
        <v>5546986.9731692644</v>
      </c>
      <c r="F64" s="1248">
        <f t="shared" si="26"/>
        <v>7289702.8960684985</v>
      </c>
      <c r="G64" s="1248">
        <f t="shared" si="26"/>
        <v>7289702.8960684976</v>
      </c>
      <c r="H64" s="1248">
        <f t="shared" si="26"/>
        <v>6925217.7512650797</v>
      </c>
      <c r="I64" s="1248">
        <f t="shared" si="26"/>
        <v>0</v>
      </c>
      <c r="J64" s="1248">
        <f t="shared" si="26"/>
        <v>0</v>
      </c>
      <c r="K64" s="1248">
        <f t="shared" si="26"/>
        <v>0</v>
      </c>
      <c r="L64" s="1248">
        <f t="shared" si="26"/>
        <v>0</v>
      </c>
      <c r="M64" s="1248">
        <f t="shared" si="26"/>
        <v>0</v>
      </c>
      <c r="N64" s="1248">
        <f t="shared" si="26"/>
        <v>0</v>
      </c>
      <c r="O64" s="1248">
        <f t="shared" si="26"/>
        <v>0</v>
      </c>
    </row>
    <row r="65" spans="2:15" x14ac:dyDescent="0.25">
      <c r="C65" s="1204"/>
      <c r="D65" s="1204"/>
    </row>
    <row r="66" spans="2:15" x14ac:dyDescent="0.25">
      <c r="C66" s="1225">
        <v>642</v>
      </c>
      <c r="D66" s="1225"/>
      <c r="E66" s="1225" t="s">
        <v>1288</v>
      </c>
    </row>
    <row r="67" spans="2:15" s="1209" customFormat="1" x14ac:dyDescent="0.25">
      <c r="C67" s="1265"/>
      <c r="D67" s="1225"/>
      <c r="E67" s="1264">
        <f>SUMIFS('KH- Phan bo'!AU$5:AU$176,'KH- Phan bo'!$AO$5:$AO$176,$C66,'KH- Phan bo'!$AQ$5:$AQ$176,"chung")</f>
        <v>1559171214.2695808</v>
      </c>
      <c r="F67" s="1264">
        <f>SUMIFS('KH- Phan bo'!AV$5:AV$176,'KH- Phan bo'!$AO$5:$AO$176,$C66,'KH- Phan bo'!$AQ$5:$AQ$176,"chung")</f>
        <v>516948443.10153359</v>
      </c>
      <c r="G67" s="1264">
        <f>SUMIFS('KH- Phan bo'!AW$5:AW$176,'KH- Phan bo'!$AO$5:$AO$176,$C66,'KH- Phan bo'!$AQ$5:$AQ$176,"chung")</f>
        <v>516948443.10153359</v>
      </c>
      <c r="H67" s="1264">
        <f>SUMIFS('KH- Phan bo'!AX$5:AX$176,'KH- Phan bo'!$AO$5:$AO$176,$C66,'KH- Phan bo'!$AQ$5:$AQ$176,"chung")</f>
        <v>505071402.7646386</v>
      </c>
      <c r="I67" s="1264">
        <f>SUMIFS('KH- Phan bo'!AY$5:AY$176,'KH- Phan bo'!$AO$5:$AO$176,$C66,'KH- Phan bo'!$AQ$5:$AQ$176,"chung")</f>
        <v>172819674.79836679</v>
      </c>
      <c r="J67" s="1264">
        <f>SUMIFS('KH- Phan bo'!AZ$5:AZ$176,'KH- Phan bo'!$AO$5:$AO$176,$C66,'KH- Phan bo'!$AQ$5:$AQ$176,"chung")</f>
        <v>0</v>
      </c>
      <c r="K67" s="1264">
        <f>SUMIFS('KH- Phan bo'!BA$5:BA$176,'KH- Phan bo'!$AO$5:$AO$176,$C66,'KH- Phan bo'!$AQ$5:$AQ$176,"chung")</f>
        <v>0</v>
      </c>
      <c r="L67" s="1264">
        <f>SUMIFS('KH- Phan bo'!BB$5:BB$176,'KH- Phan bo'!$AO$5:$AO$176,$C66,'KH- Phan bo'!$AQ$5:$AQ$176,"chung")</f>
        <v>0</v>
      </c>
      <c r="M67" s="1264">
        <f>SUMIFS('KH- Phan bo'!BC$5:BC$176,'KH- Phan bo'!$AO$5:$AO$176,$C66,'KH- Phan bo'!$AQ$5:$AQ$176,"chung")</f>
        <v>0</v>
      </c>
      <c r="N67" s="1264">
        <f>SUMIFS('KH- Phan bo'!BD$5:BD$176,'KH- Phan bo'!$AO$5:$AO$176,$C66,'KH- Phan bo'!$AQ$5:$AQ$176,"chung")</f>
        <v>0</v>
      </c>
      <c r="O67" s="1264">
        <f>SUMIFS('KH- Phan bo'!BE$5:BE$176,'KH- Phan bo'!$AO$5:$AO$176,$C66,'KH- Phan bo'!$AQ$5:$AQ$176,"chung")</f>
        <v>0</v>
      </c>
    </row>
    <row r="68" spans="2:15" s="1209" customFormat="1" x14ac:dyDescent="0.25">
      <c r="B68" s="1188">
        <v>642</v>
      </c>
      <c r="C68" s="1204" t="s">
        <v>809</v>
      </c>
      <c r="D68" s="1204"/>
      <c r="E68" s="1246">
        <f t="shared" ref="E68:O68" si="27">E67*E6/E5</f>
        <v>849904657.49968135</v>
      </c>
      <c r="F68" s="1246">
        <f t="shared" si="27"/>
        <v>300154347.51801598</v>
      </c>
      <c r="G68" s="1246">
        <f t="shared" si="27"/>
        <v>300154347.51801598</v>
      </c>
      <c r="H68" s="1246">
        <f t="shared" si="27"/>
        <v>293258214.37294394</v>
      </c>
      <c r="I68" s="1246">
        <f t="shared" si="27"/>
        <v>100343810.72154856</v>
      </c>
      <c r="J68" s="1246">
        <f t="shared" si="27"/>
        <v>0</v>
      </c>
      <c r="K68" s="1246">
        <f t="shared" si="27"/>
        <v>0</v>
      </c>
      <c r="L68" s="1246">
        <f t="shared" si="27"/>
        <v>0</v>
      </c>
      <c r="M68" s="1246">
        <f t="shared" si="27"/>
        <v>0</v>
      </c>
      <c r="N68" s="1246">
        <f t="shared" si="27"/>
        <v>0</v>
      </c>
      <c r="O68" s="1246">
        <f t="shared" si="27"/>
        <v>0</v>
      </c>
    </row>
    <row r="69" spans="2:15" x14ac:dyDescent="0.25">
      <c r="B69" s="1188">
        <v>642</v>
      </c>
      <c r="C69" s="1204" t="s">
        <v>814</v>
      </c>
      <c r="D69" s="1204"/>
      <c r="E69" s="1246">
        <f t="shared" ref="E69:O69" si="28">E67*E7/E5</f>
        <v>28229554.696546845</v>
      </c>
      <c r="F69" s="1246">
        <f t="shared" si="28"/>
        <v>13009737.160327446</v>
      </c>
      <c r="G69" s="1246">
        <f t="shared" si="28"/>
        <v>13009737.160327444</v>
      </c>
      <c r="H69" s="1246">
        <f t="shared" si="28"/>
        <v>12710834.677715147</v>
      </c>
      <c r="I69" s="1246">
        <f t="shared" si="28"/>
        <v>4349251.0235076211</v>
      </c>
      <c r="J69" s="1246">
        <f t="shared" si="28"/>
        <v>0</v>
      </c>
      <c r="K69" s="1246">
        <f t="shared" si="28"/>
        <v>0</v>
      </c>
      <c r="L69" s="1246">
        <f t="shared" si="28"/>
        <v>0</v>
      </c>
      <c r="M69" s="1246">
        <f t="shared" si="28"/>
        <v>0</v>
      </c>
      <c r="N69" s="1246">
        <f t="shared" si="28"/>
        <v>0</v>
      </c>
      <c r="O69" s="1246">
        <f t="shared" si="28"/>
        <v>0</v>
      </c>
    </row>
    <row r="70" spans="2:15" x14ac:dyDescent="0.25">
      <c r="B70" s="1188">
        <v>642</v>
      </c>
      <c r="C70" s="1204" t="s">
        <v>654</v>
      </c>
      <c r="D70" s="1204"/>
      <c r="E70" s="1246">
        <f t="shared" ref="E70:O70" si="29">E67*E8/E5</f>
        <v>373590674.85363609</v>
      </c>
      <c r="F70" s="1246">
        <f t="shared" si="29"/>
        <v>100849371.017681</v>
      </c>
      <c r="G70" s="1246">
        <f t="shared" si="29"/>
        <v>100849371.01768103</v>
      </c>
      <c r="H70" s="1246">
        <f t="shared" si="29"/>
        <v>98532327.483627409</v>
      </c>
      <c r="I70" s="1246">
        <f t="shared" si="29"/>
        <v>33714688.061208256</v>
      </c>
      <c r="J70" s="1246">
        <f t="shared" si="29"/>
        <v>0</v>
      </c>
      <c r="K70" s="1246">
        <f t="shared" si="29"/>
        <v>0</v>
      </c>
      <c r="L70" s="1246">
        <f t="shared" si="29"/>
        <v>0</v>
      </c>
      <c r="M70" s="1246">
        <f t="shared" si="29"/>
        <v>0</v>
      </c>
      <c r="N70" s="1246">
        <f t="shared" si="29"/>
        <v>0</v>
      </c>
      <c r="O70" s="1246">
        <f t="shared" si="29"/>
        <v>0</v>
      </c>
    </row>
    <row r="71" spans="2:15" x14ac:dyDescent="0.25">
      <c r="B71" s="1188">
        <v>642</v>
      </c>
      <c r="C71" s="1204" t="s">
        <v>865</v>
      </c>
      <c r="D71" s="1204"/>
      <c r="E71" s="1246">
        <f t="shared" ref="E71:O71" si="30">E67*E9/E5</f>
        <v>307446327.21971661</v>
      </c>
      <c r="F71" s="1246">
        <f t="shared" si="30"/>
        <v>102934987.40550913</v>
      </c>
      <c r="G71" s="1246">
        <f t="shared" si="30"/>
        <v>102934987.40550914</v>
      </c>
      <c r="H71" s="1246">
        <f t="shared" si="30"/>
        <v>100570026.23035209</v>
      </c>
      <c r="I71" s="1246">
        <f t="shared" si="30"/>
        <v>34411924.992102362</v>
      </c>
      <c r="J71" s="1246">
        <f t="shared" si="30"/>
        <v>0</v>
      </c>
      <c r="K71" s="1246">
        <f t="shared" si="30"/>
        <v>0</v>
      </c>
      <c r="L71" s="1246">
        <f t="shared" si="30"/>
        <v>0</v>
      </c>
      <c r="M71" s="1246">
        <f t="shared" si="30"/>
        <v>0</v>
      </c>
      <c r="N71" s="1246">
        <f t="shared" si="30"/>
        <v>0</v>
      </c>
      <c r="O71" s="1246">
        <f t="shared" si="30"/>
        <v>0</v>
      </c>
    </row>
    <row r="72" spans="2:15" x14ac:dyDescent="0.25">
      <c r="C72" s="1204"/>
      <c r="D72" s="1204"/>
      <c r="E72" s="1246"/>
    </row>
    <row r="73" spans="2:15" x14ac:dyDescent="0.25">
      <c r="C73" s="1224" t="s">
        <v>615</v>
      </c>
      <c r="E73" s="1250">
        <f t="shared" ref="E73:O73" si="31">E67+E62+E48+E44+E25+E20+E17+E14+E13</f>
        <v>9174877845.7997665</v>
      </c>
      <c r="F73" s="1250">
        <f t="shared" si="31"/>
        <v>8047803442.7213669</v>
      </c>
      <c r="G73" s="1250">
        <f t="shared" si="31"/>
        <v>7897612398.5085239</v>
      </c>
      <c r="H73" s="1250">
        <f t="shared" si="31"/>
        <v>7037527324.6036358</v>
      </c>
      <c r="I73" s="1250">
        <f t="shared" si="31"/>
        <v>4826930991.5252094</v>
      </c>
      <c r="J73" s="1250">
        <f t="shared" si="31"/>
        <v>4031850636.5658131</v>
      </c>
      <c r="K73" s="1250">
        <f t="shared" si="31"/>
        <v>1935742590.1397119</v>
      </c>
      <c r="L73" s="1250">
        <f t="shared" si="31"/>
        <v>1935742590.1397119</v>
      </c>
      <c r="M73" s="1250">
        <f t="shared" si="31"/>
        <v>1784520885.1378942</v>
      </c>
      <c r="N73" s="1250">
        <f t="shared" si="31"/>
        <v>1191851066.9103737</v>
      </c>
      <c r="O73" s="1250">
        <f t="shared" si="31"/>
        <v>939889086.08731329</v>
      </c>
    </row>
  </sheetData>
  <mergeCells count="1">
    <mergeCell ref="C2:E2"/>
  </mergeCells>
  <printOptions horizontalCentered="1"/>
  <pageMargins left="0.51181102362204722" right="0.11811023622047245" top="0.35433070866141736" bottom="0" header="0.31496062992125984" footer="0.31496062992125984"/>
  <pageSetup paperSize="9" scale="85"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AEF83-3C36-4FA7-8049-1FBBEC7D330F}">
  <sheetPr>
    <tabColor theme="8" tint="0.39997558519241921"/>
  </sheetPr>
  <dimension ref="B2:M29"/>
  <sheetViews>
    <sheetView showGridLines="0" zoomScale="85" zoomScaleNormal="85" workbookViewId="0">
      <pane xSplit="2" ySplit="7" topLeftCell="C8" activePane="bottomRight" state="frozen"/>
      <selection activeCell="AH60" sqref="AH60:AL70"/>
      <selection pane="topRight" activeCell="AH60" sqref="AH60:AL70"/>
      <selection pane="bottomLeft" activeCell="AH60" sqref="AH60:AL70"/>
      <selection pane="bottomRight" activeCell="D14" sqref="D14"/>
    </sheetView>
  </sheetViews>
  <sheetFormatPr defaultColWidth="9.140625" defaultRowHeight="15" x14ac:dyDescent="0.25"/>
  <cols>
    <col min="1" max="1" width="5.42578125" customWidth="1"/>
    <col min="2" max="2" width="45.28515625" bestFit="1" customWidth="1"/>
    <col min="3" max="3" width="10.7109375" customWidth="1"/>
    <col min="4" max="4" width="17.7109375" bestFit="1" customWidth="1"/>
    <col min="5" max="13" width="13.7109375" bestFit="1" customWidth="1"/>
  </cols>
  <sheetData>
    <row r="2" spans="2:13" x14ac:dyDescent="0.25">
      <c r="B2" s="1" t="s">
        <v>969</v>
      </c>
    </row>
    <row r="4" spans="2:13" s="1" customFormat="1" x14ac:dyDescent="0.25">
      <c r="B4" s="1" t="s">
        <v>246</v>
      </c>
      <c r="C4" s="303"/>
      <c r="D4" s="693">
        <v>2024</v>
      </c>
      <c r="E4" s="693">
        <f>'[29]PL2. Kịch bản SX'!H4</f>
        <v>2025</v>
      </c>
      <c r="F4" s="693">
        <f>'[29]PL2. Kịch bản SX'!I4</f>
        <v>2026</v>
      </c>
      <c r="G4" s="693">
        <f>'[29]PL2. Kịch bản SX'!J4</f>
        <v>2027</v>
      </c>
      <c r="H4" s="693">
        <f>'[29]PL2. Kịch bản SX'!K4</f>
        <v>2028</v>
      </c>
      <c r="I4" s="693">
        <f>'[29]PL2. Kịch bản SX'!L4</f>
        <v>2029</v>
      </c>
      <c r="J4" s="693">
        <f>'[29]PL2. Kịch bản SX'!M4</f>
        <v>2030</v>
      </c>
      <c r="K4" s="693">
        <f>'[29]PL2. Kịch bản SX'!N4</f>
        <v>2031</v>
      </c>
      <c r="L4" s="693">
        <f>'[29]PL2. Kịch bản SX'!O4</f>
        <v>2032</v>
      </c>
      <c r="M4" s="693">
        <f>'[29]PL2. Kịch bản SX'!P4</f>
        <v>2033</v>
      </c>
    </row>
    <row r="5" spans="2:13" x14ac:dyDescent="0.25">
      <c r="B5" s="9" t="s">
        <v>759</v>
      </c>
      <c r="C5" s="129"/>
      <c r="D5" s="507">
        <v>1</v>
      </c>
      <c r="E5" s="507">
        <f t="shared" ref="E5:M5" si="0">D5+1</f>
        <v>2</v>
      </c>
      <c r="F5" s="507">
        <f t="shared" si="0"/>
        <v>3</v>
      </c>
      <c r="G5" s="507">
        <f t="shared" si="0"/>
        <v>4</v>
      </c>
      <c r="H5" s="507">
        <f t="shared" si="0"/>
        <v>5</v>
      </c>
      <c r="I5" s="507">
        <f t="shared" si="0"/>
        <v>6</v>
      </c>
      <c r="J5" s="507">
        <f t="shared" si="0"/>
        <v>7</v>
      </c>
      <c r="K5" s="507">
        <f t="shared" si="0"/>
        <v>8</v>
      </c>
      <c r="L5" s="507">
        <f t="shared" si="0"/>
        <v>9</v>
      </c>
      <c r="M5" s="507">
        <f t="shared" si="0"/>
        <v>10</v>
      </c>
    </row>
    <row r="6" spans="2:13" x14ac:dyDescent="0.25">
      <c r="B6" s="9" t="str">
        <f>'3. CP-NL'!B6</f>
        <v>Tỷ lệ vận hành bê tông</v>
      </c>
      <c r="C6" s="9"/>
      <c r="D6" s="487">
        <f>'3. CP-NL'!D6</f>
        <v>0.15</v>
      </c>
      <c r="E6" s="487">
        <f>'3. CP-NL'!E6</f>
        <v>0.15</v>
      </c>
      <c r="F6" s="487">
        <f>'3. CP-NL'!F6</f>
        <v>0.15</v>
      </c>
      <c r="G6" s="487">
        <f>'3. CP-NL'!G6</f>
        <v>0.15</v>
      </c>
      <c r="H6" s="487">
        <f>'3. CP-NL'!H6</f>
        <v>0.15</v>
      </c>
      <c r="I6" s="487">
        <f>'3. CP-NL'!I6</f>
        <v>0.15</v>
      </c>
      <c r="J6" s="487">
        <f>'3. CP-NL'!J6</f>
        <v>0.15</v>
      </c>
      <c r="K6" s="487">
        <f>'3. CP-NL'!K6</f>
        <v>0.15</v>
      </c>
      <c r="L6" s="487">
        <f>'3. CP-NL'!L6</f>
        <v>0.15</v>
      </c>
      <c r="M6" s="487">
        <f>'3. CP-NL'!M6</f>
        <v>0.15</v>
      </c>
    </row>
    <row r="7" spans="2:13" x14ac:dyDescent="0.25">
      <c r="B7" s="9" t="str">
        <f>'3. CP-NL'!B7</f>
        <v>Tỷ lệ vận hành gạch</v>
      </c>
      <c r="C7" s="9"/>
      <c r="D7" s="487">
        <f>'3. CP-NL'!D7</f>
        <v>0.4</v>
      </c>
      <c r="E7" s="487">
        <f>'3. CP-NL'!E7</f>
        <v>0.4</v>
      </c>
      <c r="F7" s="487">
        <f>'3. CP-NL'!F7</f>
        <v>0.4</v>
      </c>
      <c r="G7" s="487">
        <f>'3. CP-NL'!G7</f>
        <v>0.4</v>
      </c>
      <c r="H7" s="487">
        <f>'3. CP-NL'!H7</f>
        <v>0.4</v>
      </c>
      <c r="I7" s="487">
        <f>'3. CP-NL'!I7</f>
        <v>0.4</v>
      </c>
      <c r="J7" s="487">
        <f>'3. CP-NL'!J7</f>
        <v>0.4</v>
      </c>
      <c r="K7" s="487">
        <f>'3. CP-NL'!K7</f>
        <v>0.4</v>
      </c>
      <c r="L7" s="487">
        <f>'3. CP-NL'!L7</f>
        <v>0.4</v>
      </c>
      <c r="M7" s="487">
        <f>'3. CP-NL'!M7</f>
        <v>0.4</v>
      </c>
    </row>
    <row r="8" spans="2:13" x14ac:dyDescent="0.25">
      <c r="B8" s="9"/>
      <c r="C8" s="129"/>
      <c r="D8" s="508"/>
      <c r="E8" s="508"/>
      <c r="F8" s="508"/>
      <c r="G8" s="508"/>
      <c r="H8" s="508"/>
      <c r="I8" s="508"/>
      <c r="J8" s="508"/>
      <c r="K8" s="508"/>
      <c r="L8" s="508"/>
      <c r="M8" s="508"/>
    </row>
    <row r="10" spans="2:13" s="1" customFormat="1" x14ac:dyDescent="0.25">
      <c r="B10" s="1" t="s">
        <v>972</v>
      </c>
      <c r="D10" s="63">
        <f>D12+D18+D24</f>
        <v>20.662273527019995</v>
      </c>
      <c r="E10" s="63">
        <f t="shared" ref="E10:M10" si="1">E12+E18+E24</f>
        <v>19.444429658101068</v>
      </c>
      <c r="F10" s="63">
        <f t="shared" si="1"/>
        <v>15.216971019397629</v>
      </c>
      <c r="G10" s="63">
        <f t="shared" si="1"/>
        <v>7.1299795507893355</v>
      </c>
      <c r="H10" s="63">
        <f t="shared" si="1"/>
        <v>5.2262909369523118</v>
      </c>
      <c r="I10" s="63">
        <f t="shared" si="1"/>
        <v>2.9552403617905787</v>
      </c>
      <c r="J10" s="63">
        <f t="shared" si="1"/>
        <v>2.9552403617905787</v>
      </c>
      <c r="K10" s="63">
        <f t="shared" si="1"/>
        <v>2.4842139206026372</v>
      </c>
      <c r="L10" s="63">
        <f t="shared" si="1"/>
        <v>1.8718510669103741</v>
      </c>
      <c r="M10" s="63">
        <f t="shared" si="1"/>
        <v>1.6198890860873134</v>
      </c>
    </row>
    <row r="11" spans="2:13" x14ac:dyDescent="0.25">
      <c r="D11" s="5"/>
      <c r="E11" s="5"/>
      <c r="F11" s="5"/>
      <c r="G11" s="5"/>
      <c r="H11" s="5"/>
      <c r="I11" s="5"/>
      <c r="J11" s="5"/>
      <c r="K11" s="5"/>
      <c r="L11" s="5"/>
      <c r="M11" s="5"/>
    </row>
    <row r="12" spans="2:13" s="1" customFormat="1" ht="13.9" customHeight="1" x14ac:dyDescent="0.25">
      <c r="B12" s="1" t="s">
        <v>968</v>
      </c>
      <c r="C12" s="1">
        <v>627</v>
      </c>
      <c r="D12" s="63">
        <f>SUM(D13:D17)</f>
        <v>7.5210964708571399</v>
      </c>
      <c r="E12" s="63">
        <f t="shared" ref="E12:M12" si="2">SUM(E13:E17)</f>
        <v>7.1139473153709059</v>
      </c>
      <c r="F12" s="63">
        <f t="shared" si="2"/>
        <v>6.2689825739513436</v>
      </c>
      <c r="G12" s="63">
        <f t="shared" si="2"/>
        <v>4.4967544378150714</v>
      </c>
      <c r="H12" s="63">
        <f t="shared" si="2"/>
        <v>3.8215976509130276</v>
      </c>
      <c r="I12" s="63">
        <f t="shared" si="2"/>
        <v>1.7254896044869272</v>
      </c>
      <c r="J12" s="63">
        <f t="shared" si="2"/>
        <v>1.7254896044869272</v>
      </c>
      <c r="K12" s="63">
        <f t="shared" si="2"/>
        <v>1.5742678994851096</v>
      </c>
      <c r="L12" s="63">
        <f t="shared" si="2"/>
        <v>0.98159808125758907</v>
      </c>
      <c r="M12" s="63">
        <f t="shared" si="2"/>
        <v>0.86277253873614479</v>
      </c>
    </row>
    <row r="13" spans="2:13" x14ac:dyDescent="0.25">
      <c r="B13" s="1285" t="s">
        <v>809</v>
      </c>
      <c r="C13" t="s">
        <v>1356</v>
      </c>
      <c r="D13" s="1470">
        <f>SUMIFS('3.KH- Tach'!F$11:F$73,'3.KH- Tach'!$C$11:$C$73,'3.CP-KH'!$B13,'3.KH- Tach'!$B$11:$B$73,'3.CP-KH'!$C$12)/10^9</f>
        <v>3.9971771047718732</v>
      </c>
      <c r="E13" s="1470">
        <f>SUMIFS('3.KH- Tach'!G$11:G$73,'3.KH- Tach'!$C$11:$C$73,'3.CP-KH'!$B13,'3.KH- Tach'!$B$11:$B$73,'3.CP-KH'!$C$12)/10^9</f>
        <v>3.9210711292213065</v>
      </c>
      <c r="F13" s="1470">
        <f>SUMIFS('3.KH- Tach'!H$11:H$73,'3.KH- Tach'!$C$11:$C$73,'3.CP-KH'!$B13,'3.KH- Tach'!$B$11:$B$73,'3.CP-KH'!$C$12)/10^9</f>
        <v>3.1126839940498408</v>
      </c>
      <c r="G13" s="1470">
        <f>SUMIFS('3.KH- Tach'!I$11:I$73,'3.KH- Tach'!$C$11:$C$73,'3.CP-KH'!$B13,'3.KH- Tach'!$B$11:$B$73,'3.CP-KH'!$C$12)/10^9</f>
        <v>1.8442918366861312</v>
      </c>
      <c r="H13" s="1470">
        <f>SUMIFS('3.KH- Tach'!J$11:J$73,'3.KH- Tach'!$C$11:$C$73,'3.CP-KH'!$B13,'3.KH- Tach'!$B$11:$B$73,'3.CP-KH'!$C$12)/10^9</f>
        <v>1.3171164785875895</v>
      </c>
      <c r="I13" s="1470">
        <f>SUMIFS('3.KH- Tach'!K$11:K$73,'3.KH- Tach'!$C$11:$C$73,'3.CP-KH'!$B13,'3.KH- Tach'!$B$11:$B$73,'3.CP-KH'!$C$12)/10^9</f>
        <v>0.67195550224956346</v>
      </c>
      <c r="J13" s="1470">
        <f>SUMIFS('3.KH- Tach'!L$11:L$73,'3.KH- Tach'!$C$11:$C$73,'3.CP-KH'!$B13,'3.KH- Tach'!$B$11:$B$73,'3.CP-KH'!$C$12)/10^9</f>
        <v>0.67195550224956346</v>
      </c>
      <c r="K13" s="1470">
        <f>SUMIFS('3.KH- Tach'!M$11:M$73,'3.KH- Tach'!$C$11:$C$73,'3.CP-KH'!$B13,'3.KH- Tach'!$B$11:$B$73,'3.CP-KH'!$C$12)/10^9</f>
        <v>0.67195550224956346</v>
      </c>
      <c r="L13" s="1470">
        <f>SUMIFS('3.KH- Tach'!N$11:N$73,'3.KH- Tach'!$C$11:$C$73,'3.CP-KH'!$B13,'3.KH- Tach'!$B$11:$B$73,'3.CP-KH'!$C$12)/10^9</f>
        <v>0.67195550224956346</v>
      </c>
      <c r="M13" s="1470">
        <f>SUMIFS('3.KH- Tach'!O$11:O$73,'3.KH- Tach'!$C$11:$C$73,'3.CP-KH'!$B13,'3.KH- Tach'!$B$11:$B$73,'3.CP-KH'!$C$12)/10^9</f>
        <v>0.64225231593838383</v>
      </c>
    </row>
    <row r="14" spans="2:13" x14ac:dyDescent="0.25">
      <c r="B14" s="1285" t="s">
        <v>814</v>
      </c>
      <c r="C14" t="s">
        <v>1356</v>
      </c>
      <c r="D14" s="1470">
        <f>SUMIFS('3.KH- Tach'!F$11:F$73,'3.KH- Tach'!$C$11:$C$73,'3.CP-KH'!$B14,'3.KH- Tach'!$B$11:$B$73,'3.CP-KH'!$C$12)/10^9</f>
        <v>2.4759381077561509</v>
      </c>
      <c r="E14" s="1470">
        <f>SUMIFS('3.KH- Tach'!G$11:G$73,'3.KH- Tach'!$C$11:$C$73,'3.CP-KH'!$B14,'3.KH- Tach'!$B$11:$B$73,'3.CP-KH'!$C$12)/10^9</f>
        <v>2.4540704251643342</v>
      </c>
      <c r="F14" s="1470">
        <f>SUMIFS('3.KH- Tach'!H$11:H$73,'3.KH- Tach'!$C$11:$C$73,'3.CP-KH'!$B14,'3.KH- Tach'!$B$11:$B$73,'3.CP-KH'!$C$12)/10^9</f>
        <v>2.4448401666818969</v>
      </c>
      <c r="G14" s="1470">
        <f>SUMIFS('3.KH- Tach'!I$11:I$73,'3.KH- Tach'!$C$11:$C$73,'3.CP-KH'!$B14,'3.KH- Tach'!$B$11:$B$73,'3.CP-KH'!$C$12)/10^9</f>
        <v>2.3826406288230282</v>
      </c>
      <c r="H14" s="1470">
        <f>SUMIFS('3.KH- Tach'!J$11:J$73,'3.KH- Tach'!$C$11:$C$73,'3.CP-KH'!$B14,'3.KH- Tach'!$B$11:$B$73,'3.CP-KH'!$C$12)/10^9</f>
        <v>2.2843810300642446</v>
      </c>
      <c r="I14" s="1470">
        <f>SUMIFS('3.KH- Tach'!K$11:K$73,'3.KH- Tach'!$C$11:$C$73,'3.CP-KH'!$B14,'3.KH- Tach'!$B$11:$B$73,'3.CP-KH'!$C$12)/10^9</f>
        <v>0.83343395997617009</v>
      </c>
      <c r="J14" s="1470">
        <f>SUMIFS('3.KH- Tach'!L$11:L$73,'3.KH- Tach'!$C$11:$C$73,'3.CP-KH'!$B14,'3.KH- Tach'!$B$11:$B$73,'3.CP-KH'!$C$12)/10^9</f>
        <v>0.83343395997617009</v>
      </c>
      <c r="K14" s="1470">
        <f>SUMIFS('3.KH- Tach'!M$11:M$73,'3.KH- Tach'!$C$11:$C$73,'3.CP-KH'!$B14,'3.KH- Tach'!$B$11:$B$73,'3.CP-KH'!$C$12)/10^9</f>
        <v>0.68221225497435234</v>
      </c>
      <c r="L14" s="1470">
        <f>SUMIFS('3.KH- Tach'!N$11:N$73,'3.KH- Tach'!$C$11:$C$73,'3.CP-KH'!$B14,'3.KH- Tach'!$B$11:$B$73,'3.CP-KH'!$C$12)/10^9</f>
        <v>8.9542436746831905E-2</v>
      </c>
      <c r="M14" s="1470">
        <f>SUMIFS('3.KH- Tach'!O$11:O$73,'3.KH- Tach'!$C$11:$C$73,'3.CP-KH'!$B14,'3.KH- Tach'!$B$11:$B$73,'3.CP-KH'!$C$12)/10^9</f>
        <v>2.0586520954975311E-2</v>
      </c>
    </row>
    <row r="15" spans="2:13" x14ac:dyDescent="0.25">
      <c r="B15" s="1285" t="s">
        <v>654</v>
      </c>
      <c r="C15" t="s">
        <v>1356</v>
      </c>
      <c r="D15" s="1470">
        <f>SUMIFS('3.KH- Tach'!F$11:F$73,'3.KH- Tach'!$C$11:$C$73,'3.CP-KH'!$B15,'3.KH- Tach'!$B$11:$B$73,'3.CP-KH'!$C$12)/10^9</f>
        <v>0.51862788468451093</v>
      </c>
      <c r="E15" s="1470">
        <f>SUMIFS('3.KH- Tach'!G$11:G$73,'3.KH- Tach'!$C$11:$C$73,'3.CP-KH'!$B15,'3.KH- Tach'!$B$11:$B$73,'3.CP-KH'!$C$12)/10^9</f>
        <v>0.36562225322944297</v>
      </c>
      <c r="F15" s="1470">
        <f>SUMIFS('3.KH- Tach'!H$11:H$73,'3.KH- Tach'!$C$11:$C$73,'3.CP-KH'!$B15,'3.KH- Tach'!$B$11:$B$73,'3.CP-KH'!$C$12)/10^9</f>
        <v>0.35208852158041598</v>
      </c>
      <c r="G15" s="1470">
        <f>SUMIFS('3.KH- Tach'!I$11:I$73,'3.KH- Tach'!$C$11:$C$73,'3.CP-KH'!$B15,'3.KH- Tach'!$B$11:$B$73,'3.CP-KH'!$C$12)/10^9</f>
        <v>0.13353024934962221</v>
      </c>
      <c r="H15" s="1470">
        <f>SUMIFS('3.KH- Tach'!J$11:J$73,'3.KH- Tach'!$C$11:$C$73,'3.CP-KH'!$B15,'3.KH- Tach'!$B$11:$B$73,'3.CP-KH'!$C$12)/10^9</f>
        <v>0.10892377157744378</v>
      </c>
      <c r="I15" s="1470">
        <f>SUMIFS('3.KH- Tach'!K$11:K$73,'3.KH- Tach'!$C$11:$C$73,'3.CP-KH'!$B15,'3.KH- Tach'!$B$11:$B$73,'3.CP-KH'!$C$12)/10^9</f>
        <v>0.10892377157744376</v>
      </c>
      <c r="J15" s="1470">
        <f>SUMIFS('3.KH- Tach'!L$11:L$73,'3.KH- Tach'!$C$11:$C$73,'3.CP-KH'!$B15,'3.KH- Tach'!$B$11:$B$73,'3.CP-KH'!$C$12)/10^9</f>
        <v>0.10892377157744378</v>
      </c>
      <c r="K15" s="1470">
        <f>SUMIFS('3.KH- Tach'!M$11:M$73,'3.KH- Tach'!$C$11:$C$73,'3.CP-KH'!$B15,'3.KH- Tach'!$B$11:$B$73,'3.CP-KH'!$C$12)/10^9</f>
        <v>0.10892377157744375</v>
      </c>
      <c r="L15" s="1470">
        <f>SUMIFS('3.KH- Tach'!N$11:N$73,'3.KH- Tach'!$C$11:$C$73,'3.CP-KH'!$B15,'3.KH- Tach'!$B$11:$B$73,'3.CP-KH'!$C$12)/10^9</f>
        <v>0.10892377157744378</v>
      </c>
      <c r="M15" s="1470">
        <f>SUMIFS('3.KH- Tach'!O$11:O$73,'3.KH- Tach'!$C$11:$C$73,'3.CP-KH'!$B15,'3.KH- Tach'!$B$11:$B$73,'3.CP-KH'!$C$12)/10^9</f>
        <v>9.8943747361657078E-2</v>
      </c>
    </row>
    <row r="16" spans="2:13" x14ac:dyDescent="0.25">
      <c r="B16" s="1285" t="s">
        <v>865</v>
      </c>
      <c r="C16" t="s">
        <v>1356</v>
      </c>
      <c r="D16" s="1470">
        <f>SUMIFS('3.KH- Tach'!F$11:F$73,'3.KH- Tach'!$C$11:$C$73,'3.CP-KH'!$B16,'3.KH- Tach'!$B$11:$B$73,'3.CP-KH'!$C$12)/10^9</f>
        <v>0.52935337364460588</v>
      </c>
      <c r="E16" s="1470">
        <f>SUMIFS('3.KH- Tach'!G$11:G$73,'3.KH- Tach'!$C$11:$C$73,'3.CP-KH'!$B16,'3.KH- Tach'!$B$11:$B$73,'3.CP-KH'!$C$12)/10^9</f>
        <v>0.37318350775582249</v>
      </c>
      <c r="F16" s="1470">
        <f>SUMIFS('3.KH- Tach'!H$11:H$73,'3.KH- Tach'!$C$11:$C$73,'3.CP-KH'!$B16,'3.KH- Tach'!$B$11:$B$73,'3.CP-KH'!$C$12)/10^9</f>
        <v>0.35936989163918959</v>
      </c>
      <c r="G16" s="1470">
        <f>SUMIFS('3.KH- Tach'!I$11:I$73,'3.KH- Tach'!$C$11:$C$73,'3.CP-KH'!$B16,'3.KH- Tach'!$B$11:$B$73,'3.CP-KH'!$C$12)/10^9</f>
        <v>0.13629172295628977</v>
      </c>
      <c r="H16" s="1470">
        <f>SUMIFS('3.KH- Tach'!J$11:J$73,'3.KH- Tach'!$C$11:$C$73,'3.CP-KH'!$B16,'3.KH- Tach'!$B$11:$B$73,'3.CP-KH'!$C$12)/10^9</f>
        <v>0.11117637068374993</v>
      </c>
      <c r="I16" s="1470">
        <f>SUMIFS('3.KH- Tach'!K$11:K$73,'3.KH- Tach'!$C$11:$C$73,'3.CP-KH'!$B16,'3.KH- Tach'!$B$11:$B$73,'3.CP-KH'!$C$12)/10^9</f>
        <v>0.11117637068374993</v>
      </c>
      <c r="J16" s="1470">
        <f>SUMIFS('3.KH- Tach'!L$11:L$73,'3.KH- Tach'!$C$11:$C$73,'3.CP-KH'!$B16,'3.KH- Tach'!$B$11:$B$73,'3.CP-KH'!$C$12)/10^9</f>
        <v>0.11117637068374991</v>
      </c>
      <c r="K16" s="1470">
        <f>SUMIFS('3.KH- Tach'!M$11:M$73,'3.KH- Tach'!$C$11:$C$73,'3.CP-KH'!$B16,'3.KH- Tach'!$B$11:$B$73,'3.CP-KH'!$C$12)/10^9</f>
        <v>0.11117637068374994</v>
      </c>
      <c r="L16" s="1470">
        <f>SUMIFS('3.KH- Tach'!N$11:N$73,'3.KH- Tach'!$C$11:$C$73,'3.CP-KH'!$B16,'3.KH- Tach'!$B$11:$B$73,'3.CP-KH'!$C$12)/10^9</f>
        <v>0.11117637068374991</v>
      </c>
      <c r="M16" s="1470">
        <f>SUMIFS('3.KH- Tach'!O$11:O$73,'3.KH- Tach'!$C$11:$C$73,'3.CP-KH'!$B16,'3.KH- Tach'!$B$11:$B$73,'3.CP-KH'!$C$12)/10^9</f>
        <v>0.10098995448112856</v>
      </c>
    </row>
    <row r="17" spans="2:13" x14ac:dyDescent="0.25">
      <c r="B17" s="1285" t="s">
        <v>1353</v>
      </c>
      <c r="C17" t="s">
        <v>1356</v>
      </c>
      <c r="D17" s="1470">
        <f>SUMIFS('3.KH- Tach'!F$11:F$73,'3.KH- Tach'!$C$11:$C$73,'3.CP-KH'!$B17,'3.KH- Tach'!$B$11:$B$73,'3.CP-KH'!$C$12)/10^9</f>
        <v>0</v>
      </c>
      <c r="E17" s="1470">
        <f>SUMIFS('3.KH- Tach'!G$11:G$73,'3.KH- Tach'!$C$11:$C$73,'3.CP-KH'!$B17,'3.KH- Tach'!$B$11:$B$73,'3.CP-KH'!$C$12)/10^9</f>
        <v>0</v>
      </c>
      <c r="F17" s="1470">
        <f>SUMIFS('3.KH- Tach'!H$11:H$73,'3.KH- Tach'!$C$11:$C$73,'3.CP-KH'!$B17,'3.KH- Tach'!$B$11:$B$73,'3.CP-KH'!$C$12)/10^9</f>
        <v>0</v>
      </c>
      <c r="G17" s="1470">
        <f>SUMIFS('3.KH- Tach'!I$11:I$73,'3.KH- Tach'!$C$11:$C$73,'3.CP-KH'!$B17,'3.KH- Tach'!$B$11:$B$73,'3.CP-KH'!$C$12)/10^9</f>
        <v>0</v>
      </c>
      <c r="H17" s="1470">
        <f>SUMIFS('3.KH- Tach'!J$11:J$73,'3.KH- Tach'!$C$11:$C$73,'3.CP-KH'!$B17,'3.KH- Tach'!$B$11:$B$73,'3.CP-KH'!$C$12)/10^9</f>
        <v>0</v>
      </c>
      <c r="I17" s="1470">
        <f>SUMIFS('3.KH- Tach'!K$11:K$73,'3.KH- Tach'!$C$11:$C$73,'3.CP-KH'!$B17,'3.KH- Tach'!$B$11:$B$73,'3.CP-KH'!$C$12)/10^9</f>
        <v>0</v>
      </c>
      <c r="J17" s="1470">
        <f>SUMIFS('3.KH- Tach'!L$11:L$73,'3.KH- Tach'!$C$11:$C$73,'3.CP-KH'!$B17,'3.KH- Tach'!$B$11:$B$73,'3.CP-KH'!$C$12)/10^9</f>
        <v>0</v>
      </c>
      <c r="K17" s="1470">
        <f>SUMIFS('3.KH- Tach'!M$11:M$73,'3.KH- Tach'!$C$11:$C$73,'3.CP-KH'!$B17,'3.KH- Tach'!$B$11:$B$73,'3.CP-KH'!$C$12)/10^9</f>
        <v>0</v>
      </c>
      <c r="L17" s="1470">
        <f>SUMIFS('3.KH- Tach'!N$11:N$73,'3.KH- Tach'!$C$11:$C$73,'3.CP-KH'!$B17,'3.KH- Tach'!$B$11:$B$73,'3.CP-KH'!$C$12)/10^9</f>
        <v>0</v>
      </c>
      <c r="M17" s="1470">
        <f>SUMIFS('3.KH- Tach'!O$11:O$73,'3.KH- Tach'!$C$11:$C$73,'3.CP-KH'!$B17,'3.KH- Tach'!$B$11:$B$73,'3.CP-KH'!$C$12)/10^9</f>
        <v>0</v>
      </c>
    </row>
    <row r="18" spans="2:13" s="1" customFormat="1" x14ac:dyDescent="0.25">
      <c r="B18" s="1" t="s">
        <v>970</v>
      </c>
      <c r="C18" s="1">
        <v>641</v>
      </c>
      <c r="D18" s="63">
        <f>SUM(D19:D23)</f>
        <v>12.448754419625203</v>
      </c>
      <c r="E18" s="63">
        <f t="shared" ref="E18:M18" si="3">SUM(E19:E23)</f>
        <v>11.638059706192509</v>
      </c>
      <c r="F18" s="63">
        <f t="shared" si="3"/>
        <v>8.2762165589173353</v>
      </c>
      <c r="G18" s="63">
        <f t="shared" si="3"/>
        <v>2.4604054381758971</v>
      </c>
      <c r="H18" s="63">
        <f t="shared" si="3"/>
        <v>1.4046932860392838</v>
      </c>
      <c r="I18" s="63">
        <f t="shared" si="3"/>
        <v>1.2297507573036515</v>
      </c>
      <c r="J18" s="63">
        <f t="shared" si="3"/>
        <v>1.2297507573036515</v>
      </c>
      <c r="K18" s="63">
        <f t="shared" si="3"/>
        <v>0.90994602111752787</v>
      </c>
      <c r="L18" s="63">
        <f t="shared" si="3"/>
        <v>0.89025298565278488</v>
      </c>
      <c r="M18" s="63">
        <f t="shared" si="3"/>
        <v>0.75711654735116862</v>
      </c>
    </row>
    <row r="19" spans="2:13" x14ac:dyDescent="0.25">
      <c r="B19" s="1285" t="s">
        <v>809</v>
      </c>
      <c r="C19" t="s">
        <v>1356</v>
      </c>
      <c r="D19" s="1470">
        <f>SUMIFS('3.KH- Tach'!F$11:F$73,'3.KH- Tach'!$C$11:$C$73,'3.CP-KH'!$B19,'3.KH- Tach'!$B$11:$B$73,'3.CP-KH'!$C$18)/10^9</f>
        <v>10.788162837745331</v>
      </c>
      <c r="E19" s="1470">
        <f>SUMIFS('3.KH- Tach'!G$11:G$73,'3.KH- Tach'!$C$11:$C$73,'3.CP-KH'!$B19,'3.KH- Tach'!$B$11:$B$73,'3.CP-KH'!$C$18)/10^9</f>
        <v>10.288056163505885</v>
      </c>
      <c r="F19" s="1470">
        <f>SUMIFS('3.KH- Tach'!H$11:H$73,'3.KH- Tach'!$C$11:$C$73,'3.CP-KH'!$B19,'3.KH- Tach'!$B$11:$B$73,'3.CP-KH'!$C$18)/10^9</f>
        <v>6.9878252767988167</v>
      </c>
      <c r="G19" s="1470">
        <f>SUMIFS('3.KH- Tach'!I$11:I$73,'3.KH- Tach'!$C$11:$C$73,'3.CP-KH'!$B19,'3.KH- Tach'!$B$11:$B$73,'3.CP-KH'!$C$18)/10^9</f>
        <v>1.3467339243077896</v>
      </c>
      <c r="H19" s="1470">
        <f>SUMIFS('3.KH- Tach'!J$11:J$73,'3.KH- Tach'!$C$11:$C$73,'3.CP-KH'!$B19,'3.KH- Tach'!$B$11:$B$73,'3.CP-KH'!$C$18)/10^9</f>
        <v>0.32607924343554423</v>
      </c>
      <c r="I19" s="1470">
        <f>SUMIFS('3.KH- Tach'!K$11:K$73,'3.KH- Tach'!$C$11:$C$73,'3.CP-KH'!$B19,'3.KH- Tach'!$B$11:$B$73,'3.CP-KH'!$C$18)/10^9</f>
        <v>0.32607924343554423</v>
      </c>
      <c r="J19" s="1470">
        <f>SUMIFS('3.KH- Tach'!L$11:L$73,'3.KH- Tach'!$C$11:$C$73,'3.CP-KH'!$B19,'3.KH- Tach'!$B$11:$B$73,'3.CP-KH'!$C$18)/10^9</f>
        <v>0.32607924343554423</v>
      </c>
      <c r="K19" s="1470">
        <f>SUMIFS('3.KH- Tach'!M$11:M$73,'3.KH- Tach'!$C$11:$C$73,'3.CP-KH'!$B19,'3.KH- Tach'!$B$11:$B$73,'3.CP-KH'!$C$18)/10^9</f>
        <v>1.0734679045259458E-2</v>
      </c>
      <c r="L19" s="1470">
        <f>SUMIFS('3.KH- Tach'!N$11:N$73,'3.KH- Tach'!$C$11:$C$73,'3.CP-KH'!$B19,'3.KH- Tach'!$B$11:$B$73,'3.CP-KH'!$C$18)/10^9</f>
        <v>0</v>
      </c>
      <c r="M19" s="1470">
        <f>SUMIFS('3.KH- Tach'!O$11:O$73,'3.KH- Tach'!$C$11:$C$73,'3.CP-KH'!$B19,'3.KH- Tach'!$B$11:$B$73,'3.CP-KH'!$C$18)/10^9</f>
        <v>0</v>
      </c>
    </row>
    <row r="20" spans="2:13" x14ac:dyDescent="0.25">
      <c r="B20" s="1285" t="s">
        <v>814</v>
      </c>
      <c r="C20" t="s">
        <v>1356</v>
      </c>
      <c r="D20" s="1470">
        <f>SUMIFS('3.KH- Tach'!F$11:F$73,'3.KH- Tach'!$C$11:$C$73,'3.CP-KH'!$B20,'3.KH- Tach'!$B$11:$B$73,'3.CP-KH'!$C$18)/10^9</f>
        <v>0.18965717788591754</v>
      </c>
      <c r="E20" s="1470">
        <f>SUMIFS('3.KH- Tach'!G$11:G$73,'3.KH- Tach'!$C$11:$C$73,'3.CP-KH'!$B20,'3.KH- Tach'!$B$11:$B$73,'3.CP-KH'!$C$18)/10^9</f>
        <v>6.2282118694621323E-2</v>
      </c>
      <c r="F20" s="1470">
        <f>SUMIFS('3.KH- Tach'!H$11:H$73,'3.KH- Tach'!$C$11:$C$73,'3.CP-KH'!$B20,'3.KH- Tach'!$B$11:$B$73,'3.CP-KH'!$C$18)/10^9</f>
        <v>9.9043187691403647E-3</v>
      </c>
      <c r="G20" s="1470">
        <f>SUMIFS('3.KH- Tach'!I$11:I$73,'3.KH- Tach'!$C$11:$C$73,'3.CP-KH'!$B20,'3.KH- Tach'!$B$11:$B$73,'3.CP-KH'!$C$18)/10^9</f>
        <v>8.8922923296982162E-3</v>
      </c>
      <c r="H20" s="1470">
        <f>SUMIFS('3.KH- Tach'!J$11:J$73,'3.KH- Tach'!$C$11:$C$73,'3.CP-KH'!$B20,'3.KH- Tach'!$B$11:$B$73,'3.CP-KH'!$C$18)/10^9</f>
        <v>7.4969681132468933E-3</v>
      </c>
      <c r="I20" s="1470">
        <f>SUMIFS('3.KH- Tach'!K$11:K$73,'3.KH- Tach'!$C$11:$C$73,'3.CP-KH'!$B20,'3.KH- Tach'!$B$11:$B$73,'3.CP-KH'!$C$18)/10^9</f>
        <v>5.3407153147994003E-4</v>
      </c>
      <c r="J20" s="1470">
        <f>SUMIFS('3.KH- Tach'!L$11:L$73,'3.KH- Tach'!$C$11:$C$73,'3.CP-KH'!$B20,'3.KH- Tach'!$B$11:$B$73,'3.CP-KH'!$C$18)/10^9</f>
        <v>5.3407153147994003E-4</v>
      </c>
      <c r="K20" s="1470">
        <f>SUMIFS('3.KH- Tach'!M$11:M$73,'3.KH- Tach'!$C$11:$C$73,'3.CP-KH'!$B20,'3.KH- Tach'!$B$11:$B$73,'3.CP-KH'!$C$18)/10^9</f>
        <v>3.5655200449132826E-4</v>
      </c>
      <c r="L20" s="1470">
        <f>SUMIFS('3.KH- Tach'!N$11:N$73,'3.KH- Tach'!$C$11:$C$73,'3.CP-KH'!$B20,'3.KH- Tach'!$B$11:$B$73,'3.CP-KH'!$C$18)/10^9</f>
        <v>0</v>
      </c>
      <c r="M20" s="1470">
        <f>SUMIFS('3.KH- Tach'!O$11:O$73,'3.KH- Tach'!$C$11:$C$73,'3.CP-KH'!$B20,'3.KH- Tach'!$B$11:$B$73,'3.CP-KH'!$C$18)/10^9</f>
        <v>0</v>
      </c>
    </row>
    <row r="21" spans="2:13" x14ac:dyDescent="0.25">
      <c r="B21" s="1285" t="s">
        <v>654</v>
      </c>
      <c r="C21" t="s">
        <v>1356</v>
      </c>
      <c r="D21" s="1470">
        <f>SUMIFS('3.KH- Tach'!F$11:F$73,'3.KH- Tach'!$C$11:$C$73,'3.CP-KH'!$B21,'3.KH- Tach'!$B$11:$B$73,'3.CP-KH'!$C$18)/10^9</f>
        <v>0.40891241280958185</v>
      </c>
      <c r="E21" s="1470">
        <f>SUMIFS('3.KH- Tach'!G$11:G$73,'3.KH- Tach'!$C$11:$C$73,'3.CP-KH'!$B21,'3.KH- Tach'!$B$11:$B$73,'3.CP-KH'!$C$18)/10^9</f>
        <v>0.31227129804529596</v>
      </c>
      <c r="F21" s="1470">
        <f>SUMIFS('3.KH- Tach'!H$11:H$73,'3.KH- Tach'!$C$11:$C$73,'3.CP-KH'!$B21,'3.KH- Tach'!$B$11:$B$73,'3.CP-KH'!$C$18)/10^9</f>
        <v>0.30769638679099764</v>
      </c>
      <c r="G21" s="1470">
        <f>SUMIFS('3.KH- Tach'!I$11:I$73,'3.KH- Tach'!$C$11:$C$73,'3.CP-KH'!$B21,'3.KH- Tach'!$B$11:$B$73,'3.CP-KH'!$C$18)/10^9</f>
        <v>0.22173141559257839</v>
      </c>
      <c r="H21" s="1470">
        <f>SUMIFS('3.KH- Tach'!J$11:J$73,'3.KH- Tach'!$C$11:$C$73,'3.CP-KH'!$B21,'3.KH- Tach'!$B$11:$B$73,'3.CP-KH'!$C$18)/10^9</f>
        <v>0.20326565794010518</v>
      </c>
      <c r="I21" s="1470">
        <f>SUMIFS('3.KH- Tach'!K$11:K$73,'3.KH- Tach'!$C$11:$C$73,'3.CP-KH'!$B21,'3.KH- Tach'!$B$11:$B$73,'3.CP-KH'!$C$18)/10^9</f>
        <v>0.1111185000808779</v>
      </c>
      <c r="J21" s="1470">
        <f>SUMIFS('3.KH- Tach'!L$11:L$73,'3.KH- Tach'!$C$11:$C$73,'3.CP-KH'!$B21,'3.KH- Tach'!$B$11:$B$73,'3.CP-KH'!$C$18)/10^9</f>
        <v>0.1111185000808779</v>
      </c>
      <c r="K21" s="1470">
        <f>SUMIFS('3.KH- Tach'!M$11:M$73,'3.KH- Tach'!$C$11:$C$73,'3.CP-KH'!$B21,'3.KH- Tach'!$B$11:$B$73,'3.CP-KH'!$C$18)/10^9</f>
        <v>0.10876920195696926</v>
      </c>
      <c r="L21" s="1470">
        <f>SUMIFS('3.KH- Tach'!N$11:N$73,'3.KH- Tach'!$C$11:$C$73,'3.CP-KH'!$B21,'3.KH- Tach'!$B$11:$B$73,'3.CP-KH'!$C$18)/10^9</f>
        <v>0.10405058328195964</v>
      </c>
      <c r="M21" s="1470">
        <f>SUMIFS('3.KH- Tach'!O$11:O$73,'3.KH- Tach'!$C$11:$C$73,'3.CP-KH'!$B21,'3.KH- Tach'!$B$11:$B$73,'3.CP-KH'!$C$18)/10^9</f>
        <v>3.8163651791518191E-2</v>
      </c>
    </row>
    <row r="22" spans="2:13" x14ac:dyDescent="0.25">
      <c r="B22" s="1285" t="s">
        <v>865</v>
      </c>
      <c r="C22" t="s">
        <v>1356</v>
      </c>
      <c r="D22" s="1470">
        <f>SUMIFS('3.KH- Tach'!F$11:F$73,'3.KH- Tach'!$C$11:$C$73,'3.CP-KH'!$B22,'3.KH- Tach'!$B$11:$B$73,'3.CP-KH'!$C$18)/10^9</f>
        <v>0.38202199118437408</v>
      </c>
      <c r="E22" s="1470">
        <f>SUMIFS('3.KH- Tach'!G$11:G$73,'3.KH- Tach'!$C$11:$C$73,'3.CP-KH'!$B22,'3.KH- Tach'!$B$11:$B$73,'3.CP-KH'!$C$18)/10^9</f>
        <v>0.29545012594670694</v>
      </c>
      <c r="F22" s="1470">
        <f>SUMIFS('3.KH- Tach'!H$11:H$73,'3.KH- Tach'!$C$11:$C$73,'3.CP-KH'!$B22,'3.KH- Tach'!$B$11:$B$73,'3.CP-KH'!$C$18)/10^9</f>
        <v>0.29079057655837987</v>
      </c>
      <c r="G22" s="1470">
        <f>SUMIFS('3.KH- Tach'!I$11:I$73,'3.KH- Tach'!$C$11:$C$73,'3.CP-KH'!$B22,'3.KH- Tach'!$B$11:$B$73,'3.CP-KH'!$C$18)/10^9</f>
        <v>0.20304780594583077</v>
      </c>
      <c r="H22" s="1470">
        <f>SUMIFS('3.KH- Tach'!J$11:J$73,'3.KH- Tach'!$C$11:$C$73,'3.CP-KH'!$B22,'3.KH- Tach'!$B$11:$B$73,'3.CP-KH'!$C$18)/10^9</f>
        <v>0.18785141655038756</v>
      </c>
      <c r="I22" s="1470">
        <f>SUMIFS('3.KH- Tach'!K$11:K$73,'3.KH- Tach'!$C$11:$C$73,'3.CP-KH'!$B22,'3.KH- Tach'!$B$11:$B$73,'3.CP-KH'!$C$18)/10^9</f>
        <v>0.11201894225574949</v>
      </c>
      <c r="J22" s="1470">
        <f>SUMIFS('3.KH- Tach'!L$11:L$73,'3.KH- Tach'!$C$11:$C$73,'3.CP-KH'!$B22,'3.KH- Tach'!$B$11:$B$73,'3.CP-KH'!$C$18)/10^9</f>
        <v>0.11201894225574949</v>
      </c>
      <c r="K22" s="1470">
        <f>SUMIFS('3.KH- Tach'!M$11:M$73,'3.KH- Tach'!$C$11:$C$73,'3.CP-KH'!$B22,'3.KH- Tach'!$B$11:$B$73,'3.CP-KH'!$C$18)/10^9</f>
        <v>0.11008558811080771</v>
      </c>
      <c r="L22" s="1470">
        <f>SUMIFS('3.KH- Tach'!N$11:N$73,'3.KH- Tach'!$C$11:$C$73,'3.CP-KH'!$B22,'3.KH- Tach'!$B$11:$B$73,'3.CP-KH'!$C$18)/10^9</f>
        <v>0.10620240237082521</v>
      </c>
      <c r="M22" s="1470">
        <f>SUMIFS('3.KH- Tach'!O$11:O$73,'3.KH- Tach'!$C$11:$C$73,'3.CP-KH'!$B22,'3.KH- Tach'!$B$11:$B$73,'3.CP-KH'!$C$18)/10^9</f>
        <v>3.895289555965039E-2</v>
      </c>
    </row>
    <row r="23" spans="2:13" x14ac:dyDescent="0.25">
      <c r="B23" s="1285" t="s">
        <v>1353</v>
      </c>
      <c r="C23" t="s">
        <v>1356</v>
      </c>
      <c r="D23" s="1470">
        <f>SUMIFS('3.KH- Tach'!F$11:F$73,'3.KH- Tach'!$C$11:$C$73,'3.CP-KH'!$B23,'3.KH- Tach'!$B$11:$B$73,'3.CP-KH'!$C$18)/10^9</f>
        <v>0.68</v>
      </c>
      <c r="E23" s="1470">
        <f>SUMIFS('3.KH- Tach'!G$11:G$73,'3.KH- Tach'!$C$11:$C$73,'3.CP-KH'!$B23,'3.KH- Tach'!$B$11:$B$73,'3.CP-KH'!$C$18)/10^9</f>
        <v>0.68</v>
      </c>
      <c r="F23" s="1470">
        <f>SUMIFS('3.KH- Tach'!H$11:H$73,'3.KH- Tach'!$C$11:$C$73,'3.CP-KH'!$B23,'3.KH- Tach'!$B$11:$B$73,'3.CP-KH'!$C$18)/10^9</f>
        <v>0.68</v>
      </c>
      <c r="G23" s="1470">
        <f>SUMIFS('3.KH- Tach'!I$11:I$73,'3.KH- Tach'!$C$11:$C$73,'3.CP-KH'!$B23,'3.KH- Tach'!$B$11:$B$73,'3.CP-KH'!$C$18)/10^9</f>
        <v>0.68</v>
      </c>
      <c r="H23" s="1470">
        <f>SUMIFS('3.KH- Tach'!J$11:J$73,'3.KH- Tach'!$C$11:$C$73,'3.CP-KH'!$B23,'3.KH- Tach'!$B$11:$B$73,'3.CP-KH'!$C$18)/10^9</f>
        <v>0.68</v>
      </c>
      <c r="I23" s="1470">
        <f>SUMIFS('3.KH- Tach'!K$11:K$73,'3.KH- Tach'!$C$11:$C$73,'3.CP-KH'!$B23,'3.KH- Tach'!$B$11:$B$73,'3.CP-KH'!$C$18)/10^9</f>
        <v>0.68</v>
      </c>
      <c r="J23" s="1470">
        <f>SUMIFS('3.KH- Tach'!L$11:L$73,'3.KH- Tach'!$C$11:$C$73,'3.CP-KH'!$B23,'3.KH- Tach'!$B$11:$B$73,'3.CP-KH'!$C$18)/10^9</f>
        <v>0.68</v>
      </c>
      <c r="K23" s="1470">
        <f>SUMIFS('3.KH- Tach'!M$11:M$73,'3.KH- Tach'!$C$11:$C$73,'3.CP-KH'!$B23,'3.KH- Tach'!$B$11:$B$73,'3.CP-KH'!$C$18)/10^9</f>
        <v>0.68</v>
      </c>
      <c r="L23" s="1470">
        <f>SUMIFS('3.KH- Tach'!N$11:N$73,'3.KH- Tach'!$C$11:$C$73,'3.CP-KH'!$B23,'3.KH- Tach'!$B$11:$B$73,'3.CP-KH'!$C$18)/10^9</f>
        <v>0.68</v>
      </c>
      <c r="M23" s="1470">
        <f>SUMIFS('3.KH- Tach'!O$11:O$73,'3.KH- Tach'!$C$11:$C$73,'3.CP-KH'!$B23,'3.KH- Tach'!$B$11:$B$73,'3.CP-KH'!$C$18)/10^9</f>
        <v>0.68</v>
      </c>
    </row>
    <row r="24" spans="2:13" s="1" customFormat="1" x14ac:dyDescent="0.25">
      <c r="B24" s="1" t="s">
        <v>971</v>
      </c>
      <c r="C24" s="1">
        <v>642</v>
      </c>
      <c r="D24" s="63">
        <f>SUM(D25:D29)</f>
        <v>0.69242263653765235</v>
      </c>
      <c r="E24" s="63">
        <f t="shared" ref="E24:M24" si="4">SUM(E25:E29)</f>
        <v>0.69242263653765235</v>
      </c>
      <c r="F24" s="63">
        <f t="shared" si="4"/>
        <v>0.67177188652895148</v>
      </c>
      <c r="G24" s="63">
        <f t="shared" si="4"/>
        <v>0.1728196747983668</v>
      </c>
      <c r="H24" s="63">
        <f t="shared" si="4"/>
        <v>0</v>
      </c>
      <c r="I24" s="63">
        <f t="shared" si="4"/>
        <v>0</v>
      </c>
      <c r="J24" s="63">
        <f t="shared" si="4"/>
        <v>0</v>
      </c>
      <c r="K24" s="63">
        <f t="shared" si="4"/>
        <v>0</v>
      </c>
      <c r="L24" s="63">
        <f t="shared" si="4"/>
        <v>0</v>
      </c>
      <c r="M24" s="63">
        <f t="shared" si="4"/>
        <v>0</v>
      </c>
    </row>
    <row r="25" spans="2:13" x14ac:dyDescent="0.25">
      <c r="B25" s="1285" t="s">
        <v>809</v>
      </c>
      <c r="C25" t="s">
        <v>1356</v>
      </c>
      <c r="D25" s="1470">
        <f>SUMIFS('3.KH- Tach'!F$11:F$73,'3.KH- Tach'!$C$11:$C$73,'3.CP-KH'!$B25,'3.KH- Tach'!$B$11:$B$73,'3.CP-KH'!$C$24)/10^9</f>
        <v>0.46833883805806625</v>
      </c>
      <c r="E25" s="1470">
        <f>SUMIFS('3.KH- Tach'!G$11:G$73,'3.KH- Tach'!$C$11:$C$73,'3.CP-KH'!$B25,'3.KH- Tach'!$B$11:$B$73,'3.CP-KH'!$C$24)/10^9</f>
        <v>0.46833883805806625</v>
      </c>
      <c r="F25" s="1470">
        <f>SUMIFS('3.KH- Tach'!H$11:H$73,'3.KH- Tach'!$C$11:$C$73,'3.CP-KH'!$B25,'3.KH- Tach'!$B$11:$B$73,'3.CP-KH'!$C$24)/10^9</f>
        <v>0.45303348038599184</v>
      </c>
      <c r="G25" s="1470">
        <f>SUMIFS('3.KH- Tach'!I$11:I$73,'3.KH- Tach'!$C$11:$C$73,'3.CP-KH'!$B25,'3.KH- Tach'!$B$11:$B$73,'3.CP-KH'!$C$24)/10^9</f>
        <v>0.10034381072154856</v>
      </c>
      <c r="H25" s="1470">
        <f>SUMIFS('3.KH- Tach'!J$11:J$73,'3.KH- Tach'!$C$11:$C$73,'3.CP-KH'!$B25,'3.KH- Tach'!$B$11:$B$73,'3.CP-KH'!$C$24)/10^9</f>
        <v>0</v>
      </c>
      <c r="I25" s="1470">
        <f>SUMIFS('3.KH- Tach'!K$11:K$73,'3.KH- Tach'!$C$11:$C$73,'3.CP-KH'!$B25,'3.KH- Tach'!$B$11:$B$73,'3.CP-KH'!$C$24)/10^9</f>
        <v>0</v>
      </c>
      <c r="J25" s="1470">
        <f>SUMIFS('3.KH- Tach'!L$11:L$73,'3.KH- Tach'!$C$11:$C$73,'3.CP-KH'!$B25,'3.KH- Tach'!$B$11:$B$73,'3.CP-KH'!$C$24)/10^9</f>
        <v>0</v>
      </c>
      <c r="K25" s="1470">
        <f>SUMIFS('3.KH- Tach'!M$11:M$73,'3.KH- Tach'!$C$11:$C$73,'3.CP-KH'!$B25,'3.KH- Tach'!$B$11:$B$73,'3.CP-KH'!$C$24)/10^9</f>
        <v>0</v>
      </c>
      <c r="L25" s="1470">
        <f>SUMIFS('3.KH- Tach'!N$11:N$73,'3.KH- Tach'!$C$11:$C$73,'3.CP-KH'!$B25,'3.KH- Tach'!$B$11:$B$73,'3.CP-KH'!$C$24)/10^9</f>
        <v>0</v>
      </c>
      <c r="M25" s="1470">
        <f>SUMIFS('3.KH- Tach'!O$11:O$73,'3.KH- Tach'!$C$11:$C$73,'3.CP-KH'!$B25,'3.KH- Tach'!$B$11:$B$73,'3.CP-KH'!$C$24)/10^9</f>
        <v>0</v>
      </c>
    </row>
    <row r="26" spans="2:13" x14ac:dyDescent="0.25">
      <c r="B26" s="1285" t="s">
        <v>814</v>
      </c>
      <c r="C26" t="s">
        <v>1356</v>
      </c>
      <c r="D26" s="1470">
        <f>SUMIFS('3.KH- Tach'!F$11:F$73,'3.KH- Tach'!$C$11:$C$73,'3.CP-KH'!$B26,'3.KH- Tach'!$B$11:$B$73,'3.CP-KH'!$C$24)/10^9</f>
        <v>2.0299440056395945E-2</v>
      </c>
      <c r="E26" s="1470">
        <f>SUMIFS('3.KH- Tach'!G$11:G$73,'3.KH- Tach'!$C$11:$C$73,'3.CP-KH'!$B26,'3.KH- Tach'!$B$11:$B$73,'3.CP-KH'!$C$24)/10^9</f>
        <v>2.0299440056395942E-2</v>
      </c>
      <c r="F26" s="1470">
        <f>SUMIFS('3.KH- Tach'!H$11:H$73,'3.KH- Tach'!$C$11:$C$73,'3.CP-KH'!$B26,'3.KH- Tach'!$B$11:$B$73,'3.CP-KH'!$C$24)/10^9</f>
        <v>1.9636052428980227E-2</v>
      </c>
      <c r="G26" s="1470">
        <f>SUMIFS('3.KH- Tach'!I$11:I$73,'3.KH- Tach'!$C$11:$C$73,'3.CP-KH'!$B26,'3.KH- Tach'!$B$11:$B$73,'3.CP-KH'!$C$24)/10^9</f>
        <v>4.3492510235076214E-3</v>
      </c>
      <c r="H26" s="1470">
        <f>SUMIFS('3.KH- Tach'!J$11:J$73,'3.KH- Tach'!$C$11:$C$73,'3.CP-KH'!$B26,'3.KH- Tach'!$B$11:$B$73,'3.CP-KH'!$C$24)/10^9</f>
        <v>0</v>
      </c>
      <c r="I26" s="1470">
        <f>SUMIFS('3.KH- Tach'!K$11:K$73,'3.KH- Tach'!$C$11:$C$73,'3.CP-KH'!$B26,'3.KH- Tach'!$B$11:$B$73,'3.CP-KH'!$C$24)/10^9</f>
        <v>0</v>
      </c>
      <c r="J26" s="1470">
        <f>SUMIFS('3.KH- Tach'!L$11:L$73,'3.KH- Tach'!$C$11:$C$73,'3.CP-KH'!$B26,'3.KH- Tach'!$B$11:$B$73,'3.CP-KH'!$C$24)/10^9</f>
        <v>0</v>
      </c>
      <c r="K26" s="1470">
        <f>SUMIFS('3.KH- Tach'!M$11:M$73,'3.KH- Tach'!$C$11:$C$73,'3.CP-KH'!$B26,'3.KH- Tach'!$B$11:$B$73,'3.CP-KH'!$C$24)/10^9</f>
        <v>0</v>
      </c>
      <c r="L26" s="1470">
        <f>SUMIFS('3.KH- Tach'!N$11:N$73,'3.KH- Tach'!$C$11:$C$73,'3.CP-KH'!$B26,'3.KH- Tach'!$B$11:$B$73,'3.CP-KH'!$C$24)/10^9</f>
        <v>0</v>
      </c>
      <c r="M26" s="1470">
        <f>SUMIFS('3.KH- Tach'!O$11:O$73,'3.KH- Tach'!$C$11:$C$73,'3.CP-KH'!$B26,'3.KH- Tach'!$B$11:$B$73,'3.CP-KH'!$C$24)/10^9</f>
        <v>0</v>
      </c>
    </row>
    <row r="27" spans="2:13" x14ac:dyDescent="0.25">
      <c r="B27" s="1285" t="s">
        <v>654</v>
      </c>
      <c r="C27" t="s">
        <v>1356</v>
      </c>
      <c r="D27" s="1470">
        <f>SUMIFS('3.KH- Tach'!F$11:F$73,'3.KH- Tach'!$C$11:$C$73,'3.CP-KH'!$B27,'3.KH- Tach'!$B$11:$B$73,'3.CP-KH'!$C$24)/10^9</f>
        <v>0.100849371017681</v>
      </c>
      <c r="E27" s="1470">
        <f>SUMIFS('3.KH- Tach'!G$11:G$73,'3.KH- Tach'!$C$11:$C$73,'3.CP-KH'!$B27,'3.KH- Tach'!$B$11:$B$73,'3.CP-KH'!$C$24)/10^9</f>
        <v>0.10084937101768103</v>
      </c>
      <c r="F27" s="1470">
        <f>SUMIFS('3.KH- Tach'!H$11:H$73,'3.KH- Tach'!$C$11:$C$73,'3.CP-KH'!$B27,'3.KH- Tach'!$B$11:$B$73,'3.CP-KH'!$C$24)/10^9</f>
        <v>9.8532327483627405E-2</v>
      </c>
      <c r="G27" s="1470">
        <f>SUMIFS('3.KH- Tach'!I$11:I$73,'3.KH- Tach'!$C$11:$C$73,'3.CP-KH'!$B27,'3.KH- Tach'!$B$11:$B$73,'3.CP-KH'!$C$24)/10^9</f>
        <v>3.3714688061208253E-2</v>
      </c>
      <c r="H27" s="1470">
        <f>SUMIFS('3.KH- Tach'!J$11:J$73,'3.KH- Tach'!$C$11:$C$73,'3.CP-KH'!$B27,'3.KH- Tach'!$B$11:$B$73,'3.CP-KH'!$C$24)/10^9</f>
        <v>0</v>
      </c>
      <c r="I27" s="1470">
        <f>SUMIFS('3.KH- Tach'!K$11:K$73,'3.KH- Tach'!$C$11:$C$73,'3.CP-KH'!$B27,'3.KH- Tach'!$B$11:$B$73,'3.CP-KH'!$C$24)/10^9</f>
        <v>0</v>
      </c>
      <c r="J27" s="1470">
        <f>SUMIFS('3.KH- Tach'!L$11:L$73,'3.KH- Tach'!$C$11:$C$73,'3.CP-KH'!$B27,'3.KH- Tach'!$B$11:$B$73,'3.CP-KH'!$C$24)/10^9</f>
        <v>0</v>
      </c>
      <c r="K27" s="1470">
        <f>SUMIFS('3.KH- Tach'!M$11:M$73,'3.KH- Tach'!$C$11:$C$73,'3.CP-KH'!$B27,'3.KH- Tach'!$B$11:$B$73,'3.CP-KH'!$C$24)/10^9</f>
        <v>0</v>
      </c>
      <c r="L27" s="1470">
        <f>SUMIFS('3.KH- Tach'!N$11:N$73,'3.KH- Tach'!$C$11:$C$73,'3.CP-KH'!$B27,'3.KH- Tach'!$B$11:$B$73,'3.CP-KH'!$C$24)/10^9</f>
        <v>0</v>
      </c>
      <c r="M27" s="1470">
        <f>SUMIFS('3.KH- Tach'!O$11:O$73,'3.KH- Tach'!$C$11:$C$73,'3.CP-KH'!$B27,'3.KH- Tach'!$B$11:$B$73,'3.CP-KH'!$C$24)/10^9</f>
        <v>0</v>
      </c>
    </row>
    <row r="28" spans="2:13" x14ac:dyDescent="0.25">
      <c r="B28" s="1285" t="s">
        <v>865</v>
      </c>
      <c r="C28" t="s">
        <v>1356</v>
      </c>
      <c r="D28" s="1470">
        <f>SUMIFS('3.KH- Tach'!F$11:F$73,'3.KH- Tach'!$C$11:$C$73,'3.CP-KH'!$B28,'3.KH- Tach'!$B$11:$B$73,'3.CP-KH'!$C$24)/10^9</f>
        <v>0.10293498740550913</v>
      </c>
      <c r="E28" s="1470">
        <f>SUMIFS('3.KH- Tach'!G$11:G$73,'3.KH- Tach'!$C$11:$C$73,'3.CP-KH'!$B28,'3.KH- Tach'!$B$11:$B$73,'3.CP-KH'!$C$24)/10^9</f>
        <v>0.10293498740550915</v>
      </c>
      <c r="F28" s="1470">
        <f>SUMIFS('3.KH- Tach'!H$11:H$73,'3.KH- Tach'!$C$11:$C$73,'3.CP-KH'!$B28,'3.KH- Tach'!$B$11:$B$73,'3.CP-KH'!$C$24)/10^9</f>
        <v>0.10057002623035209</v>
      </c>
      <c r="G28" s="1470">
        <f>SUMIFS('3.KH- Tach'!I$11:I$73,'3.KH- Tach'!$C$11:$C$73,'3.CP-KH'!$B28,'3.KH- Tach'!$B$11:$B$73,'3.CP-KH'!$C$24)/10^9</f>
        <v>3.4411924992102362E-2</v>
      </c>
      <c r="H28" s="1470">
        <f>SUMIFS('3.KH- Tach'!J$11:J$73,'3.KH- Tach'!$C$11:$C$73,'3.CP-KH'!$B28,'3.KH- Tach'!$B$11:$B$73,'3.CP-KH'!$C$24)/10^9</f>
        <v>0</v>
      </c>
      <c r="I28" s="1470">
        <f>SUMIFS('3.KH- Tach'!K$11:K$73,'3.KH- Tach'!$C$11:$C$73,'3.CP-KH'!$B28,'3.KH- Tach'!$B$11:$B$73,'3.CP-KH'!$C$24)/10^9</f>
        <v>0</v>
      </c>
      <c r="J28" s="1470">
        <f>SUMIFS('3.KH- Tach'!L$11:L$73,'3.KH- Tach'!$C$11:$C$73,'3.CP-KH'!$B28,'3.KH- Tach'!$B$11:$B$73,'3.CP-KH'!$C$24)/10^9</f>
        <v>0</v>
      </c>
      <c r="K28" s="1470">
        <f>SUMIFS('3.KH- Tach'!M$11:M$73,'3.KH- Tach'!$C$11:$C$73,'3.CP-KH'!$B28,'3.KH- Tach'!$B$11:$B$73,'3.CP-KH'!$C$24)/10^9</f>
        <v>0</v>
      </c>
      <c r="L28" s="1470">
        <f>SUMIFS('3.KH- Tach'!N$11:N$73,'3.KH- Tach'!$C$11:$C$73,'3.CP-KH'!$B28,'3.KH- Tach'!$B$11:$B$73,'3.CP-KH'!$C$24)/10^9</f>
        <v>0</v>
      </c>
      <c r="M28" s="1470">
        <f>SUMIFS('3.KH- Tach'!O$11:O$73,'3.KH- Tach'!$C$11:$C$73,'3.CP-KH'!$B28,'3.KH- Tach'!$B$11:$B$73,'3.CP-KH'!$C$24)/10^9</f>
        <v>0</v>
      </c>
    </row>
    <row r="29" spans="2:13" x14ac:dyDescent="0.25">
      <c r="B29" s="1285" t="s">
        <v>1353</v>
      </c>
      <c r="C29" t="s">
        <v>1356</v>
      </c>
      <c r="D29" s="1470">
        <f>SUMIFS('3.KH- Tach'!F$11:F$73,'3.KH- Tach'!$C$11:$C$73,'3.CP-KH'!$B29,'3.KH- Tach'!$B$11:$B$73,'3.CP-KH'!$C$24)/10^9</f>
        <v>0</v>
      </c>
      <c r="E29" s="1470">
        <f>SUMIFS('3.KH- Tach'!G$11:G$73,'3.KH- Tach'!$C$11:$C$73,'3.CP-KH'!$B29,'3.KH- Tach'!$B$11:$B$73,'3.CP-KH'!$C$24)/10^9</f>
        <v>0</v>
      </c>
      <c r="F29" s="1470">
        <f>SUMIFS('3.KH- Tach'!H$11:H$73,'3.KH- Tach'!$C$11:$C$73,'3.CP-KH'!$B29,'3.KH- Tach'!$B$11:$B$73,'3.CP-KH'!$C$24)/10^9</f>
        <v>0</v>
      </c>
      <c r="G29" s="1470">
        <f>SUMIFS('3.KH- Tach'!I$11:I$73,'3.KH- Tach'!$C$11:$C$73,'3.CP-KH'!$B29,'3.KH- Tach'!$B$11:$B$73,'3.CP-KH'!$C$24)/10^9</f>
        <v>0</v>
      </c>
      <c r="H29" s="1470">
        <f>SUMIFS('3.KH- Tach'!J$11:J$73,'3.KH- Tach'!$C$11:$C$73,'3.CP-KH'!$B29,'3.KH- Tach'!$B$11:$B$73,'3.CP-KH'!$C$24)/10^9</f>
        <v>0</v>
      </c>
      <c r="I29" s="1470">
        <f>SUMIFS('3.KH- Tach'!K$11:K$73,'3.KH- Tach'!$C$11:$C$73,'3.CP-KH'!$B29,'3.KH- Tach'!$B$11:$B$73,'3.CP-KH'!$C$24)/10^9</f>
        <v>0</v>
      </c>
      <c r="J29" s="1470">
        <f>SUMIFS('3.KH- Tach'!L$11:L$73,'3.KH- Tach'!$C$11:$C$73,'3.CP-KH'!$B29,'3.KH- Tach'!$B$11:$B$73,'3.CP-KH'!$C$24)/10^9</f>
        <v>0</v>
      </c>
      <c r="K29" s="1470">
        <f>SUMIFS('3.KH- Tach'!M$11:M$73,'3.KH- Tach'!$C$11:$C$73,'3.CP-KH'!$B29,'3.KH- Tach'!$B$11:$B$73,'3.CP-KH'!$C$24)/10^9</f>
        <v>0</v>
      </c>
      <c r="L29" s="1470">
        <f>SUMIFS('3.KH- Tach'!N$11:N$73,'3.KH- Tach'!$C$11:$C$73,'3.CP-KH'!$B29,'3.KH- Tach'!$B$11:$B$73,'3.CP-KH'!$C$24)/10^9</f>
        <v>0</v>
      </c>
      <c r="M29" s="1470">
        <f>SUMIFS('3.KH- Tach'!O$11:O$73,'3.KH- Tach'!$C$11:$C$73,'3.CP-KH'!$B29,'3.KH- Tach'!$B$11:$B$73,'3.CP-KH'!$C$24)/10^9</f>
        <v>0</v>
      </c>
    </row>
  </sheetData>
  <pageMargins left="0.7" right="0.7" top="0.75" bottom="0.75" header="0.3" footer="0.3"/>
  <pageSetup orientation="portrait" horizontalDpi="1200" verticalDpi="12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B7343-9C5A-44F2-B8B1-5A33E1620804}">
  <sheetPr>
    <tabColor theme="8" tint="0.39997558519241921"/>
  </sheetPr>
  <dimension ref="B1:AB65"/>
  <sheetViews>
    <sheetView showGridLines="0" zoomScale="70" zoomScaleNormal="70" workbookViewId="0">
      <pane xSplit="7" ySplit="3" topLeftCell="H4" activePane="bottomRight" state="frozen"/>
      <selection activeCell="E6" sqref="E6:N7"/>
      <selection pane="topRight" activeCell="E6" sqref="E6:N7"/>
      <selection pane="bottomLeft" activeCell="E6" sqref="E6:N7"/>
      <selection pane="bottomRight" activeCell="C33" sqref="C33"/>
    </sheetView>
  </sheetViews>
  <sheetFormatPr defaultColWidth="8.7109375" defaultRowHeight="15" x14ac:dyDescent="0.25"/>
  <cols>
    <col min="1" max="2" width="8.7109375" style="1421"/>
    <col min="3" max="3" width="9.28515625" style="1434" customWidth="1"/>
    <col min="4" max="6" width="19.28515625" style="1421" customWidth="1"/>
    <col min="7" max="7" width="20.7109375" style="1422" bestFit="1" customWidth="1"/>
    <col min="8" max="8" width="8.28515625" style="1422" bestFit="1" customWidth="1"/>
    <col min="9" max="9" width="17.140625" style="1422" bestFit="1" customWidth="1"/>
    <col min="10" max="10" width="8.140625" style="1447" bestFit="1" customWidth="1"/>
    <col min="11" max="11" width="17.140625" style="1422" bestFit="1" customWidth="1"/>
    <col min="12" max="12" width="8.140625" style="1447" bestFit="1" customWidth="1"/>
    <col min="13" max="13" width="17.140625" style="1422" bestFit="1" customWidth="1"/>
    <col min="14" max="14" width="8.140625" style="1447" bestFit="1" customWidth="1"/>
    <col min="15" max="15" width="17.140625" style="1422" bestFit="1" customWidth="1"/>
    <col min="16" max="16" width="8.140625" style="1447" bestFit="1" customWidth="1"/>
    <col min="17" max="17" width="17.140625" style="1422" bestFit="1" customWidth="1"/>
    <col min="18" max="18" width="8.140625" style="1447" bestFit="1" customWidth="1"/>
    <col min="19" max="19" width="17.140625" style="1422" bestFit="1" customWidth="1"/>
    <col min="20" max="20" width="8.140625" style="1447" bestFit="1" customWidth="1"/>
    <col min="21" max="21" width="17.140625" style="1422" bestFit="1" customWidth="1"/>
    <col min="22" max="22" width="8.140625" style="1447" bestFit="1" customWidth="1"/>
    <col min="23" max="23" width="17.140625" style="1422" bestFit="1" customWidth="1"/>
    <col min="24" max="24" width="8.140625" style="1447" bestFit="1" customWidth="1"/>
    <col min="25" max="25" width="17.140625" style="1422" bestFit="1" customWidth="1"/>
    <col min="26" max="26" width="8.140625" style="1447" bestFit="1" customWidth="1"/>
    <col min="27" max="27" width="17.140625" style="1422" bestFit="1" customWidth="1"/>
    <col min="28" max="28" width="8" style="1421" bestFit="1" customWidth="1"/>
    <col min="29" max="16384" width="8.7109375" style="1421"/>
  </cols>
  <sheetData>
    <row r="1" spans="2:27" x14ac:dyDescent="0.25">
      <c r="C1" s="1434">
        <v>12</v>
      </c>
    </row>
    <row r="2" spans="2:27" x14ac:dyDescent="0.25">
      <c r="C2" s="1469"/>
      <c r="D2" s="1469"/>
      <c r="E2" s="1469"/>
      <c r="F2" s="1469"/>
      <c r="G2" s="1469"/>
      <c r="H2" s="1434"/>
    </row>
    <row r="3" spans="2:27" s="1423" customFormat="1" x14ac:dyDescent="0.25">
      <c r="C3" s="1424"/>
      <c r="D3" s="1425"/>
      <c r="E3" s="1425"/>
      <c r="F3" s="1425"/>
      <c r="G3" s="1426">
        <v>2023</v>
      </c>
      <c r="H3" s="1426"/>
      <c r="I3" s="1426">
        <v>2024</v>
      </c>
      <c r="J3" s="1448"/>
      <c r="K3" s="1426">
        <v>2025</v>
      </c>
      <c r="L3" s="1448"/>
      <c r="M3" s="1426">
        <v>2026</v>
      </c>
      <c r="N3" s="1448"/>
      <c r="O3" s="1426">
        <v>2027</v>
      </c>
      <c r="P3" s="1448"/>
      <c r="Q3" s="1426">
        <v>2028</v>
      </c>
      <c r="R3" s="1448"/>
      <c r="S3" s="1426">
        <v>2029</v>
      </c>
      <c r="T3" s="1448"/>
      <c r="U3" s="1426">
        <v>2030</v>
      </c>
      <c r="V3" s="1448"/>
      <c r="W3" s="1426">
        <v>2031</v>
      </c>
      <c r="X3" s="1448"/>
      <c r="Y3" s="1426">
        <v>2032</v>
      </c>
      <c r="Z3" s="1448"/>
      <c r="AA3" s="1426">
        <v>2033</v>
      </c>
    </row>
    <row r="4" spans="2:27" x14ac:dyDescent="0.25">
      <c r="C4" s="1427"/>
      <c r="D4" s="1427"/>
      <c r="E4" s="1428" t="s">
        <v>1364</v>
      </c>
      <c r="F4" s="1428"/>
      <c r="G4" s="1426" t="s">
        <v>0</v>
      </c>
      <c r="H4" s="1426"/>
    </row>
    <row r="5" spans="2:27" s="1423" customFormat="1" x14ac:dyDescent="0.25">
      <c r="C5" s="1428" t="s">
        <v>615</v>
      </c>
      <c r="D5" s="1428"/>
      <c r="E5" s="1428"/>
      <c r="F5" s="1428"/>
      <c r="G5" s="1429">
        <f>SUM(G6:G9)</f>
        <v>432060786255</v>
      </c>
      <c r="H5" s="1429"/>
      <c r="I5" s="1430">
        <f t="shared" ref="I5:AA5" si="0">SUM(I6:I10)</f>
        <v>462.46907327710716</v>
      </c>
      <c r="J5" s="1449"/>
      <c r="K5" s="1430">
        <f t="shared" si="0"/>
        <v>467.09376400987821</v>
      </c>
      <c r="L5" s="1449"/>
      <c r="M5" s="1430">
        <f t="shared" si="0"/>
        <v>471.76470164997704</v>
      </c>
      <c r="N5" s="1449"/>
      <c r="O5" s="1430">
        <f t="shared" si="0"/>
        <v>476.48234866647687</v>
      </c>
      <c r="P5" s="1449"/>
      <c r="Q5" s="1430">
        <f t="shared" si="0"/>
        <v>481.24717215314161</v>
      </c>
      <c r="R5" s="1449"/>
      <c r="S5" s="1430">
        <f t="shared" si="0"/>
        <v>486.05964387467304</v>
      </c>
      <c r="T5" s="1449"/>
      <c r="U5" s="1430">
        <f t="shared" si="0"/>
        <v>490.92024031341981</v>
      </c>
      <c r="V5" s="1449"/>
      <c r="W5" s="1430">
        <f t="shared" si="0"/>
        <v>495.82944271655401</v>
      </c>
      <c r="X5" s="1449"/>
      <c r="Y5" s="1430">
        <f t="shared" si="0"/>
        <v>500.78773714371954</v>
      </c>
      <c r="Z5" s="1449"/>
      <c r="AA5" s="1430">
        <f t="shared" si="0"/>
        <v>505.79561451515679</v>
      </c>
    </row>
    <row r="6" spans="2:27" x14ac:dyDescent="0.25">
      <c r="C6" s="1427" t="s">
        <v>809</v>
      </c>
      <c r="D6" s="1427"/>
      <c r="E6" s="1427"/>
      <c r="F6" s="1427"/>
      <c r="G6" s="1431">
        <v>235516453357</v>
      </c>
      <c r="H6" s="1431"/>
      <c r="I6" s="1432">
        <f>'4. KQ-PL'!I6</f>
        <v>268.52214140334996</v>
      </c>
      <c r="J6" s="1450"/>
      <c r="K6" s="1432">
        <f>'4. KQ-PL'!J6</f>
        <v>271.20736281738345</v>
      </c>
      <c r="L6" s="1450"/>
      <c r="M6" s="1432">
        <f>'4. KQ-PL'!K6</f>
        <v>273.91943644555732</v>
      </c>
      <c r="N6" s="1450"/>
      <c r="O6" s="1432">
        <f>'4. KQ-PL'!L6</f>
        <v>276.65863081001294</v>
      </c>
      <c r="P6" s="1450"/>
      <c r="Q6" s="1432">
        <f>'4. KQ-PL'!M6</f>
        <v>279.42521711811304</v>
      </c>
      <c r="R6" s="1450"/>
      <c r="S6" s="1432">
        <f>'4. KQ-PL'!N6</f>
        <v>282.21946928929418</v>
      </c>
      <c r="T6" s="1450"/>
      <c r="U6" s="1432">
        <f>'4. KQ-PL'!O6</f>
        <v>285.04166398218717</v>
      </c>
      <c r="V6" s="1450"/>
      <c r="W6" s="1432">
        <f>'4. KQ-PL'!P6</f>
        <v>287.89208062200902</v>
      </c>
      <c r="X6" s="1450"/>
      <c r="Y6" s="1432">
        <f>'4. KQ-PL'!Q6</f>
        <v>290.77100142822911</v>
      </c>
      <c r="Z6" s="1450"/>
      <c r="AA6" s="1432">
        <f>'4. KQ-PL'!R6</f>
        <v>293.67871144251143</v>
      </c>
    </row>
    <row r="7" spans="2:27" x14ac:dyDescent="0.25">
      <c r="C7" s="1427" t="s">
        <v>814</v>
      </c>
      <c r="D7" s="1427"/>
      <c r="E7" s="1427"/>
      <c r="F7" s="1427"/>
      <c r="G7" s="1431">
        <v>7822671100</v>
      </c>
      <c r="H7" s="1431"/>
      <c r="I7" s="1432">
        <f>'4. KQ-PL'!I7</f>
        <v>11.638686929817602</v>
      </c>
      <c r="J7" s="1450"/>
      <c r="K7" s="1432">
        <f>'4. KQ-PL'!J7</f>
        <v>11.755073799115777</v>
      </c>
      <c r="L7" s="1450"/>
      <c r="M7" s="1432">
        <f>'4. KQ-PL'!K7</f>
        <v>11.872624537106937</v>
      </c>
      <c r="N7" s="1450"/>
      <c r="O7" s="1432">
        <f>'4. KQ-PL'!L7</f>
        <v>11.991350782478005</v>
      </c>
      <c r="P7" s="1450"/>
      <c r="Q7" s="1432">
        <f>'4. KQ-PL'!M7</f>
        <v>12.111264290302787</v>
      </c>
      <c r="R7" s="1450"/>
      <c r="S7" s="1432">
        <f>'4. KQ-PL'!N7</f>
        <v>12.232376933205813</v>
      </c>
      <c r="T7" s="1450"/>
      <c r="U7" s="1432">
        <f>'4. KQ-PL'!O7</f>
        <v>12.354700702537873</v>
      </c>
      <c r="V7" s="1450"/>
      <c r="W7" s="1432">
        <f>'4. KQ-PL'!P7</f>
        <v>12.478247709563252</v>
      </c>
      <c r="X7" s="1450"/>
      <c r="Y7" s="1432">
        <f>'4. KQ-PL'!Q7</f>
        <v>12.603030186658884</v>
      </c>
      <c r="Z7" s="1450"/>
      <c r="AA7" s="1432">
        <f>'4. KQ-PL'!R7</f>
        <v>12.729060488525473</v>
      </c>
    </row>
    <row r="8" spans="2:27" x14ac:dyDescent="0.25">
      <c r="C8" s="1427" t="s">
        <v>654</v>
      </c>
      <c r="D8" s="1427"/>
      <c r="E8" s="1427"/>
      <c r="F8" s="1427"/>
      <c r="G8" s="1431">
        <v>103525436615</v>
      </c>
      <c r="H8" s="1431"/>
      <c r="I8" s="1432">
        <f>'4. KQ-PL'!I8</f>
        <v>90.221212148936871</v>
      </c>
      <c r="J8" s="1450"/>
      <c r="K8" s="1432">
        <f>'4. KQ-PL'!J8</f>
        <v>91.123424270426256</v>
      </c>
      <c r="L8" s="1450"/>
      <c r="M8" s="1432">
        <f>'4. KQ-PL'!K8</f>
        <v>92.034658513130509</v>
      </c>
      <c r="N8" s="1450"/>
      <c r="O8" s="1432">
        <f>'4. KQ-PL'!L8</f>
        <v>92.955005098261822</v>
      </c>
      <c r="P8" s="1450"/>
      <c r="Q8" s="1432">
        <f>'4. KQ-PL'!M8</f>
        <v>93.884555149244449</v>
      </c>
      <c r="R8" s="1450"/>
      <c r="S8" s="1432">
        <f>'4. KQ-PL'!N8</f>
        <v>94.823400700736883</v>
      </c>
      <c r="T8" s="1450"/>
      <c r="U8" s="1432">
        <f>'4. KQ-PL'!O8</f>
        <v>95.771634707744269</v>
      </c>
      <c r="V8" s="1450"/>
      <c r="W8" s="1432">
        <f>'4. KQ-PL'!P8</f>
        <v>96.729351054821691</v>
      </c>
      <c r="X8" s="1450"/>
      <c r="Y8" s="1432">
        <f>'4. KQ-PL'!Q8</f>
        <v>97.696644565369922</v>
      </c>
      <c r="Z8" s="1450"/>
      <c r="AA8" s="1432">
        <f>'4. KQ-PL'!R8</f>
        <v>98.673611011023652</v>
      </c>
    </row>
    <row r="9" spans="2:27" x14ac:dyDescent="0.25">
      <c r="C9" s="1427" t="s">
        <v>865</v>
      </c>
      <c r="D9" s="1427"/>
      <c r="E9" s="1427"/>
      <c r="F9" s="1427"/>
      <c r="G9" s="1431">
        <v>85196225183</v>
      </c>
      <c r="H9" s="1431"/>
      <c r="I9" s="1432">
        <f>'4. KQ-PL'!I9</f>
        <v>92.087032795002699</v>
      </c>
      <c r="J9" s="1450"/>
      <c r="K9" s="1432">
        <f>'4. KQ-PL'!J9</f>
        <v>93.007903122952726</v>
      </c>
      <c r="L9" s="1450"/>
      <c r="M9" s="1432">
        <f>'4. KQ-PL'!K9</f>
        <v>93.937982154182251</v>
      </c>
      <c r="N9" s="1450"/>
      <c r="O9" s="1432">
        <f>'4. KQ-PL'!L9</f>
        <v>94.877361975724099</v>
      </c>
      <c r="P9" s="1450"/>
      <c r="Q9" s="1432">
        <f>'4. KQ-PL'!M9</f>
        <v>95.826135595481347</v>
      </c>
      <c r="R9" s="1450"/>
      <c r="S9" s="1432">
        <f>'4. KQ-PL'!N9</f>
        <v>96.784396951436165</v>
      </c>
      <c r="T9" s="1450"/>
      <c r="U9" s="1432">
        <f>'4. KQ-PL'!O9</f>
        <v>97.752240920950513</v>
      </c>
      <c r="V9" s="1450"/>
      <c r="W9" s="1432">
        <f>'4. KQ-PL'!P9</f>
        <v>98.72976333016004</v>
      </c>
      <c r="X9" s="1450"/>
      <c r="Y9" s="1432">
        <f>'4. KQ-PL'!Q9</f>
        <v>99.717060963461634</v>
      </c>
      <c r="Z9" s="1450"/>
      <c r="AA9" s="1432">
        <f>'4. KQ-PL'!R9</f>
        <v>100.71423157309627</v>
      </c>
    </row>
    <row r="10" spans="2:27" x14ac:dyDescent="0.25">
      <c r="C10" s="1427"/>
      <c r="D10" s="1427"/>
      <c r="E10" s="1427"/>
      <c r="F10" s="1427"/>
      <c r="G10" s="1433"/>
      <c r="H10" s="1433"/>
    </row>
    <row r="11" spans="2:27" s="1456" customFormat="1" x14ac:dyDescent="0.25">
      <c r="B11" s="1451"/>
      <c r="C11" s="1452">
        <v>622</v>
      </c>
      <c r="D11" s="1453"/>
      <c r="E11" s="1452" t="s">
        <v>960</v>
      </c>
      <c r="F11" s="1454" t="s">
        <v>1791</v>
      </c>
      <c r="G11" s="1455">
        <f>G13+G14</f>
        <v>2696033.5717741936</v>
      </c>
      <c r="H11" s="1455">
        <f>H13+H14</f>
        <v>29</v>
      </c>
      <c r="I11" s="1455">
        <f t="shared" ref="I11:AA11" ca="1" si="1">I13+I14</f>
        <v>2696033.571774194</v>
      </c>
      <c r="J11" s="1455">
        <f t="shared" si="1"/>
        <v>29</v>
      </c>
      <c r="K11" s="1455">
        <f t="shared" ca="1" si="1"/>
        <v>2696033.571774194</v>
      </c>
      <c r="L11" s="1455">
        <f t="shared" si="1"/>
        <v>29</v>
      </c>
      <c r="M11" s="1455">
        <f t="shared" ca="1" si="1"/>
        <v>2696033.571774194</v>
      </c>
      <c r="N11" s="1455">
        <f t="shared" si="1"/>
        <v>29</v>
      </c>
      <c r="O11" s="1455">
        <f t="shared" ca="1" si="1"/>
        <v>2696033.571774194</v>
      </c>
      <c r="P11" s="1455">
        <f t="shared" si="1"/>
        <v>29</v>
      </c>
      <c r="Q11" s="1455">
        <f t="shared" ca="1" si="1"/>
        <v>2696033.571774194</v>
      </c>
      <c r="R11" s="1455">
        <f t="shared" si="1"/>
        <v>29</v>
      </c>
      <c r="S11" s="1455">
        <f t="shared" ca="1" si="1"/>
        <v>2696033.571774194</v>
      </c>
      <c r="T11" s="1455">
        <f t="shared" si="1"/>
        <v>29</v>
      </c>
      <c r="U11" s="1455">
        <f t="shared" ca="1" si="1"/>
        <v>2696033.571774194</v>
      </c>
      <c r="V11" s="1455">
        <f t="shared" si="1"/>
        <v>29</v>
      </c>
      <c r="W11" s="1455">
        <f t="shared" ca="1" si="1"/>
        <v>2696033.571774194</v>
      </c>
      <c r="X11" s="1455">
        <f t="shared" si="1"/>
        <v>29</v>
      </c>
      <c r="Y11" s="1455">
        <f t="shared" ca="1" si="1"/>
        <v>2696033.571774194</v>
      </c>
      <c r="Z11" s="1455">
        <f t="shared" si="1"/>
        <v>29</v>
      </c>
      <c r="AA11" s="1455">
        <f t="shared" ca="1" si="1"/>
        <v>2696033.571774194</v>
      </c>
    </row>
    <row r="12" spans="2:27" x14ac:dyDescent="0.25">
      <c r="D12" s="1427"/>
      <c r="E12" s="1427"/>
      <c r="F12" s="1427"/>
      <c r="G12" s="1435"/>
      <c r="H12" s="1435"/>
    </row>
    <row r="13" spans="2:27" x14ac:dyDescent="0.25">
      <c r="B13" s="1421">
        <v>622</v>
      </c>
      <c r="C13" s="1436" t="s">
        <v>1505</v>
      </c>
      <c r="D13" s="1436"/>
      <c r="E13" s="1436">
        <f ca="1">SUM(COUNTIFS('Luong- Phan bo'!$F:$F,C13,'Luong- Phan bo'!$G:$G,B13))</f>
        <v>14</v>
      </c>
      <c r="F13" s="1444">
        <f ca="1">G13/E13</f>
        <v>131695.1474654378</v>
      </c>
      <c r="G13" s="1437">
        <f>SUMIFS('Luong- Phan bo'!$AP:$AP,'Luong- Phan bo'!$G:$G,'3.Luong-Tach'!B13,'Luong- Phan bo'!$F:$F,'3.Luong-Tach'!C13)*C1</f>
        <v>1843732.064516129</v>
      </c>
      <c r="H13" s="1445">
        <v>14</v>
      </c>
      <c r="I13" s="1437">
        <f ca="1">H13*F13</f>
        <v>1843732.0645161292</v>
      </c>
      <c r="J13" s="1445">
        <f>H13</f>
        <v>14</v>
      </c>
      <c r="K13" s="1437">
        <f ca="1">J13*F13</f>
        <v>1843732.0645161292</v>
      </c>
      <c r="L13" s="1445">
        <f>J13</f>
        <v>14</v>
      </c>
      <c r="M13" s="1437">
        <f ca="1">L13*F13</f>
        <v>1843732.0645161292</v>
      </c>
      <c r="N13" s="1445">
        <f>L13</f>
        <v>14</v>
      </c>
      <c r="O13" s="1437">
        <f ca="1">N13*F13</f>
        <v>1843732.0645161292</v>
      </c>
      <c r="P13" s="1445">
        <f>N13</f>
        <v>14</v>
      </c>
      <c r="Q13" s="1437">
        <f ca="1">P13*F13</f>
        <v>1843732.0645161292</v>
      </c>
      <c r="R13" s="1445">
        <f>P13</f>
        <v>14</v>
      </c>
      <c r="S13" s="1437">
        <f ca="1">R13*F13</f>
        <v>1843732.0645161292</v>
      </c>
      <c r="T13" s="1445">
        <f>R13</f>
        <v>14</v>
      </c>
      <c r="U13" s="1437">
        <f ca="1">T13*F13</f>
        <v>1843732.0645161292</v>
      </c>
      <c r="V13" s="1445">
        <f>T13</f>
        <v>14</v>
      </c>
      <c r="W13" s="1437">
        <f ca="1">V13*F13</f>
        <v>1843732.0645161292</v>
      </c>
      <c r="X13" s="1445">
        <f>V13</f>
        <v>14</v>
      </c>
      <c r="Y13" s="1437">
        <f ca="1">X13*F13</f>
        <v>1843732.0645161292</v>
      </c>
      <c r="Z13" s="1445">
        <f>X13</f>
        <v>14</v>
      </c>
      <c r="AA13" s="1437">
        <f ca="1">Z13*F13</f>
        <v>1843732.0645161292</v>
      </c>
    </row>
    <row r="14" spans="2:27" x14ac:dyDescent="0.25">
      <c r="B14" s="1421">
        <v>622</v>
      </c>
      <c r="C14" s="1436" t="s">
        <v>1626</v>
      </c>
      <c r="D14" s="1436"/>
      <c r="E14" s="1436">
        <f ca="1">SUM(COUNTIFS('Luong- Phan bo'!$F:$F,C14,'Luong- Phan bo'!$G:$G,B14))</f>
        <v>15</v>
      </c>
      <c r="F14" s="1444">
        <f ca="1">G14/E14</f>
        <v>56820.10048387097</v>
      </c>
      <c r="G14" s="1437">
        <f>SUMIFS('Luong- Phan bo'!$AP:$AP,'Luong- Phan bo'!$G:$G,'3.Luong-Tach'!B14,'Luong- Phan bo'!$F:$F,'3.Luong-Tach'!C14)*C1</f>
        <v>852301.50725806458</v>
      </c>
      <c r="H14" s="1445">
        <v>15</v>
      </c>
      <c r="I14" s="1437">
        <f ca="1">H14*F14</f>
        <v>852301.50725806458</v>
      </c>
      <c r="J14" s="1445">
        <f>H14</f>
        <v>15</v>
      </c>
      <c r="K14" s="1437">
        <f ca="1">J14*F14</f>
        <v>852301.50725806458</v>
      </c>
      <c r="L14" s="1445">
        <f t="shared" ref="L14:L56" si="2">J14</f>
        <v>15</v>
      </c>
      <c r="M14" s="1437">
        <f ca="1">L14*F14</f>
        <v>852301.50725806458</v>
      </c>
      <c r="N14" s="1445">
        <f t="shared" ref="N14:N56" si="3">L14</f>
        <v>15</v>
      </c>
      <c r="O14" s="1437">
        <f ca="1">N14*F14</f>
        <v>852301.50725806458</v>
      </c>
      <c r="P14" s="1445">
        <f t="shared" ref="P14:P56" si="4">N14</f>
        <v>15</v>
      </c>
      <c r="Q14" s="1437">
        <f ca="1">P14*F14</f>
        <v>852301.50725806458</v>
      </c>
      <c r="R14" s="1445">
        <f t="shared" ref="R14:R56" si="5">P14</f>
        <v>15</v>
      </c>
      <c r="S14" s="1437">
        <f ca="1">R14*F14</f>
        <v>852301.50725806458</v>
      </c>
      <c r="T14" s="1445">
        <f t="shared" ref="T14:T56" si="6">R14</f>
        <v>15</v>
      </c>
      <c r="U14" s="1437">
        <f ca="1">T14*F14</f>
        <v>852301.50725806458</v>
      </c>
      <c r="V14" s="1445">
        <f t="shared" ref="V14:V56" si="7">T14</f>
        <v>15</v>
      </c>
      <c r="W14" s="1437">
        <f ca="1">V14*F14</f>
        <v>852301.50725806458</v>
      </c>
      <c r="X14" s="1445">
        <f t="shared" ref="X14:X56" si="8">V14</f>
        <v>15</v>
      </c>
      <c r="Y14" s="1437">
        <f ca="1">X14*F14</f>
        <v>852301.50725806458</v>
      </c>
      <c r="Z14" s="1445">
        <f t="shared" ref="Z14:Z56" si="9">X14</f>
        <v>15</v>
      </c>
      <c r="AA14" s="1437">
        <f ca="1">Z14*F14</f>
        <v>852301.50725806458</v>
      </c>
    </row>
    <row r="15" spans="2:27" x14ac:dyDescent="0.25">
      <c r="C15" s="1427"/>
      <c r="D15" s="1427"/>
      <c r="E15" s="1427"/>
      <c r="F15" s="1427"/>
      <c r="H15" s="1445">
        <v>0</v>
      </c>
      <c r="J15" s="1445">
        <f t="shared" ref="J15:J56" si="10">H15</f>
        <v>0</v>
      </c>
      <c r="L15" s="1445">
        <f t="shared" si="2"/>
        <v>0</v>
      </c>
      <c r="N15" s="1445">
        <f t="shared" si="3"/>
        <v>0</v>
      </c>
      <c r="P15" s="1445">
        <f t="shared" si="4"/>
        <v>0</v>
      </c>
      <c r="R15" s="1445">
        <f t="shared" si="5"/>
        <v>0</v>
      </c>
      <c r="T15" s="1445">
        <f t="shared" si="6"/>
        <v>0</v>
      </c>
      <c r="V15" s="1445">
        <f t="shared" si="7"/>
        <v>0</v>
      </c>
      <c r="X15" s="1445">
        <f t="shared" si="8"/>
        <v>0</v>
      </c>
      <c r="Z15" s="1445">
        <f t="shared" si="9"/>
        <v>0</v>
      </c>
    </row>
    <row r="16" spans="2:27" x14ac:dyDescent="0.25">
      <c r="B16" s="1451"/>
      <c r="C16" s="1452">
        <v>627</v>
      </c>
      <c r="D16" s="1453"/>
      <c r="E16" s="1452" t="s">
        <v>1363</v>
      </c>
      <c r="F16" s="1454"/>
      <c r="G16" s="1455">
        <f>G17+G18+G19+G22+G25</f>
        <v>10379695.548387099</v>
      </c>
      <c r="H16" s="1455">
        <f t="shared" ref="H16:AA16" si="11">H17+H18+H19+H22+H25</f>
        <v>81</v>
      </c>
      <c r="I16" s="1455">
        <f t="shared" ca="1" si="11"/>
        <v>10379695.548387099</v>
      </c>
      <c r="J16" s="1455">
        <f t="shared" si="11"/>
        <v>81</v>
      </c>
      <c r="K16" s="1455">
        <f t="shared" ca="1" si="11"/>
        <v>10379695.548387099</v>
      </c>
      <c r="L16" s="1455">
        <f t="shared" si="11"/>
        <v>81</v>
      </c>
      <c r="M16" s="1455">
        <f t="shared" ca="1" si="11"/>
        <v>10379695.548387099</v>
      </c>
      <c r="N16" s="1455">
        <f t="shared" si="11"/>
        <v>81</v>
      </c>
      <c r="O16" s="1455">
        <f t="shared" ca="1" si="11"/>
        <v>10379695.548387099</v>
      </c>
      <c r="P16" s="1455">
        <f t="shared" si="11"/>
        <v>81</v>
      </c>
      <c r="Q16" s="1455">
        <f t="shared" ca="1" si="11"/>
        <v>10379695.548387099</v>
      </c>
      <c r="R16" s="1455">
        <f t="shared" si="11"/>
        <v>81</v>
      </c>
      <c r="S16" s="1455">
        <f t="shared" ca="1" si="11"/>
        <v>10379695.548387099</v>
      </c>
      <c r="T16" s="1455">
        <f t="shared" si="11"/>
        <v>81</v>
      </c>
      <c r="U16" s="1455">
        <f t="shared" ca="1" si="11"/>
        <v>10379695.548387099</v>
      </c>
      <c r="V16" s="1455">
        <f t="shared" si="11"/>
        <v>81</v>
      </c>
      <c r="W16" s="1455">
        <f t="shared" ca="1" si="11"/>
        <v>10379695.548387099</v>
      </c>
      <c r="X16" s="1455">
        <f t="shared" si="11"/>
        <v>81</v>
      </c>
      <c r="Y16" s="1455">
        <f t="shared" ca="1" si="11"/>
        <v>10379695.548387099</v>
      </c>
      <c r="Z16" s="1455">
        <f t="shared" si="11"/>
        <v>81</v>
      </c>
      <c r="AA16" s="1455">
        <f t="shared" ca="1" si="11"/>
        <v>10379695.548387099</v>
      </c>
    </row>
    <row r="17" spans="2:28" s="1423" customFormat="1" x14ac:dyDescent="0.25">
      <c r="B17" s="1423">
        <v>627</v>
      </c>
      <c r="C17" s="1418" t="s">
        <v>1531</v>
      </c>
      <c r="D17" s="1428"/>
      <c r="E17" s="1436">
        <f ca="1">SUM(COUNTIFS('Luong- Phan bo'!$F:$F,C17,'Luong- Phan bo'!$G:$G,B17))</f>
        <v>7</v>
      </c>
      <c r="F17" s="1444">
        <f ca="1">G17/E17</f>
        <v>119758.72811059907</v>
      </c>
      <c r="G17" s="1437">
        <f>SUMIFS('Luong- Phan bo'!$AP:$AP,'Luong- Phan bo'!$G:$G,'3.Luong-Tach'!B17,'Luong- Phan bo'!$F:$F,'3.Luong-Tach'!C17)*12</f>
        <v>838311.09677419346</v>
      </c>
      <c r="H17" s="1445">
        <v>7</v>
      </c>
      <c r="I17" s="1437">
        <f ca="1">H17*F17</f>
        <v>838311.09677419346</v>
      </c>
      <c r="J17" s="1445">
        <f t="shared" si="10"/>
        <v>7</v>
      </c>
      <c r="K17" s="1437">
        <f t="shared" ref="K17:K19" ca="1" si="12">J17*F17</f>
        <v>838311.09677419346</v>
      </c>
      <c r="L17" s="1445">
        <f t="shared" si="2"/>
        <v>7</v>
      </c>
      <c r="M17" s="1437">
        <f t="shared" ref="M17:M19" ca="1" si="13">L17*F17</f>
        <v>838311.09677419346</v>
      </c>
      <c r="N17" s="1445">
        <f t="shared" si="3"/>
        <v>7</v>
      </c>
      <c r="O17" s="1437">
        <f t="shared" ref="O17:O19" ca="1" si="14">N17*F17</f>
        <v>838311.09677419346</v>
      </c>
      <c r="P17" s="1445">
        <f t="shared" si="4"/>
        <v>7</v>
      </c>
      <c r="Q17" s="1437">
        <f t="shared" ref="Q17:Q19" ca="1" si="15">P17*F17</f>
        <v>838311.09677419346</v>
      </c>
      <c r="R17" s="1445">
        <f t="shared" si="5"/>
        <v>7</v>
      </c>
      <c r="S17" s="1437">
        <f t="shared" ref="S17:S19" ca="1" si="16">R17*F17</f>
        <v>838311.09677419346</v>
      </c>
      <c r="T17" s="1445">
        <f t="shared" si="6"/>
        <v>7</v>
      </c>
      <c r="U17" s="1437">
        <f t="shared" ref="U17:U19" ca="1" si="17">T17*F17</f>
        <v>838311.09677419346</v>
      </c>
      <c r="V17" s="1445">
        <f t="shared" si="7"/>
        <v>7</v>
      </c>
      <c r="W17" s="1437">
        <f t="shared" ref="W17:W19" ca="1" si="18">V17*F17</f>
        <v>838311.09677419346</v>
      </c>
      <c r="X17" s="1445">
        <f t="shared" si="8"/>
        <v>7</v>
      </c>
      <c r="Y17" s="1437">
        <f t="shared" ref="Y17:Y19" ca="1" si="19">X17*F17</f>
        <v>838311.09677419346</v>
      </c>
      <c r="Z17" s="1445">
        <f t="shared" si="9"/>
        <v>7</v>
      </c>
      <c r="AA17" s="1437">
        <f t="shared" ref="AA17:AA19" ca="1" si="20">Z17*F17</f>
        <v>838311.09677419346</v>
      </c>
    </row>
    <row r="18" spans="2:28" s="1423" customFormat="1" x14ac:dyDescent="0.25">
      <c r="B18" s="1423">
        <v>627</v>
      </c>
      <c r="C18" s="1418" t="s">
        <v>1659</v>
      </c>
      <c r="D18" s="1435"/>
      <c r="E18" s="1436">
        <f ca="1">SUM(COUNTIFS('Luong- Phan bo'!$F:$F,C18,'Luong- Phan bo'!$G:$G,B18))</f>
        <v>2</v>
      </c>
      <c r="F18" s="1444">
        <f ca="1">G18/E18</f>
        <v>75600</v>
      </c>
      <c r="G18" s="1437">
        <f>SUMIFS('Luong- Phan bo'!$AP:$AP,'Luong- Phan bo'!$G:$G,'3.Luong-Tach'!B18,'Luong- Phan bo'!$F:$F,'3.Luong-Tach'!C18)*12</f>
        <v>151200</v>
      </c>
      <c r="H18" s="1445">
        <v>2</v>
      </c>
      <c r="I18" s="1437">
        <f ca="1">H18*F18</f>
        <v>151200</v>
      </c>
      <c r="J18" s="1445">
        <f t="shared" si="10"/>
        <v>2</v>
      </c>
      <c r="K18" s="1437">
        <f t="shared" ca="1" si="12"/>
        <v>151200</v>
      </c>
      <c r="L18" s="1445">
        <f t="shared" si="2"/>
        <v>2</v>
      </c>
      <c r="M18" s="1437">
        <f t="shared" ca="1" si="13"/>
        <v>151200</v>
      </c>
      <c r="N18" s="1445">
        <f t="shared" si="3"/>
        <v>2</v>
      </c>
      <c r="O18" s="1437">
        <f t="shared" ca="1" si="14"/>
        <v>151200</v>
      </c>
      <c r="P18" s="1445">
        <f t="shared" si="4"/>
        <v>2</v>
      </c>
      <c r="Q18" s="1437">
        <f t="shared" ca="1" si="15"/>
        <v>151200</v>
      </c>
      <c r="R18" s="1445">
        <f t="shared" si="5"/>
        <v>2</v>
      </c>
      <c r="S18" s="1437">
        <f t="shared" ca="1" si="16"/>
        <v>151200</v>
      </c>
      <c r="T18" s="1445">
        <f t="shared" si="6"/>
        <v>2</v>
      </c>
      <c r="U18" s="1437">
        <f t="shared" ca="1" si="17"/>
        <v>151200</v>
      </c>
      <c r="V18" s="1445">
        <f t="shared" si="7"/>
        <v>2</v>
      </c>
      <c r="W18" s="1437">
        <f t="shared" ca="1" si="18"/>
        <v>151200</v>
      </c>
      <c r="X18" s="1445">
        <f t="shared" si="8"/>
        <v>2</v>
      </c>
      <c r="Y18" s="1437">
        <f t="shared" ca="1" si="19"/>
        <v>151200</v>
      </c>
      <c r="Z18" s="1445">
        <f t="shared" si="9"/>
        <v>2</v>
      </c>
      <c r="AA18" s="1437">
        <f t="shared" ca="1" si="20"/>
        <v>151200</v>
      </c>
    </row>
    <row r="19" spans="2:28" s="1423" customFormat="1" x14ac:dyDescent="0.25">
      <c r="C19" s="1419" t="s">
        <v>1493</v>
      </c>
      <c r="D19" s="1435"/>
      <c r="E19" s="1436">
        <f ca="1">SUM(COUNTIFS('Luong- Phan bo'!$F:$F,C19,'Luong- Phan bo'!$G:$G,C16))</f>
        <v>55</v>
      </c>
      <c r="F19" s="1444">
        <f ca="1">G19/E19</f>
        <v>116523.42404692085</v>
      </c>
      <c r="G19" s="1437">
        <f>SUMIFS('Luong- Phan bo'!$AP:$AP,'Luong- Phan bo'!$G:$G,'3.Luong-Tach'!C16,'Luong- Phan bo'!$F:$F,'3.Luong-Tach'!C19)*12</f>
        <v>6408788.3225806467</v>
      </c>
      <c r="H19" s="1445">
        <v>55</v>
      </c>
      <c r="I19" s="1437">
        <f ca="1">H19*F19</f>
        <v>6408788.3225806467</v>
      </c>
      <c r="J19" s="1445">
        <f t="shared" si="10"/>
        <v>55</v>
      </c>
      <c r="K19" s="1437">
        <f t="shared" ca="1" si="12"/>
        <v>6408788.3225806467</v>
      </c>
      <c r="L19" s="1445">
        <f t="shared" si="2"/>
        <v>55</v>
      </c>
      <c r="M19" s="1437">
        <f t="shared" ca="1" si="13"/>
        <v>6408788.3225806467</v>
      </c>
      <c r="N19" s="1445">
        <f t="shared" si="3"/>
        <v>55</v>
      </c>
      <c r="O19" s="1437">
        <f t="shared" ca="1" si="14"/>
        <v>6408788.3225806467</v>
      </c>
      <c r="P19" s="1445">
        <f t="shared" si="4"/>
        <v>55</v>
      </c>
      <c r="Q19" s="1437">
        <f t="shared" ca="1" si="15"/>
        <v>6408788.3225806467</v>
      </c>
      <c r="R19" s="1445">
        <f t="shared" si="5"/>
        <v>55</v>
      </c>
      <c r="S19" s="1437">
        <f t="shared" ca="1" si="16"/>
        <v>6408788.3225806467</v>
      </c>
      <c r="T19" s="1445">
        <f t="shared" si="6"/>
        <v>55</v>
      </c>
      <c r="U19" s="1437">
        <f t="shared" ca="1" si="17"/>
        <v>6408788.3225806467</v>
      </c>
      <c r="V19" s="1445">
        <f t="shared" si="7"/>
        <v>55</v>
      </c>
      <c r="W19" s="1437">
        <f t="shared" ca="1" si="18"/>
        <v>6408788.3225806467</v>
      </c>
      <c r="X19" s="1445">
        <f t="shared" si="8"/>
        <v>55</v>
      </c>
      <c r="Y19" s="1437">
        <f t="shared" ca="1" si="19"/>
        <v>6408788.3225806467</v>
      </c>
      <c r="Z19" s="1445">
        <f t="shared" si="9"/>
        <v>55</v>
      </c>
      <c r="AA19" s="1437">
        <f t="shared" ca="1" si="20"/>
        <v>6408788.3225806467</v>
      </c>
    </row>
    <row r="20" spans="2:28" x14ac:dyDescent="0.25">
      <c r="B20" s="1421">
        <v>627</v>
      </c>
      <c r="C20" s="1420" t="s">
        <v>1531</v>
      </c>
      <c r="D20" s="1438"/>
      <c r="E20" s="1438"/>
      <c r="F20" s="1438"/>
      <c r="G20" s="1439">
        <f>G$19*G$6/(G$6+G$7)</f>
        <v>6202763.7331976593</v>
      </c>
      <c r="H20" s="1446"/>
      <c r="I20" s="1439">
        <f ca="1">I$19*I$6/(I$6+I$7)</f>
        <v>0</v>
      </c>
      <c r="J20" s="1446"/>
      <c r="K20" s="1439">
        <f t="shared" ref="K20:AA20" ca="1" si="21">K$19*K$6/(K$6+K$7)</f>
        <v>6142548.8153313147</v>
      </c>
      <c r="L20" s="1446"/>
      <c r="M20" s="1439">
        <f t="shared" ca="1" si="21"/>
        <v>6142548.8153313147</v>
      </c>
      <c r="N20" s="1446"/>
      <c r="O20" s="1439">
        <f t="shared" ca="1" si="21"/>
        <v>6142548.8153313156</v>
      </c>
      <c r="P20" s="1446"/>
      <c r="Q20" s="1439">
        <f t="shared" ca="1" si="21"/>
        <v>6142548.8153313147</v>
      </c>
      <c r="R20" s="1446"/>
      <c r="S20" s="1439">
        <f t="shared" ca="1" si="21"/>
        <v>6142548.8153313156</v>
      </c>
      <c r="T20" s="1446"/>
      <c r="U20" s="1439">
        <f t="shared" ca="1" si="21"/>
        <v>6142548.8153313156</v>
      </c>
      <c r="V20" s="1446"/>
      <c r="W20" s="1439">
        <f t="shared" ca="1" si="21"/>
        <v>6142548.8153313147</v>
      </c>
      <c r="X20" s="1446"/>
      <c r="Y20" s="1439">
        <f t="shared" ca="1" si="21"/>
        <v>6142548.8153313156</v>
      </c>
      <c r="Z20" s="1446"/>
      <c r="AA20" s="1439">
        <f t="shared" ca="1" si="21"/>
        <v>6142548.8153313156</v>
      </c>
      <c r="AB20" s="1439"/>
    </row>
    <row r="21" spans="2:28" x14ac:dyDescent="0.25">
      <c r="B21" s="1421">
        <v>627</v>
      </c>
      <c r="C21" s="1420" t="s">
        <v>1659</v>
      </c>
      <c r="D21" s="1438"/>
      <c r="E21" s="1438"/>
      <c r="F21" s="1438"/>
      <c r="G21" s="1439">
        <f>G$19*G$7/(G$6+G$7)</f>
        <v>206024.58938298744</v>
      </c>
      <c r="H21" s="1446"/>
      <c r="I21" s="1439">
        <f t="shared" ref="I21:AA21" ca="1" si="22">I$19*I$7/(I$6+I$7)</f>
        <v>266239.50724933133</v>
      </c>
      <c r="J21" s="1446"/>
      <c r="K21" s="1439">
        <f t="shared" ca="1" si="22"/>
        <v>266239.50724933133</v>
      </c>
      <c r="L21" s="1446"/>
      <c r="M21" s="1439">
        <f t="shared" ca="1" si="22"/>
        <v>266239.50724933133</v>
      </c>
      <c r="N21" s="1446"/>
      <c r="O21" s="1439">
        <f t="shared" ca="1" si="22"/>
        <v>266239.50724933133</v>
      </c>
      <c r="P21" s="1446"/>
      <c r="Q21" s="1439">
        <f t="shared" ca="1" si="22"/>
        <v>266239.50724933133</v>
      </c>
      <c r="R21" s="1446"/>
      <c r="S21" s="1439">
        <f t="shared" ca="1" si="22"/>
        <v>266239.50724933133</v>
      </c>
      <c r="T21" s="1446"/>
      <c r="U21" s="1439">
        <f t="shared" ca="1" si="22"/>
        <v>266239.50724933133</v>
      </c>
      <c r="V21" s="1446"/>
      <c r="W21" s="1439">
        <f t="shared" ca="1" si="22"/>
        <v>266239.50724933128</v>
      </c>
      <c r="X21" s="1446"/>
      <c r="Y21" s="1439">
        <f t="shared" ca="1" si="22"/>
        <v>266239.50724933133</v>
      </c>
      <c r="Z21" s="1446"/>
      <c r="AA21" s="1439">
        <f t="shared" ca="1" si="22"/>
        <v>266239.50724933128</v>
      </c>
    </row>
    <row r="22" spans="2:28" s="1423" customFormat="1" x14ac:dyDescent="0.25">
      <c r="C22" s="1419" t="s">
        <v>1450</v>
      </c>
      <c r="D22" s="1428"/>
      <c r="E22" s="1436">
        <f ca="1">SUM(COUNTIFS('Luong- Phan bo'!$F:$F,C22,'Luong- Phan bo'!$G:$G,C16))</f>
        <v>3</v>
      </c>
      <c r="F22" s="1444">
        <f ca="1">G22/E22</f>
        <v>52000</v>
      </c>
      <c r="G22" s="1437">
        <f>SUMIFS('Luong- Phan bo'!$AP:$AP,'Luong- Phan bo'!$G:$G,'3.Luong-Tach'!C16,'Luong- Phan bo'!$F:$F,'3.Luong-Tach'!C22)*12</f>
        <v>156000</v>
      </c>
      <c r="H22" s="1445">
        <v>3</v>
      </c>
      <c r="I22" s="1437">
        <f ca="1">H22*F22</f>
        <v>156000</v>
      </c>
      <c r="J22" s="1445">
        <f t="shared" si="10"/>
        <v>3</v>
      </c>
      <c r="K22" s="1437">
        <f ca="1">J22*F22</f>
        <v>156000</v>
      </c>
      <c r="L22" s="1445">
        <f t="shared" si="2"/>
        <v>3</v>
      </c>
      <c r="M22" s="1437">
        <f ca="1">L22*F22</f>
        <v>156000</v>
      </c>
      <c r="N22" s="1445">
        <f t="shared" si="3"/>
        <v>3</v>
      </c>
      <c r="O22" s="1437">
        <f ca="1">N22*F22</f>
        <v>156000</v>
      </c>
      <c r="P22" s="1445">
        <f t="shared" si="4"/>
        <v>3</v>
      </c>
      <c r="Q22" s="1437">
        <f ca="1">P22*F22</f>
        <v>156000</v>
      </c>
      <c r="R22" s="1445">
        <f t="shared" si="5"/>
        <v>3</v>
      </c>
      <c r="S22" s="1437">
        <f ca="1">R22*F22</f>
        <v>156000</v>
      </c>
      <c r="T22" s="1445">
        <f t="shared" si="6"/>
        <v>3</v>
      </c>
      <c r="U22" s="1437">
        <f t="shared" ref="U22" ca="1" si="23">T22*F22</f>
        <v>156000</v>
      </c>
      <c r="V22" s="1445">
        <f t="shared" si="7"/>
        <v>3</v>
      </c>
      <c r="W22" s="1437">
        <f ca="1">V22*F22</f>
        <v>156000</v>
      </c>
      <c r="X22" s="1445">
        <f t="shared" si="8"/>
        <v>3</v>
      </c>
      <c r="Y22" s="1437">
        <f ca="1">X22*F22</f>
        <v>156000</v>
      </c>
      <c r="Z22" s="1445">
        <f t="shared" si="9"/>
        <v>3</v>
      </c>
      <c r="AA22" s="1437">
        <f ca="1">Z22*F22</f>
        <v>156000</v>
      </c>
    </row>
    <row r="23" spans="2:28" x14ac:dyDescent="0.25">
      <c r="B23" s="1421">
        <v>627</v>
      </c>
      <c r="C23" s="1420" t="s">
        <v>1789</v>
      </c>
      <c r="D23" s="1428"/>
      <c r="E23" s="1428"/>
      <c r="F23" s="1428"/>
      <c r="G23" s="1439">
        <f>G$22*G$9/(G$9+G$8)</f>
        <v>70424.407044347303</v>
      </c>
      <c r="H23" s="1446"/>
      <c r="I23" s="1439">
        <f t="shared" ref="I23:AA23" ca="1" si="24">I$22*I$9/(I$9+I$8)</f>
        <v>78798.285400848908</v>
      </c>
      <c r="J23" s="1446"/>
      <c r="K23" s="1439">
        <f t="shared" ca="1" si="24"/>
        <v>78798.285400848908</v>
      </c>
      <c r="L23" s="1446"/>
      <c r="M23" s="1439">
        <f t="shared" ca="1" si="24"/>
        <v>78798.285400848908</v>
      </c>
      <c r="N23" s="1446"/>
      <c r="O23" s="1439">
        <f t="shared" ca="1" si="24"/>
        <v>78798.285400848923</v>
      </c>
      <c r="P23" s="1446"/>
      <c r="Q23" s="1439">
        <f t="shared" ca="1" si="24"/>
        <v>78798.285400848908</v>
      </c>
      <c r="R23" s="1446"/>
      <c r="S23" s="1439">
        <f t="shared" ca="1" si="24"/>
        <v>78798.285400848923</v>
      </c>
      <c r="T23" s="1446"/>
      <c r="U23" s="1439">
        <f t="shared" ca="1" si="24"/>
        <v>78798.285400848908</v>
      </c>
      <c r="V23" s="1446"/>
      <c r="W23" s="1439">
        <f t="shared" ca="1" si="24"/>
        <v>78798.285400848938</v>
      </c>
      <c r="X23" s="1446"/>
      <c r="Y23" s="1439">
        <f t="shared" ca="1" si="24"/>
        <v>78798.285400848923</v>
      </c>
      <c r="Z23" s="1446"/>
      <c r="AA23" s="1439">
        <f t="shared" ca="1" si="24"/>
        <v>78798.285400848908</v>
      </c>
    </row>
    <row r="24" spans="2:28" x14ac:dyDescent="0.25">
      <c r="B24" s="1421">
        <v>627</v>
      </c>
      <c r="C24" s="1420" t="s">
        <v>1790</v>
      </c>
      <c r="D24" s="1428"/>
      <c r="E24" s="1428"/>
      <c r="F24" s="1428"/>
      <c r="G24" s="1439">
        <f>G$22*G$8/(G$9+G$8)</f>
        <v>85575.592955652697</v>
      </c>
      <c r="H24" s="1446"/>
      <c r="I24" s="1439">
        <f t="shared" ref="I24:AA24" ca="1" si="25">I$22*I$8/(I$9+I$8)</f>
        <v>77201.714599151092</v>
      </c>
      <c r="J24" s="1446"/>
      <c r="K24" s="1439">
        <f t="shared" ca="1" si="25"/>
        <v>77201.714599151106</v>
      </c>
      <c r="L24" s="1446"/>
      <c r="M24" s="1439">
        <f t="shared" ca="1" si="25"/>
        <v>77201.714599151092</v>
      </c>
      <c r="N24" s="1446"/>
      <c r="O24" s="1439">
        <f t="shared" ca="1" si="25"/>
        <v>77201.714599151092</v>
      </c>
      <c r="P24" s="1446"/>
      <c r="Q24" s="1439">
        <f t="shared" ca="1" si="25"/>
        <v>77201.714599151077</v>
      </c>
      <c r="R24" s="1446"/>
      <c r="S24" s="1439">
        <f t="shared" ca="1" si="25"/>
        <v>77201.714599151077</v>
      </c>
      <c r="T24" s="1446"/>
      <c r="U24" s="1439">
        <f t="shared" ca="1" si="25"/>
        <v>77201.714599151092</v>
      </c>
      <c r="V24" s="1446"/>
      <c r="W24" s="1439">
        <f t="shared" ca="1" si="25"/>
        <v>77201.714599151077</v>
      </c>
      <c r="X24" s="1446"/>
      <c r="Y24" s="1439">
        <f t="shared" ca="1" si="25"/>
        <v>77201.714599151092</v>
      </c>
      <c r="Z24" s="1446"/>
      <c r="AA24" s="1439">
        <f t="shared" ca="1" si="25"/>
        <v>77201.714599151092</v>
      </c>
    </row>
    <row r="25" spans="2:28" s="1423" customFormat="1" x14ac:dyDescent="0.25">
      <c r="C25" s="1418" t="s">
        <v>1710</v>
      </c>
      <c r="D25" s="1435"/>
      <c r="E25" s="1436">
        <f ca="1">SUM(COUNTIFS('Luong- Phan bo'!$F:$F,C25,'Luong- Phan bo'!$G:$G,C16))</f>
        <v>14</v>
      </c>
      <c r="F25" s="1444">
        <f ca="1">G25/E25</f>
        <v>201814.00921658985</v>
      </c>
      <c r="G25" s="1437">
        <f>SUMIFS('Luong- Phan bo'!$AP:$AP,'Luong- Phan bo'!$G:$G,'3.Luong-Tach'!C16,'Luong- Phan bo'!$F:$F,'3.Luong-Tach'!C25)*12</f>
        <v>2825396.1290322579</v>
      </c>
      <c r="H25" s="1445">
        <v>14</v>
      </c>
      <c r="I25" s="1437">
        <f ca="1">H25*F25</f>
        <v>2825396.1290322579</v>
      </c>
      <c r="J25" s="1445">
        <f t="shared" si="10"/>
        <v>14</v>
      </c>
      <c r="K25" s="1437">
        <f ca="1">J25*F25</f>
        <v>2825396.1290322579</v>
      </c>
      <c r="L25" s="1445">
        <f t="shared" si="2"/>
        <v>14</v>
      </c>
      <c r="M25" s="1437">
        <f ca="1">L25*F25</f>
        <v>2825396.1290322579</v>
      </c>
      <c r="N25" s="1445">
        <f t="shared" si="3"/>
        <v>14</v>
      </c>
      <c r="O25" s="1437">
        <f ca="1">N25*F25</f>
        <v>2825396.1290322579</v>
      </c>
      <c r="P25" s="1445">
        <f t="shared" si="4"/>
        <v>14</v>
      </c>
      <c r="Q25" s="1437">
        <f ca="1">P25*F25</f>
        <v>2825396.1290322579</v>
      </c>
      <c r="R25" s="1445">
        <f t="shared" si="5"/>
        <v>14</v>
      </c>
      <c r="S25" s="1437">
        <f ca="1">R25*F25</f>
        <v>2825396.1290322579</v>
      </c>
      <c r="T25" s="1445">
        <f t="shared" si="6"/>
        <v>14</v>
      </c>
      <c r="U25" s="1437">
        <f t="shared" ref="U25" ca="1" si="26">T25*F25</f>
        <v>2825396.1290322579</v>
      </c>
      <c r="V25" s="1445">
        <f t="shared" si="7"/>
        <v>14</v>
      </c>
      <c r="W25" s="1437">
        <f ca="1">V25*F25</f>
        <v>2825396.1290322579</v>
      </c>
      <c r="X25" s="1445">
        <f t="shared" si="8"/>
        <v>14</v>
      </c>
      <c r="Y25" s="1437">
        <f ca="1">X25*F25</f>
        <v>2825396.1290322579</v>
      </c>
      <c r="Z25" s="1445">
        <f t="shared" si="9"/>
        <v>14</v>
      </c>
      <c r="AA25" s="1437">
        <f ca="1">Z25*F25</f>
        <v>2825396.1290322579</v>
      </c>
    </row>
    <row r="26" spans="2:28" x14ac:dyDescent="0.25">
      <c r="B26" s="1421">
        <v>627</v>
      </c>
      <c r="C26" s="1420" t="s">
        <v>1531</v>
      </c>
      <c r="D26" s="1438"/>
      <c r="E26" s="1438"/>
      <c r="F26" s="1438"/>
      <c r="G26" s="1439">
        <f>G$25*G$6/(SUM(G$6:G$9))</f>
        <v>1540124.2066099988</v>
      </c>
      <c r="H26" s="1446"/>
      <c r="I26" s="1439">
        <f t="shared" ref="I26:AA26" ca="1" si="27">I$25*I$6/(SUM(I$6:I$9))</f>
        <v>1640501.9550915628</v>
      </c>
      <c r="J26" s="1446"/>
      <c r="K26" s="1439">
        <f t="shared" ca="1" si="27"/>
        <v>1640501.9550915628</v>
      </c>
      <c r="L26" s="1446"/>
      <c r="M26" s="1439">
        <f t="shared" ca="1" si="27"/>
        <v>1640501.9550915631</v>
      </c>
      <c r="N26" s="1446"/>
      <c r="O26" s="1439">
        <f t="shared" ca="1" si="27"/>
        <v>1640501.9550915631</v>
      </c>
      <c r="P26" s="1446"/>
      <c r="Q26" s="1439">
        <f t="shared" ca="1" si="27"/>
        <v>1640501.9550915631</v>
      </c>
      <c r="R26" s="1446"/>
      <c r="S26" s="1439">
        <f t="shared" ca="1" si="27"/>
        <v>1640501.9550915631</v>
      </c>
      <c r="T26" s="1446"/>
      <c r="U26" s="1439">
        <f t="shared" ca="1" si="27"/>
        <v>1640501.9550915633</v>
      </c>
      <c r="V26" s="1446"/>
      <c r="W26" s="1439">
        <f t="shared" ca="1" si="27"/>
        <v>1640501.9550915631</v>
      </c>
      <c r="X26" s="1446"/>
      <c r="Y26" s="1439">
        <f t="shared" ca="1" si="27"/>
        <v>1640501.9550915631</v>
      </c>
      <c r="Z26" s="1446"/>
      <c r="AA26" s="1439">
        <f t="shared" ca="1" si="27"/>
        <v>1640501.9550915631</v>
      </c>
    </row>
    <row r="27" spans="2:28" x14ac:dyDescent="0.25">
      <c r="B27" s="1421">
        <v>627</v>
      </c>
      <c r="C27" s="1420" t="s">
        <v>1659</v>
      </c>
      <c r="D27" s="1438"/>
      <c r="E27" s="1438"/>
      <c r="F27" s="1438"/>
      <c r="G27" s="1439">
        <f>G$25*G$7/(SUM(G$6:G$9))</f>
        <v>51155.17387312244</v>
      </c>
      <c r="H27" s="1446"/>
      <c r="I27" s="1439">
        <f t="shared" ref="I27:AA27" ca="1" si="28">I$25*I$7/(SUM(I$6:I$9))</f>
        <v>71105.08117982035</v>
      </c>
      <c r="J27" s="1446"/>
      <c r="K27" s="1439">
        <f t="shared" ca="1" si="28"/>
        <v>71105.081179820336</v>
      </c>
      <c r="L27" s="1446"/>
      <c r="M27" s="1439">
        <f t="shared" ca="1" si="28"/>
        <v>71105.08117982035</v>
      </c>
      <c r="N27" s="1446"/>
      <c r="O27" s="1439">
        <f t="shared" ca="1" si="28"/>
        <v>71105.081179820321</v>
      </c>
      <c r="P27" s="1446"/>
      <c r="Q27" s="1439">
        <f t="shared" ca="1" si="28"/>
        <v>71105.081179820336</v>
      </c>
      <c r="R27" s="1446"/>
      <c r="S27" s="1439">
        <f t="shared" ca="1" si="28"/>
        <v>71105.081179820336</v>
      </c>
      <c r="T27" s="1446"/>
      <c r="U27" s="1439">
        <f t="shared" ca="1" si="28"/>
        <v>71105.081179820321</v>
      </c>
      <c r="V27" s="1446"/>
      <c r="W27" s="1439">
        <f t="shared" ca="1" si="28"/>
        <v>71105.081179820336</v>
      </c>
      <c r="X27" s="1446"/>
      <c r="Y27" s="1439">
        <f t="shared" ca="1" si="28"/>
        <v>71105.081179820336</v>
      </c>
      <c r="Z27" s="1446"/>
      <c r="AA27" s="1439">
        <f t="shared" ca="1" si="28"/>
        <v>71105.081179820321</v>
      </c>
    </row>
    <row r="28" spans="2:28" x14ac:dyDescent="0.25">
      <c r="B28" s="1421">
        <v>627</v>
      </c>
      <c r="C28" s="1420" t="s">
        <v>1789</v>
      </c>
      <c r="D28" s="1438"/>
      <c r="E28" s="1438"/>
      <c r="F28" s="1438"/>
      <c r="G28" s="1439">
        <f>G$25*G$8/(SUM(G$6:G$9))</f>
        <v>676988.92649740085</v>
      </c>
      <c r="H28" s="1446"/>
      <c r="I28" s="1439">
        <f t="shared" ref="I28:AA28" ca="1" si="29">I$25*I$8/(SUM(I$6:I$9))</f>
        <v>551195.04912161827</v>
      </c>
      <c r="J28" s="1446"/>
      <c r="K28" s="1439">
        <f t="shared" ca="1" si="29"/>
        <v>551195.04912161839</v>
      </c>
      <c r="L28" s="1446"/>
      <c r="M28" s="1439">
        <f t="shared" ca="1" si="29"/>
        <v>551195.04912161827</v>
      </c>
      <c r="N28" s="1446"/>
      <c r="O28" s="1439">
        <f t="shared" ca="1" si="29"/>
        <v>551195.04912161827</v>
      </c>
      <c r="P28" s="1446"/>
      <c r="Q28" s="1439">
        <f t="shared" ca="1" si="29"/>
        <v>551195.04912161839</v>
      </c>
      <c r="R28" s="1446"/>
      <c r="S28" s="1439">
        <f t="shared" ca="1" si="29"/>
        <v>551195.04912161827</v>
      </c>
      <c r="T28" s="1446"/>
      <c r="U28" s="1439">
        <f t="shared" ca="1" si="29"/>
        <v>551195.04912161839</v>
      </c>
      <c r="V28" s="1446"/>
      <c r="W28" s="1439">
        <f t="shared" ca="1" si="29"/>
        <v>551195.04912161827</v>
      </c>
      <c r="X28" s="1446"/>
      <c r="Y28" s="1439">
        <f t="shared" ca="1" si="29"/>
        <v>551195.04912161827</v>
      </c>
      <c r="Z28" s="1446"/>
      <c r="AA28" s="1439">
        <f t="shared" ca="1" si="29"/>
        <v>551195.04912161839</v>
      </c>
    </row>
    <row r="29" spans="2:28" x14ac:dyDescent="0.25">
      <c r="B29" s="1421">
        <v>627</v>
      </c>
      <c r="C29" s="1420" t="s">
        <v>1790</v>
      </c>
      <c r="D29" s="1438"/>
      <c r="E29" s="1438"/>
      <c r="F29" s="1438"/>
      <c r="G29" s="1439">
        <f>G$25*G$9/(SUM(G$6:G$9))</f>
        <v>557127.82205173594</v>
      </c>
      <c r="H29" s="1446"/>
      <c r="I29" s="1439">
        <f t="shared" ref="I29:AA29" ca="1" si="30">I$25*I$9/(SUM(I$6:I$9))</f>
        <v>562594.04363925627</v>
      </c>
      <c r="J29" s="1446"/>
      <c r="K29" s="1439">
        <f t="shared" ca="1" si="30"/>
        <v>562594.04363925627</v>
      </c>
      <c r="L29" s="1446"/>
      <c r="M29" s="1439">
        <f t="shared" ca="1" si="30"/>
        <v>562594.04363925627</v>
      </c>
      <c r="N29" s="1446"/>
      <c r="O29" s="1439">
        <f t="shared" ca="1" si="30"/>
        <v>562594.04363925627</v>
      </c>
      <c r="P29" s="1446"/>
      <c r="Q29" s="1439">
        <f t="shared" ca="1" si="30"/>
        <v>562594.04363925639</v>
      </c>
      <c r="R29" s="1446"/>
      <c r="S29" s="1439">
        <f t="shared" ca="1" si="30"/>
        <v>562594.04363925639</v>
      </c>
      <c r="T29" s="1446"/>
      <c r="U29" s="1439">
        <f t="shared" ca="1" si="30"/>
        <v>562594.04363925627</v>
      </c>
      <c r="V29" s="1446"/>
      <c r="W29" s="1439">
        <f t="shared" ca="1" si="30"/>
        <v>562594.04363925627</v>
      </c>
      <c r="X29" s="1446"/>
      <c r="Y29" s="1439">
        <f t="shared" ca="1" si="30"/>
        <v>562594.04363925627</v>
      </c>
      <c r="Z29" s="1446"/>
      <c r="AA29" s="1439">
        <f t="shared" ca="1" si="30"/>
        <v>562594.04363925639</v>
      </c>
    </row>
    <row r="30" spans="2:28" x14ac:dyDescent="0.25">
      <c r="C30" s="1438"/>
      <c r="D30" s="1438"/>
      <c r="E30" s="1438"/>
      <c r="F30" s="1438"/>
      <c r="G30" s="1439"/>
      <c r="H30" s="1445"/>
      <c r="J30" s="1445"/>
      <c r="L30" s="1445"/>
      <c r="N30" s="1445"/>
      <c r="P30" s="1445"/>
      <c r="R30" s="1445"/>
      <c r="T30" s="1445"/>
      <c r="V30" s="1445"/>
      <c r="X30" s="1445"/>
      <c r="Z30" s="1445"/>
    </row>
    <row r="31" spans="2:28" x14ac:dyDescent="0.25">
      <c r="C31" s="1427"/>
      <c r="D31" s="1427"/>
      <c r="E31" s="1427"/>
      <c r="F31" s="1427"/>
      <c r="G31" s="1441"/>
      <c r="H31" s="1445"/>
      <c r="J31" s="1445"/>
      <c r="L31" s="1445"/>
      <c r="N31" s="1445"/>
      <c r="P31" s="1445"/>
      <c r="R31" s="1445"/>
      <c r="T31" s="1445"/>
      <c r="V31" s="1445"/>
      <c r="X31" s="1445"/>
      <c r="Z31" s="1445"/>
    </row>
    <row r="32" spans="2:28" x14ac:dyDescent="0.25">
      <c r="C32" s="1427"/>
      <c r="D32" s="1427"/>
      <c r="E32" s="1427"/>
      <c r="F32" s="1427"/>
      <c r="G32" s="1441"/>
      <c r="H32" s="1445"/>
      <c r="J32" s="1445"/>
      <c r="L32" s="1445"/>
      <c r="N32" s="1445"/>
      <c r="P32" s="1445"/>
      <c r="R32" s="1445"/>
      <c r="T32" s="1445"/>
      <c r="V32" s="1445"/>
      <c r="X32" s="1445"/>
      <c r="Z32" s="1445"/>
    </row>
    <row r="33" spans="2:27" s="1461" customFormat="1" x14ac:dyDescent="0.25">
      <c r="B33" s="1457"/>
      <c r="C33" s="1458">
        <v>641</v>
      </c>
      <c r="D33" s="1458"/>
      <c r="E33" s="1459" t="s">
        <v>1793</v>
      </c>
      <c r="F33" s="1459"/>
      <c r="G33" s="1460">
        <f>G35+G38+G41</f>
        <v>2477451.4838709682</v>
      </c>
      <c r="H33" s="1460">
        <f t="shared" ref="H33:AA33" si="31">H35+H38+H41</f>
        <v>26</v>
      </c>
      <c r="I33" s="1460">
        <f t="shared" ca="1" si="31"/>
        <v>2477451.4838709682</v>
      </c>
      <c r="J33" s="1460">
        <f t="shared" si="31"/>
        <v>26</v>
      </c>
      <c r="K33" s="1460">
        <f t="shared" ca="1" si="31"/>
        <v>2477451.4838709682</v>
      </c>
      <c r="L33" s="1460">
        <f t="shared" si="31"/>
        <v>26</v>
      </c>
      <c r="M33" s="1460">
        <f t="shared" ca="1" si="31"/>
        <v>2477451.4838709682</v>
      </c>
      <c r="N33" s="1460">
        <f t="shared" si="31"/>
        <v>26</v>
      </c>
      <c r="O33" s="1460">
        <f t="shared" ca="1" si="31"/>
        <v>2477451.4838709682</v>
      </c>
      <c r="P33" s="1460">
        <f t="shared" si="31"/>
        <v>26</v>
      </c>
      <c r="Q33" s="1460">
        <f t="shared" ca="1" si="31"/>
        <v>2477451.4838709682</v>
      </c>
      <c r="R33" s="1460">
        <f t="shared" si="31"/>
        <v>26</v>
      </c>
      <c r="S33" s="1460">
        <f t="shared" ca="1" si="31"/>
        <v>2477451.4838709682</v>
      </c>
      <c r="T33" s="1460">
        <f t="shared" si="31"/>
        <v>26</v>
      </c>
      <c r="U33" s="1460">
        <f t="shared" ca="1" si="31"/>
        <v>2477451.4838709682</v>
      </c>
      <c r="V33" s="1460">
        <f t="shared" si="31"/>
        <v>26</v>
      </c>
      <c r="W33" s="1460">
        <f t="shared" ca="1" si="31"/>
        <v>2477451.4838709682</v>
      </c>
      <c r="X33" s="1460">
        <f t="shared" si="31"/>
        <v>26</v>
      </c>
      <c r="Y33" s="1460">
        <f t="shared" ca="1" si="31"/>
        <v>2477451.4838709682</v>
      </c>
      <c r="Z33" s="1460">
        <f t="shared" si="31"/>
        <v>26</v>
      </c>
      <c r="AA33" s="1460">
        <f t="shared" ca="1" si="31"/>
        <v>2477451.4838709682</v>
      </c>
    </row>
    <row r="34" spans="2:27" x14ac:dyDescent="0.25">
      <c r="C34" s="1427"/>
      <c r="D34" s="1427"/>
      <c r="E34" s="1427"/>
      <c r="F34" s="1427"/>
      <c r="G34" s="1441"/>
      <c r="H34" s="1445">
        <v>0</v>
      </c>
      <c r="J34" s="1445">
        <f t="shared" si="10"/>
        <v>0</v>
      </c>
      <c r="L34" s="1445">
        <f t="shared" si="2"/>
        <v>0</v>
      </c>
      <c r="N34" s="1445">
        <f t="shared" si="3"/>
        <v>0</v>
      </c>
      <c r="P34" s="1445">
        <f t="shared" si="4"/>
        <v>0</v>
      </c>
      <c r="R34" s="1445">
        <f t="shared" si="5"/>
        <v>0</v>
      </c>
      <c r="T34" s="1445">
        <f t="shared" si="6"/>
        <v>0</v>
      </c>
      <c r="V34" s="1445">
        <f t="shared" si="7"/>
        <v>0</v>
      </c>
      <c r="X34" s="1445">
        <f t="shared" si="8"/>
        <v>0</v>
      </c>
      <c r="Z34" s="1445">
        <f t="shared" si="9"/>
        <v>0</v>
      </c>
    </row>
    <row r="35" spans="2:27" x14ac:dyDescent="0.25">
      <c r="C35" s="1419" t="s">
        <v>1493</v>
      </c>
      <c r="D35" s="1427"/>
      <c r="E35" s="1436">
        <f ca="1">SUM(COUNTIFS('Luong- Phan bo'!$F:$F,C35,'Luong- Phan bo'!$G:$G,C33))</f>
        <v>9</v>
      </c>
      <c r="F35" s="1444">
        <f ca="1">G35/E35</f>
        <v>118502.06451612903</v>
      </c>
      <c r="G35" s="1437">
        <f>SUMIFS('Luong- Phan bo'!$AP:$AP,'Luong- Phan bo'!$G:$G,'3.Luong-Tach'!C33,'Luong- Phan bo'!$F:$F,'3.Luong-Tach'!C35)*12</f>
        <v>1066518.5806451612</v>
      </c>
      <c r="H35" s="1445">
        <v>9</v>
      </c>
      <c r="I35" s="1437">
        <f ca="1">H35*F35</f>
        <v>1066518.5806451612</v>
      </c>
      <c r="J35" s="1445">
        <f t="shared" si="10"/>
        <v>9</v>
      </c>
      <c r="K35" s="1437">
        <f ca="1">J35*F35</f>
        <v>1066518.5806451612</v>
      </c>
      <c r="L35" s="1445">
        <f t="shared" si="2"/>
        <v>9</v>
      </c>
      <c r="M35" s="1437">
        <f ca="1">L35*F35</f>
        <v>1066518.5806451612</v>
      </c>
      <c r="N35" s="1445">
        <f t="shared" si="3"/>
        <v>9</v>
      </c>
      <c r="O35" s="1437">
        <f ca="1">N35*F35</f>
        <v>1066518.5806451612</v>
      </c>
      <c r="P35" s="1445">
        <f t="shared" si="4"/>
        <v>9</v>
      </c>
      <c r="Q35" s="1437">
        <f ca="1">P35*F35</f>
        <v>1066518.5806451612</v>
      </c>
      <c r="R35" s="1445">
        <f t="shared" si="5"/>
        <v>9</v>
      </c>
      <c r="S35" s="1437">
        <f ca="1">R35*F35</f>
        <v>1066518.5806451612</v>
      </c>
      <c r="T35" s="1445">
        <f t="shared" si="6"/>
        <v>9</v>
      </c>
      <c r="U35" s="1437">
        <f t="shared" ref="U35" ca="1" si="32">T35*F35</f>
        <v>1066518.5806451612</v>
      </c>
      <c r="V35" s="1445">
        <f t="shared" si="7"/>
        <v>9</v>
      </c>
      <c r="W35" s="1437">
        <f ca="1">V35*F35</f>
        <v>1066518.5806451612</v>
      </c>
      <c r="X35" s="1445">
        <f t="shared" si="8"/>
        <v>9</v>
      </c>
      <c r="Y35" s="1437">
        <f ca="1">X35*F35</f>
        <v>1066518.5806451612</v>
      </c>
      <c r="Z35" s="1445">
        <f t="shared" si="9"/>
        <v>9</v>
      </c>
      <c r="AA35" s="1437">
        <f ca="1">Z35*F35</f>
        <v>1066518.5806451612</v>
      </c>
    </row>
    <row r="36" spans="2:27" x14ac:dyDescent="0.25">
      <c r="B36" s="1421">
        <v>641</v>
      </c>
      <c r="C36" s="1420" t="s">
        <v>1531</v>
      </c>
      <c r="D36" s="1427"/>
      <c r="E36" s="1427"/>
      <c r="F36" s="1427"/>
      <c r="G36" s="1439">
        <f>G$35*G$6/(G$6+G$7)</f>
        <v>1032232.9962902286</v>
      </c>
      <c r="H36" s="1446"/>
      <c r="I36" s="1439">
        <f t="shared" ref="I36:AA36" ca="1" si="33">I$35*I$6/(I$6+I$7)</f>
        <v>1022212.3300575486</v>
      </c>
      <c r="J36" s="1446"/>
      <c r="K36" s="1439">
        <f t="shared" ca="1" si="33"/>
        <v>1022212.3300575486</v>
      </c>
      <c r="L36" s="1446"/>
      <c r="M36" s="1439">
        <f t="shared" ca="1" si="33"/>
        <v>1022212.3300575484</v>
      </c>
      <c r="N36" s="1446"/>
      <c r="O36" s="1439">
        <f t="shared" ca="1" si="33"/>
        <v>1022212.3300575487</v>
      </c>
      <c r="P36" s="1446"/>
      <c r="Q36" s="1439">
        <f t="shared" ca="1" si="33"/>
        <v>1022212.3300575485</v>
      </c>
      <c r="R36" s="1446"/>
      <c r="S36" s="1439">
        <f t="shared" ca="1" si="33"/>
        <v>1022212.3300575486</v>
      </c>
      <c r="T36" s="1446"/>
      <c r="U36" s="1439">
        <f t="shared" ca="1" si="33"/>
        <v>1022212.3300575487</v>
      </c>
      <c r="V36" s="1446"/>
      <c r="W36" s="1439">
        <f t="shared" ca="1" si="33"/>
        <v>1022212.3300575485</v>
      </c>
      <c r="X36" s="1446"/>
      <c r="Y36" s="1439">
        <f t="shared" ca="1" si="33"/>
        <v>1022212.3300575485</v>
      </c>
      <c r="Z36" s="1446"/>
      <c r="AA36" s="1439">
        <f t="shared" ca="1" si="33"/>
        <v>1022212.3300575485</v>
      </c>
    </row>
    <row r="37" spans="2:27" x14ac:dyDescent="0.25">
      <c r="B37" s="1421">
        <v>641</v>
      </c>
      <c r="C37" s="1420" t="s">
        <v>1659</v>
      </c>
      <c r="D37" s="1427"/>
      <c r="E37" s="1427"/>
      <c r="F37" s="1427"/>
      <c r="G37" s="1439">
        <f>G$35*G$7/(G$6+G$7)</f>
        <v>34285.584354932624</v>
      </c>
      <c r="H37" s="1446"/>
      <c r="I37" s="1439">
        <f t="shared" ref="I37:AA37" ca="1" si="34">I$35*I$7/(I$6+I$7)</f>
        <v>44306.250587612674</v>
      </c>
      <c r="J37" s="1446"/>
      <c r="K37" s="1439">
        <f t="shared" ca="1" si="34"/>
        <v>44306.250587612667</v>
      </c>
      <c r="L37" s="1446"/>
      <c r="M37" s="1439">
        <f t="shared" ca="1" si="34"/>
        <v>44306.250587612667</v>
      </c>
      <c r="N37" s="1446"/>
      <c r="O37" s="1439">
        <f t="shared" ca="1" si="34"/>
        <v>44306.250587612667</v>
      </c>
      <c r="P37" s="1446"/>
      <c r="Q37" s="1439">
        <f t="shared" ca="1" si="34"/>
        <v>44306.25058761266</v>
      </c>
      <c r="R37" s="1446"/>
      <c r="S37" s="1439">
        <f t="shared" ca="1" si="34"/>
        <v>44306.250587612667</v>
      </c>
      <c r="T37" s="1446"/>
      <c r="U37" s="1439">
        <f t="shared" ca="1" si="34"/>
        <v>44306.250587612667</v>
      </c>
      <c r="V37" s="1446"/>
      <c r="W37" s="1439">
        <f t="shared" ca="1" si="34"/>
        <v>44306.25058761266</v>
      </c>
      <c r="X37" s="1446"/>
      <c r="Y37" s="1439">
        <f t="shared" ca="1" si="34"/>
        <v>44306.250587612667</v>
      </c>
      <c r="Z37" s="1446"/>
      <c r="AA37" s="1439">
        <f t="shared" ca="1" si="34"/>
        <v>44306.25058761266</v>
      </c>
    </row>
    <row r="38" spans="2:27" x14ac:dyDescent="0.25">
      <c r="C38" s="1419" t="s">
        <v>1450</v>
      </c>
      <c r="D38" s="1427"/>
      <c r="E38" s="1436">
        <f ca="1">SUM(COUNTIFS('Luong- Phan bo'!$F:$F,C38,'Luong- Phan bo'!$G:$G,C33))</f>
        <v>14</v>
      </c>
      <c r="F38" s="1444">
        <f ca="1">G38/E38</f>
        <v>85352.35023041477</v>
      </c>
      <c r="G38" s="1437">
        <f>SUMIFS('Luong- Phan bo'!$AP:$AP,'Luong- Phan bo'!$G:$G,'3.Luong-Tach'!C33,'Luong- Phan bo'!$F:$F,'3.Luong-Tach'!C38)*12</f>
        <v>1194932.9032258068</v>
      </c>
      <c r="H38" s="1445">
        <v>14</v>
      </c>
      <c r="I38" s="1437">
        <f ca="1">H38*F38</f>
        <v>1194932.9032258068</v>
      </c>
      <c r="J38" s="1445">
        <f t="shared" si="10"/>
        <v>14</v>
      </c>
      <c r="K38" s="1437">
        <f ca="1">J38*F38</f>
        <v>1194932.9032258068</v>
      </c>
      <c r="L38" s="1445">
        <f t="shared" si="2"/>
        <v>14</v>
      </c>
      <c r="M38" s="1437">
        <f ca="1">L38*F38</f>
        <v>1194932.9032258068</v>
      </c>
      <c r="N38" s="1445">
        <f t="shared" si="3"/>
        <v>14</v>
      </c>
      <c r="O38" s="1437">
        <f ca="1">N38*F38</f>
        <v>1194932.9032258068</v>
      </c>
      <c r="P38" s="1445">
        <f t="shared" si="4"/>
        <v>14</v>
      </c>
      <c r="Q38" s="1437">
        <f ca="1">P38*F38</f>
        <v>1194932.9032258068</v>
      </c>
      <c r="R38" s="1445">
        <f t="shared" si="5"/>
        <v>14</v>
      </c>
      <c r="S38" s="1437">
        <f ca="1">R38*F38</f>
        <v>1194932.9032258068</v>
      </c>
      <c r="T38" s="1445">
        <f t="shared" si="6"/>
        <v>14</v>
      </c>
      <c r="U38" s="1437">
        <f t="shared" ref="U38" ca="1" si="35">T38*F38</f>
        <v>1194932.9032258068</v>
      </c>
      <c r="V38" s="1445">
        <f t="shared" si="7"/>
        <v>14</v>
      </c>
      <c r="W38" s="1437">
        <f ca="1">V38*F38</f>
        <v>1194932.9032258068</v>
      </c>
      <c r="X38" s="1445">
        <f t="shared" si="8"/>
        <v>14</v>
      </c>
      <c r="Y38" s="1437">
        <f ca="1">X38*F38</f>
        <v>1194932.9032258068</v>
      </c>
      <c r="Z38" s="1445">
        <f t="shared" si="9"/>
        <v>14</v>
      </c>
      <c r="AA38" s="1437">
        <f ca="1">Z38*F38</f>
        <v>1194932.9032258068</v>
      </c>
    </row>
    <row r="39" spans="2:27" x14ac:dyDescent="0.25">
      <c r="B39" s="1421">
        <v>641</v>
      </c>
      <c r="C39" s="1420" t="s">
        <v>1789</v>
      </c>
      <c r="D39" s="1427"/>
      <c r="E39" s="1427"/>
      <c r="F39" s="1427"/>
      <c r="G39" s="1439">
        <f>G$38*G$9/(G$8+G$9)</f>
        <v>539438.72543242224</v>
      </c>
      <c r="H39" s="1446"/>
      <c r="I39" s="1439">
        <f t="shared" ref="I39:AA39" ca="1" si="36">I$38*I$9/(I$8+I$9)</f>
        <v>603581.17912341084</v>
      </c>
      <c r="J39" s="1446"/>
      <c r="K39" s="1439">
        <f t="shared" ca="1" si="36"/>
        <v>603581.17912341084</v>
      </c>
      <c r="L39" s="1446"/>
      <c r="M39" s="1439">
        <f t="shared" ca="1" si="36"/>
        <v>603581.17912341084</v>
      </c>
      <c r="N39" s="1446"/>
      <c r="O39" s="1439">
        <f t="shared" ca="1" si="36"/>
        <v>603581.17912341084</v>
      </c>
      <c r="P39" s="1446"/>
      <c r="Q39" s="1439">
        <f t="shared" ca="1" si="36"/>
        <v>603581.17912341084</v>
      </c>
      <c r="R39" s="1446"/>
      <c r="S39" s="1439">
        <f t="shared" ca="1" si="36"/>
        <v>603581.17912341096</v>
      </c>
      <c r="T39" s="1446"/>
      <c r="U39" s="1439">
        <f t="shared" ca="1" si="36"/>
        <v>603581.17912341084</v>
      </c>
      <c r="V39" s="1446"/>
      <c r="W39" s="1439">
        <f t="shared" ca="1" si="36"/>
        <v>603581.17912341107</v>
      </c>
      <c r="X39" s="1446"/>
      <c r="Y39" s="1439">
        <f t="shared" ca="1" si="36"/>
        <v>603581.17912341096</v>
      </c>
      <c r="Z39" s="1446"/>
      <c r="AA39" s="1439">
        <f t="shared" ca="1" si="36"/>
        <v>603581.17912341084</v>
      </c>
    </row>
    <row r="40" spans="2:27" s="1440" customFormat="1" x14ac:dyDescent="0.25">
      <c r="B40" s="1421">
        <v>641</v>
      </c>
      <c r="C40" s="1420" t="s">
        <v>1790</v>
      </c>
      <c r="D40" s="1427"/>
      <c r="E40" s="1427"/>
      <c r="F40" s="1427"/>
      <c r="G40" s="1439">
        <f>G$35*G$8/(G$8+G$9)</f>
        <v>585051.0252367357</v>
      </c>
      <c r="H40" s="1446"/>
      <c r="I40" s="1439">
        <f t="shared" ref="I40:AA40" ca="1" si="37">I$35*I$8/(I$8+I$9)</f>
        <v>527801.68639525282</v>
      </c>
      <c r="J40" s="1446"/>
      <c r="K40" s="1439">
        <f t="shared" ca="1" si="37"/>
        <v>527801.68639525294</v>
      </c>
      <c r="L40" s="1446"/>
      <c r="M40" s="1439">
        <f t="shared" ca="1" si="37"/>
        <v>527801.68639525282</v>
      </c>
      <c r="N40" s="1446"/>
      <c r="O40" s="1439">
        <f t="shared" ca="1" si="37"/>
        <v>527801.68639525282</v>
      </c>
      <c r="P40" s="1446"/>
      <c r="Q40" s="1439">
        <f t="shared" ca="1" si="37"/>
        <v>527801.68639525282</v>
      </c>
      <c r="R40" s="1446"/>
      <c r="S40" s="1439">
        <f t="shared" ca="1" si="37"/>
        <v>527801.68639525282</v>
      </c>
      <c r="T40" s="1446"/>
      <c r="U40" s="1439">
        <f t="shared" ca="1" si="37"/>
        <v>527801.68639525282</v>
      </c>
      <c r="V40" s="1446"/>
      <c r="W40" s="1439">
        <f t="shared" ca="1" si="37"/>
        <v>527801.68639525282</v>
      </c>
      <c r="X40" s="1446"/>
      <c r="Y40" s="1439">
        <f t="shared" ca="1" si="37"/>
        <v>527801.68639525282</v>
      </c>
      <c r="Z40" s="1446"/>
      <c r="AA40" s="1439">
        <f t="shared" ca="1" si="37"/>
        <v>527801.68639525282</v>
      </c>
    </row>
    <row r="41" spans="2:27" s="1476" customFormat="1" x14ac:dyDescent="0.25">
      <c r="B41" s="1473">
        <v>641</v>
      </c>
      <c r="C41" s="1474" t="s">
        <v>1798</v>
      </c>
      <c r="D41" s="1436"/>
      <c r="E41" s="1436">
        <v>3</v>
      </c>
      <c r="F41" s="1444">
        <f>G41/E41</f>
        <v>72000</v>
      </c>
      <c r="G41" s="1475">
        <f>18000*12</f>
        <v>216000</v>
      </c>
      <c r="H41" s="1475">
        <v>3</v>
      </c>
      <c r="I41" s="1437">
        <f>H41*$F$41</f>
        <v>216000</v>
      </c>
      <c r="J41" s="1475">
        <f>H41</f>
        <v>3</v>
      </c>
      <c r="K41" s="1437">
        <f>J41*$F$41</f>
        <v>216000</v>
      </c>
      <c r="L41" s="1475">
        <f>J41</f>
        <v>3</v>
      </c>
      <c r="M41" s="1437">
        <f>L41*$F$41</f>
        <v>216000</v>
      </c>
      <c r="N41" s="1475">
        <f>L41</f>
        <v>3</v>
      </c>
      <c r="O41" s="1437">
        <f>N41*$F$41</f>
        <v>216000</v>
      </c>
      <c r="P41" s="1475">
        <f>N41</f>
        <v>3</v>
      </c>
      <c r="Q41" s="1437">
        <f>P41*$F$41</f>
        <v>216000</v>
      </c>
      <c r="R41" s="1475">
        <f>P41</f>
        <v>3</v>
      </c>
      <c r="S41" s="1437">
        <f>R41*$F$41</f>
        <v>216000</v>
      </c>
      <c r="T41" s="1475">
        <f>R41</f>
        <v>3</v>
      </c>
      <c r="U41" s="1437">
        <f>T41*$F$41</f>
        <v>216000</v>
      </c>
      <c r="V41" s="1475">
        <f>T41</f>
        <v>3</v>
      </c>
      <c r="W41" s="1437">
        <f>V41*$F$41</f>
        <v>216000</v>
      </c>
      <c r="X41" s="1475">
        <f>V41</f>
        <v>3</v>
      </c>
      <c r="Y41" s="1437">
        <f>X41*$F$41</f>
        <v>216000</v>
      </c>
      <c r="Z41" s="1475">
        <f>X41</f>
        <v>3</v>
      </c>
      <c r="AA41" s="1437">
        <f>Z41*$F$41</f>
        <v>216000</v>
      </c>
    </row>
    <row r="42" spans="2:27" s="1440" customFormat="1" x14ac:dyDescent="0.25">
      <c r="B42" s="1421"/>
      <c r="C42" s="1420"/>
      <c r="D42" s="1427"/>
      <c r="E42" s="1427"/>
      <c r="F42" s="1427"/>
      <c r="G42" s="1439"/>
      <c r="H42" s="1446"/>
      <c r="I42" s="1439"/>
      <c r="J42" s="1446"/>
      <c r="K42" s="1439"/>
      <c r="L42" s="1446"/>
      <c r="M42" s="1439"/>
      <c r="N42" s="1446"/>
      <c r="O42" s="1439"/>
      <c r="P42" s="1446"/>
      <c r="Q42" s="1439"/>
      <c r="R42" s="1446"/>
      <c r="S42" s="1439"/>
      <c r="T42" s="1446"/>
      <c r="U42" s="1439"/>
      <c r="V42" s="1446"/>
      <c r="W42" s="1439"/>
      <c r="X42" s="1446"/>
      <c r="Y42" s="1439"/>
      <c r="Z42" s="1446"/>
      <c r="AA42" s="1439"/>
    </row>
    <row r="43" spans="2:27" x14ac:dyDescent="0.25">
      <c r="C43" s="1438"/>
      <c r="D43" s="1438"/>
      <c r="E43" s="1438"/>
      <c r="F43" s="1438"/>
      <c r="G43" s="1439"/>
      <c r="H43" s="1445"/>
      <c r="I43" s="1439"/>
      <c r="J43" s="1445">
        <f t="shared" si="10"/>
        <v>0</v>
      </c>
      <c r="K43" s="1439"/>
      <c r="L43" s="1445">
        <f t="shared" si="2"/>
        <v>0</v>
      </c>
      <c r="M43" s="1439"/>
      <c r="N43" s="1445">
        <f t="shared" si="3"/>
        <v>0</v>
      </c>
      <c r="O43" s="1439"/>
      <c r="P43" s="1445">
        <f t="shared" si="4"/>
        <v>0</v>
      </c>
      <c r="Q43" s="1439"/>
      <c r="R43" s="1445">
        <f t="shared" si="5"/>
        <v>0</v>
      </c>
      <c r="S43" s="1439"/>
      <c r="T43" s="1445">
        <f t="shared" si="6"/>
        <v>0</v>
      </c>
      <c r="U43" s="1439"/>
      <c r="V43" s="1445">
        <f t="shared" si="7"/>
        <v>0</v>
      </c>
      <c r="W43" s="1439"/>
      <c r="X43" s="1445">
        <f t="shared" si="8"/>
        <v>0</v>
      </c>
      <c r="Y43" s="1439"/>
      <c r="Z43" s="1445">
        <f t="shared" si="9"/>
        <v>0</v>
      </c>
      <c r="AA43" s="1439"/>
    </row>
    <row r="44" spans="2:27" s="1456" customFormat="1" x14ac:dyDescent="0.25">
      <c r="B44" s="1462"/>
      <c r="C44" s="1458">
        <v>642</v>
      </c>
      <c r="D44" s="1458"/>
      <c r="E44" s="1458" t="s">
        <v>1794</v>
      </c>
      <c r="F44" s="1458"/>
      <c r="G44" s="1463">
        <f>G45+G48+G51</f>
        <v>3589531.2580645159</v>
      </c>
      <c r="H44" s="1463">
        <f t="shared" ref="H44:AA44" si="38">H45+H48+H51</f>
        <v>34</v>
      </c>
      <c r="I44" s="1463">
        <f t="shared" ca="1" si="38"/>
        <v>3589531.2580645159</v>
      </c>
      <c r="J44" s="1463">
        <f t="shared" si="38"/>
        <v>34</v>
      </c>
      <c r="K44" s="1463">
        <f t="shared" ca="1" si="38"/>
        <v>3589531.2580645159</v>
      </c>
      <c r="L44" s="1463">
        <f t="shared" si="38"/>
        <v>34</v>
      </c>
      <c r="M44" s="1463">
        <f t="shared" ca="1" si="38"/>
        <v>3589531.2580645159</v>
      </c>
      <c r="N44" s="1463">
        <f t="shared" si="38"/>
        <v>34</v>
      </c>
      <c r="O44" s="1463">
        <f t="shared" ca="1" si="38"/>
        <v>3589531.2580645159</v>
      </c>
      <c r="P44" s="1463">
        <f t="shared" si="38"/>
        <v>34</v>
      </c>
      <c r="Q44" s="1463">
        <f t="shared" ca="1" si="38"/>
        <v>3589531.2580645159</v>
      </c>
      <c r="R44" s="1463">
        <f t="shared" si="38"/>
        <v>34</v>
      </c>
      <c r="S44" s="1463">
        <f t="shared" ca="1" si="38"/>
        <v>3589531.2580645159</v>
      </c>
      <c r="T44" s="1463">
        <f t="shared" si="38"/>
        <v>34</v>
      </c>
      <c r="U44" s="1463">
        <f t="shared" ca="1" si="38"/>
        <v>3589531.2580645159</v>
      </c>
      <c r="V44" s="1463">
        <f t="shared" si="38"/>
        <v>34</v>
      </c>
      <c r="W44" s="1463">
        <f t="shared" ca="1" si="38"/>
        <v>3589531.2580645159</v>
      </c>
      <c r="X44" s="1463">
        <f t="shared" si="38"/>
        <v>34</v>
      </c>
      <c r="Y44" s="1463">
        <f t="shared" ca="1" si="38"/>
        <v>3589531.2580645159</v>
      </c>
      <c r="Z44" s="1463">
        <f t="shared" si="38"/>
        <v>34</v>
      </c>
      <c r="AA44" s="1463">
        <f t="shared" ca="1" si="38"/>
        <v>3589531.2580645159</v>
      </c>
    </row>
    <row r="45" spans="2:27" x14ac:dyDescent="0.25">
      <c r="C45" s="1419" t="s">
        <v>1493</v>
      </c>
      <c r="D45" s="1428"/>
      <c r="E45" s="1436">
        <f ca="1">SUM(COUNTIFS('Luong- Phan bo'!$F:$F,C45,'Luong- Phan bo'!$G:$G,C44))</f>
        <v>10</v>
      </c>
      <c r="F45" s="1444">
        <f ca="1">G45/E45</f>
        <v>112657.93548387096</v>
      </c>
      <c r="G45" s="1437">
        <f>SUMIFS('Luong- Phan bo'!$AP:$AP,'Luong- Phan bo'!$G:$G,'3.Luong-Tach'!C44,'Luong- Phan bo'!$F:$F,'3.Luong-Tach'!C45)*12</f>
        <v>1126579.3548387096</v>
      </c>
      <c r="H45" s="1445">
        <v>10</v>
      </c>
      <c r="I45" s="1437">
        <f ca="1">H45*F45</f>
        <v>1126579.3548387096</v>
      </c>
      <c r="J45" s="1445">
        <f t="shared" si="10"/>
        <v>10</v>
      </c>
      <c r="K45" s="1437">
        <f ca="1">J45*F45</f>
        <v>1126579.3548387096</v>
      </c>
      <c r="L45" s="1445">
        <f t="shared" si="2"/>
        <v>10</v>
      </c>
      <c r="M45" s="1437">
        <f ca="1">L45*F45</f>
        <v>1126579.3548387096</v>
      </c>
      <c r="N45" s="1445">
        <f t="shared" si="3"/>
        <v>10</v>
      </c>
      <c r="O45" s="1437">
        <f ca="1">N45*F45</f>
        <v>1126579.3548387096</v>
      </c>
      <c r="P45" s="1445">
        <f t="shared" si="4"/>
        <v>10</v>
      </c>
      <c r="Q45" s="1437">
        <f ca="1">P45*F45</f>
        <v>1126579.3548387096</v>
      </c>
      <c r="R45" s="1445">
        <f t="shared" si="5"/>
        <v>10</v>
      </c>
      <c r="S45" s="1437">
        <f ca="1">R45*F45</f>
        <v>1126579.3548387096</v>
      </c>
      <c r="T45" s="1445">
        <f t="shared" si="6"/>
        <v>10</v>
      </c>
      <c r="U45" s="1437">
        <f t="shared" ref="U45" ca="1" si="39">T45*F45</f>
        <v>1126579.3548387096</v>
      </c>
      <c r="V45" s="1445">
        <f t="shared" si="7"/>
        <v>10</v>
      </c>
      <c r="W45" s="1437">
        <f ca="1">V45*F45</f>
        <v>1126579.3548387096</v>
      </c>
      <c r="X45" s="1445">
        <f t="shared" si="8"/>
        <v>10</v>
      </c>
      <c r="Y45" s="1437">
        <f ca="1">X45*F45</f>
        <v>1126579.3548387096</v>
      </c>
      <c r="Z45" s="1445">
        <f t="shared" si="9"/>
        <v>10</v>
      </c>
      <c r="AA45" s="1437">
        <f ca="1">Z45*F45</f>
        <v>1126579.3548387096</v>
      </c>
    </row>
    <row r="46" spans="2:27" s="1440" customFormat="1" x14ac:dyDescent="0.25">
      <c r="B46" s="1421">
        <v>642</v>
      </c>
      <c r="C46" s="1420" t="s">
        <v>1531</v>
      </c>
      <c r="D46" s="1438"/>
      <c r="E46" s="1438"/>
      <c r="F46" s="1438"/>
      <c r="G46" s="1439">
        <f>G45*G6/(G6+G7)</f>
        <v>1090362.9848627804</v>
      </c>
      <c r="H46" s="1446"/>
      <c r="I46" s="1439">
        <f t="shared" ref="I46:AA46" ca="1" si="40">I45*I6/(I6+I7)</f>
        <v>1079778.0068752072</v>
      </c>
      <c r="J46" s="1446"/>
      <c r="K46" s="1439">
        <f t="shared" ca="1" si="40"/>
        <v>1079778.0068752072</v>
      </c>
      <c r="L46" s="1446"/>
      <c r="M46" s="1439">
        <f t="shared" ca="1" si="40"/>
        <v>1079778.0068752072</v>
      </c>
      <c r="N46" s="1446"/>
      <c r="O46" s="1439">
        <f t="shared" ca="1" si="40"/>
        <v>1079778.0068752074</v>
      </c>
      <c r="P46" s="1446"/>
      <c r="Q46" s="1439">
        <f t="shared" ca="1" si="40"/>
        <v>1079778.0068752069</v>
      </c>
      <c r="R46" s="1446"/>
      <c r="S46" s="1439">
        <f t="shared" ca="1" si="40"/>
        <v>1079778.0068752072</v>
      </c>
      <c r="T46" s="1446"/>
      <c r="U46" s="1439">
        <f t="shared" ca="1" si="40"/>
        <v>1079778.0068752074</v>
      </c>
      <c r="V46" s="1446"/>
      <c r="W46" s="1439">
        <f t="shared" ca="1" si="40"/>
        <v>1079778.0068752069</v>
      </c>
      <c r="X46" s="1446"/>
      <c r="Y46" s="1439">
        <f t="shared" ca="1" si="40"/>
        <v>1079778.0068752072</v>
      </c>
      <c r="Z46" s="1446"/>
      <c r="AA46" s="1439">
        <f t="shared" ca="1" si="40"/>
        <v>1079778.0068752072</v>
      </c>
    </row>
    <row r="47" spans="2:27" s="1440" customFormat="1" x14ac:dyDescent="0.25">
      <c r="B47" s="1421">
        <v>642</v>
      </c>
      <c r="C47" s="1420" t="s">
        <v>1659</v>
      </c>
      <c r="D47" s="1438"/>
      <c r="E47" s="1438"/>
      <c r="F47" s="1438"/>
      <c r="G47" s="1439">
        <f>G45*G7/(G6+G7)</f>
        <v>36216.369975929301</v>
      </c>
      <c r="H47" s="1446"/>
      <c r="I47" s="1439">
        <f t="shared" ref="I47:AA47" ca="1" si="41">I45*I7/(I6+I7)</f>
        <v>46801.347963502398</v>
      </c>
      <c r="J47" s="1446"/>
      <c r="K47" s="1439">
        <f t="shared" ca="1" si="41"/>
        <v>46801.34796350239</v>
      </c>
      <c r="L47" s="1446"/>
      <c r="M47" s="1439">
        <f t="shared" ca="1" si="41"/>
        <v>46801.34796350239</v>
      </c>
      <c r="N47" s="1446"/>
      <c r="O47" s="1439">
        <f t="shared" ca="1" si="41"/>
        <v>46801.347963502383</v>
      </c>
      <c r="P47" s="1446"/>
      <c r="Q47" s="1439">
        <f t="shared" ca="1" si="41"/>
        <v>46801.347963502383</v>
      </c>
      <c r="R47" s="1446"/>
      <c r="S47" s="1439">
        <f t="shared" ca="1" si="41"/>
        <v>46801.34796350239</v>
      </c>
      <c r="T47" s="1446"/>
      <c r="U47" s="1439">
        <f t="shared" ca="1" si="41"/>
        <v>46801.347963502383</v>
      </c>
      <c r="V47" s="1446"/>
      <c r="W47" s="1439">
        <f t="shared" ca="1" si="41"/>
        <v>46801.347963502383</v>
      </c>
      <c r="X47" s="1446"/>
      <c r="Y47" s="1439">
        <f t="shared" ca="1" si="41"/>
        <v>46801.347963502383</v>
      </c>
      <c r="Z47" s="1446"/>
      <c r="AA47" s="1439">
        <f t="shared" ca="1" si="41"/>
        <v>46801.347963502383</v>
      </c>
    </row>
    <row r="48" spans="2:27" x14ac:dyDescent="0.25">
      <c r="C48" s="1419" t="s">
        <v>1450</v>
      </c>
      <c r="D48" s="1427"/>
      <c r="E48" s="1436">
        <f ca="1">SUM(COUNTIFS('Luong- Phan bo'!$F:$F,C48,'Luong- Phan bo'!$G:$G,C44))</f>
        <v>7</v>
      </c>
      <c r="F48" s="1444">
        <f ca="1">G48/E48</f>
        <v>104801.91705069123</v>
      </c>
      <c r="G48" s="1437">
        <f>SUMIFS('Luong- Phan bo'!$AP:$AP,'Luong- Phan bo'!$G:$G,'3.Luong-Tach'!C44,'Luong- Phan bo'!$F:$F,'3.Luong-Tach'!C48)*12</f>
        <v>733613.41935483867</v>
      </c>
      <c r="H48" s="1445">
        <v>7</v>
      </c>
      <c r="I48" s="1437">
        <f ca="1">H48*F48</f>
        <v>733613.41935483867</v>
      </c>
      <c r="J48" s="1445">
        <f t="shared" si="10"/>
        <v>7</v>
      </c>
      <c r="K48" s="1437">
        <f ca="1">J48*F48</f>
        <v>733613.41935483867</v>
      </c>
      <c r="L48" s="1445">
        <f t="shared" si="2"/>
        <v>7</v>
      </c>
      <c r="M48" s="1437">
        <f ca="1">L48*F48</f>
        <v>733613.41935483867</v>
      </c>
      <c r="N48" s="1445">
        <f t="shared" si="3"/>
        <v>7</v>
      </c>
      <c r="O48" s="1437">
        <f ca="1">N48*F48</f>
        <v>733613.41935483867</v>
      </c>
      <c r="P48" s="1445">
        <f t="shared" si="4"/>
        <v>7</v>
      </c>
      <c r="Q48" s="1437">
        <f ca="1">P48*F48</f>
        <v>733613.41935483867</v>
      </c>
      <c r="R48" s="1445">
        <f t="shared" si="5"/>
        <v>7</v>
      </c>
      <c r="S48" s="1437">
        <f ca="1">R48*F48</f>
        <v>733613.41935483867</v>
      </c>
      <c r="T48" s="1445">
        <f t="shared" si="6"/>
        <v>7</v>
      </c>
      <c r="U48" s="1437">
        <f t="shared" ref="U48" ca="1" si="42">T48*F48</f>
        <v>733613.41935483867</v>
      </c>
      <c r="V48" s="1445">
        <f t="shared" si="7"/>
        <v>7</v>
      </c>
      <c r="W48" s="1437">
        <f ca="1">V48*F48</f>
        <v>733613.41935483867</v>
      </c>
      <c r="X48" s="1445">
        <f t="shared" si="8"/>
        <v>7</v>
      </c>
      <c r="Y48" s="1437">
        <f ca="1">X48*F48</f>
        <v>733613.41935483867</v>
      </c>
      <c r="Z48" s="1445">
        <f t="shared" si="9"/>
        <v>7</v>
      </c>
      <c r="AA48" s="1437">
        <f ca="1">Z48*F48</f>
        <v>733613.41935483867</v>
      </c>
    </row>
    <row r="49" spans="2:27" x14ac:dyDescent="0.25">
      <c r="B49" s="1421">
        <v>642</v>
      </c>
      <c r="C49" s="1420" t="s">
        <v>1789</v>
      </c>
      <c r="D49" s="1428"/>
      <c r="E49" s="1428"/>
      <c r="F49" s="1428"/>
      <c r="G49" s="1439">
        <f>G48*G9/(G8+G9)</f>
        <v>331181.34652461932</v>
      </c>
      <c r="H49" s="1446"/>
      <c r="I49" s="1439">
        <f t="shared" ref="I49:AA49" ca="1" si="43">I48*I9/(I8+I9)</f>
        <v>370560.76661676436</v>
      </c>
      <c r="J49" s="1446"/>
      <c r="K49" s="1439">
        <f t="shared" ca="1" si="43"/>
        <v>370560.7666167643</v>
      </c>
      <c r="L49" s="1446"/>
      <c r="M49" s="1439">
        <f t="shared" ca="1" si="43"/>
        <v>370560.76661676425</v>
      </c>
      <c r="N49" s="1446"/>
      <c r="O49" s="1439">
        <f t="shared" ca="1" si="43"/>
        <v>370560.76661676436</v>
      </c>
      <c r="P49" s="1446"/>
      <c r="Q49" s="1439">
        <f t="shared" ca="1" si="43"/>
        <v>370560.7666167643</v>
      </c>
      <c r="R49" s="1446"/>
      <c r="S49" s="1439">
        <f t="shared" ca="1" si="43"/>
        <v>370560.76661676436</v>
      </c>
      <c r="T49" s="1446"/>
      <c r="U49" s="1439">
        <f t="shared" ca="1" si="43"/>
        <v>370560.7666167643</v>
      </c>
      <c r="V49" s="1446"/>
      <c r="W49" s="1439">
        <f t="shared" ca="1" si="43"/>
        <v>370560.76661676442</v>
      </c>
      <c r="X49" s="1446"/>
      <c r="Y49" s="1439">
        <f t="shared" ca="1" si="43"/>
        <v>370560.76661676436</v>
      </c>
      <c r="Z49" s="1446"/>
      <c r="AA49" s="1439">
        <f t="shared" ca="1" si="43"/>
        <v>370560.76661676436</v>
      </c>
    </row>
    <row r="50" spans="2:27" s="1440" customFormat="1" x14ac:dyDescent="0.25">
      <c r="B50" s="1421">
        <v>642</v>
      </c>
      <c r="C50" s="1420" t="s">
        <v>1790</v>
      </c>
      <c r="D50" s="1428"/>
      <c r="E50" s="1428"/>
      <c r="F50" s="1428"/>
      <c r="G50" s="1439">
        <f>G49*G8/(G9+G10)</f>
        <v>402432.0728302194</v>
      </c>
      <c r="H50" s="1446"/>
      <c r="I50" s="1439">
        <f t="shared" ref="I50:AA50" ca="1" si="44">I49*I8/(I9+I10)</f>
        <v>363052.65273807436</v>
      </c>
      <c r="J50" s="1446"/>
      <c r="K50" s="1439">
        <f t="shared" ca="1" si="44"/>
        <v>363052.65273807436</v>
      </c>
      <c r="L50" s="1446"/>
      <c r="M50" s="1439">
        <f t="shared" ca="1" si="44"/>
        <v>363052.65273807431</v>
      </c>
      <c r="N50" s="1446"/>
      <c r="O50" s="1439">
        <f t="shared" ca="1" si="44"/>
        <v>363052.65273807431</v>
      </c>
      <c r="P50" s="1446"/>
      <c r="Q50" s="1439">
        <f t="shared" ca="1" si="44"/>
        <v>363052.65273807425</v>
      </c>
      <c r="R50" s="1446"/>
      <c r="S50" s="1439">
        <f t="shared" ca="1" si="44"/>
        <v>363052.65273807431</v>
      </c>
      <c r="T50" s="1446"/>
      <c r="U50" s="1439">
        <f t="shared" ca="1" si="44"/>
        <v>363052.65273807436</v>
      </c>
      <c r="V50" s="1446"/>
      <c r="W50" s="1439">
        <f t="shared" ca="1" si="44"/>
        <v>363052.65273807431</v>
      </c>
      <c r="X50" s="1446"/>
      <c r="Y50" s="1439">
        <f t="shared" ca="1" si="44"/>
        <v>363052.65273807431</v>
      </c>
      <c r="Z50" s="1446"/>
      <c r="AA50" s="1439">
        <f t="shared" ca="1" si="44"/>
        <v>363052.65273807436</v>
      </c>
    </row>
    <row r="51" spans="2:27" s="1440" customFormat="1" x14ac:dyDescent="0.25">
      <c r="B51" s="1421"/>
      <c r="C51" s="1418" t="s">
        <v>1710</v>
      </c>
      <c r="D51" s="1427"/>
      <c r="E51" s="1436">
        <f ca="1">SUM(COUNTIFS('Luong- Phan bo'!$F:$F,C51,'Luong- Phan bo'!$G:$G,C44))</f>
        <v>17</v>
      </c>
      <c r="F51" s="1444">
        <f ca="1">G51/E51</f>
        <v>101725.79316888047</v>
      </c>
      <c r="G51" s="1437">
        <f>SUMIFS('Luong- Phan bo'!$AP:$AP,'Luong- Phan bo'!$G:$G,'3.Luong-Tach'!C44,'Luong- Phan bo'!$F:$F,'3.Luong-Tach'!C51)*12</f>
        <v>1729338.483870968</v>
      </c>
      <c r="H51" s="1445">
        <v>17</v>
      </c>
      <c r="I51" s="1437">
        <f ca="1">H51*F51</f>
        <v>1729338.483870968</v>
      </c>
      <c r="J51" s="1445">
        <f t="shared" si="10"/>
        <v>17</v>
      </c>
      <c r="K51" s="1437">
        <f ca="1">J51*F51</f>
        <v>1729338.483870968</v>
      </c>
      <c r="L51" s="1445">
        <f t="shared" si="2"/>
        <v>17</v>
      </c>
      <c r="M51" s="1437">
        <f ca="1">L51*F51</f>
        <v>1729338.483870968</v>
      </c>
      <c r="N51" s="1445">
        <f t="shared" si="3"/>
        <v>17</v>
      </c>
      <c r="O51" s="1437">
        <f ca="1">N51*F51</f>
        <v>1729338.483870968</v>
      </c>
      <c r="P51" s="1445">
        <f t="shared" si="4"/>
        <v>17</v>
      </c>
      <c r="Q51" s="1437">
        <f ca="1">P51*F51</f>
        <v>1729338.483870968</v>
      </c>
      <c r="R51" s="1445">
        <f t="shared" si="5"/>
        <v>17</v>
      </c>
      <c r="S51" s="1437">
        <f ca="1">R51*F51</f>
        <v>1729338.483870968</v>
      </c>
      <c r="T51" s="1445">
        <f t="shared" si="6"/>
        <v>17</v>
      </c>
      <c r="U51" s="1437">
        <f t="shared" ref="U51" ca="1" si="45">T51*F51</f>
        <v>1729338.483870968</v>
      </c>
      <c r="V51" s="1445">
        <f t="shared" si="7"/>
        <v>17</v>
      </c>
      <c r="W51" s="1437">
        <f ca="1">V51*F51</f>
        <v>1729338.483870968</v>
      </c>
      <c r="X51" s="1445">
        <f t="shared" si="8"/>
        <v>17</v>
      </c>
      <c r="Y51" s="1437">
        <f ca="1">X51*F51</f>
        <v>1729338.483870968</v>
      </c>
      <c r="Z51" s="1445">
        <f t="shared" si="9"/>
        <v>17</v>
      </c>
      <c r="AA51" s="1437">
        <f ca="1">Z51*F51</f>
        <v>1729338.483870968</v>
      </c>
    </row>
    <row r="52" spans="2:27" x14ac:dyDescent="0.25">
      <c r="B52" s="1421">
        <v>642</v>
      </c>
      <c r="C52" s="1420" t="s">
        <v>1531</v>
      </c>
      <c r="D52" s="1438"/>
      <c r="E52" s="1427"/>
      <c r="F52" s="1427"/>
      <c r="G52" s="1442">
        <f>G51*G6/G5</f>
        <v>942662.8829367609</v>
      </c>
      <c r="H52" s="1445"/>
      <c r="I52" s="1442">
        <f ca="1">I51*I6/I5</f>
        <v>1004101.0301720464</v>
      </c>
      <c r="J52" s="1445">
        <f t="shared" si="10"/>
        <v>0</v>
      </c>
      <c r="K52" s="1442">
        <f ca="1">K51*K6/K5</f>
        <v>1004101.0301720464</v>
      </c>
      <c r="L52" s="1445">
        <f t="shared" si="2"/>
        <v>0</v>
      </c>
      <c r="M52" s="1442">
        <f ca="1">M51*M6/M5</f>
        <v>1004101.0301720465</v>
      </c>
      <c r="N52" s="1445"/>
      <c r="O52" s="1442">
        <f ca="1">O51*O6/O5</f>
        <v>1004101.0301720465</v>
      </c>
      <c r="P52" s="1445">
        <f t="shared" si="4"/>
        <v>0</v>
      </c>
      <c r="Q52" s="1442">
        <f ca="1">Q51*Q6/Q5</f>
        <v>1004101.0301720464</v>
      </c>
      <c r="R52" s="1445">
        <f t="shared" si="5"/>
        <v>0</v>
      </c>
      <c r="S52" s="1442">
        <f ca="1">S51*S6/S5</f>
        <v>1004101.0301720464</v>
      </c>
      <c r="T52" s="1445">
        <f t="shared" si="6"/>
        <v>0</v>
      </c>
      <c r="U52" s="1442">
        <f ca="1">U51*U6/U5</f>
        <v>1004101.0301720465</v>
      </c>
      <c r="V52" s="1445">
        <f t="shared" si="7"/>
        <v>0</v>
      </c>
      <c r="W52" s="1442">
        <f ca="1">W51*W6/W5</f>
        <v>1004101.0301720464</v>
      </c>
      <c r="X52" s="1445"/>
      <c r="Y52" s="1442">
        <f ca="1">Y51*Y6/Y5</f>
        <v>1004101.0301720465</v>
      </c>
      <c r="Z52" s="1445"/>
      <c r="AA52" s="1442">
        <f ca="1">AA51*AA6/AA5</f>
        <v>1004101.0301720465</v>
      </c>
    </row>
    <row r="53" spans="2:27" x14ac:dyDescent="0.25">
      <c r="B53" s="1421">
        <v>642</v>
      </c>
      <c r="C53" s="1420" t="s">
        <v>1659</v>
      </c>
      <c r="D53" s="1438"/>
      <c r="E53" s="1427"/>
      <c r="F53" s="1427"/>
      <c r="G53" s="1442">
        <f>G51*G7/G5</f>
        <v>31310.516043710239</v>
      </c>
      <c r="H53" s="1445"/>
      <c r="I53" s="1442">
        <f ca="1">I51*I7/I5</f>
        <v>43521.243630056917</v>
      </c>
      <c r="J53" s="1445">
        <f t="shared" si="10"/>
        <v>0</v>
      </c>
      <c r="K53" s="1442">
        <f ca="1">K51*K7/K5</f>
        <v>43521.24363005691</v>
      </c>
      <c r="L53" s="1445">
        <f t="shared" si="2"/>
        <v>0</v>
      </c>
      <c r="M53" s="1442">
        <f ca="1">M51*M7/M5</f>
        <v>43521.24363005691</v>
      </c>
      <c r="N53" s="1445"/>
      <c r="O53" s="1442">
        <f ca="1">O51*O7/O5</f>
        <v>43521.243630056902</v>
      </c>
      <c r="P53" s="1445">
        <f t="shared" si="4"/>
        <v>0</v>
      </c>
      <c r="Q53" s="1442">
        <f ca="1">Q51*Q7/Q5</f>
        <v>43521.24363005691</v>
      </c>
      <c r="R53" s="1445">
        <f t="shared" si="5"/>
        <v>0</v>
      </c>
      <c r="S53" s="1442">
        <f ca="1">S51*S7/S5</f>
        <v>43521.243630056902</v>
      </c>
      <c r="T53" s="1445">
        <f t="shared" si="6"/>
        <v>0</v>
      </c>
      <c r="U53" s="1442">
        <f ca="1">U51*U7/U5</f>
        <v>43521.243630056902</v>
      </c>
      <c r="V53" s="1445">
        <f t="shared" si="7"/>
        <v>0</v>
      </c>
      <c r="W53" s="1442">
        <f ca="1">W51*W7/W5</f>
        <v>43521.24363005691</v>
      </c>
      <c r="X53" s="1445"/>
      <c r="Y53" s="1442">
        <f ca="1">Y51*Y7/Y5</f>
        <v>43521.24363005691</v>
      </c>
      <c r="Z53" s="1445"/>
      <c r="AA53" s="1442">
        <f ca="1">AA51*AA7/AA5</f>
        <v>43521.24363005691</v>
      </c>
    </row>
    <row r="54" spans="2:27" x14ac:dyDescent="0.25">
      <c r="B54" s="1421">
        <v>642</v>
      </c>
      <c r="C54" s="1420" t="s">
        <v>1789</v>
      </c>
      <c r="D54" s="1427"/>
      <c r="E54" s="1427"/>
      <c r="F54" s="1427"/>
      <c r="G54" s="1442">
        <f>G51*G9/G5</f>
        <v>341000.88593215583</v>
      </c>
      <c r="H54" s="1445"/>
      <c r="I54" s="1442">
        <f ca="1">I51*I9/I5</f>
        <v>344346.59284225298</v>
      </c>
      <c r="J54" s="1445"/>
      <c r="K54" s="1442">
        <f ca="1">K51*K9/K5</f>
        <v>344346.59284225298</v>
      </c>
      <c r="L54" s="1445"/>
      <c r="M54" s="1442">
        <f ca="1">M51*M9/M5</f>
        <v>344346.59284225293</v>
      </c>
      <c r="N54" s="1445"/>
      <c r="O54" s="1442">
        <f ca="1">O51*O9/O5</f>
        <v>344346.59284225298</v>
      </c>
      <c r="P54" s="1445"/>
      <c r="Q54" s="1442">
        <f ca="1">Q51*Q9/Q5</f>
        <v>344346.59284225304</v>
      </c>
      <c r="R54" s="1445"/>
      <c r="S54" s="1442">
        <f ca="1">S51*S9/S5</f>
        <v>344346.59284225304</v>
      </c>
      <c r="T54" s="1445"/>
      <c r="U54" s="1442">
        <f ca="1">U51*U9/U5</f>
        <v>344346.59284225298</v>
      </c>
      <c r="V54" s="1445"/>
      <c r="W54" s="1442">
        <f ca="1">W51*W9/W5</f>
        <v>344346.59284225304</v>
      </c>
      <c r="X54" s="1445"/>
      <c r="Y54" s="1442">
        <f ca="1">Y51*Y9/Y5</f>
        <v>344346.59284225304</v>
      </c>
      <c r="Z54" s="1445"/>
      <c r="AA54" s="1442">
        <f ca="1">AA51*AA9/AA5</f>
        <v>344346.5928422531</v>
      </c>
    </row>
    <row r="55" spans="2:27" x14ac:dyDescent="0.25">
      <c r="B55" s="1421">
        <v>642</v>
      </c>
      <c r="C55" s="1420" t="s">
        <v>1790</v>
      </c>
      <c r="D55" s="1427"/>
      <c r="E55" s="1427"/>
      <c r="F55" s="1427"/>
      <c r="G55" s="1442">
        <f>G51*G8/G5</f>
        <v>414364.19895834109</v>
      </c>
      <c r="H55" s="1445"/>
      <c r="I55" s="1442">
        <f ca="1">I51*I8/I5</f>
        <v>337369.61722661165</v>
      </c>
      <c r="J55" s="1445"/>
      <c r="K55" s="1442">
        <f ca="1">K51*K8/K5</f>
        <v>337369.61722661165</v>
      </c>
      <c r="L55" s="1445"/>
      <c r="M55" s="1442">
        <f ca="1">M51*M8/M5</f>
        <v>337369.61722661165</v>
      </c>
      <c r="N55" s="1445"/>
      <c r="O55" s="1442">
        <f ca="1">O51*O8/O5</f>
        <v>337369.61722661165</v>
      </c>
      <c r="P55" s="1445"/>
      <c r="Q55" s="1442">
        <f ca="1">Q51*Q8/Q5</f>
        <v>337369.61722661171</v>
      </c>
      <c r="R55" s="1445"/>
      <c r="S55" s="1442">
        <f ca="1">S51*S8/S5</f>
        <v>337369.61722661159</v>
      </c>
      <c r="T55" s="1445"/>
      <c r="U55" s="1442">
        <f ca="1">U51*U8/U5</f>
        <v>337369.61722661165</v>
      </c>
      <c r="V55" s="1445"/>
      <c r="W55" s="1442">
        <f ca="1">W51*W8/W5</f>
        <v>337369.61722661159</v>
      </c>
      <c r="X55" s="1445"/>
      <c r="Y55" s="1442">
        <f ca="1">Y51*Y8/Y5</f>
        <v>337369.61722661159</v>
      </c>
      <c r="Z55" s="1445"/>
      <c r="AA55" s="1442">
        <f ca="1">AA51*AA8/AA5</f>
        <v>337369.61722661171</v>
      </c>
    </row>
    <row r="56" spans="2:27" x14ac:dyDescent="0.25">
      <c r="C56" s="1427"/>
      <c r="D56" s="1427"/>
      <c r="E56" s="1427"/>
      <c r="F56" s="1427"/>
      <c r="G56" s="1442"/>
      <c r="H56" s="1445"/>
      <c r="J56" s="1445">
        <f t="shared" si="10"/>
        <v>0</v>
      </c>
      <c r="L56" s="1445">
        <f t="shared" si="2"/>
        <v>0</v>
      </c>
      <c r="N56" s="1445">
        <f t="shared" si="3"/>
        <v>0</v>
      </c>
      <c r="P56" s="1445">
        <f t="shared" si="4"/>
        <v>0</v>
      </c>
      <c r="R56" s="1445">
        <f t="shared" si="5"/>
        <v>0</v>
      </c>
      <c r="T56" s="1445">
        <f t="shared" si="6"/>
        <v>0</v>
      </c>
      <c r="V56" s="1445">
        <f t="shared" si="7"/>
        <v>0</v>
      </c>
      <c r="X56" s="1445">
        <f t="shared" si="8"/>
        <v>0</v>
      </c>
      <c r="Z56" s="1445">
        <f t="shared" si="9"/>
        <v>0</v>
      </c>
    </row>
    <row r="57" spans="2:27" x14ac:dyDescent="0.25">
      <c r="C57" s="1427"/>
      <c r="D57" s="1427"/>
      <c r="E57" s="1427"/>
      <c r="F57" s="1427"/>
      <c r="G57" s="1442"/>
      <c r="H57" s="1445"/>
      <c r="J57" s="1445"/>
      <c r="L57" s="1445"/>
      <c r="N57" s="1445"/>
      <c r="P57" s="1445"/>
      <c r="R57" s="1445"/>
      <c r="T57" s="1445"/>
      <c r="V57" s="1445"/>
      <c r="X57" s="1445"/>
      <c r="Z57" s="1445"/>
    </row>
    <row r="58" spans="2:27" s="306" customFormat="1" x14ac:dyDescent="0.25">
      <c r="C58" s="1477" t="s">
        <v>615</v>
      </c>
      <c r="G58" s="1478">
        <f>G44+G33+G16+G11</f>
        <v>19142711.862096775</v>
      </c>
      <c r="H58" s="1478">
        <f t="shared" ref="H58:AA58" si="46">H44+H33+H16+H11</f>
        <v>170</v>
      </c>
      <c r="I58" s="1478">
        <f ca="1">I44+I33+I16+I11</f>
        <v>19142711.862096779</v>
      </c>
      <c r="J58" s="1478">
        <f t="shared" si="46"/>
        <v>170</v>
      </c>
      <c r="K58" s="1478">
        <f t="shared" ca="1" si="46"/>
        <v>19142711.862096779</v>
      </c>
      <c r="L58" s="1478">
        <f t="shared" si="46"/>
        <v>170</v>
      </c>
      <c r="M58" s="1478">
        <f t="shared" ca="1" si="46"/>
        <v>19142711.862096779</v>
      </c>
      <c r="N58" s="1478">
        <f t="shared" si="46"/>
        <v>170</v>
      </c>
      <c r="O58" s="1478">
        <f t="shared" ca="1" si="46"/>
        <v>19142711.862096779</v>
      </c>
      <c r="P58" s="1478">
        <f t="shared" si="46"/>
        <v>170</v>
      </c>
      <c r="Q58" s="1478">
        <f t="shared" ca="1" si="46"/>
        <v>19142711.862096779</v>
      </c>
      <c r="R58" s="1478">
        <f t="shared" si="46"/>
        <v>170</v>
      </c>
      <c r="S58" s="1478">
        <f t="shared" ca="1" si="46"/>
        <v>19142711.862096779</v>
      </c>
      <c r="T58" s="1478">
        <f t="shared" si="46"/>
        <v>170</v>
      </c>
      <c r="U58" s="1478">
        <f t="shared" ca="1" si="46"/>
        <v>19142711.862096779</v>
      </c>
      <c r="V58" s="1478">
        <f t="shared" si="46"/>
        <v>170</v>
      </c>
      <c r="W58" s="1478">
        <f t="shared" ca="1" si="46"/>
        <v>19142711.862096779</v>
      </c>
      <c r="X58" s="1478">
        <f t="shared" si="46"/>
        <v>170</v>
      </c>
      <c r="Y58" s="1478">
        <f t="shared" ca="1" si="46"/>
        <v>19142711.862096779</v>
      </c>
      <c r="Z58" s="1478">
        <f t="shared" si="46"/>
        <v>170</v>
      </c>
      <c r="AA58" s="1478">
        <f t="shared" ca="1" si="46"/>
        <v>19142711.862096779</v>
      </c>
    </row>
    <row r="59" spans="2:27" x14ac:dyDescent="0.25">
      <c r="H59" s="1447"/>
    </row>
    <row r="60" spans="2:27" x14ac:dyDescent="0.25">
      <c r="H60" s="1447"/>
    </row>
    <row r="61" spans="2:27" x14ac:dyDescent="0.25">
      <c r="H61" s="1447"/>
    </row>
    <row r="62" spans="2:27" x14ac:dyDescent="0.25">
      <c r="H62" s="1447"/>
    </row>
    <row r="63" spans="2:27" x14ac:dyDescent="0.25">
      <c r="H63" s="1447"/>
    </row>
    <row r="64" spans="2:27" x14ac:dyDescent="0.25">
      <c r="H64" s="1447"/>
    </row>
    <row r="65" spans="8:8" x14ac:dyDescent="0.25">
      <c r="H65" s="1447"/>
    </row>
  </sheetData>
  <printOptions horizontalCentered="1"/>
  <pageMargins left="0.51181102362204722" right="0.11811023622047245" top="0.35433070866141736" bottom="0" header="0.31496062992125984" footer="0.31496062992125984"/>
  <pageSetup paperSize="9" scale="85" orientation="landscape" r:id="rId1"/>
  <ignoredErrors>
    <ignoredError sqref="E58:F58 E15:AA15 E43:AA44 E34:AA34 E36:AA37 E35 H35:AA35 E13 H13:AA13 E14:F14 H14:AA14 E21:AA21 E17:F17 H17:AA17 E18:F18 H18:AA18 E19:F19 H19:AA19 E23:AA24 E22:F22 H22:AA22 E26:AA29 E25:F25 H25:AA25 E39:AA40 E38:F38 H38:AA38 E46:AA47 E45:F45 H45:AA45 E49:AA50 E48:F48 H48:AA48 E52:AA56 E51:F51 H51:AA51 E33:F33 E16:F16 E20:F20 H20 J20:AA20" formula="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CB3A8-02EC-46BC-AE74-F03F86ACBB71}">
  <sheetPr>
    <tabColor theme="8" tint="0.39997558519241921"/>
  </sheetPr>
  <dimension ref="B2:M44"/>
  <sheetViews>
    <sheetView showGridLines="0" zoomScale="85" zoomScaleNormal="85" workbookViewId="0">
      <pane xSplit="2" ySplit="7" topLeftCell="C8" activePane="bottomRight" state="frozen"/>
      <selection activeCell="G37" sqref="G37"/>
      <selection pane="topRight" activeCell="G37" sqref="G37"/>
      <selection pane="bottomLeft" activeCell="G37" sqref="G37"/>
      <selection pane="bottomRight" activeCell="B19" sqref="B19"/>
    </sheetView>
  </sheetViews>
  <sheetFormatPr defaultColWidth="9.140625" defaultRowHeight="15" x14ac:dyDescent="0.25"/>
  <cols>
    <col min="1" max="1" width="5.42578125" customWidth="1"/>
    <col min="2" max="2" width="45.28515625" bestFit="1" customWidth="1"/>
    <col min="3" max="3" width="10.7109375" customWidth="1"/>
    <col min="4" max="13" width="14.28515625" bestFit="1" customWidth="1"/>
  </cols>
  <sheetData>
    <row r="2" spans="2:13" x14ac:dyDescent="0.25">
      <c r="B2" s="1" t="s">
        <v>966</v>
      </c>
    </row>
    <row r="4" spans="2:13" x14ac:dyDescent="0.25">
      <c r="B4" s="1" t="s">
        <v>246</v>
      </c>
      <c r="C4" s="129"/>
      <c r="D4" s="506">
        <f>'[29]PL2. Kịch bản SX'!G4</f>
        <v>2024</v>
      </c>
      <c r="E4" s="506">
        <f>'[29]PL2. Kịch bản SX'!H4</f>
        <v>2025</v>
      </c>
      <c r="F4" s="506">
        <f>'[29]PL2. Kịch bản SX'!I4</f>
        <v>2026</v>
      </c>
      <c r="G4" s="506">
        <f>'[29]PL2. Kịch bản SX'!J4</f>
        <v>2027</v>
      </c>
      <c r="H4" s="506">
        <f>'[29]PL2. Kịch bản SX'!K4</f>
        <v>2028</v>
      </c>
      <c r="I4" s="506">
        <f>'[29]PL2. Kịch bản SX'!L4</f>
        <v>2029</v>
      </c>
      <c r="J4" s="506">
        <f>'[29]PL2. Kịch bản SX'!M4</f>
        <v>2030</v>
      </c>
      <c r="K4" s="506">
        <f>'[29]PL2. Kịch bản SX'!N4</f>
        <v>2031</v>
      </c>
      <c r="L4" s="506">
        <f>'[29]PL2. Kịch bản SX'!O4</f>
        <v>2032</v>
      </c>
      <c r="M4" s="506">
        <f>'[29]PL2. Kịch bản SX'!P4</f>
        <v>2033</v>
      </c>
    </row>
    <row r="5" spans="2:13" x14ac:dyDescent="0.25">
      <c r="B5" s="9" t="s">
        <v>759</v>
      </c>
      <c r="C5" s="129"/>
      <c r="D5" s="507">
        <v>1</v>
      </c>
      <c r="E5" s="507">
        <f t="shared" ref="E5:M5" si="0">D5+1</f>
        <v>2</v>
      </c>
      <c r="F5" s="507">
        <f t="shared" si="0"/>
        <v>3</v>
      </c>
      <c r="G5" s="507">
        <f t="shared" si="0"/>
        <v>4</v>
      </c>
      <c r="H5" s="507">
        <f t="shared" si="0"/>
        <v>5</v>
      </c>
      <c r="I5" s="507">
        <f t="shared" si="0"/>
        <v>6</v>
      </c>
      <c r="J5" s="507">
        <f t="shared" si="0"/>
        <v>7</v>
      </c>
      <c r="K5" s="507">
        <f t="shared" si="0"/>
        <v>8</v>
      </c>
      <c r="L5" s="507">
        <f t="shared" si="0"/>
        <v>9</v>
      </c>
      <c r="M5" s="507">
        <f t="shared" si="0"/>
        <v>10</v>
      </c>
    </row>
    <row r="6" spans="2:13" x14ac:dyDescent="0.25">
      <c r="B6" s="9" t="str">
        <f>'3. Doanh thu'!B16</f>
        <v>Tỷ lệ vận hành bê tông</v>
      </c>
      <c r="C6" s="129"/>
      <c r="D6" s="508">
        <f>'3. Doanh thu'!E16</f>
        <v>0.15</v>
      </c>
      <c r="E6" s="508">
        <f>'3. Doanh thu'!F16</f>
        <v>0.15</v>
      </c>
      <c r="F6" s="508">
        <f>'3. Doanh thu'!G16</f>
        <v>0.15</v>
      </c>
      <c r="G6" s="508">
        <f>'3. Doanh thu'!H16</f>
        <v>0.15</v>
      </c>
      <c r="H6" s="508">
        <f>'3. Doanh thu'!I16</f>
        <v>0.15</v>
      </c>
      <c r="I6" s="508">
        <f>'3. Doanh thu'!J16</f>
        <v>0.15</v>
      </c>
      <c r="J6" s="508">
        <f>'3. Doanh thu'!K16</f>
        <v>0.15</v>
      </c>
      <c r="K6" s="508">
        <f>'3. Doanh thu'!L16</f>
        <v>0.15</v>
      </c>
      <c r="L6" s="508">
        <f>'3. Doanh thu'!M16</f>
        <v>0.15</v>
      </c>
      <c r="M6" s="508">
        <f>'3. Doanh thu'!N16</f>
        <v>0.15</v>
      </c>
    </row>
    <row r="7" spans="2:13" x14ac:dyDescent="0.25">
      <c r="B7" s="9" t="str">
        <f>'3. Doanh thu'!B17</f>
        <v>Tỷ lệ vận hành gạch</v>
      </c>
      <c r="C7" s="129"/>
      <c r="D7" s="508">
        <f>'3. Doanh thu'!E17</f>
        <v>0.4</v>
      </c>
      <c r="E7" s="508">
        <f>'3. Doanh thu'!F17</f>
        <v>0.4</v>
      </c>
      <c r="F7" s="508">
        <f>'3. Doanh thu'!G17</f>
        <v>0.4</v>
      </c>
      <c r="G7" s="508">
        <f>'3. Doanh thu'!H17</f>
        <v>0.4</v>
      </c>
      <c r="H7" s="508">
        <f>'3. Doanh thu'!I17</f>
        <v>0.4</v>
      </c>
      <c r="I7" s="508">
        <f>'3. Doanh thu'!J17</f>
        <v>0.4</v>
      </c>
      <c r="J7" s="508">
        <f>'3. Doanh thu'!K17</f>
        <v>0.4</v>
      </c>
      <c r="K7" s="508">
        <f>'3. Doanh thu'!L17</f>
        <v>0.4</v>
      </c>
      <c r="L7" s="508">
        <f>'3. Doanh thu'!M17</f>
        <v>0.4</v>
      </c>
      <c r="M7" s="508">
        <f>'3. Doanh thu'!N17</f>
        <v>0.4</v>
      </c>
    </row>
    <row r="9" spans="2:13" s="1" customFormat="1" x14ac:dyDescent="0.25">
      <c r="B9" s="313" t="s">
        <v>1364</v>
      </c>
      <c r="C9" s="313"/>
      <c r="D9" s="313">
        <f>SUM(D10:D13)</f>
        <v>170</v>
      </c>
      <c r="E9" s="313">
        <f t="shared" ref="E9:M9" si="1">SUM(E10:E13)</f>
        <v>170</v>
      </c>
      <c r="F9" s="313">
        <f t="shared" si="1"/>
        <v>170</v>
      </c>
      <c r="G9" s="313">
        <f t="shared" si="1"/>
        <v>170</v>
      </c>
      <c r="H9" s="313">
        <f t="shared" si="1"/>
        <v>170</v>
      </c>
      <c r="I9" s="313">
        <f t="shared" si="1"/>
        <v>170</v>
      </c>
      <c r="J9" s="313">
        <f t="shared" si="1"/>
        <v>170</v>
      </c>
      <c r="K9" s="313">
        <f t="shared" si="1"/>
        <v>170</v>
      </c>
      <c r="L9" s="313">
        <f t="shared" si="1"/>
        <v>170</v>
      </c>
      <c r="M9" s="313">
        <f t="shared" si="1"/>
        <v>170</v>
      </c>
    </row>
    <row r="10" spans="2:13" s="1" customFormat="1" x14ac:dyDescent="0.25">
      <c r="B10" s="1427" t="s">
        <v>960</v>
      </c>
      <c r="C10" s="129" t="s">
        <v>967</v>
      </c>
      <c r="D10" s="129">
        <f>'3.Luong-Tach'!H11</f>
        <v>29</v>
      </c>
      <c r="E10" s="129">
        <f>'3.Luong-Tach'!J11</f>
        <v>29</v>
      </c>
      <c r="F10" s="129">
        <f>'3.Luong-Tach'!L11</f>
        <v>29</v>
      </c>
      <c r="G10" s="129">
        <f>'3.Luong-Tach'!N11</f>
        <v>29</v>
      </c>
      <c r="H10" s="129">
        <f>'3.Luong-Tach'!P11</f>
        <v>29</v>
      </c>
      <c r="I10" s="129">
        <f>'3.Luong-Tach'!R11</f>
        <v>29</v>
      </c>
      <c r="J10" s="129">
        <f>'3.Luong-Tach'!T11</f>
        <v>29</v>
      </c>
      <c r="K10" s="129">
        <f>'3.Luong-Tach'!V11</f>
        <v>29</v>
      </c>
      <c r="L10" s="129">
        <f>'3.Luong-Tach'!X11</f>
        <v>29</v>
      </c>
      <c r="M10" s="129">
        <f>'3.Luong-Tach'!Z11</f>
        <v>29</v>
      </c>
    </row>
    <row r="11" spans="2:13" s="1" customFormat="1" x14ac:dyDescent="0.25">
      <c r="B11" s="1427" t="s">
        <v>1363</v>
      </c>
      <c r="C11" s="129" t="s">
        <v>967</v>
      </c>
      <c r="D11" s="129">
        <f>'3.Luong-Tach'!H16</f>
        <v>81</v>
      </c>
      <c r="E11" s="129">
        <f>'3.Luong-Tach'!J16</f>
        <v>81</v>
      </c>
      <c r="F11" s="129">
        <f>'3.Luong-Tach'!L16</f>
        <v>81</v>
      </c>
      <c r="G11" s="129">
        <f>'3.Luong-Tach'!N16</f>
        <v>81</v>
      </c>
      <c r="H11" s="129">
        <f>'3.Luong-Tach'!P16</f>
        <v>81</v>
      </c>
      <c r="I11" s="129">
        <f>'3.Luong-Tach'!R16</f>
        <v>81</v>
      </c>
      <c r="J11" s="129">
        <f>'3.Luong-Tach'!T16</f>
        <v>81</v>
      </c>
      <c r="K11" s="129">
        <f>'3.Luong-Tach'!V16</f>
        <v>81</v>
      </c>
      <c r="L11" s="129">
        <f>'3.Luong-Tach'!X16</f>
        <v>81</v>
      </c>
      <c r="M11" s="129">
        <f>'3.Luong-Tach'!Z16</f>
        <v>81</v>
      </c>
    </row>
    <row r="12" spans="2:13" x14ac:dyDescent="0.25">
      <c r="B12" s="1427" t="s">
        <v>1793</v>
      </c>
      <c r="C12" s="129" t="s">
        <v>967</v>
      </c>
      <c r="D12" s="129">
        <f>'3.Luong-Tach'!H33</f>
        <v>26</v>
      </c>
      <c r="E12" s="129">
        <f>'3.Luong-Tach'!J33</f>
        <v>26</v>
      </c>
      <c r="F12" s="129">
        <f>'3.Luong-Tach'!L33</f>
        <v>26</v>
      </c>
      <c r="G12" s="129">
        <f>'3.Luong-Tach'!N33</f>
        <v>26</v>
      </c>
      <c r="H12" s="129">
        <f>'3.Luong-Tach'!P33</f>
        <v>26</v>
      </c>
      <c r="I12" s="129">
        <f>'3.Luong-Tach'!R33</f>
        <v>26</v>
      </c>
      <c r="J12" s="129">
        <f>'3.Luong-Tach'!T33</f>
        <v>26</v>
      </c>
      <c r="K12" s="129">
        <f>'3.Luong-Tach'!V33</f>
        <v>26</v>
      </c>
      <c r="L12" s="129">
        <f>'3.Luong-Tach'!X33</f>
        <v>26</v>
      </c>
      <c r="M12" s="129">
        <f>'3.Luong-Tach'!Z33</f>
        <v>26</v>
      </c>
    </row>
    <row r="13" spans="2:13" x14ac:dyDescent="0.25">
      <c r="B13" s="1464" t="s">
        <v>1792</v>
      </c>
      <c r="C13" s="129" t="s">
        <v>967</v>
      </c>
      <c r="D13" s="129">
        <f>'3.Luong-Tach'!H44</f>
        <v>34</v>
      </c>
      <c r="E13" s="129">
        <f>'3.Luong-Tach'!J44</f>
        <v>34</v>
      </c>
      <c r="F13" s="129">
        <f>'3.Luong-Tach'!L44</f>
        <v>34</v>
      </c>
      <c r="G13" s="129">
        <f>'3.Luong-Tach'!N44</f>
        <v>34</v>
      </c>
      <c r="H13" s="129">
        <f>'3.Luong-Tach'!P44</f>
        <v>34</v>
      </c>
      <c r="I13" s="129">
        <f>'3.Luong-Tach'!R44</f>
        <v>34</v>
      </c>
      <c r="J13" s="129">
        <f>'3.Luong-Tach'!T44</f>
        <v>34</v>
      </c>
      <c r="K13" s="129">
        <f>'3.Luong-Tach'!V44</f>
        <v>34</v>
      </c>
      <c r="L13" s="129">
        <f>'3.Luong-Tach'!X44</f>
        <v>34</v>
      </c>
      <c r="M13" s="129">
        <f>'3.Luong-Tach'!Z44</f>
        <v>34</v>
      </c>
    </row>
    <row r="16" spans="2:13" x14ac:dyDescent="0.25">
      <c r="B16" s="1229" t="s">
        <v>1362</v>
      </c>
      <c r="C16" s="313"/>
      <c r="D16" s="1472">
        <f ca="1">D17+D23+D29+D35</f>
        <v>19079161.824389633</v>
      </c>
      <c r="E16" s="1472">
        <f t="shared" ref="E16:M16" ca="1" si="2">E17+E23+E29+E35</f>
        <v>19079161.824389633</v>
      </c>
      <c r="F16" s="1472">
        <f t="shared" ca="1" si="2"/>
        <v>19079161.824389633</v>
      </c>
      <c r="G16" s="1472">
        <f t="shared" ca="1" si="2"/>
        <v>19079161.824389633</v>
      </c>
      <c r="H16" s="1472">
        <f t="shared" ca="1" si="2"/>
        <v>19079161.824389633</v>
      </c>
      <c r="I16" s="1472">
        <f t="shared" ca="1" si="2"/>
        <v>19079161.824389633</v>
      </c>
      <c r="J16" s="1472">
        <f t="shared" ca="1" si="2"/>
        <v>19079161.824389633</v>
      </c>
      <c r="K16" s="1472">
        <f t="shared" ca="1" si="2"/>
        <v>19079161.824389633</v>
      </c>
      <c r="L16" s="1472">
        <f t="shared" ca="1" si="2"/>
        <v>19079161.824389633</v>
      </c>
      <c r="M16" s="1472">
        <f t="shared" ca="1" si="2"/>
        <v>19079161.824389633</v>
      </c>
    </row>
    <row r="17" spans="2:13" s="1" customFormat="1" x14ac:dyDescent="0.25">
      <c r="B17" s="1" t="s">
        <v>960</v>
      </c>
      <c r="D17" s="7">
        <f ca="1">SUM(D18:D22)</f>
        <v>2696033.571774194</v>
      </c>
      <c r="E17" s="7">
        <f t="shared" ref="E17:M17" ca="1" si="3">SUM(E18:E22)</f>
        <v>2696033.571774194</v>
      </c>
      <c r="F17" s="7">
        <f t="shared" ca="1" si="3"/>
        <v>2696033.571774194</v>
      </c>
      <c r="G17" s="7">
        <f t="shared" ca="1" si="3"/>
        <v>2696033.571774194</v>
      </c>
      <c r="H17" s="7">
        <f t="shared" ca="1" si="3"/>
        <v>2696033.571774194</v>
      </c>
      <c r="I17" s="7">
        <f t="shared" ca="1" si="3"/>
        <v>2696033.571774194</v>
      </c>
      <c r="J17" s="7">
        <f t="shared" ca="1" si="3"/>
        <v>2696033.571774194</v>
      </c>
      <c r="K17" s="7">
        <f t="shared" ca="1" si="3"/>
        <v>2696033.571774194</v>
      </c>
      <c r="L17" s="7">
        <f t="shared" ca="1" si="3"/>
        <v>2696033.571774194</v>
      </c>
      <c r="M17" s="7">
        <f t="shared" ca="1" si="3"/>
        <v>2696033.571774194</v>
      </c>
    </row>
    <row r="18" spans="2:13" s="9" customFormat="1" x14ac:dyDescent="0.25">
      <c r="B18" s="689" t="s">
        <v>1505</v>
      </c>
      <c r="C18" s="9" t="s">
        <v>1799</v>
      </c>
      <c r="D18" s="115">
        <f ca="1">SUMIFS('3.Luong-Tach'!$I:$I,'3.Luong-Tach'!$C:$C,'3. CP-Luong'!$B18,'3.Luong-Tach'!$B:$B,"622")</f>
        <v>1843732.0645161292</v>
      </c>
      <c r="E18" s="115">
        <f ca="1">SUMIFS('3.Luong-Tach'!$I:$I,'3.Luong-Tach'!$C:$C,'3. CP-Luong'!$B18,'3.Luong-Tach'!$B:$B,"622")</f>
        <v>1843732.0645161292</v>
      </c>
      <c r="F18" s="115">
        <f ca="1">SUMIFS('3.Luong-Tach'!$I:$I,'3.Luong-Tach'!$C:$C,'3. CP-Luong'!$B18,'3.Luong-Tach'!$B:$B,"622")</f>
        <v>1843732.0645161292</v>
      </c>
      <c r="G18" s="115">
        <f ca="1">SUMIFS('3.Luong-Tach'!$I:$I,'3.Luong-Tach'!$C:$C,'3. CP-Luong'!$B18,'3.Luong-Tach'!$B:$B,"622")</f>
        <v>1843732.0645161292</v>
      </c>
      <c r="H18" s="115">
        <f ca="1">SUMIFS('3.Luong-Tach'!$I:$I,'3.Luong-Tach'!$C:$C,'3. CP-Luong'!$B18,'3.Luong-Tach'!$B:$B,"622")</f>
        <v>1843732.0645161292</v>
      </c>
      <c r="I18" s="115">
        <f ca="1">SUMIFS('3.Luong-Tach'!$I:$I,'3.Luong-Tach'!$C:$C,'3. CP-Luong'!$B18,'3.Luong-Tach'!$B:$B,"622")</f>
        <v>1843732.0645161292</v>
      </c>
      <c r="J18" s="115">
        <f ca="1">SUMIFS('3.Luong-Tach'!$I:$I,'3.Luong-Tach'!$C:$C,'3. CP-Luong'!$B18,'3.Luong-Tach'!$B:$B,"622")</f>
        <v>1843732.0645161292</v>
      </c>
      <c r="K18" s="115">
        <f ca="1">SUMIFS('3.Luong-Tach'!$I:$I,'3.Luong-Tach'!$C:$C,'3. CP-Luong'!$B18,'3.Luong-Tach'!$B:$B,"622")</f>
        <v>1843732.0645161292</v>
      </c>
      <c r="L18" s="115">
        <f ca="1">SUMIFS('3.Luong-Tach'!$I:$I,'3.Luong-Tach'!$C:$C,'3. CP-Luong'!$B18,'3.Luong-Tach'!$B:$B,"622")</f>
        <v>1843732.0645161292</v>
      </c>
      <c r="M18" s="115">
        <f ca="1">SUMIFS('3.Luong-Tach'!$I:$I,'3.Luong-Tach'!$C:$C,'3. CP-Luong'!$B18,'3.Luong-Tach'!$B:$B,"622")</f>
        <v>1843732.0645161292</v>
      </c>
    </row>
    <row r="19" spans="2:13" s="9" customFormat="1" x14ac:dyDescent="0.25">
      <c r="B19" s="689" t="s">
        <v>1626</v>
      </c>
      <c r="C19" s="9" t="s">
        <v>1799</v>
      </c>
      <c r="D19" s="115">
        <f ca="1">SUMIFS('3.Luong-Tach'!$I:$I,'3.Luong-Tach'!$C:$C,'3. CP-Luong'!$B19,'3.Luong-Tach'!$B:$B,"622")</f>
        <v>852301.50725806458</v>
      </c>
      <c r="E19" s="115">
        <f ca="1">SUMIFS('3.Luong-Tach'!$I:$I,'3.Luong-Tach'!$C:$C,'3. CP-Luong'!$B19,'3.Luong-Tach'!$B:$B,"622")</f>
        <v>852301.50725806458</v>
      </c>
      <c r="F19" s="115">
        <f ca="1">SUMIFS('3.Luong-Tach'!$I:$I,'3.Luong-Tach'!$C:$C,'3. CP-Luong'!$B19,'3.Luong-Tach'!$B:$B,"622")</f>
        <v>852301.50725806458</v>
      </c>
      <c r="G19" s="115">
        <f ca="1">SUMIFS('3.Luong-Tach'!$I:$I,'3.Luong-Tach'!$C:$C,'3. CP-Luong'!$B19,'3.Luong-Tach'!$B:$B,"622")</f>
        <v>852301.50725806458</v>
      </c>
      <c r="H19" s="115">
        <f ca="1">SUMIFS('3.Luong-Tach'!$I:$I,'3.Luong-Tach'!$C:$C,'3. CP-Luong'!$B19,'3.Luong-Tach'!$B:$B,"622")</f>
        <v>852301.50725806458</v>
      </c>
      <c r="I19" s="115">
        <f ca="1">SUMIFS('3.Luong-Tach'!$I:$I,'3.Luong-Tach'!$C:$C,'3. CP-Luong'!$B19,'3.Luong-Tach'!$B:$B,"622")</f>
        <v>852301.50725806458</v>
      </c>
      <c r="J19" s="115">
        <f ca="1">SUMIFS('3.Luong-Tach'!$I:$I,'3.Luong-Tach'!$C:$C,'3. CP-Luong'!$B19,'3.Luong-Tach'!$B:$B,"622")</f>
        <v>852301.50725806458</v>
      </c>
      <c r="K19" s="115">
        <f ca="1">SUMIFS('3.Luong-Tach'!$I:$I,'3.Luong-Tach'!$C:$C,'3. CP-Luong'!$B19,'3.Luong-Tach'!$B:$B,"622")</f>
        <v>852301.50725806458</v>
      </c>
      <c r="L19" s="115">
        <f ca="1">SUMIFS('3.Luong-Tach'!$I:$I,'3.Luong-Tach'!$C:$C,'3. CP-Luong'!$B19,'3.Luong-Tach'!$B:$B,"622")</f>
        <v>852301.50725806458</v>
      </c>
      <c r="M19" s="115">
        <f ca="1">SUMIFS('3.Luong-Tach'!$I:$I,'3.Luong-Tach'!$C:$C,'3. CP-Luong'!$B19,'3.Luong-Tach'!$B:$B,"622")</f>
        <v>852301.50725806458</v>
      </c>
    </row>
    <row r="20" spans="2:13" s="9" customFormat="1" x14ac:dyDescent="0.25">
      <c r="B20" s="689" t="s">
        <v>1795</v>
      </c>
      <c r="C20" s="9" t="s">
        <v>1799</v>
      </c>
      <c r="D20" s="115">
        <f>SUMIFS('3.Luong-Tach'!$I:$I,'3.Luong-Tach'!$C:$C,'3. CP-Luong'!$B20,'3.Luong-Tach'!$B:$B,"622")</f>
        <v>0</v>
      </c>
      <c r="E20" s="115">
        <f>SUMIFS('3.Luong-Tach'!$I:$I,'3.Luong-Tach'!$C:$C,'3. CP-Luong'!$B20,'3.Luong-Tach'!$B:$B,"622")</f>
        <v>0</v>
      </c>
      <c r="F20" s="115">
        <f>SUMIFS('3.Luong-Tach'!$I:$I,'3.Luong-Tach'!$C:$C,'3. CP-Luong'!$B20,'3.Luong-Tach'!$B:$B,"622")</f>
        <v>0</v>
      </c>
      <c r="G20" s="115">
        <f>SUMIFS('3.Luong-Tach'!$I:$I,'3.Luong-Tach'!$C:$C,'3. CP-Luong'!$B20,'3.Luong-Tach'!$B:$B,"622")</f>
        <v>0</v>
      </c>
      <c r="H20" s="115">
        <f>SUMIFS('3.Luong-Tach'!$I:$I,'3.Luong-Tach'!$C:$C,'3. CP-Luong'!$B20,'3.Luong-Tach'!$B:$B,"622")</f>
        <v>0</v>
      </c>
      <c r="I20" s="115">
        <f>SUMIFS('3.Luong-Tach'!$I:$I,'3.Luong-Tach'!$C:$C,'3. CP-Luong'!$B20,'3.Luong-Tach'!$B:$B,"622")</f>
        <v>0</v>
      </c>
      <c r="J20" s="115">
        <f>SUMIFS('3.Luong-Tach'!$I:$I,'3.Luong-Tach'!$C:$C,'3. CP-Luong'!$B20,'3.Luong-Tach'!$B:$B,"622")</f>
        <v>0</v>
      </c>
      <c r="K20" s="115">
        <f>SUMIFS('3.Luong-Tach'!$I:$I,'3.Luong-Tach'!$C:$C,'3. CP-Luong'!$B20,'3.Luong-Tach'!$B:$B,"622")</f>
        <v>0</v>
      </c>
      <c r="L20" s="115">
        <f>SUMIFS('3.Luong-Tach'!$I:$I,'3.Luong-Tach'!$C:$C,'3. CP-Luong'!$B20,'3.Luong-Tach'!$B:$B,"622")</f>
        <v>0</v>
      </c>
      <c r="M20" s="115">
        <f>SUMIFS('3.Luong-Tach'!$I:$I,'3.Luong-Tach'!$C:$C,'3. CP-Luong'!$B20,'3.Luong-Tach'!$B:$B,"622")</f>
        <v>0</v>
      </c>
    </row>
    <row r="21" spans="2:13" s="9" customFormat="1" x14ac:dyDescent="0.25">
      <c r="B21" s="689" t="s">
        <v>1796</v>
      </c>
      <c r="C21" s="9" t="s">
        <v>1799</v>
      </c>
      <c r="D21" s="115">
        <f>SUMIFS('3.Luong-Tach'!$I:$I,'3.Luong-Tach'!$C:$C,'3. CP-Luong'!$B21,'3.Luong-Tach'!$B:$B,"622")</f>
        <v>0</v>
      </c>
      <c r="E21" s="115">
        <f>SUMIFS('3.Luong-Tach'!$I:$I,'3.Luong-Tach'!$C:$C,'3. CP-Luong'!$B21,'3.Luong-Tach'!$B:$B,"622")</f>
        <v>0</v>
      </c>
      <c r="F21" s="115">
        <f>SUMIFS('3.Luong-Tach'!$I:$I,'3.Luong-Tach'!$C:$C,'3. CP-Luong'!$B21,'3.Luong-Tach'!$B:$B,"622")</f>
        <v>0</v>
      </c>
      <c r="G21" s="115">
        <f>SUMIFS('3.Luong-Tach'!$I:$I,'3.Luong-Tach'!$C:$C,'3. CP-Luong'!$B21,'3.Luong-Tach'!$B:$B,"622")</f>
        <v>0</v>
      </c>
      <c r="H21" s="115">
        <f>SUMIFS('3.Luong-Tach'!$I:$I,'3.Luong-Tach'!$C:$C,'3. CP-Luong'!$B21,'3.Luong-Tach'!$B:$B,"622")</f>
        <v>0</v>
      </c>
      <c r="I21" s="115">
        <f>SUMIFS('3.Luong-Tach'!$I:$I,'3.Luong-Tach'!$C:$C,'3. CP-Luong'!$B21,'3.Luong-Tach'!$B:$B,"622")</f>
        <v>0</v>
      </c>
      <c r="J21" s="115">
        <f>SUMIFS('3.Luong-Tach'!$I:$I,'3.Luong-Tach'!$C:$C,'3. CP-Luong'!$B21,'3.Luong-Tach'!$B:$B,"622")</f>
        <v>0</v>
      </c>
      <c r="K21" s="115">
        <f>SUMIFS('3.Luong-Tach'!$I:$I,'3.Luong-Tach'!$C:$C,'3. CP-Luong'!$B21,'3.Luong-Tach'!$B:$B,"622")</f>
        <v>0</v>
      </c>
      <c r="L21" s="115">
        <f>SUMIFS('3.Luong-Tach'!$I:$I,'3.Luong-Tach'!$C:$C,'3. CP-Luong'!$B21,'3.Luong-Tach'!$B:$B,"622")</f>
        <v>0</v>
      </c>
      <c r="M21" s="115">
        <f>SUMIFS('3.Luong-Tach'!$I:$I,'3.Luong-Tach'!$C:$C,'3. CP-Luong'!$B21,'3.Luong-Tach'!$B:$B,"622")</f>
        <v>0</v>
      </c>
    </row>
    <row r="22" spans="2:13" s="9" customFormat="1" x14ac:dyDescent="0.25">
      <c r="B22" s="689" t="s">
        <v>1797</v>
      </c>
      <c r="C22" s="9" t="s">
        <v>1799</v>
      </c>
      <c r="D22" s="115">
        <f>SUMIFS('3.Luong-Tach'!$I:$I,'3.Luong-Tach'!$C:$C,'3. CP-Luong'!$B22,'3.Luong-Tach'!$B:$B,"622")</f>
        <v>0</v>
      </c>
      <c r="E22" s="115">
        <f>SUMIFS('3.Luong-Tach'!$I:$I,'3.Luong-Tach'!$C:$C,'3. CP-Luong'!$B22,'3.Luong-Tach'!$B:$B,"622")</f>
        <v>0</v>
      </c>
      <c r="F22" s="115">
        <f>SUMIFS('3.Luong-Tach'!$I:$I,'3.Luong-Tach'!$C:$C,'3. CP-Luong'!$B22,'3.Luong-Tach'!$B:$B,"622")</f>
        <v>0</v>
      </c>
      <c r="G22" s="115">
        <f>SUMIFS('3.Luong-Tach'!$I:$I,'3.Luong-Tach'!$C:$C,'3. CP-Luong'!$B22,'3.Luong-Tach'!$B:$B,"622")</f>
        <v>0</v>
      </c>
      <c r="H22" s="115">
        <f>SUMIFS('3.Luong-Tach'!$I:$I,'3.Luong-Tach'!$C:$C,'3. CP-Luong'!$B22,'3.Luong-Tach'!$B:$B,"622")</f>
        <v>0</v>
      </c>
      <c r="I22" s="115">
        <f>SUMIFS('3.Luong-Tach'!$I:$I,'3.Luong-Tach'!$C:$C,'3. CP-Luong'!$B22,'3.Luong-Tach'!$B:$B,"622")</f>
        <v>0</v>
      </c>
      <c r="J22" s="115">
        <f>SUMIFS('3.Luong-Tach'!$I:$I,'3.Luong-Tach'!$C:$C,'3. CP-Luong'!$B22,'3.Luong-Tach'!$B:$B,"622")</f>
        <v>0</v>
      </c>
      <c r="K22" s="115">
        <f>SUMIFS('3.Luong-Tach'!$I:$I,'3.Luong-Tach'!$C:$C,'3. CP-Luong'!$B22,'3.Luong-Tach'!$B:$B,"622")</f>
        <v>0</v>
      </c>
      <c r="L22" s="115">
        <f>SUMIFS('3.Luong-Tach'!$I:$I,'3.Luong-Tach'!$C:$C,'3. CP-Luong'!$B22,'3.Luong-Tach'!$B:$B,"622")</f>
        <v>0</v>
      </c>
      <c r="M22" s="115">
        <f>SUMIFS('3.Luong-Tach'!$I:$I,'3.Luong-Tach'!$C:$C,'3. CP-Luong'!$B22,'3.Luong-Tach'!$B:$B,"622")</f>
        <v>0</v>
      </c>
    </row>
    <row r="23" spans="2:13" s="1" customFormat="1" x14ac:dyDescent="0.25">
      <c r="B23" s="1" t="s">
        <v>1363</v>
      </c>
      <c r="D23" s="7">
        <f ca="1">SUM(D24:D28)</f>
        <v>10379695.548387097</v>
      </c>
      <c r="E23" s="7">
        <f t="shared" ref="E23:M23" ca="1" si="4">SUM(E24:E28)</f>
        <v>10379695.548387097</v>
      </c>
      <c r="F23" s="7">
        <f t="shared" ca="1" si="4"/>
        <v>10379695.548387097</v>
      </c>
      <c r="G23" s="7">
        <f t="shared" ca="1" si="4"/>
        <v>10379695.548387097</v>
      </c>
      <c r="H23" s="7">
        <f t="shared" ca="1" si="4"/>
        <v>10379695.548387097</v>
      </c>
      <c r="I23" s="7">
        <f t="shared" ca="1" si="4"/>
        <v>10379695.548387097</v>
      </c>
      <c r="J23" s="7">
        <f t="shared" ca="1" si="4"/>
        <v>10379695.548387097</v>
      </c>
      <c r="K23" s="7">
        <f t="shared" ca="1" si="4"/>
        <v>10379695.548387097</v>
      </c>
      <c r="L23" s="7">
        <f t="shared" ca="1" si="4"/>
        <v>10379695.548387097</v>
      </c>
      <c r="M23" s="7">
        <f t="shared" ca="1" si="4"/>
        <v>10379695.548387097</v>
      </c>
    </row>
    <row r="24" spans="2:13" s="9" customFormat="1" x14ac:dyDescent="0.25">
      <c r="B24" s="689" t="s">
        <v>1531</v>
      </c>
      <c r="C24" s="9" t="s">
        <v>1799</v>
      </c>
      <c r="D24" s="115">
        <f ca="1">SUMIFS('3.Luong-Tach'!$I:$I,'3.Luong-Tach'!$C:$C,'3. CP-Luong'!$B24,'3.Luong-Tach'!$B:$B,"627")</f>
        <v>8621361.8671970721</v>
      </c>
      <c r="E24" s="115">
        <f ca="1">SUMIFS('3.Luong-Tach'!$I:$I,'3.Luong-Tach'!$C:$C,'3. CP-Luong'!$B24,'3.Luong-Tach'!$B:$B,"627")</f>
        <v>8621361.8671970721</v>
      </c>
      <c r="F24" s="115">
        <f ca="1">SUMIFS('3.Luong-Tach'!$I:$I,'3.Luong-Tach'!$C:$C,'3. CP-Luong'!$B24,'3.Luong-Tach'!$B:$B,"627")</f>
        <v>8621361.8671970721</v>
      </c>
      <c r="G24" s="115">
        <f ca="1">SUMIFS('3.Luong-Tach'!$I:$I,'3.Luong-Tach'!$C:$C,'3. CP-Luong'!$B24,'3.Luong-Tach'!$B:$B,"627")</f>
        <v>8621361.8671970721</v>
      </c>
      <c r="H24" s="115">
        <f ca="1">SUMIFS('3.Luong-Tach'!$I:$I,'3.Luong-Tach'!$C:$C,'3. CP-Luong'!$B24,'3.Luong-Tach'!$B:$B,"627")</f>
        <v>8621361.8671970721</v>
      </c>
      <c r="I24" s="115">
        <f ca="1">SUMIFS('3.Luong-Tach'!$I:$I,'3.Luong-Tach'!$C:$C,'3. CP-Luong'!$B24,'3.Luong-Tach'!$B:$B,"627")</f>
        <v>8621361.8671970721</v>
      </c>
      <c r="J24" s="115">
        <f ca="1">SUMIFS('3.Luong-Tach'!$I:$I,'3.Luong-Tach'!$C:$C,'3. CP-Luong'!$B24,'3.Luong-Tach'!$B:$B,"627")</f>
        <v>8621361.8671970721</v>
      </c>
      <c r="K24" s="115">
        <f ca="1">SUMIFS('3.Luong-Tach'!$I:$I,'3.Luong-Tach'!$C:$C,'3. CP-Luong'!$B24,'3.Luong-Tach'!$B:$B,"627")</f>
        <v>8621361.8671970721</v>
      </c>
      <c r="L24" s="115">
        <f ca="1">SUMIFS('3.Luong-Tach'!$I:$I,'3.Luong-Tach'!$C:$C,'3. CP-Luong'!$B24,'3.Luong-Tach'!$B:$B,"627")</f>
        <v>8621361.8671970721</v>
      </c>
      <c r="M24" s="115">
        <f ca="1">SUMIFS('3.Luong-Tach'!$I:$I,'3.Luong-Tach'!$C:$C,'3. CP-Luong'!$B24,'3.Luong-Tach'!$B:$B,"627")</f>
        <v>8621361.8671970721</v>
      </c>
    </row>
    <row r="25" spans="2:13" s="9" customFormat="1" x14ac:dyDescent="0.25">
      <c r="B25" s="689" t="s">
        <v>1659</v>
      </c>
      <c r="C25" s="9" t="s">
        <v>1799</v>
      </c>
      <c r="D25" s="115">
        <f ca="1">SUMIFS('3.Luong-Tach'!$I:$I,'3.Luong-Tach'!$C:$C,'3. CP-Luong'!$B25,'3.Luong-Tach'!$B:$B,"627")</f>
        <v>488544.58842915168</v>
      </c>
      <c r="E25" s="115">
        <f ca="1">SUMIFS('3.Luong-Tach'!$I:$I,'3.Luong-Tach'!$C:$C,'3. CP-Luong'!$B25,'3.Luong-Tach'!$B:$B,"627")</f>
        <v>488544.58842915168</v>
      </c>
      <c r="F25" s="115">
        <f ca="1">SUMIFS('3.Luong-Tach'!$I:$I,'3.Luong-Tach'!$C:$C,'3. CP-Luong'!$B25,'3.Luong-Tach'!$B:$B,"627")</f>
        <v>488544.58842915168</v>
      </c>
      <c r="G25" s="115">
        <f ca="1">SUMIFS('3.Luong-Tach'!$I:$I,'3.Luong-Tach'!$C:$C,'3. CP-Luong'!$B25,'3.Luong-Tach'!$B:$B,"627")</f>
        <v>488544.58842915168</v>
      </c>
      <c r="H25" s="115">
        <f ca="1">SUMIFS('3.Luong-Tach'!$I:$I,'3.Luong-Tach'!$C:$C,'3. CP-Luong'!$B25,'3.Luong-Tach'!$B:$B,"627")</f>
        <v>488544.58842915168</v>
      </c>
      <c r="I25" s="115">
        <f ca="1">SUMIFS('3.Luong-Tach'!$I:$I,'3.Luong-Tach'!$C:$C,'3. CP-Luong'!$B25,'3.Luong-Tach'!$B:$B,"627")</f>
        <v>488544.58842915168</v>
      </c>
      <c r="J25" s="115">
        <f ca="1">SUMIFS('3.Luong-Tach'!$I:$I,'3.Luong-Tach'!$C:$C,'3. CP-Luong'!$B25,'3.Luong-Tach'!$B:$B,"627")</f>
        <v>488544.58842915168</v>
      </c>
      <c r="K25" s="115">
        <f ca="1">SUMIFS('3.Luong-Tach'!$I:$I,'3.Luong-Tach'!$C:$C,'3. CP-Luong'!$B25,'3.Luong-Tach'!$B:$B,"627")</f>
        <v>488544.58842915168</v>
      </c>
      <c r="L25" s="115">
        <f ca="1">SUMIFS('3.Luong-Tach'!$I:$I,'3.Luong-Tach'!$C:$C,'3. CP-Luong'!$B25,'3.Luong-Tach'!$B:$B,"627")</f>
        <v>488544.58842915168</v>
      </c>
      <c r="M25" s="115">
        <f ca="1">SUMIFS('3.Luong-Tach'!$I:$I,'3.Luong-Tach'!$C:$C,'3. CP-Luong'!$B25,'3.Luong-Tach'!$B:$B,"627")</f>
        <v>488544.58842915168</v>
      </c>
    </row>
    <row r="26" spans="2:13" s="9" customFormat="1" x14ac:dyDescent="0.25">
      <c r="B26" s="689" t="s">
        <v>1790</v>
      </c>
      <c r="C26" s="9" t="s">
        <v>1799</v>
      </c>
      <c r="D26" s="115">
        <f ca="1">SUMIFS('3.Luong-Tach'!$I:$I,'3.Luong-Tach'!$C:$C,'3. CP-Luong'!$B26,'3.Luong-Tach'!$B:$B,"627")</f>
        <v>639795.75823840732</v>
      </c>
      <c r="E26" s="115">
        <f ca="1">SUMIFS('3.Luong-Tach'!$I:$I,'3.Luong-Tach'!$C:$C,'3. CP-Luong'!$B26,'3.Luong-Tach'!$B:$B,"627")</f>
        <v>639795.75823840732</v>
      </c>
      <c r="F26" s="115">
        <f ca="1">SUMIFS('3.Luong-Tach'!$I:$I,'3.Luong-Tach'!$C:$C,'3. CP-Luong'!$B26,'3.Luong-Tach'!$B:$B,"627")</f>
        <v>639795.75823840732</v>
      </c>
      <c r="G26" s="115">
        <f ca="1">SUMIFS('3.Luong-Tach'!$I:$I,'3.Luong-Tach'!$C:$C,'3. CP-Luong'!$B26,'3.Luong-Tach'!$B:$B,"627")</f>
        <v>639795.75823840732</v>
      </c>
      <c r="H26" s="115">
        <f ca="1">SUMIFS('3.Luong-Tach'!$I:$I,'3.Luong-Tach'!$C:$C,'3. CP-Luong'!$B26,'3.Luong-Tach'!$B:$B,"627")</f>
        <v>639795.75823840732</v>
      </c>
      <c r="I26" s="115">
        <f ca="1">SUMIFS('3.Luong-Tach'!$I:$I,'3.Luong-Tach'!$C:$C,'3. CP-Luong'!$B26,'3.Luong-Tach'!$B:$B,"627")</f>
        <v>639795.75823840732</v>
      </c>
      <c r="J26" s="115">
        <f ca="1">SUMIFS('3.Luong-Tach'!$I:$I,'3.Luong-Tach'!$C:$C,'3. CP-Luong'!$B26,'3.Luong-Tach'!$B:$B,"627")</f>
        <v>639795.75823840732</v>
      </c>
      <c r="K26" s="115">
        <f ca="1">SUMIFS('3.Luong-Tach'!$I:$I,'3.Luong-Tach'!$C:$C,'3. CP-Luong'!$B26,'3.Luong-Tach'!$B:$B,"627")</f>
        <v>639795.75823840732</v>
      </c>
      <c r="L26" s="115">
        <f ca="1">SUMIFS('3.Luong-Tach'!$I:$I,'3.Luong-Tach'!$C:$C,'3. CP-Luong'!$B26,'3.Luong-Tach'!$B:$B,"627")</f>
        <v>639795.75823840732</v>
      </c>
      <c r="M26" s="115">
        <f ca="1">SUMIFS('3.Luong-Tach'!$I:$I,'3.Luong-Tach'!$C:$C,'3. CP-Luong'!$B26,'3.Luong-Tach'!$B:$B,"627")</f>
        <v>639795.75823840732</v>
      </c>
    </row>
    <row r="27" spans="2:13" s="9" customFormat="1" x14ac:dyDescent="0.25">
      <c r="B27" s="689" t="s">
        <v>1789</v>
      </c>
      <c r="C27" s="9" t="s">
        <v>1799</v>
      </c>
      <c r="D27" s="115">
        <f ca="1">SUMIFS('3.Luong-Tach'!$I:$I,'3.Luong-Tach'!$C:$C,'3. CP-Luong'!$B27,'3.Luong-Tach'!$B:$B,"627")</f>
        <v>629993.33452246722</v>
      </c>
      <c r="E27" s="115">
        <f ca="1">SUMIFS('3.Luong-Tach'!$I:$I,'3.Luong-Tach'!$C:$C,'3. CP-Luong'!$B27,'3.Luong-Tach'!$B:$B,"627")</f>
        <v>629993.33452246722</v>
      </c>
      <c r="F27" s="115">
        <f ca="1">SUMIFS('3.Luong-Tach'!$I:$I,'3.Luong-Tach'!$C:$C,'3. CP-Luong'!$B27,'3.Luong-Tach'!$B:$B,"627")</f>
        <v>629993.33452246722</v>
      </c>
      <c r="G27" s="115">
        <f ca="1">SUMIFS('3.Luong-Tach'!$I:$I,'3.Luong-Tach'!$C:$C,'3. CP-Luong'!$B27,'3.Luong-Tach'!$B:$B,"627")</f>
        <v>629993.33452246722</v>
      </c>
      <c r="H27" s="115">
        <f ca="1">SUMIFS('3.Luong-Tach'!$I:$I,'3.Luong-Tach'!$C:$C,'3. CP-Luong'!$B27,'3.Luong-Tach'!$B:$B,"627")</f>
        <v>629993.33452246722</v>
      </c>
      <c r="I27" s="115">
        <f ca="1">SUMIFS('3.Luong-Tach'!$I:$I,'3.Luong-Tach'!$C:$C,'3. CP-Luong'!$B27,'3.Luong-Tach'!$B:$B,"627")</f>
        <v>629993.33452246722</v>
      </c>
      <c r="J27" s="115">
        <f ca="1">SUMIFS('3.Luong-Tach'!$I:$I,'3.Luong-Tach'!$C:$C,'3. CP-Luong'!$B27,'3.Luong-Tach'!$B:$B,"627")</f>
        <v>629993.33452246722</v>
      </c>
      <c r="K27" s="115">
        <f ca="1">SUMIFS('3.Luong-Tach'!$I:$I,'3.Luong-Tach'!$C:$C,'3. CP-Luong'!$B27,'3.Luong-Tach'!$B:$B,"627")</f>
        <v>629993.33452246722</v>
      </c>
      <c r="L27" s="115">
        <f ca="1">SUMIFS('3.Luong-Tach'!$I:$I,'3.Luong-Tach'!$C:$C,'3. CP-Luong'!$B27,'3.Luong-Tach'!$B:$B,"627")</f>
        <v>629993.33452246722</v>
      </c>
      <c r="M27" s="115">
        <f ca="1">SUMIFS('3.Luong-Tach'!$I:$I,'3.Luong-Tach'!$C:$C,'3. CP-Luong'!$B27,'3.Luong-Tach'!$B:$B,"627")</f>
        <v>629993.33452246722</v>
      </c>
    </row>
    <row r="28" spans="2:13" s="9" customFormat="1" x14ac:dyDescent="0.25">
      <c r="B28" s="689" t="s">
        <v>1798</v>
      </c>
      <c r="C28" s="9" t="s">
        <v>1799</v>
      </c>
      <c r="D28" s="115">
        <f>SUMIFS('3.Luong-Tach'!$I:$I,'3.Luong-Tach'!$C:$C,'3. CP-Luong'!$B28,'3.Luong-Tach'!$B:$B,"627")</f>
        <v>0</v>
      </c>
      <c r="E28" s="115">
        <f>SUMIFS('3.Luong-Tach'!$I:$I,'3.Luong-Tach'!$C:$C,'3. CP-Luong'!$B28,'3.Luong-Tach'!$B:$B,"627")</f>
        <v>0</v>
      </c>
      <c r="F28" s="115">
        <f>SUMIFS('3.Luong-Tach'!$I:$I,'3.Luong-Tach'!$C:$C,'3. CP-Luong'!$B28,'3.Luong-Tach'!$B:$B,"627")</f>
        <v>0</v>
      </c>
      <c r="G28" s="115">
        <f>SUMIFS('3.Luong-Tach'!$I:$I,'3.Luong-Tach'!$C:$C,'3. CP-Luong'!$B28,'3.Luong-Tach'!$B:$B,"627")</f>
        <v>0</v>
      </c>
      <c r="H28" s="115">
        <f>SUMIFS('3.Luong-Tach'!$I:$I,'3.Luong-Tach'!$C:$C,'3. CP-Luong'!$B28,'3.Luong-Tach'!$B:$B,"627")</f>
        <v>0</v>
      </c>
      <c r="I28" s="115">
        <f>SUMIFS('3.Luong-Tach'!$I:$I,'3.Luong-Tach'!$C:$C,'3. CP-Luong'!$B28,'3.Luong-Tach'!$B:$B,"627")</f>
        <v>0</v>
      </c>
      <c r="J28" s="115">
        <f>SUMIFS('3.Luong-Tach'!$I:$I,'3.Luong-Tach'!$C:$C,'3. CP-Luong'!$B28,'3.Luong-Tach'!$B:$B,"627")</f>
        <v>0</v>
      </c>
      <c r="K28" s="115">
        <f>SUMIFS('3.Luong-Tach'!$I:$I,'3.Luong-Tach'!$C:$C,'3. CP-Luong'!$B28,'3.Luong-Tach'!$B:$B,"627")</f>
        <v>0</v>
      </c>
      <c r="L28" s="115">
        <f>SUMIFS('3.Luong-Tach'!$I:$I,'3.Luong-Tach'!$C:$C,'3. CP-Luong'!$B28,'3.Luong-Tach'!$B:$B,"627")</f>
        <v>0</v>
      </c>
      <c r="M28" s="115">
        <f>SUMIFS('3.Luong-Tach'!$I:$I,'3.Luong-Tach'!$C:$C,'3. CP-Luong'!$B28,'3.Luong-Tach'!$B:$B,"627")</f>
        <v>0</v>
      </c>
    </row>
    <row r="29" spans="2:13" s="1" customFormat="1" x14ac:dyDescent="0.25">
      <c r="B29" s="1" t="s">
        <v>1793</v>
      </c>
      <c r="D29" s="7">
        <f ca="1">SUM(D30:D34)</f>
        <v>2413901.4461638248</v>
      </c>
      <c r="E29" s="7">
        <f t="shared" ref="E29" ca="1" si="5">SUM(E30:E34)</f>
        <v>2413901.4461638248</v>
      </c>
      <c r="F29" s="7">
        <f t="shared" ref="F29" ca="1" si="6">SUM(F30:F34)</f>
        <v>2413901.4461638248</v>
      </c>
      <c r="G29" s="7">
        <f t="shared" ref="G29" ca="1" si="7">SUM(G30:G34)</f>
        <v>2413901.4461638248</v>
      </c>
      <c r="H29" s="7">
        <f t="shared" ref="H29" ca="1" si="8">SUM(H30:H34)</f>
        <v>2413901.4461638248</v>
      </c>
      <c r="I29" s="7">
        <f t="shared" ref="I29" ca="1" si="9">SUM(I30:I34)</f>
        <v>2413901.4461638248</v>
      </c>
      <c r="J29" s="7">
        <f t="shared" ref="J29" ca="1" si="10">SUM(J30:J34)</f>
        <v>2413901.4461638248</v>
      </c>
      <c r="K29" s="7">
        <f t="shared" ref="K29" ca="1" si="11">SUM(K30:K34)</f>
        <v>2413901.4461638248</v>
      </c>
      <c r="L29" s="7">
        <f t="shared" ref="L29" ca="1" si="12">SUM(L30:L34)</f>
        <v>2413901.4461638248</v>
      </c>
      <c r="M29" s="7">
        <f t="shared" ref="M29" ca="1" si="13">SUM(M30:M34)</f>
        <v>2413901.4461638248</v>
      </c>
    </row>
    <row r="30" spans="2:13" s="9" customFormat="1" x14ac:dyDescent="0.25">
      <c r="B30" s="689" t="s">
        <v>1531</v>
      </c>
      <c r="C30" s="9" t="s">
        <v>1799</v>
      </c>
      <c r="D30" s="115">
        <f ca="1">SUMIFS('3.Luong-Tach'!$I:$I,'3.Luong-Tach'!$C:$C,'3. CP-Luong'!$B30,'3.Luong-Tach'!$B:$B,"641")</f>
        <v>1022212.3300575486</v>
      </c>
      <c r="E30" s="115">
        <f ca="1">SUMIFS('3.Luong-Tach'!$I:$I,'3.Luong-Tach'!$C:$C,'3. CP-Luong'!$B30,'3.Luong-Tach'!$B:$B,"641")</f>
        <v>1022212.3300575486</v>
      </c>
      <c r="F30" s="115">
        <f ca="1">SUMIFS('3.Luong-Tach'!$I:$I,'3.Luong-Tach'!$C:$C,'3. CP-Luong'!$B30,'3.Luong-Tach'!$B:$B,"641")</f>
        <v>1022212.3300575486</v>
      </c>
      <c r="G30" s="115">
        <f ca="1">SUMIFS('3.Luong-Tach'!$I:$I,'3.Luong-Tach'!$C:$C,'3. CP-Luong'!$B30,'3.Luong-Tach'!$B:$B,"641")</f>
        <v>1022212.3300575486</v>
      </c>
      <c r="H30" s="115">
        <f ca="1">SUMIFS('3.Luong-Tach'!$I:$I,'3.Luong-Tach'!$C:$C,'3. CP-Luong'!$B30,'3.Luong-Tach'!$B:$B,"641")</f>
        <v>1022212.3300575486</v>
      </c>
      <c r="I30" s="115">
        <f ca="1">SUMIFS('3.Luong-Tach'!$I:$I,'3.Luong-Tach'!$C:$C,'3. CP-Luong'!$B30,'3.Luong-Tach'!$B:$B,"641")</f>
        <v>1022212.3300575486</v>
      </c>
      <c r="J30" s="115">
        <f ca="1">SUMIFS('3.Luong-Tach'!$I:$I,'3.Luong-Tach'!$C:$C,'3. CP-Luong'!$B30,'3.Luong-Tach'!$B:$B,"641")</f>
        <v>1022212.3300575486</v>
      </c>
      <c r="K30" s="115">
        <f ca="1">SUMIFS('3.Luong-Tach'!$I:$I,'3.Luong-Tach'!$C:$C,'3. CP-Luong'!$B30,'3.Luong-Tach'!$B:$B,"641")</f>
        <v>1022212.3300575486</v>
      </c>
      <c r="L30" s="115">
        <f ca="1">SUMIFS('3.Luong-Tach'!$I:$I,'3.Luong-Tach'!$C:$C,'3. CP-Luong'!$B30,'3.Luong-Tach'!$B:$B,"641")</f>
        <v>1022212.3300575486</v>
      </c>
      <c r="M30" s="115">
        <f ca="1">SUMIFS('3.Luong-Tach'!$I:$I,'3.Luong-Tach'!$C:$C,'3. CP-Luong'!$B30,'3.Luong-Tach'!$B:$B,"641")</f>
        <v>1022212.3300575486</v>
      </c>
    </row>
    <row r="31" spans="2:13" s="9" customFormat="1" x14ac:dyDescent="0.25">
      <c r="B31" s="689" t="s">
        <v>1659</v>
      </c>
      <c r="C31" s="9" t="s">
        <v>1799</v>
      </c>
      <c r="D31" s="115">
        <f ca="1">SUMIFS('3.Luong-Tach'!$I:$I,'3.Luong-Tach'!$C:$C,'3. CP-Luong'!$B31,'3.Luong-Tach'!$B:$B,"641")</f>
        <v>44306.250587612674</v>
      </c>
      <c r="E31" s="115">
        <f ca="1">SUMIFS('3.Luong-Tach'!$I:$I,'3.Luong-Tach'!$C:$C,'3. CP-Luong'!$B31,'3.Luong-Tach'!$B:$B,"641")</f>
        <v>44306.250587612674</v>
      </c>
      <c r="F31" s="115">
        <f ca="1">SUMIFS('3.Luong-Tach'!$I:$I,'3.Luong-Tach'!$C:$C,'3. CP-Luong'!$B31,'3.Luong-Tach'!$B:$B,"641")</f>
        <v>44306.250587612674</v>
      </c>
      <c r="G31" s="115">
        <f ca="1">SUMIFS('3.Luong-Tach'!$I:$I,'3.Luong-Tach'!$C:$C,'3. CP-Luong'!$B31,'3.Luong-Tach'!$B:$B,"641")</f>
        <v>44306.250587612674</v>
      </c>
      <c r="H31" s="115">
        <f ca="1">SUMIFS('3.Luong-Tach'!$I:$I,'3.Luong-Tach'!$C:$C,'3. CP-Luong'!$B31,'3.Luong-Tach'!$B:$B,"641")</f>
        <v>44306.250587612674</v>
      </c>
      <c r="I31" s="115">
        <f ca="1">SUMIFS('3.Luong-Tach'!$I:$I,'3.Luong-Tach'!$C:$C,'3. CP-Luong'!$B31,'3.Luong-Tach'!$B:$B,"641")</f>
        <v>44306.250587612674</v>
      </c>
      <c r="J31" s="115">
        <f ca="1">SUMIFS('3.Luong-Tach'!$I:$I,'3.Luong-Tach'!$C:$C,'3. CP-Luong'!$B31,'3.Luong-Tach'!$B:$B,"641")</f>
        <v>44306.250587612674</v>
      </c>
      <c r="K31" s="115">
        <f ca="1">SUMIFS('3.Luong-Tach'!$I:$I,'3.Luong-Tach'!$C:$C,'3. CP-Luong'!$B31,'3.Luong-Tach'!$B:$B,"641")</f>
        <v>44306.250587612674</v>
      </c>
      <c r="L31" s="115">
        <f ca="1">SUMIFS('3.Luong-Tach'!$I:$I,'3.Luong-Tach'!$C:$C,'3. CP-Luong'!$B31,'3.Luong-Tach'!$B:$B,"641")</f>
        <v>44306.250587612674</v>
      </c>
      <c r="M31" s="115">
        <f ca="1">SUMIFS('3.Luong-Tach'!$I:$I,'3.Luong-Tach'!$C:$C,'3. CP-Luong'!$B31,'3.Luong-Tach'!$B:$B,"641")</f>
        <v>44306.250587612674</v>
      </c>
    </row>
    <row r="32" spans="2:13" s="9" customFormat="1" x14ac:dyDescent="0.25">
      <c r="B32" s="689" t="s">
        <v>1790</v>
      </c>
      <c r="C32" s="9" t="s">
        <v>1799</v>
      </c>
      <c r="D32" s="115">
        <f ca="1">SUMIFS('3.Luong-Tach'!$I:$I,'3.Luong-Tach'!$C:$C,'3. CP-Luong'!$B32,'3.Luong-Tach'!$B:$B,"641")</f>
        <v>527801.68639525282</v>
      </c>
      <c r="E32" s="115">
        <f ca="1">SUMIFS('3.Luong-Tach'!$I:$I,'3.Luong-Tach'!$C:$C,'3. CP-Luong'!$B32,'3.Luong-Tach'!$B:$B,"641")</f>
        <v>527801.68639525282</v>
      </c>
      <c r="F32" s="115">
        <f ca="1">SUMIFS('3.Luong-Tach'!$I:$I,'3.Luong-Tach'!$C:$C,'3. CP-Luong'!$B32,'3.Luong-Tach'!$B:$B,"641")</f>
        <v>527801.68639525282</v>
      </c>
      <c r="G32" s="115">
        <f ca="1">SUMIFS('3.Luong-Tach'!$I:$I,'3.Luong-Tach'!$C:$C,'3. CP-Luong'!$B32,'3.Luong-Tach'!$B:$B,"641")</f>
        <v>527801.68639525282</v>
      </c>
      <c r="H32" s="115">
        <f ca="1">SUMIFS('3.Luong-Tach'!$I:$I,'3.Luong-Tach'!$C:$C,'3. CP-Luong'!$B32,'3.Luong-Tach'!$B:$B,"641")</f>
        <v>527801.68639525282</v>
      </c>
      <c r="I32" s="115">
        <f ca="1">SUMIFS('3.Luong-Tach'!$I:$I,'3.Luong-Tach'!$C:$C,'3. CP-Luong'!$B32,'3.Luong-Tach'!$B:$B,"641")</f>
        <v>527801.68639525282</v>
      </c>
      <c r="J32" s="115">
        <f ca="1">SUMIFS('3.Luong-Tach'!$I:$I,'3.Luong-Tach'!$C:$C,'3. CP-Luong'!$B32,'3.Luong-Tach'!$B:$B,"641")</f>
        <v>527801.68639525282</v>
      </c>
      <c r="K32" s="115">
        <f ca="1">SUMIFS('3.Luong-Tach'!$I:$I,'3.Luong-Tach'!$C:$C,'3. CP-Luong'!$B32,'3.Luong-Tach'!$B:$B,"641")</f>
        <v>527801.68639525282</v>
      </c>
      <c r="L32" s="115">
        <f ca="1">SUMIFS('3.Luong-Tach'!$I:$I,'3.Luong-Tach'!$C:$C,'3. CP-Luong'!$B32,'3.Luong-Tach'!$B:$B,"641")</f>
        <v>527801.68639525282</v>
      </c>
      <c r="M32" s="115">
        <f ca="1">SUMIFS('3.Luong-Tach'!$I:$I,'3.Luong-Tach'!$C:$C,'3. CP-Luong'!$B32,'3.Luong-Tach'!$B:$B,"641")</f>
        <v>527801.68639525282</v>
      </c>
    </row>
    <row r="33" spans="2:13" s="9" customFormat="1" x14ac:dyDescent="0.25">
      <c r="B33" s="689" t="s">
        <v>1789</v>
      </c>
      <c r="C33" s="9" t="s">
        <v>1799</v>
      </c>
      <c r="D33" s="115">
        <f ca="1">SUMIFS('3.Luong-Tach'!$I:$I,'3.Luong-Tach'!$C:$C,'3. CP-Luong'!$B33,'3.Luong-Tach'!$B:$B,"641")</f>
        <v>603581.17912341084</v>
      </c>
      <c r="E33" s="115">
        <f ca="1">SUMIFS('3.Luong-Tach'!$I:$I,'3.Luong-Tach'!$C:$C,'3. CP-Luong'!$B33,'3.Luong-Tach'!$B:$B,"641")</f>
        <v>603581.17912341084</v>
      </c>
      <c r="F33" s="115">
        <f ca="1">SUMIFS('3.Luong-Tach'!$I:$I,'3.Luong-Tach'!$C:$C,'3. CP-Luong'!$B33,'3.Luong-Tach'!$B:$B,"641")</f>
        <v>603581.17912341084</v>
      </c>
      <c r="G33" s="115">
        <f ca="1">SUMIFS('3.Luong-Tach'!$I:$I,'3.Luong-Tach'!$C:$C,'3. CP-Luong'!$B33,'3.Luong-Tach'!$B:$B,"641")</f>
        <v>603581.17912341084</v>
      </c>
      <c r="H33" s="115">
        <f ca="1">SUMIFS('3.Luong-Tach'!$I:$I,'3.Luong-Tach'!$C:$C,'3. CP-Luong'!$B33,'3.Luong-Tach'!$B:$B,"641")</f>
        <v>603581.17912341084</v>
      </c>
      <c r="I33" s="115">
        <f ca="1">SUMIFS('3.Luong-Tach'!$I:$I,'3.Luong-Tach'!$C:$C,'3. CP-Luong'!$B33,'3.Luong-Tach'!$B:$B,"641")</f>
        <v>603581.17912341084</v>
      </c>
      <c r="J33" s="115">
        <f ca="1">SUMIFS('3.Luong-Tach'!$I:$I,'3.Luong-Tach'!$C:$C,'3. CP-Luong'!$B33,'3.Luong-Tach'!$B:$B,"641")</f>
        <v>603581.17912341084</v>
      </c>
      <c r="K33" s="115">
        <f ca="1">SUMIFS('3.Luong-Tach'!$I:$I,'3.Luong-Tach'!$C:$C,'3. CP-Luong'!$B33,'3.Luong-Tach'!$B:$B,"641")</f>
        <v>603581.17912341084</v>
      </c>
      <c r="L33" s="115">
        <f ca="1">SUMIFS('3.Luong-Tach'!$I:$I,'3.Luong-Tach'!$C:$C,'3. CP-Luong'!$B33,'3.Luong-Tach'!$B:$B,"641")</f>
        <v>603581.17912341084</v>
      </c>
      <c r="M33" s="115">
        <f ca="1">SUMIFS('3.Luong-Tach'!$I:$I,'3.Luong-Tach'!$C:$C,'3. CP-Luong'!$B33,'3.Luong-Tach'!$B:$B,"641")</f>
        <v>603581.17912341084</v>
      </c>
    </row>
    <row r="34" spans="2:13" s="9" customFormat="1" x14ac:dyDescent="0.25">
      <c r="B34" s="689" t="s">
        <v>1798</v>
      </c>
      <c r="C34" s="9" t="s">
        <v>1799</v>
      </c>
      <c r="D34" s="115">
        <f>SUMIFS('3.Luong-Tach'!$I:$I,'3.Luong-Tach'!$C:$C,'3. CP-Luong'!$B34,'3.Luong-Tach'!$B:$B,"641")</f>
        <v>216000</v>
      </c>
      <c r="E34" s="115">
        <f>SUMIFS('3.Luong-Tach'!$I:$I,'3.Luong-Tach'!$C:$C,'3. CP-Luong'!$B34,'3.Luong-Tach'!$B:$B,"641")</f>
        <v>216000</v>
      </c>
      <c r="F34" s="115">
        <f>SUMIFS('3.Luong-Tach'!$I:$I,'3.Luong-Tach'!$C:$C,'3. CP-Luong'!$B34,'3.Luong-Tach'!$B:$B,"641")</f>
        <v>216000</v>
      </c>
      <c r="G34" s="115">
        <f>SUMIFS('3.Luong-Tach'!$I:$I,'3.Luong-Tach'!$C:$C,'3. CP-Luong'!$B34,'3.Luong-Tach'!$B:$B,"641")</f>
        <v>216000</v>
      </c>
      <c r="H34" s="115">
        <f>SUMIFS('3.Luong-Tach'!$I:$I,'3.Luong-Tach'!$C:$C,'3. CP-Luong'!$B34,'3.Luong-Tach'!$B:$B,"641")</f>
        <v>216000</v>
      </c>
      <c r="I34" s="115">
        <f>SUMIFS('3.Luong-Tach'!$I:$I,'3.Luong-Tach'!$C:$C,'3. CP-Luong'!$B34,'3.Luong-Tach'!$B:$B,"641")</f>
        <v>216000</v>
      </c>
      <c r="J34" s="115">
        <f>SUMIFS('3.Luong-Tach'!$I:$I,'3.Luong-Tach'!$C:$C,'3. CP-Luong'!$B34,'3.Luong-Tach'!$B:$B,"641")</f>
        <v>216000</v>
      </c>
      <c r="K34" s="115">
        <f>SUMIFS('3.Luong-Tach'!$I:$I,'3.Luong-Tach'!$C:$C,'3. CP-Luong'!$B34,'3.Luong-Tach'!$B:$B,"641")</f>
        <v>216000</v>
      </c>
      <c r="L34" s="115">
        <f>SUMIFS('3.Luong-Tach'!$I:$I,'3.Luong-Tach'!$C:$C,'3. CP-Luong'!$B34,'3.Luong-Tach'!$B:$B,"641")</f>
        <v>216000</v>
      </c>
      <c r="M34" s="115">
        <f>SUMIFS('3.Luong-Tach'!$I:$I,'3.Luong-Tach'!$C:$C,'3. CP-Luong'!$B34,'3.Luong-Tach'!$B:$B,"641")</f>
        <v>216000</v>
      </c>
    </row>
    <row r="35" spans="2:13" s="1" customFormat="1" x14ac:dyDescent="0.25">
      <c r="B35" s="1" t="s">
        <v>1792</v>
      </c>
      <c r="D35" s="7">
        <f ca="1">SUM(D36:D40)</f>
        <v>3589531.2580645164</v>
      </c>
      <c r="E35" s="7">
        <f t="shared" ref="E35" ca="1" si="14">SUM(E36:E40)</f>
        <v>3589531.2580645164</v>
      </c>
      <c r="F35" s="7">
        <f t="shared" ref="F35" ca="1" si="15">SUM(F36:F40)</f>
        <v>3589531.2580645164</v>
      </c>
      <c r="G35" s="7">
        <f t="shared" ref="G35" ca="1" si="16">SUM(G36:G40)</f>
        <v>3589531.2580645164</v>
      </c>
      <c r="H35" s="7">
        <f t="shared" ref="H35" ca="1" si="17">SUM(H36:H40)</f>
        <v>3589531.2580645164</v>
      </c>
      <c r="I35" s="7">
        <f t="shared" ref="I35" ca="1" si="18">SUM(I36:I40)</f>
        <v>3589531.2580645164</v>
      </c>
      <c r="J35" s="7">
        <f t="shared" ref="J35" ca="1" si="19">SUM(J36:J40)</f>
        <v>3589531.2580645164</v>
      </c>
      <c r="K35" s="7">
        <f t="shared" ref="K35" ca="1" si="20">SUM(K36:K40)</f>
        <v>3589531.2580645164</v>
      </c>
      <c r="L35" s="7">
        <f t="shared" ref="L35" ca="1" si="21">SUM(L36:L40)</f>
        <v>3589531.2580645164</v>
      </c>
      <c r="M35" s="7">
        <f t="shared" ref="M35" ca="1" si="22">SUM(M36:M40)</f>
        <v>3589531.2580645164</v>
      </c>
    </row>
    <row r="36" spans="2:13" s="9" customFormat="1" x14ac:dyDescent="0.25">
      <c r="B36" s="689" t="s">
        <v>1531</v>
      </c>
      <c r="C36" s="9" t="s">
        <v>1799</v>
      </c>
      <c r="D36" s="115">
        <f ca="1">SUMIFS('3.Luong-Tach'!$I:$I,'3.Luong-Tach'!$C:$C,'3. CP-Luong'!$B36,'3.Luong-Tach'!$B:$B,"642")</f>
        <v>2083879.0370472535</v>
      </c>
      <c r="E36" s="115">
        <f ca="1">SUMIFS('3.Luong-Tach'!$I:$I,'3.Luong-Tach'!$C:$C,'3. CP-Luong'!$B36,'3.Luong-Tach'!$B:$B,"642")</f>
        <v>2083879.0370472535</v>
      </c>
      <c r="F36" s="115">
        <f ca="1">SUMIFS('3.Luong-Tach'!$I:$I,'3.Luong-Tach'!$C:$C,'3. CP-Luong'!$B36,'3.Luong-Tach'!$B:$B,"642")</f>
        <v>2083879.0370472535</v>
      </c>
      <c r="G36" s="115">
        <f ca="1">SUMIFS('3.Luong-Tach'!$I:$I,'3.Luong-Tach'!$C:$C,'3. CP-Luong'!$B36,'3.Luong-Tach'!$B:$B,"642")</f>
        <v>2083879.0370472535</v>
      </c>
      <c r="H36" s="115">
        <f ca="1">SUMIFS('3.Luong-Tach'!$I:$I,'3.Luong-Tach'!$C:$C,'3. CP-Luong'!$B36,'3.Luong-Tach'!$B:$B,"642")</f>
        <v>2083879.0370472535</v>
      </c>
      <c r="I36" s="115">
        <f ca="1">SUMIFS('3.Luong-Tach'!$I:$I,'3.Luong-Tach'!$C:$C,'3. CP-Luong'!$B36,'3.Luong-Tach'!$B:$B,"642")</f>
        <v>2083879.0370472535</v>
      </c>
      <c r="J36" s="115">
        <f ca="1">SUMIFS('3.Luong-Tach'!$I:$I,'3.Luong-Tach'!$C:$C,'3. CP-Luong'!$B36,'3.Luong-Tach'!$B:$B,"642")</f>
        <v>2083879.0370472535</v>
      </c>
      <c r="K36" s="115">
        <f ca="1">SUMIFS('3.Luong-Tach'!$I:$I,'3.Luong-Tach'!$C:$C,'3. CP-Luong'!$B36,'3.Luong-Tach'!$B:$B,"642")</f>
        <v>2083879.0370472535</v>
      </c>
      <c r="L36" s="115">
        <f ca="1">SUMIFS('3.Luong-Tach'!$I:$I,'3.Luong-Tach'!$C:$C,'3. CP-Luong'!$B36,'3.Luong-Tach'!$B:$B,"642")</f>
        <v>2083879.0370472535</v>
      </c>
      <c r="M36" s="115">
        <f ca="1">SUMIFS('3.Luong-Tach'!$I:$I,'3.Luong-Tach'!$C:$C,'3. CP-Luong'!$B36,'3.Luong-Tach'!$B:$B,"642")</f>
        <v>2083879.0370472535</v>
      </c>
    </row>
    <row r="37" spans="2:13" s="9" customFormat="1" x14ac:dyDescent="0.25">
      <c r="B37" s="689" t="s">
        <v>1659</v>
      </c>
      <c r="C37" s="9" t="s">
        <v>1799</v>
      </c>
      <c r="D37" s="115">
        <f ca="1">SUMIFS('3.Luong-Tach'!$I:$I,'3.Luong-Tach'!$C:$C,'3. CP-Luong'!$B37,'3.Luong-Tach'!$B:$B,"642")</f>
        <v>90322.591593559308</v>
      </c>
      <c r="E37" s="115">
        <f ca="1">SUMIFS('3.Luong-Tach'!$I:$I,'3.Luong-Tach'!$C:$C,'3. CP-Luong'!$B37,'3.Luong-Tach'!$B:$B,"642")</f>
        <v>90322.591593559308</v>
      </c>
      <c r="F37" s="115">
        <f ca="1">SUMIFS('3.Luong-Tach'!$I:$I,'3.Luong-Tach'!$C:$C,'3. CP-Luong'!$B37,'3.Luong-Tach'!$B:$B,"642")</f>
        <v>90322.591593559308</v>
      </c>
      <c r="G37" s="115">
        <f ca="1">SUMIFS('3.Luong-Tach'!$I:$I,'3.Luong-Tach'!$C:$C,'3. CP-Luong'!$B37,'3.Luong-Tach'!$B:$B,"642")</f>
        <v>90322.591593559308</v>
      </c>
      <c r="H37" s="115">
        <f ca="1">SUMIFS('3.Luong-Tach'!$I:$I,'3.Luong-Tach'!$C:$C,'3. CP-Luong'!$B37,'3.Luong-Tach'!$B:$B,"642")</f>
        <v>90322.591593559308</v>
      </c>
      <c r="I37" s="115">
        <f ca="1">SUMIFS('3.Luong-Tach'!$I:$I,'3.Luong-Tach'!$C:$C,'3. CP-Luong'!$B37,'3.Luong-Tach'!$B:$B,"642")</f>
        <v>90322.591593559308</v>
      </c>
      <c r="J37" s="115">
        <f ca="1">SUMIFS('3.Luong-Tach'!$I:$I,'3.Luong-Tach'!$C:$C,'3. CP-Luong'!$B37,'3.Luong-Tach'!$B:$B,"642")</f>
        <v>90322.591593559308</v>
      </c>
      <c r="K37" s="115">
        <f ca="1">SUMIFS('3.Luong-Tach'!$I:$I,'3.Luong-Tach'!$C:$C,'3. CP-Luong'!$B37,'3.Luong-Tach'!$B:$B,"642")</f>
        <v>90322.591593559308</v>
      </c>
      <c r="L37" s="115">
        <f ca="1">SUMIFS('3.Luong-Tach'!$I:$I,'3.Luong-Tach'!$C:$C,'3. CP-Luong'!$B37,'3.Luong-Tach'!$B:$B,"642")</f>
        <v>90322.591593559308</v>
      </c>
      <c r="M37" s="115">
        <f ca="1">SUMIFS('3.Luong-Tach'!$I:$I,'3.Luong-Tach'!$C:$C,'3. CP-Luong'!$B37,'3.Luong-Tach'!$B:$B,"642")</f>
        <v>90322.591593559308</v>
      </c>
    </row>
    <row r="38" spans="2:13" s="9" customFormat="1" x14ac:dyDescent="0.25">
      <c r="B38" s="689" t="s">
        <v>1790</v>
      </c>
      <c r="C38" s="9" t="s">
        <v>1799</v>
      </c>
      <c r="D38" s="115">
        <f ca="1">SUMIFS('3.Luong-Tach'!$I:$I,'3.Luong-Tach'!$C:$C,'3. CP-Luong'!$B38,'3.Luong-Tach'!$B:$B,"642")</f>
        <v>700422.26996468601</v>
      </c>
      <c r="E38" s="115">
        <f ca="1">SUMIFS('3.Luong-Tach'!$I:$I,'3.Luong-Tach'!$C:$C,'3. CP-Luong'!$B38,'3.Luong-Tach'!$B:$B,"642")</f>
        <v>700422.26996468601</v>
      </c>
      <c r="F38" s="115">
        <f ca="1">SUMIFS('3.Luong-Tach'!$I:$I,'3.Luong-Tach'!$C:$C,'3. CP-Luong'!$B38,'3.Luong-Tach'!$B:$B,"642")</f>
        <v>700422.26996468601</v>
      </c>
      <c r="G38" s="115">
        <f ca="1">SUMIFS('3.Luong-Tach'!$I:$I,'3.Luong-Tach'!$C:$C,'3. CP-Luong'!$B38,'3.Luong-Tach'!$B:$B,"642")</f>
        <v>700422.26996468601</v>
      </c>
      <c r="H38" s="115">
        <f ca="1">SUMIFS('3.Luong-Tach'!$I:$I,'3.Luong-Tach'!$C:$C,'3. CP-Luong'!$B38,'3.Luong-Tach'!$B:$B,"642")</f>
        <v>700422.26996468601</v>
      </c>
      <c r="I38" s="115">
        <f ca="1">SUMIFS('3.Luong-Tach'!$I:$I,'3.Luong-Tach'!$C:$C,'3. CP-Luong'!$B38,'3.Luong-Tach'!$B:$B,"642")</f>
        <v>700422.26996468601</v>
      </c>
      <c r="J38" s="115">
        <f ca="1">SUMIFS('3.Luong-Tach'!$I:$I,'3.Luong-Tach'!$C:$C,'3. CP-Luong'!$B38,'3.Luong-Tach'!$B:$B,"642")</f>
        <v>700422.26996468601</v>
      </c>
      <c r="K38" s="115">
        <f ca="1">SUMIFS('3.Luong-Tach'!$I:$I,'3.Luong-Tach'!$C:$C,'3. CP-Luong'!$B38,'3.Luong-Tach'!$B:$B,"642")</f>
        <v>700422.26996468601</v>
      </c>
      <c r="L38" s="115">
        <f ca="1">SUMIFS('3.Luong-Tach'!$I:$I,'3.Luong-Tach'!$C:$C,'3. CP-Luong'!$B38,'3.Luong-Tach'!$B:$B,"642")</f>
        <v>700422.26996468601</v>
      </c>
      <c r="M38" s="115">
        <f ca="1">SUMIFS('3.Luong-Tach'!$I:$I,'3.Luong-Tach'!$C:$C,'3. CP-Luong'!$B38,'3.Luong-Tach'!$B:$B,"642")</f>
        <v>700422.26996468601</v>
      </c>
    </row>
    <row r="39" spans="2:13" s="9" customFormat="1" x14ac:dyDescent="0.25">
      <c r="B39" s="689" t="s">
        <v>1789</v>
      </c>
      <c r="C39" s="9" t="s">
        <v>1799</v>
      </c>
      <c r="D39" s="115">
        <f ca="1">SUMIFS('3.Luong-Tach'!$I:$I,'3.Luong-Tach'!$C:$C,'3. CP-Luong'!$B39,'3.Luong-Tach'!$B:$B,"642")</f>
        <v>714907.3594590174</v>
      </c>
      <c r="E39" s="115">
        <f ca="1">SUMIFS('3.Luong-Tach'!$I:$I,'3.Luong-Tach'!$C:$C,'3. CP-Luong'!$B39,'3.Luong-Tach'!$B:$B,"642")</f>
        <v>714907.3594590174</v>
      </c>
      <c r="F39" s="115">
        <f ca="1">SUMIFS('3.Luong-Tach'!$I:$I,'3.Luong-Tach'!$C:$C,'3. CP-Luong'!$B39,'3.Luong-Tach'!$B:$B,"642")</f>
        <v>714907.3594590174</v>
      </c>
      <c r="G39" s="115">
        <f ca="1">SUMIFS('3.Luong-Tach'!$I:$I,'3.Luong-Tach'!$C:$C,'3. CP-Luong'!$B39,'3.Luong-Tach'!$B:$B,"642")</f>
        <v>714907.3594590174</v>
      </c>
      <c r="H39" s="115">
        <f ca="1">SUMIFS('3.Luong-Tach'!$I:$I,'3.Luong-Tach'!$C:$C,'3. CP-Luong'!$B39,'3.Luong-Tach'!$B:$B,"642")</f>
        <v>714907.3594590174</v>
      </c>
      <c r="I39" s="115">
        <f ca="1">SUMIFS('3.Luong-Tach'!$I:$I,'3.Luong-Tach'!$C:$C,'3. CP-Luong'!$B39,'3.Luong-Tach'!$B:$B,"642")</f>
        <v>714907.3594590174</v>
      </c>
      <c r="J39" s="115">
        <f ca="1">SUMIFS('3.Luong-Tach'!$I:$I,'3.Luong-Tach'!$C:$C,'3. CP-Luong'!$B39,'3.Luong-Tach'!$B:$B,"642")</f>
        <v>714907.3594590174</v>
      </c>
      <c r="K39" s="115">
        <f ca="1">SUMIFS('3.Luong-Tach'!$I:$I,'3.Luong-Tach'!$C:$C,'3. CP-Luong'!$B39,'3.Luong-Tach'!$B:$B,"642")</f>
        <v>714907.3594590174</v>
      </c>
      <c r="L39" s="115">
        <f ca="1">SUMIFS('3.Luong-Tach'!$I:$I,'3.Luong-Tach'!$C:$C,'3. CP-Luong'!$B39,'3.Luong-Tach'!$B:$B,"642")</f>
        <v>714907.3594590174</v>
      </c>
      <c r="M39" s="115">
        <f ca="1">SUMIFS('3.Luong-Tach'!$I:$I,'3.Luong-Tach'!$C:$C,'3. CP-Luong'!$B39,'3.Luong-Tach'!$B:$B,"642")</f>
        <v>714907.3594590174</v>
      </c>
    </row>
    <row r="40" spans="2:13" s="9" customFormat="1" x14ac:dyDescent="0.25">
      <c r="B40" s="689" t="s">
        <v>1798</v>
      </c>
      <c r="C40" s="9" t="s">
        <v>1799</v>
      </c>
      <c r="D40" s="115">
        <f>SUMIFS('3.Luong-Tach'!$I:$I,'3.Luong-Tach'!$C:$C,'3. CP-Luong'!$B40,'3.Luong-Tach'!$B:$B,"642")</f>
        <v>0</v>
      </c>
      <c r="E40" s="115">
        <f>SUMIFS('3.Luong-Tach'!$I:$I,'3.Luong-Tach'!$C:$C,'3. CP-Luong'!$B40,'3.Luong-Tach'!$B:$B,"642")</f>
        <v>0</v>
      </c>
      <c r="F40" s="115">
        <f>SUMIFS('3.Luong-Tach'!$I:$I,'3.Luong-Tach'!$C:$C,'3. CP-Luong'!$B40,'3.Luong-Tach'!$B:$B,"642")</f>
        <v>0</v>
      </c>
      <c r="G40" s="115">
        <f>SUMIFS('3.Luong-Tach'!$I:$I,'3.Luong-Tach'!$C:$C,'3. CP-Luong'!$B40,'3.Luong-Tach'!$B:$B,"642")</f>
        <v>0</v>
      </c>
      <c r="H40" s="115">
        <f>SUMIFS('3.Luong-Tach'!$I:$I,'3.Luong-Tach'!$C:$C,'3. CP-Luong'!$B40,'3.Luong-Tach'!$B:$B,"642")</f>
        <v>0</v>
      </c>
      <c r="I40" s="115">
        <f>SUMIFS('3.Luong-Tach'!$I:$I,'3.Luong-Tach'!$C:$C,'3. CP-Luong'!$B40,'3.Luong-Tach'!$B:$B,"642")</f>
        <v>0</v>
      </c>
      <c r="J40" s="115">
        <f>SUMIFS('3.Luong-Tach'!$I:$I,'3.Luong-Tach'!$C:$C,'3. CP-Luong'!$B40,'3.Luong-Tach'!$B:$B,"642")</f>
        <v>0</v>
      </c>
      <c r="K40" s="115">
        <f>SUMIFS('3.Luong-Tach'!$I:$I,'3.Luong-Tach'!$C:$C,'3. CP-Luong'!$B40,'3.Luong-Tach'!$B:$B,"642")</f>
        <v>0</v>
      </c>
      <c r="L40" s="115">
        <f>SUMIFS('3.Luong-Tach'!$I:$I,'3.Luong-Tach'!$C:$C,'3. CP-Luong'!$B40,'3.Luong-Tach'!$B:$B,"642")</f>
        <v>0</v>
      </c>
      <c r="M40" s="115">
        <f>SUMIFS('3.Luong-Tach'!$I:$I,'3.Luong-Tach'!$C:$C,'3. CP-Luong'!$B40,'3.Luong-Tach'!$B:$B,"642")</f>
        <v>0</v>
      </c>
    </row>
    <row r="41" spans="2:13" x14ac:dyDescent="0.25">
      <c r="B41" s="689"/>
      <c r="D41" s="3"/>
      <c r="E41" s="3"/>
      <c r="F41" s="3"/>
      <c r="G41" s="3"/>
      <c r="H41" s="3"/>
      <c r="I41" s="3"/>
      <c r="J41" s="3"/>
      <c r="K41" s="3"/>
      <c r="L41" s="3"/>
      <c r="M41" s="3"/>
    </row>
    <row r="42" spans="2:13" x14ac:dyDescent="0.25">
      <c r="B42" s="689"/>
      <c r="D42" s="3"/>
      <c r="E42" s="3"/>
      <c r="F42" s="3"/>
      <c r="G42" s="3"/>
      <c r="H42" s="3"/>
      <c r="I42" s="3"/>
      <c r="J42" s="3"/>
      <c r="K42" s="3"/>
      <c r="L42" s="3"/>
      <c r="M42" s="3"/>
    </row>
    <row r="43" spans="2:13" x14ac:dyDescent="0.25">
      <c r="B43" s="689"/>
      <c r="D43" s="3"/>
      <c r="E43" s="3"/>
      <c r="F43" s="3"/>
      <c r="G43" s="3"/>
      <c r="H43" s="3"/>
      <c r="I43" s="3"/>
      <c r="J43" s="3"/>
      <c r="K43" s="3"/>
      <c r="L43" s="3"/>
      <c r="M43" s="3"/>
    </row>
    <row r="44" spans="2:13" x14ac:dyDescent="0.25">
      <c r="B44" s="129"/>
      <c r="C44" s="129"/>
      <c r="D44" s="129"/>
      <c r="E44" s="129"/>
      <c r="F44" s="129"/>
      <c r="G44" s="129"/>
      <c r="H44" s="129"/>
      <c r="I44" s="129"/>
      <c r="J44" s="129"/>
      <c r="K44" s="129"/>
      <c r="L44" s="129"/>
      <c r="M44" s="129"/>
    </row>
  </sheetData>
  <pageMargins left="0.7" right="0.7" top="0.75" bottom="0.75" header="0.3" footer="0.3"/>
  <pageSetup orientation="portrait" horizontalDpi="1200" verticalDpi="1200"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ADF56-D9C2-4D07-8BB8-BAF37324182D}">
  <sheetPr filterMode="1"/>
  <dimension ref="B2:AP203"/>
  <sheetViews>
    <sheetView topLeftCell="A2" zoomScale="85" zoomScaleNormal="85" workbookViewId="0">
      <selection activeCell="F60" sqref="F60"/>
    </sheetView>
  </sheetViews>
  <sheetFormatPr defaultColWidth="8.85546875" defaultRowHeight="15" x14ac:dyDescent="0.25"/>
  <cols>
    <col min="1" max="1" width="8.85546875" style="1384"/>
    <col min="2" max="2" width="5.85546875" style="1384" bestFit="1" customWidth="1"/>
    <col min="3" max="3" width="20" style="1384" bestFit="1" customWidth="1"/>
    <col min="4" max="4" width="27.7109375" style="1384" customWidth="1"/>
    <col min="5" max="5" width="14.85546875" style="1384" bestFit="1" customWidth="1"/>
    <col min="6" max="6" width="22.28515625" style="1384" bestFit="1" customWidth="1"/>
    <col min="7" max="7" width="22.28515625" style="1384" customWidth="1"/>
    <col min="8" max="8" width="14.28515625" style="1384" customWidth="1"/>
    <col min="9" max="9" width="5.85546875" style="1384" bestFit="1" customWidth="1"/>
    <col min="10" max="10" width="14.7109375" style="1384" bestFit="1" customWidth="1"/>
    <col min="11" max="11" width="9.140625" style="1384" bestFit="1" customWidth="1"/>
    <col min="12" max="17" width="8.85546875" style="1384"/>
    <col min="18" max="18" width="11.5703125" style="1384" customWidth="1"/>
    <col min="19" max="27" width="8.85546875" style="1384"/>
    <col min="28" max="28" width="9.42578125" style="1384" bestFit="1" customWidth="1"/>
    <col min="29" max="39" width="0" style="1384" hidden="1" customWidth="1"/>
    <col min="40" max="41" width="8.85546875" style="1384"/>
    <col min="42" max="42" width="12" style="1407" customWidth="1"/>
    <col min="43" max="16384" width="8.85546875" style="1384"/>
  </cols>
  <sheetData>
    <row r="2" spans="2:42" s="1373" customFormat="1" ht="110.25" x14ac:dyDescent="0.25">
      <c r="B2" s="1362" t="s">
        <v>1</v>
      </c>
      <c r="C2" s="1363" t="s">
        <v>1410</v>
      </c>
      <c r="D2" s="1363" t="s">
        <v>1411</v>
      </c>
      <c r="E2" s="1364" t="s">
        <v>1412</v>
      </c>
      <c r="F2" s="1364" t="s">
        <v>1413</v>
      </c>
      <c r="G2" s="1364"/>
      <c r="H2" s="1365" t="s">
        <v>1414</v>
      </c>
      <c r="I2" s="1365" t="s">
        <v>246</v>
      </c>
      <c r="J2" s="1365" t="s">
        <v>1415</v>
      </c>
      <c r="K2" s="1366" t="s">
        <v>1416</v>
      </c>
      <c r="L2" s="1366" t="s">
        <v>1417</v>
      </c>
      <c r="M2" s="1366" t="s">
        <v>1418</v>
      </c>
      <c r="N2" s="1367" t="s">
        <v>1419</v>
      </c>
      <c r="O2" s="1367" t="s">
        <v>1420</v>
      </c>
      <c r="P2" s="1367" t="s">
        <v>1421</v>
      </c>
      <c r="Q2" s="1367" t="s">
        <v>1422</v>
      </c>
      <c r="R2" s="1367" t="s">
        <v>1423</v>
      </c>
      <c r="S2" s="1367" t="s">
        <v>1424</v>
      </c>
      <c r="T2" s="1367" t="s">
        <v>1425</v>
      </c>
      <c r="U2" s="1367" t="s">
        <v>1426</v>
      </c>
      <c r="V2" s="1367" t="s">
        <v>1427</v>
      </c>
      <c r="W2" s="1367" t="s">
        <v>1428</v>
      </c>
      <c r="X2" s="1368" t="s">
        <v>1429</v>
      </c>
      <c r="Y2" s="1366" t="s">
        <v>1430</v>
      </c>
      <c r="Z2" s="1366" t="s">
        <v>1431</v>
      </c>
      <c r="AA2" s="1366" t="s">
        <v>1432</v>
      </c>
      <c r="AB2" s="1366" t="s">
        <v>1433</v>
      </c>
      <c r="AC2" s="1369" t="s">
        <v>1434</v>
      </c>
      <c r="AD2" s="1369" t="s">
        <v>1435</v>
      </c>
      <c r="AE2" s="1369" t="s">
        <v>1436</v>
      </c>
      <c r="AF2" s="1369" t="s">
        <v>1437</v>
      </c>
      <c r="AG2" s="1369" t="s">
        <v>1438</v>
      </c>
      <c r="AH2" s="1370" t="s">
        <v>1439</v>
      </c>
      <c r="AI2" s="1370" t="s">
        <v>1440</v>
      </c>
      <c r="AJ2" s="1370" t="s">
        <v>1441</v>
      </c>
      <c r="AK2" s="1370" t="s">
        <v>1442</v>
      </c>
      <c r="AL2" s="1370" t="s">
        <v>1443</v>
      </c>
      <c r="AM2" s="1370" t="s">
        <v>1444</v>
      </c>
      <c r="AN2" s="1371" t="s">
        <v>1445</v>
      </c>
      <c r="AO2" s="1371" t="s">
        <v>1446</v>
      </c>
      <c r="AP2" s="1372" t="s">
        <v>1447</v>
      </c>
    </row>
    <row r="3" spans="2:42" ht="15.75" hidden="1" x14ac:dyDescent="0.25">
      <c r="B3" s="1374" t="s">
        <v>576</v>
      </c>
      <c r="C3" s="1375" t="s">
        <v>1448</v>
      </c>
      <c r="D3" s="1376" t="s">
        <v>1449</v>
      </c>
      <c r="E3" s="1377" t="s">
        <v>1358</v>
      </c>
      <c r="F3" s="1377" t="s">
        <v>1450</v>
      </c>
      <c r="G3" s="1377">
        <v>642</v>
      </c>
      <c r="H3" s="1378" t="s">
        <v>646</v>
      </c>
      <c r="I3" s="1378" t="s">
        <v>5</v>
      </c>
      <c r="J3" s="1378" t="s">
        <v>1451</v>
      </c>
      <c r="K3" s="1379">
        <v>12000</v>
      </c>
      <c r="L3" s="1380"/>
      <c r="M3" s="1380"/>
      <c r="N3" s="1381"/>
      <c r="O3" s="1381"/>
      <c r="P3" s="1381"/>
      <c r="Q3" s="1381"/>
      <c r="R3" s="1381"/>
      <c r="S3" s="1381"/>
      <c r="T3" s="1381"/>
      <c r="U3" s="1381"/>
      <c r="V3" s="1381"/>
      <c r="W3" s="1381">
        <v>0</v>
      </c>
      <c r="X3" s="1380">
        <v>12000</v>
      </c>
      <c r="Y3" s="1380"/>
      <c r="Z3" s="1380">
        <v>50</v>
      </c>
      <c r="AA3" s="1380"/>
      <c r="AB3" s="1382">
        <v>11950</v>
      </c>
      <c r="AC3" s="1377"/>
      <c r="AD3" s="1377"/>
      <c r="AE3" s="1377"/>
      <c r="AF3" s="1377"/>
      <c r="AG3" s="1377"/>
      <c r="AH3" s="1377"/>
      <c r="AI3" s="1377"/>
      <c r="AJ3" s="1377"/>
      <c r="AK3" s="1377"/>
      <c r="AL3" s="1377"/>
      <c r="AM3" s="1377"/>
      <c r="AN3" s="1380">
        <v>1000</v>
      </c>
      <c r="AO3" s="1380">
        <v>1000</v>
      </c>
      <c r="AP3" s="1383">
        <v>13000</v>
      </c>
    </row>
    <row r="4" spans="2:42" ht="15.75" hidden="1" x14ac:dyDescent="0.25">
      <c r="B4" s="1374" t="s">
        <v>577</v>
      </c>
      <c r="C4" s="1385" t="s">
        <v>1452</v>
      </c>
      <c r="D4" s="1376" t="s">
        <v>1449</v>
      </c>
      <c r="E4" s="1377" t="s">
        <v>1453</v>
      </c>
      <c r="F4" s="1377" t="s">
        <v>1450</v>
      </c>
      <c r="G4" s="1377">
        <v>641</v>
      </c>
      <c r="H4" s="1378" t="s">
        <v>646</v>
      </c>
      <c r="I4" s="1378" t="s">
        <v>5</v>
      </c>
      <c r="J4" s="1378" t="s">
        <v>1451</v>
      </c>
      <c r="K4" s="1379">
        <v>6000</v>
      </c>
      <c r="L4" s="1380"/>
      <c r="M4" s="1380"/>
      <c r="N4" s="1381"/>
      <c r="O4" s="1381"/>
      <c r="P4" s="1381"/>
      <c r="Q4" s="1381"/>
      <c r="R4" s="1381"/>
      <c r="S4" s="1381"/>
      <c r="T4" s="1381"/>
      <c r="U4" s="1381"/>
      <c r="V4" s="1381"/>
      <c r="W4" s="1381">
        <v>0</v>
      </c>
      <c r="X4" s="1380">
        <v>6000</v>
      </c>
      <c r="Y4" s="1380"/>
      <c r="Z4" s="1380">
        <v>50</v>
      </c>
      <c r="AA4" s="1380"/>
      <c r="AB4" s="1382">
        <v>5950</v>
      </c>
      <c r="AC4" s="1377"/>
      <c r="AD4" s="1377"/>
      <c r="AE4" s="1377"/>
      <c r="AF4" s="1377"/>
      <c r="AG4" s="1377"/>
      <c r="AH4" s="1377"/>
      <c r="AI4" s="1377"/>
      <c r="AJ4" s="1377"/>
      <c r="AK4" s="1377"/>
      <c r="AL4" s="1377"/>
      <c r="AM4" s="1377"/>
      <c r="AN4" s="1380">
        <v>1000</v>
      </c>
      <c r="AO4" s="1380">
        <v>1000</v>
      </c>
      <c r="AP4" s="1383">
        <v>7000</v>
      </c>
    </row>
    <row r="5" spans="2:42" ht="15.75" hidden="1" x14ac:dyDescent="0.25">
      <c r="B5" s="1374" t="s">
        <v>645</v>
      </c>
      <c r="C5" s="1385" t="s">
        <v>1454</v>
      </c>
      <c r="D5" s="1376" t="s">
        <v>1449</v>
      </c>
      <c r="E5" s="1377" t="s">
        <v>1453</v>
      </c>
      <c r="F5" s="1377" t="s">
        <v>1450</v>
      </c>
      <c r="G5" s="1377">
        <v>641</v>
      </c>
      <c r="H5" s="1378" t="s">
        <v>646</v>
      </c>
      <c r="I5" s="1378" t="s">
        <v>5</v>
      </c>
      <c r="J5" s="1378" t="s">
        <v>1451</v>
      </c>
      <c r="K5" s="1379">
        <v>6260</v>
      </c>
      <c r="L5" s="1380"/>
      <c r="M5" s="1380"/>
      <c r="N5" s="1381"/>
      <c r="O5" s="1381"/>
      <c r="P5" s="1381"/>
      <c r="Q5" s="1381"/>
      <c r="R5" s="1381"/>
      <c r="S5" s="1381"/>
      <c r="T5" s="1381"/>
      <c r="U5" s="1381"/>
      <c r="V5" s="1381"/>
      <c r="W5" s="1381">
        <v>0</v>
      </c>
      <c r="X5" s="1380">
        <v>6260</v>
      </c>
      <c r="Y5" s="1380">
        <v>1120</v>
      </c>
      <c r="Z5" s="1380">
        <v>50</v>
      </c>
      <c r="AA5" s="1380"/>
      <c r="AB5" s="1382">
        <v>5090</v>
      </c>
      <c r="AC5" s="1377"/>
      <c r="AD5" s="1377"/>
      <c r="AE5" s="1377"/>
      <c r="AF5" s="1377"/>
      <c r="AG5" s="1377"/>
      <c r="AH5" s="1377"/>
      <c r="AI5" s="1377"/>
      <c r="AJ5" s="1377"/>
      <c r="AK5" s="1377"/>
      <c r="AL5" s="1377"/>
      <c r="AM5" s="1377"/>
      <c r="AN5" s="1380">
        <v>1000</v>
      </c>
      <c r="AO5" s="1380">
        <v>1000</v>
      </c>
      <c r="AP5" s="1383">
        <v>7260</v>
      </c>
    </row>
    <row r="6" spans="2:42" ht="15.75" hidden="1" x14ac:dyDescent="0.25">
      <c r="B6" s="1374" t="s">
        <v>604</v>
      </c>
      <c r="C6" s="1385" t="s">
        <v>1455</v>
      </c>
      <c r="D6" s="1376" t="s">
        <v>1449</v>
      </c>
      <c r="E6" s="1377" t="s">
        <v>1456</v>
      </c>
      <c r="F6" s="1377" t="s">
        <v>1450</v>
      </c>
      <c r="G6" s="1377">
        <v>641</v>
      </c>
      <c r="H6" s="1378" t="s">
        <v>646</v>
      </c>
      <c r="I6" s="1378" t="s">
        <v>5</v>
      </c>
      <c r="J6" s="1378" t="s">
        <v>1451</v>
      </c>
      <c r="K6" s="1379">
        <v>7000</v>
      </c>
      <c r="L6" s="1380"/>
      <c r="M6" s="1380"/>
      <c r="N6" s="1381"/>
      <c r="O6" s="1381"/>
      <c r="P6" s="1381"/>
      <c r="Q6" s="1381"/>
      <c r="R6" s="1381"/>
      <c r="S6" s="1381"/>
      <c r="T6" s="1381"/>
      <c r="U6" s="1381"/>
      <c r="V6" s="1381"/>
      <c r="W6" s="1381">
        <v>0</v>
      </c>
      <c r="X6" s="1380">
        <v>6548.3870967741941</v>
      </c>
      <c r="Y6" s="1380"/>
      <c r="Z6" s="1380">
        <v>50</v>
      </c>
      <c r="AA6" s="1380"/>
      <c r="AB6" s="1382">
        <v>6498.3870967741941</v>
      </c>
      <c r="AC6" s="1377"/>
      <c r="AD6" s="1377"/>
      <c r="AE6" s="1377"/>
      <c r="AF6" s="1377"/>
      <c r="AG6" s="1377"/>
      <c r="AH6" s="1377"/>
      <c r="AI6" s="1377"/>
      <c r="AJ6" s="1377"/>
      <c r="AK6" s="1377"/>
      <c r="AL6" s="1377"/>
      <c r="AM6" s="1377"/>
      <c r="AN6" s="1380">
        <v>500</v>
      </c>
      <c r="AO6" s="1380">
        <v>500</v>
      </c>
      <c r="AP6" s="1383">
        <v>7048.3870967741941</v>
      </c>
    </row>
    <row r="7" spans="2:42" ht="15.75" hidden="1" x14ac:dyDescent="0.25">
      <c r="B7" s="1374" t="s">
        <v>605</v>
      </c>
      <c r="C7" s="1385" t="s">
        <v>1457</v>
      </c>
      <c r="D7" s="1376" t="s">
        <v>1449</v>
      </c>
      <c r="E7" s="1377" t="s">
        <v>1453</v>
      </c>
      <c r="F7" s="1377" t="s">
        <v>1450</v>
      </c>
      <c r="G7" s="1377">
        <v>641</v>
      </c>
      <c r="H7" s="1378" t="s">
        <v>646</v>
      </c>
      <c r="I7" s="1378" t="s">
        <v>5</v>
      </c>
      <c r="J7" s="1378" t="s">
        <v>1451</v>
      </c>
      <c r="K7" s="1379">
        <v>6000</v>
      </c>
      <c r="L7" s="1380"/>
      <c r="M7" s="1380"/>
      <c r="N7" s="1381"/>
      <c r="O7" s="1381"/>
      <c r="P7" s="1381"/>
      <c r="Q7" s="1381"/>
      <c r="R7" s="1381"/>
      <c r="S7" s="1381"/>
      <c r="T7" s="1381"/>
      <c r="U7" s="1381"/>
      <c r="V7" s="1381"/>
      <c r="W7" s="1381">
        <v>0</v>
      </c>
      <c r="X7" s="1380">
        <v>6000</v>
      </c>
      <c r="Y7" s="1380"/>
      <c r="Z7" s="1380">
        <v>50</v>
      </c>
      <c r="AA7" s="1380"/>
      <c r="AB7" s="1382">
        <v>5950</v>
      </c>
      <c r="AC7" s="1377"/>
      <c r="AD7" s="1377"/>
      <c r="AE7" s="1377"/>
      <c r="AF7" s="1377"/>
      <c r="AG7" s="1377"/>
      <c r="AH7" s="1377"/>
      <c r="AI7" s="1377"/>
      <c r="AJ7" s="1377"/>
      <c r="AK7" s="1377"/>
      <c r="AL7" s="1377"/>
      <c r="AM7" s="1377"/>
      <c r="AN7" s="1380">
        <v>1000</v>
      </c>
      <c r="AO7" s="1380">
        <v>1000</v>
      </c>
      <c r="AP7" s="1383">
        <v>7000</v>
      </c>
    </row>
    <row r="8" spans="2:42" ht="15.75" hidden="1" x14ac:dyDescent="0.25">
      <c r="B8" s="1374" t="s">
        <v>644</v>
      </c>
      <c r="C8" s="1385" t="s">
        <v>1458</v>
      </c>
      <c r="D8" s="1376" t="s">
        <v>1449</v>
      </c>
      <c r="E8" s="1377" t="s">
        <v>1453</v>
      </c>
      <c r="F8" s="1377" t="s">
        <v>1450</v>
      </c>
      <c r="G8" s="1377">
        <v>641</v>
      </c>
      <c r="H8" s="1378" t="s">
        <v>646</v>
      </c>
      <c r="I8" s="1378" t="s">
        <v>5</v>
      </c>
      <c r="J8" s="1378" t="s">
        <v>1451</v>
      </c>
      <c r="K8" s="1379">
        <v>6000</v>
      </c>
      <c r="L8" s="1380"/>
      <c r="M8" s="1380"/>
      <c r="N8" s="1381"/>
      <c r="O8" s="1381"/>
      <c r="P8" s="1381"/>
      <c r="Q8" s="1381"/>
      <c r="R8" s="1381"/>
      <c r="S8" s="1381"/>
      <c r="T8" s="1381"/>
      <c r="U8" s="1381"/>
      <c r="V8" s="1381"/>
      <c r="W8" s="1381">
        <v>0</v>
      </c>
      <c r="X8" s="1380">
        <v>6000</v>
      </c>
      <c r="Y8" s="1380"/>
      <c r="Z8" s="1380">
        <v>50</v>
      </c>
      <c r="AA8" s="1380"/>
      <c r="AB8" s="1382">
        <v>5950</v>
      </c>
      <c r="AC8" s="1377"/>
      <c r="AD8" s="1377"/>
      <c r="AE8" s="1377"/>
      <c r="AF8" s="1377"/>
      <c r="AG8" s="1377"/>
      <c r="AH8" s="1377"/>
      <c r="AI8" s="1377"/>
      <c r="AJ8" s="1377"/>
      <c r="AK8" s="1377"/>
      <c r="AL8" s="1377"/>
      <c r="AM8" s="1377"/>
      <c r="AN8" s="1380">
        <v>1000</v>
      </c>
      <c r="AO8" s="1380">
        <v>1000</v>
      </c>
      <c r="AP8" s="1383">
        <v>7000</v>
      </c>
    </row>
    <row r="9" spans="2:42" ht="15.75" hidden="1" x14ac:dyDescent="0.25">
      <c r="B9" s="1374" t="s">
        <v>1459</v>
      </c>
      <c r="C9" s="1385" t="s">
        <v>1460</v>
      </c>
      <c r="D9" s="1376" t="s">
        <v>1449</v>
      </c>
      <c r="E9" s="1377" t="s">
        <v>1461</v>
      </c>
      <c r="F9" s="1377" t="s">
        <v>1450</v>
      </c>
      <c r="G9" s="1377">
        <v>642</v>
      </c>
      <c r="H9" s="1378" t="s">
        <v>646</v>
      </c>
      <c r="I9" s="1378" t="s">
        <v>5</v>
      </c>
      <c r="J9" s="1378" t="s">
        <v>1451</v>
      </c>
      <c r="K9" s="1379">
        <v>6172</v>
      </c>
      <c r="L9" s="1380"/>
      <c r="M9" s="1380"/>
      <c r="N9" s="1381"/>
      <c r="O9" s="1381"/>
      <c r="P9" s="1381"/>
      <c r="Q9" s="1381"/>
      <c r="R9" s="1381"/>
      <c r="S9" s="1381"/>
      <c r="T9" s="1381"/>
      <c r="U9" s="1381"/>
      <c r="V9" s="1381"/>
      <c r="W9" s="1381">
        <v>0</v>
      </c>
      <c r="X9" s="1380">
        <v>6271.5483870967737</v>
      </c>
      <c r="Y9" s="1380"/>
      <c r="Z9" s="1380">
        <v>50</v>
      </c>
      <c r="AA9" s="1380"/>
      <c r="AB9" s="1382">
        <v>6221.5483870967737</v>
      </c>
      <c r="AC9" s="1377"/>
      <c r="AD9" s="1377"/>
      <c r="AE9" s="1377"/>
      <c r="AF9" s="1377"/>
      <c r="AG9" s="1377"/>
      <c r="AH9" s="1377"/>
      <c r="AI9" s="1377"/>
      <c r="AJ9" s="1377"/>
      <c r="AK9" s="1377"/>
      <c r="AL9" s="1377"/>
      <c r="AM9" s="1377"/>
      <c r="AN9" s="1380">
        <v>1000</v>
      </c>
      <c r="AO9" s="1380">
        <v>1000</v>
      </c>
      <c r="AP9" s="1383">
        <v>7271.5483870967737</v>
      </c>
    </row>
    <row r="10" spans="2:42" ht="15.75" hidden="1" x14ac:dyDescent="0.25">
      <c r="B10" s="1374" t="s">
        <v>1462</v>
      </c>
      <c r="C10" s="1386" t="s">
        <v>1463</v>
      </c>
      <c r="D10" s="1376" t="s">
        <v>1464</v>
      </c>
      <c r="E10" s="1376" t="s">
        <v>1358</v>
      </c>
      <c r="F10" s="1377" t="s">
        <v>1450</v>
      </c>
      <c r="G10" s="1377">
        <v>642</v>
      </c>
      <c r="H10" s="1378" t="s">
        <v>646</v>
      </c>
      <c r="I10" s="1378" t="s">
        <v>5</v>
      </c>
      <c r="J10" s="1378" t="s">
        <v>1451</v>
      </c>
      <c r="K10" s="1380">
        <v>12000</v>
      </c>
      <c r="L10" s="1380"/>
      <c r="M10" s="1380"/>
      <c r="N10" s="1381"/>
      <c r="O10" s="1381"/>
      <c r="P10" s="1381"/>
      <c r="Q10" s="1381"/>
      <c r="R10" s="1381"/>
      <c r="S10" s="1381"/>
      <c r="T10" s="1381"/>
      <c r="U10" s="1381"/>
      <c r="V10" s="1381"/>
      <c r="W10" s="1381">
        <v>0</v>
      </c>
      <c r="X10" s="1380">
        <v>12000</v>
      </c>
      <c r="Y10" s="1380">
        <v>1120</v>
      </c>
      <c r="Z10" s="1380">
        <v>50</v>
      </c>
      <c r="AA10" s="1380"/>
      <c r="AB10" s="1382">
        <v>10830</v>
      </c>
      <c r="AC10" s="1377"/>
      <c r="AD10" s="1377"/>
      <c r="AE10" s="1377"/>
      <c r="AF10" s="1377"/>
      <c r="AG10" s="1377"/>
      <c r="AH10" s="1377"/>
      <c r="AI10" s="1377"/>
      <c r="AJ10" s="1377"/>
      <c r="AK10" s="1377"/>
      <c r="AL10" s="1377"/>
      <c r="AM10" s="1377"/>
      <c r="AN10" s="1380">
        <v>1000</v>
      </c>
      <c r="AO10" s="1380">
        <v>1000</v>
      </c>
      <c r="AP10" s="1383">
        <v>13000</v>
      </c>
    </row>
    <row r="11" spans="2:42" ht="15.75" hidden="1" x14ac:dyDescent="0.25">
      <c r="B11" s="1374" t="s">
        <v>1465</v>
      </c>
      <c r="C11" s="1386" t="s">
        <v>1466</v>
      </c>
      <c r="D11" s="1376" t="s">
        <v>1464</v>
      </c>
      <c r="E11" s="1376" t="s">
        <v>1453</v>
      </c>
      <c r="F11" s="1377" t="s">
        <v>1450</v>
      </c>
      <c r="G11" s="1377">
        <v>641</v>
      </c>
      <c r="H11" s="1378" t="s">
        <v>646</v>
      </c>
      <c r="I11" s="1378" t="s">
        <v>5</v>
      </c>
      <c r="J11" s="1378" t="s">
        <v>1451</v>
      </c>
      <c r="K11" s="1380">
        <v>6500</v>
      </c>
      <c r="L11" s="1380"/>
      <c r="M11" s="1380"/>
      <c r="N11" s="1381"/>
      <c r="O11" s="1381"/>
      <c r="P11" s="1381"/>
      <c r="Q11" s="1381"/>
      <c r="R11" s="1381"/>
      <c r="S11" s="1381"/>
      <c r="T11" s="1381"/>
      <c r="U11" s="1381"/>
      <c r="V11" s="1381"/>
      <c r="W11" s="1381">
        <v>0</v>
      </c>
      <c r="X11" s="1380">
        <v>6500</v>
      </c>
      <c r="Y11" s="1380"/>
      <c r="Z11" s="1380">
        <v>50</v>
      </c>
      <c r="AA11" s="1380"/>
      <c r="AB11" s="1382">
        <v>6450</v>
      </c>
      <c r="AC11" s="1377"/>
      <c r="AD11" s="1377"/>
      <c r="AE11" s="1377"/>
      <c r="AF11" s="1377"/>
      <c r="AG11" s="1377"/>
      <c r="AH11" s="1377"/>
      <c r="AI11" s="1377"/>
      <c r="AJ11" s="1377"/>
      <c r="AK11" s="1377"/>
      <c r="AL11" s="1377"/>
      <c r="AM11" s="1377"/>
      <c r="AN11" s="1380">
        <v>1000</v>
      </c>
      <c r="AO11" s="1380">
        <v>1000</v>
      </c>
      <c r="AP11" s="1383">
        <v>7500</v>
      </c>
    </row>
    <row r="12" spans="2:42" ht="15.75" hidden="1" x14ac:dyDescent="0.25">
      <c r="B12" s="1374" t="s">
        <v>276</v>
      </c>
      <c r="C12" s="1387" t="s">
        <v>1467</v>
      </c>
      <c r="D12" s="1376" t="s">
        <v>1464</v>
      </c>
      <c r="E12" s="1376" t="s">
        <v>1453</v>
      </c>
      <c r="F12" s="1377" t="s">
        <v>1450</v>
      </c>
      <c r="G12" s="1377">
        <v>641</v>
      </c>
      <c r="H12" s="1378" t="s">
        <v>646</v>
      </c>
      <c r="I12" s="1378" t="s">
        <v>5</v>
      </c>
      <c r="J12" s="1378" t="s">
        <v>1451</v>
      </c>
      <c r="K12" s="1380">
        <v>6500</v>
      </c>
      <c r="L12" s="1380"/>
      <c r="M12" s="1380"/>
      <c r="N12" s="1381"/>
      <c r="O12" s="1381"/>
      <c r="P12" s="1381"/>
      <c r="Q12" s="1381"/>
      <c r="R12" s="1381"/>
      <c r="S12" s="1381"/>
      <c r="T12" s="1381"/>
      <c r="U12" s="1381"/>
      <c r="V12" s="1381"/>
      <c r="W12" s="1381">
        <v>0</v>
      </c>
      <c r="X12" s="1380">
        <v>6290.3225806451619</v>
      </c>
      <c r="Y12" s="1380"/>
      <c r="Z12" s="1380">
        <v>50</v>
      </c>
      <c r="AA12" s="1380"/>
      <c r="AB12" s="1382">
        <v>6240.3225806451619</v>
      </c>
      <c r="AC12" s="1377"/>
      <c r="AD12" s="1377"/>
      <c r="AE12" s="1377"/>
      <c r="AF12" s="1377"/>
      <c r="AG12" s="1377"/>
      <c r="AH12" s="1377"/>
      <c r="AI12" s="1377"/>
      <c r="AJ12" s="1377"/>
      <c r="AK12" s="1377"/>
      <c r="AL12" s="1377"/>
      <c r="AM12" s="1377"/>
      <c r="AN12" s="1380">
        <v>1000</v>
      </c>
      <c r="AO12" s="1380">
        <v>1000</v>
      </c>
      <c r="AP12" s="1383">
        <v>7290.3225806451619</v>
      </c>
    </row>
    <row r="13" spans="2:42" ht="15.75" hidden="1" x14ac:dyDescent="0.25">
      <c r="B13" s="1374" t="s">
        <v>277</v>
      </c>
      <c r="C13" s="1387" t="s">
        <v>1468</v>
      </c>
      <c r="D13" s="1376" t="s">
        <v>1464</v>
      </c>
      <c r="E13" s="1376" t="s">
        <v>1469</v>
      </c>
      <c r="F13" s="1377" t="s">
        <v>1450</v>
      </c>
      <c r="G13" s="1377">
        <v>627</v>
      </c>
      <c r="H13" s="1378" t="s">
        <v>646</v>
      </c>
      <c r="I13" s="1378" t="s">
        <v>5</v>
      </c>
      <c r="J13" s="1378" t="s">
        <v>1451</v>
      </c>
      <c r="K13" s="1380">
        <v>4000</v>
      </c>
      <c r="L13" s="1380"/>
      <c r="M13" s="1380"/>
      <c r="N13" s="1381"/>
      <c r="O13" s="1381"/>
      <c r="P13" s="1381"/>
      <c r="Q13" s="1381"/>
      <c r="R13" s="1381"/>
      <c r="S13" s="1381"/>
      <c r="T13" s="1381"/>
      <c r="U13" s="1381"/>
      <c r="V13" s="1381"/>
      <c r="W13" s="1381">
        <v>0</v>
      </c>
      <c r="X13" s="1380">
        <v>4000</v>
      </c>
      <c r="Y13" s="1380"/>
      <c r="Z13" s="1380">
        <v>50</v>
      </c>
      <c r="AA13" s="1380"/>
      <c r="AB13" s="1382">
        <v>3950</v>
      </c>
      <c r="AC13" s="1377"/>
      <c r="AD13" s="1377"/>
      <c r="AE13" s="1377"/>
      <c r="AF13" s="1377"/>
      <c r="AG13" s="1377"/>
      <c r="AH13" s="1377"/>
      <c r="AI13" s="1377"/>
      <c r="AJ13" s="1377"/>
      <c r="AK13" s="1377"/>
      <c r="AL13" s="1377"/>
      <c r="AM13" s="1377"/>
      <c r="AN13" s="1380">
        <v>1000</v>
      </c>
      <c r="AO13" s="1380">
        <v>1000</v>
      </c>
      <c r="AP13" s="1383">
        <v>5000</v>
      </c>
    </row>
    <row r="14" spans="2:42" ht="15.75" hidden="1" x14ac:dyDescent="0.25">
      <c r="B14" s="1374" t="s">
        <v>646</v>
      </c>
      <c r="C14" s="1387" t="s">
        <v>1470</v>
      </c>
      <c r="D14" s="1376" t="s">
        <v>1464</v>
      </c>
      <c r="E14" s="1376" t="s">
        <v>1453</v>
      </c>
      <c r="F14" s="1377" t="s">
        <v>1450</v>
      </c>
      <c r="G14" s="1377">
        <v>641</v>
      </c>
      <c r="H14" s="1378" t="s">
        <v>646</v>
      </c>
      <c r="I14" s="1378" t="s">
        <v>5</v>
      </c>
      <c r="J14" s="1378" t="s">
        <v>1451</v>
      </c>
      <c r="K14" s="1380">
        <v>6300</v>
      </c>
      <c r="L14" s="1380"/>
      <c r="M14" s="1380"/>
      <c r="N14" s="1381"/>
      <c r="O14" s="1381"/>
      <c r="P14" s="1381"/>
      <c r="Q14" s="1381"/>
      <c r="R14" s="1381"/>
      <c r="S14" s="1381"/>
      <c r="T14" s="1381"/>
      <c r="U14" s="1381"/>
      <c r="V14" s="1381"/>
      <c r="W14" s="1381">
        <v>0</v>
      </c>
      <c r="X14" s="1380">
        <v>6300</v>
      </c>
      <c r="Y14" s="1380"/>
      <c r="Z14" s="1380">
        <v>50</v>
      </c>
      <c r="AA14" s="1380"/>
      <c r="AB14" s="1382">
        <v>6250</v>
      </c>
      <c r="AC14" s="1377"/>
      <c r="AD14" s="1377"/>
      <c r="AE14" s="1377"/>
      <c r="AF14" s="1377"/>
      <c r="AG14" s="1377"/>
      <c r="AH14" s="1377"/>
      <c r="AI14" s="1377"/>
      <c r="AJ14" s="1377"/>
      <c r="AK14" s="1377"/>
      <c r="AL14" s="1377"/>
      <c r="AM14" s="1377"/>
      <c r="AN14" s="1380">
        <v>1000</v>
      </c>
      <c r="AO14" s="1380">
        <v>1000</v>
      </c>
      <c r="AP14" s="1383">
        <v>7300</v>
      </c>
    </row>
    <row r="15" spans="2:42" ht="15.75" hidden="1" x14ac:dyDescent="0.25">
      <c r="B15" s="1374" t="s">
        <v>1471</v>
      </c>
      <c r="C15" s="1387" t="s">
        <v>1472</v>
      </c>
      <c r="D15" s="1376" t="s">
        <v>1464</v>
      </c>
      <c r="E15" s="1376" t="s">
        <v>1453</v>
      </c>
      <c r="F15" s="1377" t="s">
        <v>1450</v>
      </c>
      <c r="G15" s="1377">
        <v>641</v>
      </c>
      <c r="H15" s="1378" t="s">
        <v>646</v>
      </c>
      <c r="I15" s="1378" t="s">
        <v>5</v>
      </c>
      <c r="J15" s="1378" t="s">
        <v>1451</v>
      </c>
      <c r="K15" s="1380">
        <v>6300</v>
      </c>
      <c r="L15" s="1380"/>
      <c r="M15" s="1380"/>
      <c r="N15" s="1381"/>
      <c r="O15" s="1381"/>
      <c r="P15" s="1381"/>
      <c r="Q15" s="1381"/>
      <c r="R15" s="1381"/>
      <c r="S15" s="1381"/>
      <c r="T15" s="1381"/>
      <c r="U15" s="1381"/>
      <c r="V15" s="1381"/>
      <c r="W15" s="1381">
        <v>0</v>
      </c>
      <c r="X15" s="1380">
        <v>6300</v>
      </c>
      <c r="Y15" s="1380"/>
      <c r="Z15" s="1380">
        <v>50</v>
      </c>
      <c r="AA15" s="1380"/>
      <c r="AB15" s="1382">
        <v>6250</v>
      </c>
      <c r="AC15" s="1377"/>
      <c r="AD15" s="1377"/>
      <c r="AE15" s="1377"/>
      <c r="AF15" s="1377"/>
      <c r="AG15" s="1377"/>
      <c r="AH15" s="1377"/>
      <c r="AI15" s="1377"/>
      <c r="AJ15" s="1377"/>
      <c r="AK15" s="1377"/>
      <c r="AL15" s="1377"/>
      <c r="AM15" s="1377"/>
      <c r="AN15" s="1380">
        <v>1000</v>
      </c>
      <c r="AO15" s="1380">
        <v>1000</v>
      </c>
      <c r="AP15" s="1383">
        <v>7300</v>
      </c>
    </row>
    <row r="16" spans="2:42" ht="15.75" hidden="1" x14ac:dyDescent="0.25">
      <c r="B16" s="1374" t="s">
        <v>1473</v>
      </c>
      <c r="C16" s="1387" t="s">
        <v>1468</v>
      </c>
      <c r="D16" s="1376" t="s">
        <v>1464</v>
      </c>
      <c r="E16" s="1376" t="s">
        <v>1474</v>
      </c>
      <c r="F16" s="1377" t="s">
        <v>1450</v>
      </c>
      <c r="G16" s="1377">
        <v>627</v>
      </c>
      <c r="H16" s="1378" t="s">
        <v>646</v>
      </c>
      <c r="I16" s="1378" t="s">
        <v>5</v>
      </c>
      <c r="J16" s="1378" t="s">
        <v>1451</v>
      </c>
      <c r="K16" s="1380">
        <v>3000</v>
      </c>
      <c r="L16" s="1380"/>
      <c r="M16" s="1380"/>
      <c r="N16" s="1381"/>
      <c r="O16" s="1381"/>
      <c r="P16" s="1381"/>
      <c r="Q16" s="1381"/>
      <c r="R16" s="1381"/>
      <c r="S16" s="1381"/>
      <c r="T16" s="1381"/>
      <c r="U16" s="1381"/>
      <c r="V16" s="1381"/>
      <c r="W16" s="1381">
        <v>0</v>
      </c>
      <c r="X16" s="1380">
        <v>3000</v>
      </c>
      <c r="Y16" s="1380"/>
      <c r="Z16" s="1380"/>
      <c r="AA16" s="1380"/>
      <c r="AB16" s="1382">
        <v>3000</v>
      </c>
      <c r="AC16" s="1377"/>
      <c r="AD16" s="1377"/>
      <c r="AE16" s="1377"/>
      <c r="AF16" s="1377"/>
      <c r="AG16" s="1377"/>
      <c r="AH16" s="1377"/>
      <c r="AI16" s="1377"/>
      <c r="AJ16" s="1377"/>
      <c r="AK16" s="1377"/>
      <c r="AL16" s="1377"/>
      <c r="AM16" s="1377"/>
      <c r="AN16" s="1380">
        <v>1000</v>
      </c>
      <c r="AO16" s="1380">
        <v>1000</v>
      </c>
      <c r="AP16" s="1383">
        <v>4000</v>
      </c>
    </row>
    <row r="17" spans="2:42" ht="15.75" hidden="1" x14ac:dyDescent="0.25">
      <c r="B17" s="1374" t="s">
        <v>1475</v>
      </c>
      <c r="C17" s="1387" t="s">
        <v>1476</v>
      </c>
      <c r="D17" s="1376" t="s">
        <v>1464</v>
      </c>
      <c r="E17" s="1376" t="s">
        <v>1461</v>
      </c>
      <c r="F17" s="1377" t="s">
        <v>1450</v>
      </c>
      <c r="G17" s="1377">
        <v>642</v>
      </c>
      <c r="H17" s="1378" t="s">
        <v>646</v>
      </c>
      <c r="I17" s="1378" t="s">
        <v>5</v>
      </c>
      <c r="J17" s="1378" t="s">
        <v>1451</v>
      </c>
      <c r="K17" s="1380">
        <v>6000</v>
      </c>
      <c r="L17" s="1380"/>
      <c r="M17" s="1380"/>
      <c r="N17" s="1381"/>
      <c r="O17" s="1381"/>
      <c r="P17" s="1381"/>
      <c r="Q17" s="1381"/>
      <c r="R17" s="1381"/>
      <c r="S17" s="1381"/>
      <c r="T17" s="1381"/>
      <c r="U17" s="1381"/>
      <c r="V17" s="1381"/>
      <c r="W17" s="1381">
        <v>0</v>
      </c>
      <c r="X17" s="1380">
        <v>5129.0322580645161</v>
      </c>
      <c r="Y17" s="1380">
        <v>1120</v>
      </c>
      <c r="Z17" s="1380">
        <v>50</v>
      </c>
      <c r="AA17" s="1380"/>
      <c r="AB17" s="1382">
        <v>3959.0322580645161</v>
      </c>
      <c r="AC17" s="1377"/>
      <c r="AD17" s="1377"/>
      <c r="AE17" s="1377"/>
      <c r="AF17" s="1377"/>
      <c r="AG17" s="1377"/>
      <c r="AH17" s="1377"/>
      <c r="AI17" s="1377"/>
      <c r="AJ17" s="1377"/>
      <c r="AK17" s="1377"/>
      <c r="AL17" s="1377"/>
      <c r="AM17" s="1377"/>
      <c r="AN17" s="1380">
        <v>1000</v>
      </c>
      <c r="AO17" s="1380">
        <v>1000</v>
      </c>
      <c r="AP17" s="1383">
        <v>6129.0322580645161</v>
      </c>
    </row>
    <row r="18" spans="2:42" ht="15.75" hidden="1" x14ac:dyDescent="0.25">
      <c r="B18" s="1374" t="s">
        <v>1477</v>
      </c>
      <c r="C18" s="1387" t="s">
        <v>1478</v>
      </c>
      <c r="D18" s="1376" t="s">
        <v>1464</v>
      </c>
      <c r="E18" s="1376" t="s">
        <v>1453</v>
      </c>
      <c r="F18" s="1377" t="s">
        <v>1450</v>
      </c>
      <c r="G18" s="1377">
        <v>641</v>
      </c>
      <c r="H18" s="1378" t="s">
        <v>646</v>
      </c>
      <c r="I18" s="1378" t="s">
        <v>5</v>
      </c>
      <c r="J18" s="1378" t="s">
        <v>1451</v>
      </c>
      <c r="K18" s="1380">
        <v>6000</v>
      </c>
      <c r="L18" s="1380"/>
      <c r="M18" s="1380"/>
      <c r="N18" s="1381"/>
      <c r="O18" s="1381"/>
      <c r="P18" s="1381"/>
      <c r="Q18" s="1381"/>
      <c r="R18" s="1381"/>
      <c r="S18" s="1381"/>
      <c r="T18" s="1381"/>
      <c r="U18" s="1381"/>
      <c r="V18" s="1381"/>
      <c r="W18" s="1381">
        <v>0</v>
      </c>
      <c r="X18" s="1380">
        <v>6000</v>
      </c>
      <c r="Y18" s="1380"/>
      <c r="Z18" s="1380">
        <v>50</v>
      </c>
      <c r="AA18" s="1380"/>
      <c r="AB18" s="1382">
        <v>5950</v>
      </c>
      <c r="AC18" s="1377"/>
      <c r="AD18" s="1377"/>
      <c r="AE18" s="1377"/>
      <c r="AF18" s="1377"/>
      <c r="AG18" s="1377"/>
      <c r="AH18" s="1377"/>
      <c r="AI18" s="1377"/>
      <c r="AJ18" s="1377"/>
      <c r="AK18" s="1377"/>
      <c r="AL18" s="1377"/>
      <c r="AM18" s="1377"/>
      <c r="AN18" s="1380">
        <v>1000</v>
      </c>
      <c r="AO18" s="1380">
        <v>1000</v>
      </c>
      <c r="AP18" s="1383">
        <v>7000</v>
      </c>
    </row>
    <row r="19" spans="2:42" ht="15.75" hidden="1" x14ac:dyDescent="0.25">
      <c r="B19" s="1374" t="s">
        <v>647</v>
      </c>
      <c r="C19" s="1385" t="s">
        <v>1479</v>
      </c>
      <c r="D19" s="1376" t="s">
        <v>1480</v>
      </c>
      <c r="E19" s="1376" t="s">
        <v>1358</v>
      </c>
      <c r="F19" s="1377" t="s">
        <v>1450</v>
      </c>
      <c r="G19" s="1377">
        <v>642</v>
      </c>
      <c r="H19" s="1378" t="s">
        <v>646</v>
      </c>
      <c r="I19" s="1378" t="s">
        <v>5</v>
      </c>
      <c r="J19" s="1378" t="s">
        <v>1451</v>
      </c>
      <c r="K19" s="1379">
        <v>8000</v>
      </c>
      <c r="L19" s="1380"/>
      <c r="M19" s="1380"/>
      <c r="N19" s="1381"/>
      <c r="O19" s="1381"/>
      <c r="P19" s="1381"/>
      <c r="Q19" s="1381"/>
      <c r="R19" s="1381"/>
      <c r="S19" s="1381"/>
      <c r="T19" s="1381"/>
      <c r="U19" s="1381"/>
      <c r="V19" s="1381"/>
      <c r="W19" s="1381">
        <v>0</v>
      </c>
      <c r="X19" s="1380">
        <v>8000</v>
      </c>
      <c r="Y19" s="1380">
        <v>1120</v>
      </c>
      <c r="Z19" s="1380">
        <v>50</v>
      </c>
      <c r="AA19" s="1380"/>
      <c r="AB19" s="1382">
        <v>6830</v>
      </c>
      <c r="AC19" s="1377"/>
      <c r="AD19" s="1377"/>
      <c r="AE19" s="1377"/>
      <c r="AF19" s="1377"/>
      <c r="AG19" s="1377"/>
      <c r="AH19" s="1377"/>
      <c r="AI19" s="1377"/>
      <c r="AJ19" s="1377"/>
      <c r="AK19" s="1377"/>
      <c r="AL19" s="1377"/>
      <c r="AM19" s="1377"/>
      <c r="AN19" s="1380">
        <v>1000</v>
      </c>
      <c r="AO19" s="1380">
        <v>1000</v>
      </c>
      <c r="AP19" s="1383">
        <v>9000</v>
      </c>
    </row>
    <row r="20" spans="2:42" ht="15.75" hidden="1" x14ac:dyDescent="0.25">
      <c r="B20" s="1374" t="s">
        <v>1481</v>
      </c>
      <c r="C20" s="1388" t="s">
        <v>1482</v>
      </c>
      <c r="D20" s="1376" t="s">
        <v>1480</v>
      </c>
      <c r="E20" s="1376" t="s">
        <v>1453</v>
      </c>
      <c r="F20" s="1377" t="s">
        <v>1450</v>
      </c>
      <c r="G20" s="1377">
        <v>641</v>
      </c>
      <c r="H20" s="1378" t="s">
        <v>646</v>
      </c>
      <c r="I20" s="1378" t="s">
        <v>5</v>
      </c>
      <c r="J20" s="1378" t="s">
        <v>1451</v>
      </c>
      <c r="K20" s="1389">
        <v>6300</v>
      </c>
      <c r="L20" s="1380"/>
      <c r="M20" s="1380"/>
      <c r="N20" s="1381"/>
      <c r="O20" s="1381"/>
      <c r="P20" s="1381"/>
      <c r="Q20" s="1381"/>
      <c r="R20" s="1381"/>
      <c r="S20" s="1381"/>
      <c r="T20" s="1381"/>
      <c r="U20" s="1381"/>
      <c r="V20" s="1381"/>
      <c r="W20" s="1381">
        <v>0</v>
      </c>
      <c r="X20" s="1380">
        <v>5690.322580645161</v>
      </c>
      <c r="Y20" s="1380"/>
      <c r="Z20" s="1380">
        <v>50</v>
      </c>
      <c r="AA20" s="1380"/>
      <c r="AB20" s="1382">
        <v>5640.322580645161</v>
      </c>
      <c r="AC20" s="1377"/>
      <c r="AD20" s="1377"/>
      <c r="AE20" s="1377"/>
      <c r="AF20" s="1377"/>
      <c r="AG20" s="1377"/>
      <c r="AH20" s="1377"/>
      <c r="AI20" s="1377"/>
      <c r="AJ20" s="1377"/>
      <c r="AK20" s="1377"/>
      <c r="AL20" s="1377"/>
      <c r="AM20" s="1377"/>
      <c r="AN20" s="1380">
        <v>1000</v>
      </c>
      <c r="AO20" s="1380">
        <v>1000</v>
      </c>
      <c r="AP20" s="1383">
        <v>6690.322580645161</v>
      </c>
    </row>
    <row r="21" spans="2:42" ht="15.75" hidden="1" x14ac:dyDescent="0.25">
      <c r="B21" s="1374" t="s">
        <v>1483</v>
      </c>
      <c r="C21" s="1386" t="s">
        <v>1484</v>
      </c>
      <c r="D21" s="1376" t="s">
        <v>1480</v>
      </c>
      <c r="E21" s="1376" t="s">
        <v>1453</v>
      </c>
      <c r="F21" s="1377" t="s">
        <v>1450</v>
      </c>
      <c r="G21" s="1377">
        <v>641</v>
      </c>
      <c r="H21" s="1378" t="s">
        <v>646</v>
      </c>
      <c r="I21" s="1378" t="s">
        <v>5</v>
      </c>
      <c r="J21" s="1378" t="s">
        <v>1451</v>
      </c>
      <c r="K21" s="1389">
        <v>6300</v>
      </c>
      <c r="L21" s="1380"/>
      <c r="M21" s="1380"/>
      <c r="N21" s="1381"/>
      <c r="O21" s="1381"/>
      <c r="P21" s="1381"/>
      <c r="Q21" s="1381"/>
      <c r="R21" s="1381"/>
      <c r="S21" s="1381"/>
      <c r="T21" s="1381"/>
      <c r="U21" s="1381"/>
      <c r="V21" s="1381"/>
      <c r="W21" s="1381">
        <v>0</v>
      </c>
      <c r="X21" s="1380">
        <v>5791.9354838709678</v>
      </c>
      <c r="Y21" s="1380"/>
      <c r="Z21" s="1380">
        <v>50</v>
      </c>
      <c r="AA21" s="1380"/>
      <c r="AB21" s="1382">
        <v>5741.9354838709678</v>
      </c>
      <c r="AC21" s="1377"/>
      <c r="AD21" s="1377"/>
      <c r="AE21" s="1377"/>
      <c r="AF21" s="1377"/>
      <c r="AG21" s="1377"/>
      <c r="AH21" s="1377"/>
      <c r="AI21" s="1377"/>
      <c r="AJ21" s="1377"/>
      <c r="AK21" s="1377"/>
      <c r="AL21" s="1377"/>
      <c r="AM21" s="1377"/>
      <c r="AN21" s="1380">
        <v>1000</v>
      </c>
      <c r="AO21" s="1380">
        <v>1000</v>
      </c>
      <c r="AP21" s="1383">
        <v>6791.9354838709678</v>
      </c>
    </row>
    <row r="22" spans="2:42" ht="15.75" hidden="1" x14ac:dyDescent="0.25">
      <c r="B22" s="1374" t="s">
        <v>278</v>
      </c>
      <c r="C22" s="1386" t="s">
        <v>1485</v>
      </c>
      <c r="D22" s="1376" t="s">
        <v>1480</v>
      </c>
      <c r="E22" s="1376" t="s">
        <v>1453</v>
      </c>
      <c r="F22" s="1377" t="s">
        <v>1450</v>
      </c>
      <c r="G22" s="1377">
        <v>641</v>
      </c>
      <c r="H22" s="1378" t="s">
        <v>646</v>
      </c>
      <c r="I22" s="1378" t="s">
        <v>5</v>
      </c>
      <c r="J22" s="1378" t="s">
        <v>1451</v>
      </c>
      <c r="K22" s="1389">
        <v>6300</v>
      </c>
      <c r="L22" s="1380"/>
      <c r="M22" s="1380"/>
      <c r="N22" s="1381"/>
      <c r="O22" s="1381"/>
      <c r="P22" s="1381"/>
      <c r="Q22" s="1381"/>
      <c r="R22" s="1381"/>
      <c r="S22" s="1381"/>
      <c r="T22" s="1381"/>
      <c r="U22" s="1381"/>
      <c r="V22" s="1381"/>
      <c r="W22" s="1381">
        <v>0</v>
      </c>
      <c r="X22" s="1380">
        <v>6300</v>
      </c>
      <c r="Y22" s="1380"/>
      <c r="Z22" s="1380">
        <v>50</v>
      </c>
      <c r="AA22" s="1380"/>
      <c r="AB22" s="1382">
        <v>6250</v>
      </c>
      <c r="AC22" s="1377"/>
      <c r="AD22" s="1377"/>
      <c r="AE22" s="1377"/>
      <c r="AF22" s="1377"/>
      <c r="AG22" s="1377"/>
      <c r="AH22" s="1377"/>
      <c r="AI22" s="1377"/>
      <c r="AJ22" s="1377"/>
      <c r="AK22" s="1377"/>
      <c r="AL22" s="1377"/>
      <c r="AM22" s="1377"/>
      <c r="AN22" s="1380">
        <v>1000</v>
      </c>
      <c r="AO22" s="1380">
        <v>1000</v>
      </c>
      <c r="AP22" s="1383">
        <v>7300</v>
      </c>
    </row>
    <row r="23" spans="2:42" ht="15.75" hidden="1" x14ac:dyDescent="0.25">
      <c r="B23" s="1374" t="s">
        <v>279</v>
      </c>
      <c r="C23" s="1388" t="s">
        <v>1486</v>
      </c>
      <c r="D23" s="1376" t="s">
        <v>1480</v>
      </c>
      <c r="E23" s="1376" t="s">
        <v>1474</v>
      </c>
      <c r="F23" s="1377" t="s">
        <v>1450</v>
      </c>
      <c r="G23" s="1377">
        <v>627</v>
      </c>
      <c r="H23" s="1378" t="s">
        <v>646</v>
      </c>
      <c r="I23" s="1378" t="s">
        <v>5</v>
      </c>
      <c r="J23" s="1378" t="s">
        <v>1451</v>
      </c>
      <c r="K23" s="1389">
        <v>3000</v>
      </c>
      <c r="L23" s="1380"/>
      <c r="M23" s="1380"/>
      <c r="N23" s="1381"/>
      <c r="O23" s="1381"/>
      <c r="P23" s="1381"/>
      <c r="Q23" s="1381"/>
      <c r="R23" s="1381"/>
      <c r="S23" s="1381"/>
      <c r="T23" s="1381"/>
      <c r="U23" s="1381"/>
      <c r="V23" s="1381"/>
      <c r="W23" s="1381">
        <v>0</v>
      </c>
      <c r="X23" s="1380">
        <v>3000</v>
      </c>
      <c r="Y23" s="1380"/>
      <c r="Z23" s="1380"/>
      <c r="AA23" s="1380"/>
      <c r="AB23" s="1382">
        <v>3000</v>
      </c>
      <c r="AC23" s="1377"/>
      <c r="AD23" s="1377"/>
      <c r="AE23" s="1377"/>
      <c r="AF23" s="1377"/>
      <c r="AG23" s="1377"/>
      <c r="AH23" s="1377"/>
      <c r="AI23" s="1377"/>
      <c r="AJ23" s="1377"/>
      <c r="AK23" s="1377"/>
      <c r="AL23" s="1377"/>
      <c r="AM23" s="1377"/>
      <c r="AN23" s="1380">
        <v>1000</v>
      </c>
      <c r="AO23" s="1380">
        <v>1000</v>
      </c>
      <c r="AP23" s="1383">
        <v>4000</v>
      </c>
    </row>
    <row r="24" spans="2:42" ht="15.75" hidden="1" x14ac:dyDescent="0.25">
      <c r="B24" s="1374" t="s">
        <v>280</v>
      </c>
      <c r="C24" s="1376" t="s">
        <v>1487</v>
      </c>
      <c r="D24" s="1376" t="s">
        <v>1480</v>
      </c>
      <c r="E24" s="1376" t="s">
        <v>1453</v>
      </c>
      <c r="F24" s="1377" t="s">
        <v>1450</v>
      </c>
      <c r="G24" s="1377">
        <v>641</v>
      </c>
      <c r="H24" s="1378" t="s">
        <v>646</v>
      </c>
      <c r="I24" s="1378" t="s">
        <v>5</v>
      </c>
      <c r="J24" s="1378" t="s">
        <v>1451</v>
      </c>
      <c r="K24" s="1390">
        <v>6300</v>
      </c>
      <c r="L24" s="1380"/>
      <c r="M24" s="1380"/>
      <c r="N24" s="1381"/>
      <c r="O24" s="1381"/>
      <c r="P24" s="1381"/>
      <c r="Q24" s="1381"/>
      <c r="R24" s="1381"/>
      <c r="S24" s="1381"/>
      <c r="T24" s="1381"/>
      <c r="U24" s="1381"/>
      <c r="V24" s="1381"/>
      <c r="W24" s="1381">
        <v>0</v>
      </c>
      <c r="X24" s="1380">
        <v>6096.7741935483873</v>
      </c>
      <c r="Y24" s="1380"/>
      <c r="Z24" s="1380">
        <v>50</v>
      </c>
      <c r="AA24" s="1380"/>
      <c r="AB24" s="1382">
        <v>6046.7741935483873</v>
      </c>
      <c r="AC24" s="1377"/>
      <c r="AD24" s="1377"/>
      <c r="AE24" s="1377"/>
      <c r="AF24" s="1377"/>
      <c r="AG24" s="1377"/>
      <c r="AH24" s="1377"/>
      <c r="AI24" s="1377"/>
      <c r="AJ24" s="1377"/>
      <c r="AK24" s="1377"/>
      <c r="AL24" s="1377"/>
      <c r="AM24" s="1377"/>
      <c r="AN24" s="1380">
        <v>1000</v>
      </c>
      <c r="AO24" s="1380">
        <v>1000</v>
      </c>
      <c r="AP24" s="1383">
        <v>7096.7741935483873</v>
      </c>
    </row>
    <row r="25" spans="2:42" ht="15.75" hidden="1" x14ac:dyDescent="0.25">
      <c r="B25" s="1374" t="s">
        <v>281</v>
      </c>
      <c r="C25" s="1376" t="s">
        <v>1488</v>
      </c>
      <c r="D25" s="1376" t="s">
        <v>1480</v>
      </c>
      <c r="E25" s="1376" t="s">
        <v>1461</v>
      </c>
      <c r="F25" s="1377" t="s">
        <v>1450</v>
      </c>
      <c r="G25" s="1377">
        <v>642</v>
      </c>
      <c r="H25" s="1378" t="s">
        <v>646</v>
      </c>
      <c r="I25" s="1378" t="s">
        <v>5</v>
      </c>
      <c r="J25" s="1378" t="s">
        <v>1451</v>
      </c>
      <c r="K25" s="1390">
        <v>6000</v>
      </c>
      <c r="L25" s="1380"/>
      <c r="M25" s="1380"/>
      <c r="N25" s="1381"/>
      <c r="O25" s="1381"/>
      <c r="P25" s="1381"/>
      <c r="Q25" s="1381"/>
      <c r="R25" s="1381"/>
      <c r="S25" s="1381"/>
      <c r="T25" s="1381"/>
      <c r="U25" s="1381"/>
      <c r="V25" s="1381"/>
      <c r="W25" s="1381">
        <v>0</v>
      </c>
      <c r="X25" s="1380">
        <v>6000</v>
      </c>
      <c r="Y25" s="1380"/>
      <c r="Z25" s="1380">
        <v>50</v>
      </c>
      <c r="AA25" s="1380"/>
      <c r="AB25" s="1382">
        <v>5950</v>
      </c>
      <c r="AC25" s="1377"/>
      <c r="AD25" s="1377"/>
      <c r="AE25" s="1377"/>
      <c r="AF25" s="1377"/>
      <c r="AG25" s="1377"/>
      <c r="AH25" s="1377"/>
      <c r="AI25" s="1377"/>
      <c r="AJ25" s="1377"/>
      <c r="AK25" s="1377"/>
      <c r="AL25" s="1377"/>
      <c r="AM25" s="1377"/>
      <c r="AN25" s="1380">
        <v>1000</v>
      </c>
      <c r="AO25" s="1380">
        <v>1000</v>
      </c>
      <c r="AP25" s="1383">
        <v>7000</v>
      </c>
    </row>
    <row r="26" spans="2:42" ht="15.75" hidden="1" x14ac:dyDescent="0.25">
      <c r="B26" s="1374" t="s">
        <v>1489</v>
      </c>
      <c r="C26" s="1376" t="s">
        <v>1490</v>
      </c>
      <c r="D26" s="1376" t="s">
        <v>1480</v>
      </c>
      <c r="E26" s="1376" t="s">
        <v>1461</v>
      </c>
      <c r="F26" s="1377" t="s">
        <v>1450</v>
      </c>
      <c r="G26" s="1377">
        <v>642</v>
      </c>
      <c r="H26" s="1378" t="s">
        <v>646</v>
      </c>
      <c r="I26" s="1378" t="s">
        <v>5</v>
      </c>
      <c r="J26" s="1378" t="s">
        <v>1451</v>
      </c>
      <c r="K26" s="1390">
        <v>5500</v>
      </c>
      <c r="L26" s="1380"/>
      <c r="M26" s="1380"/>
      <c r="N26" s="1381"/>
      <c r="O26" s="1381"/>
      <c r="P26" s="1381"/>
      <c r="Q26" s="1381"/>
      <c r="R26" s="1381"/>
      <c r="S26" s="1381"/>
      <c r="T26" s="1381"/>
      <c r="U26" s="1381"/>
      <c r="V26" s="1381"/>
      <c r="W26" s="1381">
        <v>0</v>
      </c>
      <c r="X26" s="1380">
        <v>5233.8709677419347</v>
      </c>
      <c r="Y26" s="1380"/>
      <c r="Z26" s="1380">
        <v>50</v>
      </c>
      <c r="AA26" s="1380"/>
      <c r="AB26" s="1382">
        <v>5183.8709677419347</v>
      </c>
      <c r="AC26" s="1377"/>
      <c r="AD26" s="1377"/>
      <c r="AE26" s="1377"/>
      <c r="AF26" s="1377"/>
      <c r="AG26" s="1377"/>
      <c r="AH26" s="1377"/>
      <c r="AI26" s="1377"/>
      <c r="AJ26" s="1377"/>
      <c r="AK26" s="1377"/>
      <c r="AL26" s="1377"/>
      <c r="AM26" s="1377"/>
      <c r="AN26" s="1380">
        <v>500</v>
      </c>
      <c r="AO26" s="1380">
        <v>500</v>
      </c>
      <c r="AP26" s="1383">
        <v>5733.8709677419347</v>
      </c>
    </row>
    <row r="27" spans="2:42" ht="15.75" hidden="1" x14ac:dyDescent="0.25">
      <c r="B27" s="1374" t="s">
        <v>282</v>
      </c>
      <c r="C27" s="1377" t="s">
        <v>1491</v>
      </c>
      <c r="D27" s="1376" t="s">
        <v>1492</v>
      </c>
      <c r="E27" s="1377" t="s">
        <v>1358</v>
      </c>
      <c r="F27" s="1377" t="s">
        <v>1493</v>
      </c>
      <c r="G27" s="1377">
        <v>642</v>
      </c>
      <c r="H27" s="1378" t="s">
        <v>646</v>
      </c>
      <c r="I27" s="1378" t="s">
        <v>5</v>
      </c>
      <c r="J27" s="1378" t="s">
        <v>1451</v>
      </c>
      <c r="K27" s="1380">
        <v>10000</v>
      </c>
      <c r="L27" s="1380"/>
      <c r="M27" s="1380"/>
      <c r="N27" s="1381">
        <v>5000</v>
      </c>
      <c r="O27" s="1381"/>
      <c r="P27" s="1381"/>
      <c r="Q27" s="1381"/>
      <c r="R27" s="1381"/>
      <c r="S27" s="1381"/>
      <c r="T27" s="1381"/>
      <c r="U27" s="1381"/>
      <c r="V27" s="1381"/>
      <c r="W27" s="1381">
        <v>5000</v>
      </c>
      <c r="X27" s="1380">
        <v>14677.419354838708</v>
      </c>
      <c r="Y27" s="1380"/>
      <c r="Z27" s="1380">
        <v>50</v>
      </c>
      <c r="AA27" s="1380"/>
      <c r="AB27" s="1382">
        <v>14627.419354838708</v>
      </c>
      <c r="AC27" s="1377"/>
      <c r="AD27" s="1377"/>
      <c r="AE27" s="1377"/>
      <c r="AF27" s="1377"/>
      <c r="AG27" s="1377"/>
      <c r="AH27" s="1377"/>
      <c r="AI27" s="1377"/>
      <c r="AJ27" s="1377"/>
      <c r="AK27" s="1377"/>
      <c r="AL27" s="1377"/>
      <c r="AM27" s="1377"/>
      <c r="AN27" s="1380">
        <v>1000</v>
      </c>
      <c r="AO27" s="1380">
        <v>1000</v>
      </c>
      <c r="AP27" s="1383">
        <v>15677.419354838708</v>
      </c>
    </row>
    <row r="28" spans="2:42" ht="15.75" hidden="1" x14ac:dyDescent="0.25">
      <c r="B28" s="1374" t="s">
        <v>283</v>
      </c>
      <c r="C28" s="1377" t="s">
        <v>1494</v>
      </c>
      <c r="D28" s="1376" t="s">
        <v>1492</v>
      </c>
      <c r="E28" s="1377" t="s">
        <v>1495</v>
      </c>
      <c r="F28" s="1377" t="s">
        <v>1493</v>
      </c>
      <c r="G28" s="1377">
        <v>642</v>
      </c>
      <c r="H28" s="1378" t="s">
        <v>646</v>
      </c>
      <c r="I28" s="1378" t="s">
        <v>5</v>
      </c>
      <c r="J28" s="1378" t="s">
        <v>1451</v>
      </c>
      <c r="K28" s="1380">
        <v>8000</v>
      </c>
      <c r="L28" s="1380"/>
      <c r="M28" s="1380"/>
      <c r="N28" s="1381">
        <v>2000</v>
      </c>
      <c r="O28" s="1381"/>
      <c r="P28" s="1381"/>
      <c r="Q28" s="1381"/>
      <c r="R28" s="1381"/>
      <c r="S28" s="1381"/>
      <c r="T28" s="1381"/>
      <c r="U28" s="1381"/>
      <c r="V28" s="1381"/>
      <c r="W28" s="1381">
        <v>2000</v>
      </c>
      <c r="X28" s="1380">
        <v>9483.8709677419356</v>
      </c>
      <c r="Y28" s="1380"/>
      <c r="Z28" s="1380">
        <v>50</v>
      </c>
      <c r="AA28" s="1380"/>
      <c r="AB28" s="1382">
        <v>9433.8709677419356</v>
      </c>
      <c r="AC28" s="1377"/>
      <c r="AD28" s="1377"/>
      <c r="AE28" s="1377"/>
      <c r="AF28" s="1377"/>
      <c r="AG28" s="1377"/>
      <c r="AH28" s="1377"/>
      <c r="AI28" s="1377"/>
      <c r="AJ28" s="1377"/>
      <c r="AK28" s="1377"/>
      <c r="AL28" s="1377"/>
      <c r="AM28" s="1377"/>
      <c r="AN28" s="1380">
        <v>1000</v>
      </c>
      <c r="AO28" s="1380">
        <v>1000</v>
      </c>
      <c r="AP28" s="1383">
        <v>10483.870967741936</v>
      </c>
    </row>
    <row r="29" spans="2:42" ht="15.75" hidden="1" x14ac:dyDescent="0.25">
      <c r="B29" s="1374" t="s">
        <v>1496</v>
      </c>
      <c r="C29" s="1377" t="s">
        <v>1497</v>
      </c>
      <c r="D29" s="1376" t="s">
        <v>1492</v>
      </c>
      <c r="E29" s="1377" t="s">
        <v>1461</v>
      </c>
      <c r="F29" s="1377" t="s">
        <v>1493</v>
      </c>
      <c r="G29" s="1377">
        <v>642</v>
      </c>
      <c r="H29" s="1378" t="s">
        <v>646</v>
      </c>
      <c r="I29" s="1378" t="s">
        <v>5</v>
      </c>
      <c r="J29" s="1378" t="s">
        <v>1451</v>
      </c>
      <c r="K29" s="1380">
        <v>7000</v>
      </c>
      <c r="L29" s="1380"/>
      <c r="M29" s="1380"/>
      <c r="N29" s="1381"/>
      <c r="O29" s="1381"/>
      <c r="P29" s="1381"/>
      <c r="Q29" s="1381"/>
      <c r="R29" s="1381"/>
      <c r="S29" s="1381"/>
      <c r="T29" s="1381"/>
      <c r="U29" s="1381"/>
      <c r="V29" s="1381"/>
      <c r="W29" s="1381">
        <v>0</v>
      </c>
      <c r="X29" s="1380">
        <v>6548.3870967741941</v>
      </c>
      <c r="Y29" s="1380"/>
      <c r="Z29" s="1380">
        <v>50</v>
      </c>
      <c r="AA29" s="1380"/>
      <c r="AB29" s="1382">
        <v>6498.3870967741941</v>
      </c>
      <c r="AC29" s="1377"/>
      <c r="AD29" s="1377"/>
      <c r="AE29" s="1377"/>
      <c r="AF29" s="1377"/>
      <c r="AG29" s="1377"/>
      <c r="AH29" s="1377"/>
      <c r="AI29" s="1377"/>
      <c r="AJ29" s="1377"/>
      <c r="AK29" s="1377"/>
      <c r="AL29" s="1377"/>
      <c r="AM29" s="1377"/>
      <c r="AN29" s="1380">
        <v>500</v>
      </c>
      <c r="AO29" s="1380">
        <v>500</v>
      </c>
      <c r="AP29" s="1383">
        <v>7048.3870967741941</v>
      </c>
    </row>
    <row r="30" spans="2:42" ht="15.75" hidden="1" x14ac:dyDescent="0.25">
      <c r="B30" s="1374" t="s">
        <v>1498</v>
      </c>
      <c r="C30" s="1377" t="s">
        <v>1499</v>
      </c>
      <c r="D30" s="1376" t="s">
        <v>1492</v>
      </c>
      <c r="E30" s="1377" t="s">
        <v>1461</v>
      </c>
      <c r="F30" s="1377" t="s">
        <v>1493</v>
      </c>
      <c r="G30" s="1377">
        <v>642</v>
      </c>
      <c r="H30" s="1378" t="s">
        <v>646</v>
      </c>
      <c r="I30" s="1378" t="s">
        <v>5</v>
      </c>
      <c r="J30" s="1378" t="s">
        <v>1451</v>
      </c>
      <c r="K30" s="1380">
        <v>7000</v>
      </c>
      <c r="L30" s="1380"/>
      <c r="M30" s="1380"/>
      <c r="N30" s="1381"/>
      <c r="O30" s="1381"/>
      <c r="P30" s="1381"/>
      <c r="Q30" s="1381"/>
      <c r="R30" s="1381"/>
      <c r="S30" s="1381"/>
      <c r="T30" s="1381">
        <v>500</v>
      </c>
      <c r="U30" s="1381"/>
      <c r="V30" s="1381"/>
      <c r="W30" s="1381">
        <v>500</v>
      </c>
      <c r="X30" s="1380">
        <v>7048.3870967741941</v>
      </c>
      <c r="Y30" s="1380">
        <v>1120</v>
      </c>
      <c r="Z30" s="1380">
        <v>50</v>
      </c>
      <c r="AA30" s="1380"/>
      <c r="AB30" s="1382">
        <v>5878.3870967741941</v>
      </c>
      <c r="AC30" s="1377"/>
      <c r="AD30" s="1377"/>
      <c r="AE30" s="1377"/>
      <c r="AF30" s="1377"/>
      <c r="AG30" s="1377"/>
      <c r="AH30" s="1377"/>
      <c r="AI30" s="1377"/>
      <c r="AJ30" s="1377"/>
      <c r="AK30" s="1377"/>
      <c r="AL30" s="1377"/>
      <c r="AM30" s="1377"/>
      <c r="AN30" s="1380">
        <v>1000</v>
      </c>
      <c r="AO30" s="1380">
        <v>1000</v>
      </c>
      <c r="AP30" s="1383">
        <v>8048.3870967741941</v>
      </c>
    </row>
    <row r="31" spans="2:42" ht="15.75" hidden="1" x14ac:dyDescent="0.25">
      <c r="B31" s="1374" t="s">
        <v>1500</v>
      </c>
      <c r="C31" s="1377" t="s">
        <v>1501</v>
      </c>
      <c r="D31" s="1376" t="s">
        <v>1492</v>
      </c>
      <c r="E31" s="1377" t="s">
        <v>1502</v>
      </c>
      <c r="F31" s="1377" t="s">
        <v>1493</v>
      </c>
      <c r="G31" s="1377">
        <v>627</v>
      </c>
      <c r="H31" s="1378" t="s">
        <v>646</v>
      </c>
      <c r="I31" s="1378" t="s">
        <v>5</v>
      </c>
      <c r="J31" s="1378" t="s">
        <v>1451</v>
      </c>
      <c r="K31" s="1380">
        <v>5000</v>
      </c>
      <c r="L31" s="1380"/>
      <c r="M31" s="1380"/>
      <c r="N31" s="1381"/>
      <c r="O31" s="1381"/>
      <c r="P31" s="1381"/>
      <c r="Q31" s="1381"/>
      <c r="R31" s="1381"/>
      <c r="S31" s="1381"/>
      <c r="T31" s="1381"/>
      <c r="U31" s="1381"/>
      <c r="V31" s="1381"/>
      <c r="W31" s="1381">
        <v>0</v>
      </c>
      <c r="X31" s="1380">
        <v>5000</v>
      </c>
      <c r="Y31" s="1380"/>
      <c r="Z31" s="1380">
        <v>0</v>
      </c>
      <c r="AA31" s="1380"/>
      <c r="AB31" s="1382">
        <v>5000</v>
      </c>
      <c r="AC31" s="1377"/>
      <c r="AD31" s="1377"/>
      <c r="AE31" s="1377"/>
      <c r="AF31" s="1377"/>
      <c r="AG31" s="1377"/>
      <c r="AH31" s="1377"/>
      <c r="AI31" s="1377"/>
      <c r="AJ31" s="1377"/>
      <c r="AK31" s="1377"/>
      <c r="AL31" s="1377"/>
      <c r="AM31" s="1377"/>
      <c r="AN31" s="1380">
        <v>1000</v>
      </c>
      <c r="AO31" s="1380">
        <v>1000</v>
      </c>
      <c r="AP31" s="1383">
        <v>6000</v>
      </c>
    </row>
    <row r="32" spans="2:42" ht="15.75" hidden="1" x14ac:dyDescent="0.25">
      <c r="B32" s="1374" t="s">
        <v>284</v>
      </c>
      <c r="C32" s="1377" t="s">
        <v>1503</v>
      </c>
      <c r="D32" s="1376" t="s">
        <v>1492</v>
      </c>
      <c r="E32" s="1377" t="s">
        <v>1504</v>
      </c>
      <c r="F32" s="1377" t="s">
        <v>1505</v>
      </c>
      <c r="G32" s="1377">
        <v>622</v>
      </c>
      <c r="H32" s="1378" t="s">
        <v>646</v>
      </c>
      <c r="I32" s="1378" t="s">
        <v>5</v>
      </c>
      <c r="J32" s="1378" t="s">
        <v>1451</v>
      </c>
      <c r="K32" s="1380">
        <v>7500</v>
      </c>
      <c r="L32" s="1380"/>
      <c r="M32" s="1380"/>
      <c r="N32" s="1381">
        <v>3000</v>
      </c>
      <c r="O32" s="1381"/>
      <c r="P32" s="1381"/>
      <c r="Q32" s="1381"/>
      <c r="R32" s="1381"/>
      <c r="S32" s="1381"/>
      <c r="T32" s="1381"/>
      <c r="U32" s="1381"/>
      <c r="V32" s="1381"/>
      <c r="W32" s="1381">
        <v>3000</v>
      </c>
      <c r="X32" s="1380">
        <v>10500</v>
      </c>
      <c r="Y32" s="1380"/>
      <c r="Z32" s="1380">
        <v>50</v>
      </c>
      <c r="AA32" s="1380"/>
      <c r="AB32" s="1382">
        <v>10450</v>
      </c>
      <c r="AC32" s="1377"/>
      <c r="AD32" s="1377"/>
      <c r="AE32" s="1377"/>
      <c r="AF32" s="1377"/>
      <c r="AG32" s="1377"/>
      <c r="AH32" s="1377"/>
      <c r="AI32" s="1377"/>
      <c r="AJ32" s="1377"/>
      <c r="AK32" s="1377"/>
      <c r="AL32" s="1377"/>
      <c r="AM32" s="1377"/>
      <c r="AN32" s="1380">
        <v>1000</v>
      </c>
      <c r="AO32" s="1380">
        <v>1000</v>
      </c>
      <c r="AP32" s="1383">
        <v>11500</v>
      </c>
    </row>
    <row r="33" spans="2:42" ht="15.75" hidden="1" x14ac:dyDescent="0.25">
      <c r="B33" s="1374" t="s">
        <v>285</v>
      </c>
      <c r="C33" s="1377" t="s">
        <v>1506</v>
      </c>
      <c r="D33" s="1376" t="s">
        <v>1492</v>
      </c>
      <c r="E33" s="1377" t="s">
        <v>1504</v>
      </c>
      <c r="F33" s="1377" t="s">
        <v>1505</v>
      </c>
      <c r="G33" s="1377">
        <v>622</v>
      </c>
      <c r="H33" s="1378" t="s">
        <v>646</v>
      </c>
      <c r="I33" s="1378" t="s">
        <v>5</v>
      </c>
      <c r="J33" s="1378" t="s">
        <v>1451</v>
      </c>
      <c r="K33" s="1380">
        <v>7500</v>
      </c>
      <c r="L33" s="1380"/>
      <c r="M33" s="1380"/>
      <c r="N33" s="1381">
        <v>2500</v>
      </c>
      <c r="O33" s="1381"/>
      <c r="P33" s="1381"/>
      <c r="Q33" s="1381"/>
      <c r="R33" s="1381"/>
      <c r="S33" s="1381"/>
      <c r="T33" s="1381"/>
      <c r="U33" s="1381"/>
      <c r="V33" s="1381"/>
      <c r="W33" s="1381">
        <v>2500</v>
      </c>
      <c r="X33" s="1380">
        <v>10000</v>
      </c>
      <c r="Y33" s="1380"/>
      <c r="Z33" s="1380">
        <v>50</v>
      </c>
      <c r="AA33" s="1380"/>
      <c r="AB33" s="1382">
        <v>9950</v>
      </c>
      <c r="AC33" s="1377"/>
      <c r="AD33" s="1377"/>
      <c r="AE33" s="1377"/>
      <c r="AF33" s="1377"/>
      <c r="AG33" s="1377"/>
      <c r="AH33" s="1377"/>
      <c r="AI33" s="1377"/>
      <c r="AJ33" s="1377"/>
      <c r="AK33" s="1377"/>
      <c r="AL33" s="1377"/>
      <c r="AM33" s="1377"/>
      <c r="AN33" s="1380">
        <v>1000</v>
      </c>
      <c r="AO33" s="1380">
        <v>1000</v>
      </c>
      <c r="AP33" s="1383">
        <v>11000</v>
      </c>
    </row>
    <row r="34" spans="2:42" ht="15.75" hidden="1" x14ac:dyDescent="0.25">
      <c r="B34" s="1374" t="s">
        <v>286</v>
      </c>
      <c r="C34" s="1377" t="s">
        <v>1507</v>
      </c>
      <c r="D34" s="1376" t="s">
        <v>1492</v>
      </c>
      <c r="E34" s="1377" t="s">
        <v>1174</v>
      </c>
      <c r="F34" s="1377" t="s">
        <v>1493</v>
      </c>
      <c r="G34" s="1377">
        <v>627</v>
      </c>
      <c r="H34" s="1378" t="s">
        <v>646</v>
      </c>
      <c r="I34" s="1378" t="s">
        <v>5</v>
      </c>
      <c r="J34" s="1378" t="s">
        <v>1451</v>
      </c>
      <c r="K34" s="1380">
        <v>8000</v>
      </c>
      <c r="L34" s="1380"/>
      <c r="M34" s="1380"/>
      <c r="N34" s="1381">
        <v>2000</v>
      </c>
      <c r="O34" s="1381"/>
      <c r="P34" s="1381"/>
      <c r="Q34" s="1381"/>
      <c r="R34" s="1381"/>
      <c r="S34" s="1381"/>
      <c r="T34" s="1381"/>
      <c r="U34" s="1381"/>
      <c r="V34" s="1381"/>
      <c r="W34" s="1381">
        <v>2000</v>
      </c>
      <c r="X34" s="1380">
        <v>10000</v>
      </c>
      <c r="Y34" s="1380"/>
      <c r="Z34" s="1380">
        <v>50</v>
      </c>
      <c r="AA34" s="1380"/>
      <c r="AB34" s="1382">
        <v>9950</v>
      </c>
      <c r="AC34" s="1377"/>
      <c r="AD34" s="1377"/>
      <c r="AE34" s="1377"/>
      <c r="AF34" s="1377"/>
      <c r="AG34" s="1377"/>
      <c r="AH34" s="1377"/>
      <c r="AI34" s="1377"/>
      <c r="AJ34" s="1377"/>
      <c r="AK34" s="1377"/>
      <c r="AL34" s="1377"/>
      <c r="AM34" s="1377"/>
      <c r="AN34" s="1380">
        <v>1000</v>
      </c>
      <c r="AO34" s="1380">
        <v>1000</v>
      </c>
      <c r="AP34" s="1383">
        <v>11000</v>
      </c>
    </row>
    <row r="35" spans="2:42" ht="15.75" hidden="1" x14ac:dyDescent="0.25">
      <c r="B35" s="1374" t="s">
        <v>651</v>
      </c>
      <c r="C35" s="1377" t="s">
        <v>1508</v>
      </c>
      <c r="D35" s="1376" t="s">
        <v>1492</v>
      </c>
      <c r="E35" s="1377" t="s">
        <v>1509</v>
      </c>
      <c r="F35" s="1377" t="s">
        <v>1493</v>
      </c>
      <c r="G35" s="1377">
        <v>627</v>
      </c>
      <c r="H35" s="1378" t="s">
        <v>646</v>
      </c>
      <c r="I35" s="1378" t="s">
        <v>5</v>
      </c>
      <c r="J35" s="1378" t="s">
        <v>1451</v>
      </c>
      <c r="K35" s="1380">
        <v>8000</v>
      </c>
      <c r="L35" s="1380"/>
      <c r="M35" s="1380"/>
      <c r="N35" s="1381"/>
      <c r="O35" s="1381"/>
      <c r="P35" s="1381"/>
      <c r="Q35" s="1381"/>
      <c r="R35" s="1381"/>
      <c r="S35" s="1381"/>
      <c r="T35" s="1381"/>
      <c r="U35" s="1381"/>
      <c r="V35" s="1381"/>
      <c r="W35" s="1381">
        <v>0</v>
      </c>
      <c r="X35" s="1380">
        <v>8000</v>
      </c>
      <c r="Y35" s="1380"/>
      <c r="Z35" s="1380">
        <v>50</v>
      </c>
      <c r="AA35" s="1380"/>
      <c r="AB35" s="1382">
        <v>7950</v>
      </c>
      <c r="AC35" s="1377"/>
      <c r="AD35" s="1377"/>
      <c r="AE35" s="1377"/>
      <c r="AF35" s="1377"/>
      <c r="AG35" s="1377"/>
      <c r="AH35" s="1377"/>
      <c r="AI35" s="1377"/>
      <c r="AJ35" s="1377"/>
      <c r="AK35" s="1377"/>
      <c r="AL35" s="1377"/>
      <c r="AM35" s="1377"/>
      <c r="AN35" s="1380">
        <v>1000</v>
      </c>
      <c r="AO35" s="1380">
        <v>1000</v>
      </c>
      <c r="AP35" s="1383">
        <v>9000</v>
      </c>
    </row>
    <row r="36" spans="2:42" ht="15.75" hidden="1" x14ac:dyDescent="0.25">
      <c r="B36" s="1374" t="s">
        <v>1510</v>
      </c>
      <c r="C36" s="1377" t="s">
        <v>1511</v>
      </c>
      <c r="D36" s="1376" t="s">
        <v>1492</v>
      </c>
      <c r="E36" s="1377" t="s">
        <v>1509</v>
      </c>
      <c r="F36" s="1377" t="s">
        <v>1493</v>
      </c>
      <c r="G36" s="1377">
        <v>627</v>
      </c>
      <c r="H36" s="1378" t="s">
        <v>646</v>
      </c>
      <c r="I36" s="1378" t="s">
        <v>5</v>
      </c>
      <c r="J36" s="1378" t="s">
        <v>1451</v>
      </c>
      <c r="K36" s="1380">
        <v>9000</v>
      </c>
      <c r="L36" s="1380"/>
      <c r="M36" s="1380"/>
      <c r="N36" s="1381">
        <v>1000</v>
      </c>
      <c r="O36" s="1381"/>
      <c r="P36" s="1381"/>
      <c r="Q36" s="1381"/>
      <c r="R36" s="1381"/>
      <c r="S36" s="1381"/>
      <c r="T36" s="1381"/>
      <c r="U36" s="1381"/>
      <c r="V36" s="1381"/>
      <c r="W36" s="1381">
        <v>1000</v>
      </c>
      <c r="X36" s="1380">
        <v>10000</v>
      </c>
      <c r="Y36" s="1380"/>
      <c r="Z36" s="1380">
        <v>50</v>
      </c>
      <c r="AA36" s="1380"/>
      <c r="AB36" s="1382">
        <v>9950</v>
      </c>
      <c r="AC36" s="1377"/>
      <c r="AD36" s="1377"/>
      <c r="AE36" s="1377"/>
      <c r="AF36" s="1377"/>
      <c r="AG36" s="1377"/>
      <c r="AH36" s="1377"/>
      <c r="AI36" s="1377"/>
      <c r="AJ36" s="1377"/>
      <c r="AK36" s="1377"/>
      <c r="AL36" s="1377"/>
      <c r="AM36" s="1377"/>
      <c r="AN36" s="1380">
        <v>1000</v>
      </c>
      <c r="AO36" s="1380">
        <v>1000</v>
      </c>
      <c r="AP36" s="1383">
        <v>11000</v>
      </c>
    </row>
    <row r="37" spans="2:42" ht="15.75" hidden="1" x14ac:dyDescent="0.25">
      <c r="B37" s="1374" t="s">
        <v>1512</v>
      </c>
      <c r="C37" s="1377" t="s">
        <v>1513</v>
      </c>
      <c r="D37" s="1376" t="s">
        <v>1492</v>
      </c>
      <c r="E37" s="1377" t="s">
        <v>1509</v>
      </c>
      <c r="F37" s="1377" t="s">
        <v>1493</v>
      </c>
      <c r="G37" s="1377">
        <v>627</v>
      </c>
      <c r="H37" s="1378" t="s">
        <v>646</v>
      </c>
      <c r="I37" s="1378" t="s">
        <v>5</v>
      </c>
      <c r="J37" s="1378" t="s">
        <v>1451</v>
      </c>
      <c r="K37" s="1380">
        <v>7500</v>
      </c>
      <c r="L37" s="1380"/>
      <c r="M37" s="1380"/>
      <c r="N37" s="1381"/>
      <c r="O37" s="1381"/>
      <c r="P37" s="1381"/>
      <c r="Q37" s="1381"/>
      <c r="R37" s="1381"/>
      <c r="S37" s="1381"/>
      <c r="T37" s="1381"/>
      <c r="U37" s="1381"/>
      <c r="V37" s="1381"/>
      <c r="W37" s="1381">
        <v>0</v>
      </c>
      <c r="X37" s="1380">
        <v>7750</v>
      </c>
      <c r="Y37" s="1380"/>
      <c r="Z37" s="1380">
        <v>50</v>
      </c>
      <c r="AA37" s="1380"/>
      <c r="AB37" s="1382">
        <v>7700</v>
      </c>
      <c r="AC37" s="1377"/>
      <c r="AD37" s="1377"/>
      <c r="AE37" s="1377"/>
      <c r="AF37" s="1377"/>
      <c r="AG37" s="1377"/>
      <c r="AH37" s="1377"/>
      <c r="AI37" s="1377"/>
      <c r="AJ37" s="1377"/>
      <c r="AK37" s="1377"/>
      <c r="AL37" s="1377"/>
      <c r="AM37" s="1377"/>
      <c r="AN37" s="1380">
        <v>1000</v>
      </c>
      <c r="AO37" s="1380">
        <v>1000</v>
      </c>
      <c r="AP37" s="1383">
        <v>8750</v>
      </c>
    </row>
    <row r="38" spans="2:42" ht="15.75" hidden="1" x14ac:dyDescent="0.25">
      <c r="B38" s="1374" t="s">
        <v>1514</v>
      </c>
      <c r="C38" s="1377" t="s">
        <v>1515</v>
      </c>
      <c r="D38" s="1376" t="s">
        <v>1492</v>
      </c>
      <c r="E38" s="1377" t="s">
        <v>1509</v>
      </c>
      <c r="F38" s="1377" t="s">
        <v>1493</v>
      </c>
      <c r="G38" s="1377">
        <v>627</v>
      </c>
      <c r="H38" s="1378" t="s">
        <v>646</v>
      </c>
      <c r="I38" s="1378" t="s">
        <v>5</v>
      </c>
      <c r="J38" s="1378" t="s">
        <v>1451</v>
      </c>
      <c r="K38" s="1380">
        <v>7000</v>
      </c>
      <c r="L38" s="1380"/>
      <c r="M38" s="1380"/>
      <c r="N38" s="1381">
        <v>1000</v>
      </c>
      <c r="O38" s="1381"/>
      <c r="P38" s="1381"/>
      <c r="Q38" s="1381"/>
      <c r="R38" s="1381"/>
      <c r="S38" s="1381"/>
      <c r="T38" s="1381"/>
      <c r="U38" s="1381"/>
      <c r="V38" s="1381"/>
      <c r="W38" s="1381">
        <v>1000</v>
      </c>
      <c r="X38" s="1380">
        <v>7774.1935483870966</v>
      </c>
      <c r="Y38" s="1380"/>
      <c r="Z38" s="1380">
        <v>50</v>
      </c>
      <c r="AA38" s="1380"/>
      <c r="AB38" s="1382">
        <v>7724.1935483870966</v>
      </c>
      <c r="AC38" s="1377"/>
      <c r="AD38" s="1377"/>
      <c r="AE38" s="1377"/>
      <c r="AF38" s="1377"/>
      <c r="AG38" s="1377"/>
      <c r="AH38" s="1377"/>
      <c r="AI38" s="1377"/>
      <c r="AJ38" s="1377"/>
      <c r="AK38" s="1377"/>
      <c r="AL38" s="1377"/>
      <c r="AM38" s="1377"/>
      <c r="AN38" s="1380">
        <v>1000</v>
      </c>
      <c r="AO38" s="1380">
        <v>1000</v>
      </c>
      <c r="AP38" s="1383">
        <v>8774.1935483870966</v>
      </c>
    </row>
    <row r="39" spans="2:42" ht="15.75" hidden="1" x14ac:dyDescent="0.25">
      <c r="B39" s="1374" t="s">
        <v>1516</v>
      </c>
      <c r="C39" s="1377" t="s">
        <v>1517</v>
      </c>
      <c r="D39" s="1376" t="s">
        <v>1492</v>
      </c>
      <c r="E39" s="1377" t="s">
        <v>1456</v>
      </c>
      <c r="F39" s="1377" t="s">
        <v>1493</v>
      </c>
      <c r="G39" s="1377">
        <v>641</v>
      </c>
      <c r="H39" s="1378" t="s">
        <v>646</v>
      </c>
      <c r="I39" s="1378" t="s">
        <v>5</v>
      </c>
      <c r="J39" s="1378" t="s">
        <v>1451</v>
      </c>
      <c r="K39" s="1380">
        <v>3000</v>
      </c>
      <c r="L39" s="1380">
        <v>12240</v>
      </c>
      <c r="M39" s="1380"/>
      <c r="N39" s="1381"/>
      <c r="O39" s="1381"/>
      <c r="P39" s="1381"/>
      <c r="Q39" s="1381"/>
      <c r="R39" s="1381"/>
      <c r="S39" s="1381"/>
      <c r="T39" s="1381"/>
      <c r="U39" s="1381"/>
      <c r="V39" s="1381"/>
      <c r="W39" s="1381">
        <v>0</v>
      </c>
      <c r="X39" s="1380">
        <v>14852.903225806451</v>
      </c>
      <c r="Y39" s="1380"/>
      <c r="Z39" s="1380">
        <v>50</v>
      </c>
      <c r="AA39" s="1380"/>
      <c r="AB39" s="1382">
        <v>14802.903225806451</v>
      </c>
      <c r="AC39" s="1377"/>
      <c r="AD39" s="1377"/>
      <c r="AE39" s="1377"/>
      <c r="AF39" s="1377"/>
      <c r="AG39" s="1377"/>
      <c r="AH39" s="1377"/>
      <c r="AI39" s="1377"/>
      <c r="AJ39" s="1377"/>
      <c r="AK39" s="1377"/>
      <c r="AL39" s="1377"/>
      <c r="AM39" s="1377"/>
      <c r="AN39" s="1380">
        <v>1000</v>
      </c>
      <c r="AO39" s="1380">
        <v>1000</v>
      </c>
      <c r="AP39" s="1383">
        <v>15852.903225806451</v>
      </c>
    </row>
    <row r="40" spans="2:42" ht="15.75" hidden="1" x14ac:dyDescent="0.25">
      <c r="B40" s="1374" t="s">
        <v>1518</v>
      </c>
      <c r="C40" s="1377" t="s">
        <v>1519</v>
      </c>
      <c r="D40" s="1376" t="s">
        <v>1492</v>
      </c>
      <c r="E40" s="1377" t="s">
        <v>1456</v>
      </c>
      <c r="F40" s="1377" t="s">
        <v>1493</v>
      </c>
      <c r="G40" s="1377">
        <v>641</v>
      </c>
      <c r="H40" s="1378" t="s">
        <v>646</v>
      </c>
      <c r="I40" s="1378" t="s">
        <v>5</v>
      </c>
      <c r="J40" s="1378" t="s">
        <v>1451</v>
      </c>
      <c r="K40" s="1380">
        <v>3000</v>
      </c>
      <c r="L40" s="1380">
        <v>14253</v>
      </c>
      <c r="M40" s="1380"/>
      <c r="N40" s="1381"/>
      <c r="O40" s="1381"/>
      <c r="P40" s="1381"/>
      <c r="Q40" s="1381"/>
      <c r="R40" s="1381"/>
      <c r="S40" s="1381"/>
      <c r="T40" s="1381"/>
      <c r="U40" s="1381"/>
      <c r="V40" s="1381"/>
      <c r="W40" s="1381">
        <v>0</v>
      </c>
      <c r="X40" s="1380">
        <v>17156.225806451614</v>
      </c>
      <c r="Y40" s="1380"/>
      <c r="Z40" s="1380">
        <v>50</v>
      </c>
      <c r="AA40" s="1380"/>
      <c r="AB40" s="1382">
        <v>17106.225806451614</v>
      </c>
      <c r="AC40" s="1377"/>
      <c r="AD40" s="1377"/>
      <c r="AE40" s="1377"/>
      <c r="AF40" s="1377"/>
      <c r="AG40" s="1377"/>
      <c r="AH40" s="1377"/>
      <c r="AI40" s="1377"/>
      <c r="AJ40" s="1377"/>
      <c r="AK40" s="1377"/>
      <c r="AL40" s="1377"/>
      <c r="AM40" s="1377"/>
      <c r="AN40" s="1380">
        <v>1000</v>
      </c>
      <c r="AO40" s="1380">
        <v>1000</v>
      </c>
      <c r="AP40" s="1383">
        <v>18156.225806451614</v>
      </c>
    </row>
    <row r="41" spans="2:42" ht="15.75" hidden="1" x14ac:dyDescent="0.25">
      <c r="B41" s="1374" t="s">
        <v>1520</v>
      </c>
      <c r="C41" s="1377" t="s">
        <v>1521</v>
      </c>
      <c r="D41" s="1376" t="s">
        <v>1492</v>
      </c>
      <c r="E41" s="1377" t="s">
        <v>1456</v>
      </c>
      <c r="F41" s="1377" t="s">
        <v>1493</v>
      </c>
      <c r="G41" s="1377">
        <v>641</v>
      </c>
      <c r="H41" s="1378" t="s">
        <v>646</v>
      </c>
      <c r="I41" s="1378" t="s">
        <v>5</v>
      </c>
      <c r="J41" s="1378" t="s">
        <v>1451</v>
      </c>
      <c r="K41" s="1380">
        <v>3000</v>
      </c>
      <c r="L41" s="1380">
        <v>4020</v>
      </c>
      <c r="M41" s="1380"/>
      <c r="N41" s="1381"/>
      <c r="O41" s="1381"/>
      <c r="P41" s="1381"/>
      <c r="Q41" s="1381"/>
      <c r="R41" s="1381"/>
      <c r="S41" s="1381"/>
      <c r="T41" s="1381"/>
      <c r="U41" s="1381"/>
      <c r="V41" s="1381"/>
      <c r="W41" s="1381">
        <v>0</v>
      </c>
      <c r="X41" s="1380">
        <v>5858.7096774193551</v>
      </c>
      <c r="Y41" s="1380"/>
      <c r="Z41" s="1380">
        <v>50</v>
      </c>
      <c r="AA41" s="1380"/>
      <c r="AB41" s="1382">
        <v>5808.7096774193551</v>
      </c>
      <c r="AC41" s="1377"/>
      <c r="AD41" s="1377"/>
      <c r="AE41" s="1377"/>
      <c r="AF41" s="1377"/>
      <c r="AG41" s="1377"/>
      <c r="AH41" s="1377"/>
      <c r="AI41" s="1377"/>
      <c r="AJ41" s="1377"/>
      <c r="AK41" s="1377"/>
      <c r="AL41" s="1377"/>
      <c r="AM41" s="1377"/>
      <c r="AN41" s="1380">
        <v>1000</v>
      </c>
      <c r="AO41" s="1380">
        <v>1000</v>
      </c>
      <c r="AP41" s="1383">
        <v>6858.7096774193551</v>
      </c>
    </row>
    <row r="42" spans="2:42" ht="15.75" hidden="1" x14ac:dyDescent="0.25">
      <c r="B42" s="1374" t="s">
        <v>287</v>
      </c>
      <c r="C42" s="1377" t="s">
        <v>1522</v>
      </c>
      <c r="D42" s="1376" t="s">
        <v>1492</v>
      </c>
      <c r="E42" s="1377" t="s">
        <v>1456</v>
      </c>
      <c r="F42" s="1377" t="s">
        <v>1493</v>
      </c>
      <c r="G42" s="1377">
        <v>641</v>
      </c>
      <c r="H42" s="1378" t="s">
        <v>646</v>
      </c>
      <c r="I42" s="1378" t="s">
        <v>5</v>
      </c>
      <c r="J42" s="1378" t="s">
        <v>1451</v>
      </c>
      <c r="K42" s="1380">
        <v>3000</v>
      </c>
      <c r="L42" s="1380">
        <v>12825</v>
      </c>
      <c r="M42" s="1380"/>
      <c r="N42" s="1381"/>
      <c r="O42" s="1381"/>
      <c r="P42" s="1381"/>
      <c r="Q42" s="1381"/>
      <c r="R42" s="1381"/>
      <c r="S42" s="1381"/>
      <c r="T42" s="1381"/>
      <c r="U42" s="1381"/>
      <c r="V42" s="1381"/>
      <c r="W42" s="1381">
        <v>0</v>
      </c>
      <c r="X42" s="1380">
        <v>15534.677419354839</v>
      </c>
      <c r="Y42" s="1380"/>
      <c r="Z42" s="1380">
        <v>50</v>
      </c>
      <c r="AA42" s="1380"/>
      <c r="AB42" s="1382">
        <v>15484.677419354839</v>
      </c>
      <c r="AC42" s="1377"/>
      <c r="AD42" s="1377"/>
      <c r="AE42" s="1377"/>
      <c r="AF42" s="1377"/>
      <c r="AG42" s="1377"/>
      <c r="AH42" s="1377"/>
      <c r="AI42" s="1377"/>
      <c r="AJ42" s="1377"/>
      <c r="AK42" s="1377"/>
      <c r="AL42" s="1377"/>
      <c r="AM42" s="1377"/>
      <c r="AN42" s="1380">
        <v>1000</v>
      </c>
      <c r="AO42" s="1380">
        <v>1000</v>
      </c>
      <c r="AP42" s="1383">
        <v>16534.677419354841</v>
      </c>
    </row>
    <row r="43" spans="2:42" ht="15.75" hidden="1" x14ac:dyDescent="0.25">
      <c r="B43" s="1374" t="s">
        <v>1523</v>
      </c>
      <c r="C43" s="1377" t="s">
        <v>1524</v>
      </c>
      <c r="D43" s="1376" t="s">
        <v>1492</v>
      </c>
      <c r="E43" s="1377" t="s">
        <v>1456</v>
      </c>
      <c r="F43" s="1377" t="s">
        <v>1493</v>
      </c>
      <c r="G43" s="1377">
        <v>641</v>
      </c>
      <c r="H43" s="1378" t="s">
        <v>646</v>
      </c>
      <c r="I43" s="1378" t="s">
        <v>5</v>
      </c>
      <c r="J43" s="1378" t="s">
        <v>1451</v>
      </c>
      <c r="K43" s="1380">
        <v>3000</v>
      </c>
      <c r="L43" s="1380">
        <v>3345</v>
      </c>
      <c r="M43" s="1380"/>
      <c r="N43" s="1381"/>
      <c r="O43" s="1381"/>
      <c r="P43" s="1381"/>
      <c r="Q43" s="1381"/>
      <c r="R43" s="1381"/>
      <c r="S43" s="1381"/>
      <c r="T43" s="1381"/>
      <c r="U43" s="1381"/>
      <c r="V43" s="1381"/>
      <c r="W43" s="1381">
        <v>0</v>
      </c>
      <c r="X43" s="1380">
        <v>5861.1290322580644</v>
      </c>
      <c r="Y43" s="1380"/>
      <c r="Z43" s="1380">
        <v>50</v>
      </c>
      <c r="AA43" s="1380"/>
      <c r="AB43" s="1382">
        <v>5811.1290322580644</v>
      </c>
      <c r="AC43" s="1377"/>
      <c r="AD43" s="1377"/>
      <c r="AE43" s="1377"/>
      <c r="AF43" s="1377"/>
      <c r="AG43" s="1377"/>
      <c r="AH43" s="1377"/>
      <c r="AI43" s="1377"/>
      <c r="AJ43" s="1377"/>
      <c r="AK43" s="1377"/>
      <c r="AL43" s="1377"/>
      <c r="AM43" s="1377"/>
      <c r="AN43" s="1380">
        <v>1000</v>
      </c>
      <c r="AO43" s="1380">
        <v>1000</v>
      </c>
      <c r="AP43" s="1383">
        <v>6861.1290322580644</v>
      </c>
    </row>
    <row r="44" spans="2:42" ht="15.75" hidden="1" x14ac:dyDescent="0.25">
      <c r="B44" s="1374" t="s">
        <v>1525</v>
      </c>
      <c r="C44" s="1377" t="s">
        <v>1526</v>
      </c>
      <c r="D44" s="1376" t="s">
        <v>1492</v>
      </c>
      <c r="E44" s="1377" t="s">
        <v>1527</v>
      </c>
      <c r="F44" s="1377" t="s">
        <v>1505</v>
      </c>
      <c r="G44" s="1377">
        <v>622</v>
      </c>
      <c r="H44" s="1378" t="s">
        <v>646</v>
      </c>
      <c r="I44" s="1378" t="s">
        <v>5</v>
      </c>
      <c r="J44" s="1378" t="s">
        <v>1451</v>
      </c>
      <c r="K44" s="1380">
        <v>4000</v>
      </c>
      <c r="L44" s="1380">
        <v>6108</v>
      </c>
      <c r="M44" s="1380"/>
      <c r="N44" s="1381"/>
      <c r="O44" s="1381">
        <v>50</v>
      </c>
      <c r="P44" s="1381"/>
      <c r="Q44" s="1381"/>
      <c r="R44" s="1381"/>
      <c r="S44" s="1381">
        <v>500</v>
      </c>
      <c r="T44" s="1381"/>
      <c r="U44" s="1381"/>
      <c r="V44" s="1381"/>
      <c r="W44" s="1381">
        <v>550</v>
      </c>
      <c r="X44" s="1380">
        <v>10528.967741935485</v>
      </c>
      <c r="Y44" s="1380"/>
      <c r="Z44" s="1380">
        <v>50</v>
      </c>
      <c r="AA44" s="1380"/>
      <c r="AB44" s="1382">
        <v>10478.967741935485</v>
      </c>
      <c r="AC44" s="1377"/>
      <c r="AD44" s="1377"/>
      <c r="AE44" s="1377"/>
      <c r="AF44" s="1377"/>
      <c r="AG44" s="1377"/>
      <c r="AH44" s="1377"/>
      <c r="AI44" s="1377"/>
      <c r="AJ44" s="1377"/>
      <c r="AK44" s="1377"/>
      <c r="AL44" s="1377"/>
      <c r="AM44" s="1377"/>
      <c r="AN44" s="1380">
        <v>1000</v>
      </c>
      <c r="AO44" s="1380">
        <v>1000</v>
      </c>
      <c r="AP44" s="1383">
        <v>11528.967741935485</v>
      </c>
    </row>
    <row r="45" spans="2:42" ht="15.75" hidden="1" x14ac:dyDescent="0.25">
      <c r="B45" s="1374" t="s">
        <v>1528</v>
      </c>
      <c r="C45" s="1377" t="s">
        <v>1529</v>
      </c>
      <c r="D45" s="1376" t="s">
        <v>1492</v>
      </c>
      <c r="E45" s="1377" t="s">
        <v>1530</v>
      </c>
      <c r="F45" s="1377" t="s">
        <v>1531</v>
      </c>
      <c r="G45" s="1377">
        <v>627</v>
      </c>
      <c r="H45" s="1378" t="s">
        <v>646</v>
      </c>
      <c r="I45" s="1378" t="s">
        <v>5</v>
      </c>
      <c r="J45" s="1378" t="s">
        <v>1451</v>
      </c>
      <c r="K45" s="1380">
        <v>3500</v>
      </c>
      <c r="L45" s="1380">
        <v>6208</v>
      </c>
      <c r="M45" s="1380"/>
      <c r="N45" s="1381"/>
      <c r="O45" s="1381">
        <v>50</v>
      </c>
      <c r="P45" s="1381"/>
      <c r="Q45" s="1381"/>
      <c r="R45" s="1381"/>
      <c r="S45" s="1381">
        <v>500</v>
      </c>
      <c r="T45" s="1381"/>
      <c r="U45" s="1381"/>
      <c r="V45" s="1381"/>
      <c r="W45" s="1381">
        <v>550</v>
      </c>
      <c r="X45" s="1380">
        <v>10145.096774193549</v>
      </c>
      <c r="Y45" s="1380"/>
      <c r="Z45" s="1380">
        <v>50</v>
      </c>
      <c r="AA45" s="1380"/>
      <c r="AB45" s="1382">
        <v>10095.096774193549</v>
      </c>
      <c r="AC45" s="1377"/>
      <c r="AD45" s="1377"/>
      <c r="AE45" s="1377"/>
      <c r="AF45" s="1377"/>
      <c r="AG45" s="1377"/>
      <c r="AH45" s="1377"/>
      <c r="AI45" s="1377"/>
      <c r="AJ45" s="1377"/>
      <c r="AK45" s="1377"/>
      <c r="AL45" s="1377"/>
      <c r="AM45" s="1377"/>
      <c r="AN45" s="1380">
        <v>1000</v>
      </c>
      <c r="AO45" s="1380">
        <v>1000</v>
      </c>
      <c r="AP45" s="1383">
        <v>11145.096774193549</v>
      </c>
    </row>
    <row r="46" spans="2:42" ht="15.75" hidden="1" x14ac:dyDescent="0.25">
      <c r="B46" s="1374" t="s">
        <v>1532</v>
      </c>
      <c r="C46" s="1377" t="s">
        <v>1533</v>
      </c>
      <c r="D46" s="1376" t="s">
        <v>1492</v>
      </c>
      <c r="E46" s="1377" t="s">
        <v>1530</v>
      </c>
      <c r="F46" s="1377" t="s">
        <v>1531</v>
      </c>
      <c r="G46" s="1377">
        <v>627</v>
      </c>
      <c r="H46" s="1378" t="s">
        <v>646</v>
      </c>
      <c r="I46" s="1378" t="s">
        <v>5</v>
      </c>
      <c r="J46" s="1378" t="s">
        <v>1451</v>
      </c>
      <c r="K46" s="1380">
        <v>3500</v>
      </c>
      <c r="L46" s="1380">
        <v>4851</v>
      </c>
      <c r="M46" s="1380"/>
      <c r="N46" s="1381"/>
      <c r="O46" s="1381">
        <v>50</v>
      </c>
      <c r="P46" s="1381"/>
      <c r="Q46" s="1381"/>
      <c r="R46" s="1381"/>
      <c r="S46" s="1381">
        <v>500</v>
      </c>
      <c r="T46" s="1381"/>
      <c r="U46" s="1381"/>
      <c r="V46" s="1381"/>
      <c r="W46" s="1381">
        <v>550</v>
      </c>
      <c r="X46" s="1380">
        <v>8675.1935483870966</v>
      </c>
      <c r="Y46" s="1380"/>
      <c r="Z46" s="1380">
        <v>50</v>
      </c>
      <c r="AA46" s="1380"/>
      <c r="AB46" s="1382">
        <v>8625.1935483870966</v>
      </c>
      <c r="AC46" s="1377"/>
      <c r="AD46" s="1377"/>
      <c r="AE46" s="1377"/>
      <c r="AF46" s="1377"/>
      <c r="AG46" s="1377"/>
      <c r="AH46" s="1377"/>
      <c r="AI46" s="1377"/>
      <c r="AJ46" s="1377"/>
      <c r="AK46" s="1377"/>
      <c r="AL46" s="1377"/>
      <c r="AM46" s="1377"/>
      <c r="AN46" s="1380">
        <v>1000</v>
      </c>
      <c r="AO46" s="1380">
        <v>1000</v>
      </c>
      <c r="AP46" s="1383">
        <v>9675.1935483870966</v>
      </c>
    </row>
    <row r="47" spans="2:42" ht="15.75" hidden="1" x14ac:dyDescent="0.25">
      <c r="B47" s="1374" t="s">
        <v>1534</v>
      </c>
      <c r="C47" s="1377" t="s">
        <v>1535</v>
      </c>
      <c r="D47" s="1376" t="s">
        <v>1492</v>
      </c>
      <c r="E47" s="1377" t="s">
        <v>1536</v>
      </c>
      <c r="F47" s="1377" t="s">
        <v>1505</v>
      </c>
      <c r="G47" s="1377">
        <v>622</v>
      </c>
      <c r="H47" s="1378" t="s">
        <v>646</v>
      </c>
      <c r="I47" s="1378" t="s">
        <v>5</v>
      </c>
      <c r="J47" s="1378" t="s">
        <v>1451</v>
      </c>
      <c r="K47" s="1380">
        <v>4000</v>
      </c>
      <c r="L47" s="1380">
        <v>4358</v>
      </c>
      <c r="M47" s="1380"/>
      <c r="N47" s="1381"/>
      <c r="O47" s="1381">
        <v>50</v>
      </c>
      <c r="P47" s="1381"/>
      <c r="Q47" s="1381"/>
      <c r="R47" s="1381"/>
      <c r="S47" s="1381">
        <v>500</v>
      </c>
      <c r="T47" s="1381"/>
      <c r="U47" s="1381"/>
      <c r="V47" s="1381"/>
      <c r="W47" s="1381">
        <v>550</v>
      </c>
      <c r="X47" s="1380">
        <v>8778.9677419354848</v>
      </c>
      <c r="Y47" s="1380"/>
      <c r="Z47" s="1380">
        <v>50</v>
      </c>
      <c r="AA47" s="1380"/>
      <c r="AB47" s="1382">
        <v>8728.9677419354848</v>
      </c>
      <c r="AC47" s="1377"/>
      <c r="AD47" s="1377"/>
      <c r="AE47" s="1377"/>
      <c r="AF47" s="1377"/>
      <c r="AG47" s="1377"/>
      <c r="AH47" s="1377"/>
      <c r="AI47" s="1377"/>
      <c r="AJ47" s="1377"/>
      <c r="AK47" s="1377"/>
      <c r="AL47" s="1377"/>
      <c r="AM47" s="1377"/>
      <c r="AN47" s="1380">
        <v>1000</v>
      </c>
      <c r="AO47" s="1380">
        <v>1000</v>
      </c>
      <c r="AP47" s="1383">
        <v>9778.9677419354848</v>
      </c>
    </row>
    <row r="48" spans="2:42" ht="15.75" hidden="1" x14ac:dyDescent="0.25">
      <c r="B48" s="1374" t="s">
        <v>1537</v>
      </c>
      <c r="C48" s="1377" t="s">
        <v>1538</v>
      </c>
      <c r="D48" s="1376" t="s">
        <v>1492</v>
      </c>
      <c r="E48" s="1377" t="s">
        <v>1527</v>
      </c>
      <c r="F48" s="1377" t="s">
        <v>1505</v>
      </c>
      <c r="G48" s="1377">
        <v>622</v>
      </c>
      <c r="H48" s="1378" t="s">
        <v>646</v>
      </c>
      <c r="I48" s="1378" t="s">
        <v>5</v>
      </c>
      <c r="J48" s="1378" t="s">
        <v>1451</v>
      </c>
      <c r="K48" s="1380">
        <v>4000</v>
      </c>
      <c r="L48" s="1380">
        <v>4846</v>
      </c>
      <c r="M48" s="1380"/>
      <c r="N48" s="1381"/>
      <c r="O48" s="1381">
        <v>50</v>
      </c>
      <c r="P48" s="1381"/>
      <c r="Q48" s="1381"/>
      <c r="R48" s="1381"/>
      <c r="S48" s="1381">
        <v>500</v>
      </c>
      <c r="T48" s="1381"/>
      <c r="U48" s="1381"/>
      <c r="V48" s="1381"/>
      <c r="W48" s="1381">
        <v>550</v>
      </c>
      <c r="X48" s="1380">
        <v>9266.9677419354848</v>
      </c>
      <c r="Y48" s="1380"/>
      <c r="Z48" s="1380">
        <v>50</v>
      </c>
      <c r="AA48" s="1380"/>
      <c r="AB48" s="1382">
        <v>9216.9677419354848</v>
      </c>
      <c r="AC48" s="1377"/>
      <c r="AD48" s="1377"/>
      <c r="AE48" s="1377"/>
      <c r="AF48" s="1377"/>
      <c r="AG48" s="1377"/>
      <c r="AH48" s="1377"/>
      <c r="AI48" s="1377"/>
      <c r="AJ48" s="1377"/>
      <c r="AK48" s="1377"/>
      <c r="AL48" s="1377"/>
      <c r="AM48" s="1377"/>
      <c r="AN48" s="1380">
        <v>1000</v>
      </c>
      <c r="AO48" s="1380">
        <v>1000</v>
      </c>
      <c r="AP48" s="1383">
        <v>10266.967741935485</v>
      </c>
    </row>
    <row r="49" spans="2:42" ht="15.75" hidden="1" x14ac:dyDescent="0.25">
      <c r="B49" s="1374" t="s">
        <v>1539</v>
      </c>
      <c r="C49" s="1377" t="s">
        <v>1540</v>
      </c>
      <c r="D49" s="1376" t="s">
        <v>1492</v>
      </c>
      <c r="E49" s="1377" t="s">
        <v>1530</v>
      </c>
      <c r="F49" s="1377" t="s">
        <v>1531</v>
      </c>
      <c r="G49" s="1377">
        <v>627</v>
      </c>
      <c r="H49" s="1378" t="s">
        <v>646</v>
      </c>
      <c r="I49" s="1378" t="s">
        <v>5</v>
      </c>
      <c r="J49" s="1378" t="s">
        <v>1451</v>
      </c>
      <c r="K49" s="1380">
        <v>3500</v>
      </c>
      <c r="L49" s="1380">
        <v>3802</v>
      </c>
      <c r="M49" s="1380"/>
      <c r="N49" s="1381"/>
      <c r="O49" s="1381">
        <v>50</v>
      </c>
      <c r="P49" s="1381"/>
      <c r="Q49" s="1381"/>
      <c r="R49" s="1381"/>
      <c r="S49" s="1381">
        <v>500</v>
      </c>
      <c r="T49" s="1381"/>
      <c r="U49" s="1381"/>
      <c r="V49" s="1381"/>
      <c r="W49" s="1381">
        <v>550</v>
      </c>
      <c r="X49" s="1380">
        <v>7400.3870967741932</v>
      </c>
      <c r="Y49" s="1380"/>
      <c r="Z49" s="1380">
        <v>50</v>
      </c>
      <c r="AA49" s="1380"/>
      <c r="AB49" s="1382">
        <v>7350.3870967741932</v>
      </c>
      <c r="AC49" s="1377"/>
      <c r="AD49" s="1377"/>
      <c r="AE49" s="1377"/>
      <c r="AF49" s="1377"/>
      <c r="AG49" s="1377"/>
      <c r="AH49" s="1377"/>
      <c r="AI49" s="1377"/>
      <c r="AJ49" s="1377"/>
      <c r="AK49" s="1377"/>
      <c r="AL49" s="1377"/>
      <c r="AM49" s="1377"/>
      <c r="AN49" s="1380">
        <v>500</v>
      </c>
      <c r="AO49" s="1380">
        <v>500</v>
      </c>
      <c r="AP49" s="1383">
        <v>7900.3870967741932</v>
      </c>
    </row>
    <row r="50" spans="2:42" ht="15.75" hidden="1" x14ac:dyDescent="0.25">
      <c r="B50" s="1374" t="s">
        <v>1541</v>
      </c>
      <c r="C50" s="1377" t="s">
        <v>1542</v>
      </c>
      <c r="D50" s="1376" t="s">
        <v>1492</v>
      </c>
      <c r="E50" s="1377" t="s">
        <v>1543</v>
      </c>
      <c r="F50" s="1377" t="s">
        <v>1531</v>
      </c>
      <c r="G50" s="1377">
        <v>627</v>
      </c>
      <c r="H50" s="1378" t="s">
        <v>646</v>
      </c>
      <c r="I50" s="1378" t="s">
        <v>5</v>
      </c>
      <c r="J50" s="1378" t="s">
        <v>1451</v>
      </c>
      <c r="K50" s="1380">
        <v>3000</v>
      </c>
      <c r="L50" s="1380">
        <v>6160</v>
      </c>
      <c r="M50" s="1380"/>
      <c r="N50" s="1381">
        <v>2000</v>
      </c>
      <c r="O50" s="1381">
        <v>50</v>
      </c>
      <c r="P50" s="1381"/>
      <c r="Q50" s="1381"/>
      <c r="R50" s="1381"/>
      <c r="S50" s="1381">
        <v>500</v>
      </c>
      <c r="T50" s="1381"/>
      <c r="U50" s="1381"/>
      <c r="V50" s="1381"/>
      <c r="W50" s="1381">
        <v>2550</v>
      </c>
      <c r="X50" s="1380">
        <v>11710</v>
      </c>
      <c r="Y50" s="1380"/>
      <c r="Z50" s="1380">
        <v>50</v>
      </c>
      <c r="AA50" s="1380"/>
      <c r="AB50" s="1382">
        <v>11660</v>
      </c>
      <c r="AC50" s="1377"/>
      <c r="AD50" s="1377"/>
      <c r="AE50" s="1377"/>
      <c r="AF50" s="1377"/>
      <c r="AG50" s="1377"/>
      <c r="AH50" s="1377"/>
      <c r="AI50" s="1377"/>
      <c r="AJ50" s="1377"/>
      <c r="AK50" s="1377"/>
      <c r="AL50" s="1377"/>
      <c r="AM50" s="1377"/>
      <c r="AN50" s="1380">
        <v>1000</v>
      </c>
      <c r="AO50" s="1380">
        <v>1000</v>
      </c>
      <c r="AP50" s="1383">
        <v>12710</v>
      </c>
    </row>
    <row r="51" spans="2:42" ht="15.75" hidden="1" x14ac:dyDescent="0.25">
      <c r="B51" s="1374" t="s">
        <v>1544</v>
      </c>
      <c r="C51" s="1377" t="s">
        <v>1545</v>
      </c>
      <c r="D51" s="1376" t="s">
        <v>1492</v>
      </c>
      <c r="E51" s="1377" t="s">
        <v>1546</v>
      </c>
      <c r="F51" s="1377" t="s">
        <v>1493</v>
      </c>
      <c r="G51" s="1377">
        <v>627</v>
      </c>
      <c r="H51" s="1378" t="s">
        <v>646</v>
      </c>
      <c r="I51" s="1378" t="s">
        <v>5</v>
      </c>
      <c r="J51" s="1378" t="s">
        <v>1451</v>
      </c>
      <c r="K51" s="1380">
        <v>3000</v>
      </c>
      <c r="L51" s="1380">
        <v>7280</v>
      </c>
      <c r="M51" s="1380"/>
      <c r="N51" s="1381"/>
      <c r="O51" s="1381">
        <v>50</v>
      </c>
      <c r="P51" s="1381"/>
      <c r="Q51" s="1381"/>
      <c r="R51" s="1381"/>
      <c r="S51" s="1381">
        <v>500</v>
      </c>
      <c r="T51" s="1381"/>
      <c r="U51" s="1381"/>
      <c r="V51" s="1381"/>
      <c r="W51" s="1381">
        <v>550</v>
      </c>
      <c r="X51" s="1380">
        <v>10636.451612903225</v>
      </c>
      <c r="Y51" s="1380"/>
      <c r="Z51" s="1380">
        <v>50</v>
      </c>
      <c r="AA51" s="1380"/>
      <c r="AB51" s="1382">
        <v>10586.451612903225</v>
      </c>
      <c r="AC51" s="1377"/>
      <c r="AD51" s="1377"/>
      <c r="AE51" s="1377"/>
      <c r="AF51" s="1377"/>
      <c r="AG51" s="1377"/>
      <c r="AH51" s="1377"/>
      <c r="AI51" s="1377"/>
      <c r="AJ51" s="1377"/>
      <c r="AK51" s="1377"/>
      <c r="AL51" s="1377"/>
      <c r="AM51" s="1377"/>
      <c r="AN51" s="1380">
        <v>1000</v>
      </c>
      <c r="AO51" s="1380">
        <v>1000</v>
      </c>
      <c r="AP51" s="1383">
        <v>11636.451612903225</v>
      </c>
    </row>
    <row r="52" spans="2:42" ht="15.75" hidden="1" x14ac:dyDescent="0.25">
      <c r="B52" s="1374" t="s">
        <v>288</v>
      </c>
      <c r="C52" s="1377" t="s">
        <v>1547</v>
      </c>
      <c r="D52" s="1376" t="s">
        <v>1492</v>
      </c>
      <c r="E52" s="1377" t="s">
        <v>1546</v>
      </c>
      <c r="F52" s="1377" t="s">
        <v>1493</v>
      </c>
      <c r="G52" s="1377">
        <v>627</v>
      </c>
      <c r="H52" s="1378" t="s">
        <v>646</v>
      </c>
      <c r="I52" s="1378" t="s">
        <v>5</v>
      </c>
      <c r="J52" s="1378" t="s">
        <v>1451</v>
      </c>
      <c r="K52" s="1380">
        <v>3000</v>
      </c>
      <c r="L52" s="1380">
        <v>8080</v>
      </c>
      <c r="M52" s="1380"/>
      <c r="N52" s="1381"/>
      <c r="O52" s="1381">
        <v>50</v>
      </c>
      <c r="P52" s="1381"/>
      <c r="Q52" s="1381"/>
      <c r="R52" s="1381"/>
      <c r="S52" s="1381">
        <v>500</v>
      </c>
      <c r="T52" s="1381"/>
      <c r="U52" s="1381"/>
      <c r="V52" s="1381"/>
      <c r="W52" s="1381">
        <v>550</v>
      </c>
      <c r="X52" s="1380">
        <v>11533.225806451614</v>
      </c>
      <c r="Y52" s="1380"/>
      <c r="Z52" s="1380">
        <v>50</v>
      </c>
      <c r="AA52" s="1380"/>
      <c r="AB52" s="1382">
        <v>11483.225806451614</v>
      </c>
      <c r="AC52" s="1377"/>
      <c r="AD52" s="1377"/>
      <c r="AE52" s="1377"/>
      <c r="AF52" s="1377"/>
      <c r="AG52" s="1377"/>
      <c r="AH52" s="1377"/>
      <c r="AI52" s="1377"/>
      <c r="AJ52" s="1377"/>
      <c r="AK52" s="1377"/>
      <c r="AL52" s="1377"/>
      <c r="AM52" s="1377"/>
      <c r="AN52" s="1380">
        <v>1000</v>
      </c>
      <c r="AO52" s="1380">
        <v>1000</v>
      </c>
      <c r="AP52" s="1383">
        <v>12533.225806451614</v>
      </c>
    </row>
    <row r="53" spans="2:42" ht="15.75" hidden="1" x14ac:dyDescent="0.25">
      <c r="B53" s="1374" t="s">
        <v>289</v>
      </c>
      <c r="C53" s="1377" t="s">
        <v>1548</v>
      </c>
      <c r="D53" s="1376" t="s">
        <v>1492</v>
      </c>
      <c r="E53" s="1377" t="s">
        <v>1546</v>
      </c>
      <c r="F53" s="1377" t="s">
        <v>1493</v>
      </c>
      <c r="G53" s="1377">
        <v>627</v>
      </c>
      <c r="H53" s="1378" t="s">
        <v>646</v>
      </c>
      <c r="I53" s="1378" t="s">
        <v>5</v>
      </c>
      <c r="J53" s="1378" t="s">
        <v>1451</v>
      </c>
      <c r="K53" s="1380">
        <v>3000</v>
      </c>
      <c r="L53" s="1380">
        <v>8435</v>
      </c>
      <c r="M53" s="1380"/>
      <c r="N53" s="1381"/>
      <c r="O53" s="1381">
        <v>50</v>
      </c>
      <c r="P53" s="1381"/>
      <c r="Q53" s="1381"/>
      <c r="R53" s="1381"/>
      <c r="S53" s="1381">
        <v>500</v>
      </c>
      <c r="T53" s="1381"/>
      <c r="U53" s="1381"/>
      <c r="V53" s="1381"/>
      <c r="W53" s="1381">
        <v>550</v>
      </c>
      <c r="X53" s="1380">
        <v>11985</v>
      </c>
      <c r="Y53" s="1380"/>
      <c r="Z53" s="1380">
        <v>50</v>
      </c>
      <c r="AA53" s="1380"/>
      <c r="AB53" s="1382">
        <v>11935</v>
      </c>
      <c r="AC53" s="1377"/>
      <c r="AD53" s="1377"/>
      <c r="AE53" s="1377"/>
      <c r="AF53" s="1377"/>
      <c r="AG53" s="1377"/>
      <c r="AH53" s="1377"/>
      <c r="AI53" s="1377"/>
      <c r="AJ53" s="1377"/>
      <c r="AK53" s="1377"/>
      <c r="AL53" s="1377"/>
      <c r="AM53" s="1377"/>
      <c r="AN53" s="1380">
        <v>500</v>
      </c>
      <c r="AO53" s="1380">
        <v>500</v>
      </c>
      <c r="AP53" s="1383">
        <v>12485</v>
      </c>
    </row>
    <row r="54" spans="2:42" ht="15.75" hidden="1" x14ac:dyDescent="0.25">
      <c r="B54" s="1374" t="s">
        <v>290</v>
      </c>
      <c r="C54" s="1377" t="s">
        <v>1549</v>
      </c>
      <c r="D54" s="1376" t="s">
        <v>1492</v>
      </c>
      <c r="E54" s="1377" t="s">
        <v>1546</v>
      </c>
      <c r="F54" s="1377" t="s">
        <v>1493</v>
      </c>
      <c r="G54" s="1377">
        <v>627</v>
      </c>
      <c r="H54" s="1378" t="s">
        <v>646</v>
      </c>
      <c r="I54" s="1378" t="s">
        <v>5</v>
      </c>
      <c r="J54" s="1378" t="s">
        <v>1451</v>
      </c>
      <c r="K54" s="1380">
        <v>3000</v>
      </c>
      <c r="L54" s="1380">
        <v>7840</v>
      </c>
      <c r="M54" s="1380"/>
      <c r="N54" s="1381"/>
      <c r="O54" s="1381">
        <v>50</v>
      </c>
      <c r="P54" s="1381"/>
      <c r="Q54" s="1381"/>
      <c r="R54" s="1381"/>
      <c r="S54" s="1381">
        <v>500</v>
      </c>
      <c r="T54" s="1381"/>
      <c r="U54" s="1381"/>
      <c r="V54" s="1381"/>
      <c r="W54" s="1381">
        <v>550</v>
      </c>
      <c r="X54" s="1380">
        <v>11390</v>
      </c>
      <c r="Y54" s="1380"/>
      <c r="Z54" s="1380">
        <v>50</v>
      </c>
      <c r="AA54" s="1380"/>
      <c r="AB54" s="1382">
        <v>11340</v>
      </c>
      <c r="AC54" s="1377"/>
      <c r="AD54" s="1377"/>
      <c r="AE54" s="1377"/>
      <c r="AF54" s="1377"/>
      <c r="AG54" s="1377"/>
      <c r="AH54" s="1377"/>
      <c r="AI54" s="1377"/>
      <c r="AJ54" s="1377"/>
      <c r="AK54" s="1377"/>
      <c r="AL54" s="1377"/>
      <c r="AM54" s="1377"/>
      <c r="AN54" s="1380">
        <v>500</v>
      </c>
      <c r="AO54" s="1380">
        <v>500</v>
      </c>
      <c r="AP54" s="1383">
        <v>11890</v>
      </c>
    </row>
    <row r="55" spans="2:42" ht="15.75" hidden="1" x14ac:dyDescent="0.25">
      <c r="B55" s="1374" t="s">
        <v>1550</v>
      </c>
      <c r="C55" s="1377" t="s">
        <v>1551</v>
      </c>
      <c r="D55" s="1376" t="s">
        <v>1492</v>
      </c>
      <c r="E55" s="1377" t="s">
        <v>1546</v>
      </c>
      <c r="F55" s="1377" t="s">
        <v>1493</v>
      </c>
      <c r="G55" s="1377">
        <v>627</v>
      </c>
      <c r="H55" s="1378" t="s">
        <v>646</v>
      </c>
      <c r="I55" s="1378" t="s">
        <v>5</v>
      </c>
      <c r="J55" s="1378" t="s">
        <v>1451</v>
      </c>
      <c r="K55" s="1380">
        <v>3000</v>
      </c>
      <c r="L55" s="1380">
        <v>7920</v>
      </c>
      <c r="M55" s="1380"/>
      <c r="N55" s="1381"/>
      <c r="O55" s="1381">
        <v>50</v>
      </c>
      <c r="P55" s="1381"/>
      <c r="Q55" s="1381"/>
      <c r="R55" s="1381"/>
      <c r="S55" s="1381">
        <v>500</v>
      </c>
      <c r="T55" s="1381"/>
      <c r="U55" s="1381"/>
      <c r="V55" s="1381"/>
      <c r="W55" s="1381">
        <v>550</v>
      </c>
      <c r="X55" s="1380">
        <v>11179.677419354839</v>
      </c>
      <c r="Y55" s="1380"/>
      <c r="Z55" s="1380">
        <v>50</v>
      </c>
      <c r="AA55" s="1380"/>
      <c r="AB55" s="1382">
        <v>11129.677419354839</v>
      </c>
      <c r="AC55" s="1377"/>
      <c r="AD55" s="1377"/>
      <c r="AE55" s="1377"/>
      <c r="AF55" s="1377"/>
      <c r="AG55" s="1377"/>
      <c r="AH55" s="1377"/>
      <c r="AI55" s="1377"/>
      <c r="AJ55" s="1377"/>
      <c r="AK55" s="1377"/>
      <c r="AL55" s="1377"/>
      <c r="AM55" s="1377"/>
      <c r="AN55" s="1380">
        <v>500</v>
      </c>
      <c r="AO55" s="1380">
        <v>500</v>
      </c>
      <c r="AP55" s="1383">
        <v>11679.677419354839</v>
      </c>
    </row>
    <row r="56" spans="2:42" ht="15.75" hidden="1" x14ac:dyDescent="0.25">
      <c r="B56" s="1374" t="s">
        <v>1552</v>
      </c>
      <c r="C56" s="1377" t="s">
        <v>1553</v>
      </c>
      <c r="D56" s="1376" t="s">
        <v>1492</v>
      </c>
      <c r="E56" s="1377" t="s">
        <v>1546</v>
      </c>
      <c r="F56" s="1377" t="s">
        <v>1493</v>
      </c>
      <c r="G56" s="1377">
        <v>627</v>
      </c>
      <c r="H56" s="1378" t="s">
        <v>646</v>
      </c>
      <c r="I56" s="1378" t="s">
        <v>5</v>
      </c>
      <c r="J56" s="1378" t="s">
        <v>1451</v>
      </c>
      <c r="K56" s="1380">
        <v>3000</v>
      </c>
      <c r="L56" s="1380">
        <v>7360</v>
      </c>
      <c r="M56" s="1380"/>
      <c r="N56" s="1381"/>
      <c r="O56" s="1381">
        <v>50</v>
      </c>
      <c r="P56" s="1381"/>
      <c r="Q56" s="1381"/>
      <c r="R56" s="1381"/>
      <c r="S56" s="1381">
        <v>500</v>
      </c>
      <c r="T56" s="1381"/>
      <c r="U56" s="1381"/>
      <c r="V56" s="1381"/>
      <c r="W56" s="1381">
        <v>550</v>
      </c>
      <c r="X56" s="1380">
        <v>10716.451612903225</v>
      </c>
      <c r="Y56" s="1380"/>
      <c r="Z56" s="1380">
        <v>50</v>
      </c>
      <c r="AA56" s="1380"/>
      <c r="AB56" s="1382">
        <v>10666.451612903225</v>
      </c>
      <c r="AC56" s="1377"/>
      <c r="AD56" s="1377"/>
      <c r="AE56" s="1377"/>
      <c r="AF56" s="1377"/>
      <c r="AG56" s="1377"/>
      <c r="AH56" s="1377"/>
      <c r="AI56" s="1377"/>
      <c r="AJ56" s="1377"/>
      <c r="AK56" s="1377"/>
      <c r="AL56" s="1377"/>
      <c r="AM56" s="1377"/>
      <c r="AN56" s="1380">
        <v>500</v>
      </c>
      <c r="AO56" s="1380">
        <v>500</v>
      </c>
      <c r="AP56" s="1383">
        <v>11216.451612903225</v>
      </c>
    </row>
    <row r="57" spans="2:42" ht="15.75" hidden="1" x14ac:dyDescent="0.25">
      <c r="B57" s="1374" t="s">
        <v>1554</v>
      </c>
      <c r="C57" s="1377" t="s">
        <v>1555</v>
      </c>
      <c r="D57" s="1376" t="s">
        <v>1492</v>
      </c>
      <c r="E57" s="1377" t="s">
        <v>1546</v>
      </c>
      <c r="F57" s="1377" t="s">
        <v>1493</v>
      </c>
      <c r="G57" s="1377">
        <v>627</v>
      </c>
      <c r="H57" s="1378" t="s">
        <v>646</v>
      </c>
      <c r="I57" s="1378" t="s">
        <v>5</v>
      </c>
      <c r="J57" s="1378" t="s">
        <v>1451</v>
      </c>
      <c r="K57" s="1380">
        <v>3000</v>
      </c>
      <c r="L57" s="1380">
        <v>7840</v>
      </c>
      <c r="M57" s="1380"/>
      <c r="N57" s="1381"/>
      <c r="O57" s="1381">
        <v>50</v>
      </c>
      <c r="P57" s="1381"/>
      <c r="Q57" s="1381"/>
      <c r="R57" s="1381"/>
      <c r="S57" s="1381">
        <v>500</v>
      </c>
      <c r="T57" s="1381"/>
      <c r="U57" s="1381"/>
      <c r="V57" s="1381"/>
      <c r="W57" s="1381">
        <v>550</v>
      </c>
      <c r="X57" s="1380">
        <v>11390</v>
      </c>
      <c r="Y57" s="1380"/>
      <c r="Z57" s="1380">
        <v>50</v>
      </c>
      <c r="AA57" s="1380"/>
      <c r="AB57" s="1382">
        <v>11340</v>
      </c>
      <c r="AC57" s="1377"/>
      <c r="AD57" s="1377"/>
      <c r="AE57" s="1377"/>
      <c r="AF57" s="1377"/>
      <c r="AG57" s="1377"/>
      <c r="AH57" s="1377"/>
      <c r="AI57" s="1377"/>
      <c r="AJ57" s="1377"/>
      <c r="AK57" s="1377"/>
      <c r="AL57" s="1377"/>
      <c r="AM57" s="1377"/>
      <c r="AN57" s="1380">
        <v>500</v>
      </c>
      <c r="AO57" s="1380">
        <v>500</v>
      </c>
      <c r="AP57" s="1383">
        <v>11890</v>
      </c>
    </row>
    <row r="58" spans="2:42" ht="15.75" hidden="1" x14ac:dyDescent="0.25">
      <c r="B58" s="1374" t="s">
        <v>1556</v>
      </c>
      <c r="C58" s="1377" t="s">
        <v>1557</v>
      </c>
      <c r="D58" s="1376" t="s">
        <v>1492</v>
      </c>
      <c r="E58" s="1377" t="s">
        <v>1546</v>
      </c>
      <c r="F58" s="1377" t="s">
        <v>1493</v>
      </c>
      <c r="G58" s="1377">
        <v>627</v>
      </c>
      <c r="H58" s="1378" t="s">
        <v>646</v>
      </c>
      <c r="I58" s="1378" t="s">
        <v>5</v>
      </c>
      <c r="J58" s="1378" t="s">
        <v>1451</v>
      </c>
      <c r="K58" s="1380">
        <v>3000</v>
      </c>
      <c r="L58" s="1380">
        <v>6880</v>
      </c>
      <c r="M58" s="1380"/>
      <c r="N58" s="1381"/>
      <c r="O58" s="1381">
        <v>50</v>
      </c>
      <c r="P58" s="1381"/>
      <c r="Q58" s="1381"/>
      <c r="R58" s="1381"/>
      <c r="S58" s="1381">
        <v>500</v>
      </c>
      <c r="T58" s="1381"/>
      <c r="U58" s="1381"/>
      <c r="V58" s="1381"/>
      <c r="W58" s="1381">
        <v>550</v>
      </c>
      <c r="X58" s="1380">
        <v>10042.903225806451</v>
      </c>
      <c r="Y58" s="1380"/>
      <c r="Z58" s="1380">
        <v>50</v>
      </c>
      <c r="AA58" s="1380"/>
      <c r="AB58" s="1382">
        <v>9992.9032258064508</v>
      </c>
      <c r="AC58" s="1377"/>
      <c r="AD58" s="1377"/>
      <c r="AE58" s="1377"/>
      <c r="AF58" s="1377"/>
      <c r="AG58" s="1377"/>
      <c r="AH58" s="1377"/>
      <c r="AI58" s="1377"/>
      <c r="AJ58" s="1377"/>
      <c r="AK58" s="1377"/>
      <c r="AL58" s="1377"/>
      <c r="AM58" s="1377"/>
      <c r="AN58" s="1380">
        <v>500</v>
      </c>
      <c r="AO58" s="1380">
        <v>500</v>
      </c>
      <c r="AP58" s="1383">
        <v>10542.903225806451</v>
      </c>
    </row>
    <row r="59" spans="2:42" ht="15.75" hidden="1" x14ac:dyDescent="0.25">
      <c r="B59" s="1374" t="s">
        <v>1558</v>
      </c>
      <c r="C59" s="1377" t="s">
        <v>1559</v>
      </c>
      <c r="D59" s="1376" t="s">
        <v>1492</v>
      </c>
      <c r="E59" s="1377" t="s">
        <v>1546</v>
      </c>
      <c r="F59" s="1377" t="s">
        <v>1493</v>
      </c>
      <c r="G59" s="1377">
        <v>627</v>
      </c>
      <c r="H59" s="1378" t="s">
        <v>646</v>
      </c>
      <c r="I59" s="1378" t="s">
        <v>5</v>
      </c>
      <c r="J59" s="1378" t="s">
        <v>1451</v>
      </c>
      <c r="K59" s="1380">
        <v>3000</v>
      </c>
      <c r="L59" s="1380">
        <v>7360</v>
      </c>
      <c r="M59" s="1380"/>
      <c r="N59" s="1381"/>
      <c r="O59" s="1381">
        <v>50</v>
      </c>
      <c r="P59" s="1381"/>
      <c r="Q59" s="1381"/>
      <c r="R59" s="1381"/>
      <c r="S59" s="1381">
        <v>500</v>
      </c>
      <c r="T59" s="1381"/>
      <c r="U59" s="1381"/>
      <c r="V59" s="1381"/>
      <c r="W59" s="1381">
        <v>550</v>
      </c>
      <c r="X59" s="1380">
        <v>10813.225806451614</v>
      </c>
      <c r="Y59" s="1380"/>
      <c r="Z59" s="1380">
        <v>50</v>
      </c>
      <c r="AA59" s="1380"/>
      <c r="AB59" s="1382">
        <v>10763.225806451614</v>
      </c>
      <c r="AC59" s="1377"/>
      <c r="AD59" s="1377"/>
      <c r="AE59" s="1377"/>
      <c r="AF59" s="1377"/>
      <c r="AG59" s="1377"/>
      <c r="AH59" s="1377"/>
      <c r="AI59" s="1377"/>
      <c r="AJ59" s="1377"/>
      <c r="AK59" s="1377"/>
      <c r="AL59" s="1377"/>
      <c r="AM59" s="1377"/>
      <c r="AN59" s="1380">
        <v>500</v>
      </c>
      <c r="AO59" s="1380">
        <v>500</v>
      </c>
      <c r="AP59" s="1383">
        <v>11313.225806451614</v>
      </c>
    </row>
    <row r="60" spans="2:42" ht="15.75" x14ac:dyDescent="0.25">
      <c r="B60" s="1374" t="s">
        <v>1560</v>
      </c>
      <c r="C60" s="1377" t="s">
        <v>1561</v>
      </c>
      <c r="D60" s="1376" t="s">
        <v>1562</v>
      </c>
      <c r="E60" s="1377" t="s">
        <v>1358</v>
      </c>
      <c r="F60" s="1377" t="s">
        <v>1493</v>
      </c>
      <c r="G60" s="1377">
        <v>642</v>
      </c>
      <c r="H60" s="1378" t="s">
        <v>646</v>
      </c>
      <c r="I60" s="1378" t="s">
        <v>5</v>
      </c>
      <c r="J60" s="1378" t="s">
        <v>1451</v>
      </c>
      <c r="K60" s="1389">
        <v>10500</v>
      </c>
      <c r="L60" s="1380"/>
      <c r="M60" s="1380"/>
      <c r="N60" s="1381">
        <v>5000</v>
      </c>
      <c r="O60" s="1381"/>
      <c r="P60" s="1381"/>
      <c r="Q60" s="1381"/>
      <c r="R60" s="1381"/>
      <c r="S60" s="1381"/>
      <c r="T60" s="1381"/>
      <c r="U60" s="1381"/>
      <c r="V60" s="1381"/>
      <c r="W60" s="1381">
        <v>5000</v>
      </c>
      <c r="X60" s="1380">
        <v>15500</v>
      </c>
      <c r="Y60" s="1380">
        <v>1120</v>
      </c>
      <c r="Z60" s="1380">
        <v>50</v>
      </c>
      <c r="AA60" s="1380"/>
      <c r="AB60" s="1382">
        <v>14330</v>
      </c>
      <c r="AC60" s="1377"/>
      <c r="AD60" s="1377"/>
      <c r="AE60" s="1377"/>
      <c r="AF60" s="1377"/>
      <c r="AG60" s="1377"/>
      <c r="AH60" s="1377"/>
      <c r="AI60" s="1377"/>
      <c r="AJ60" s="1377"/>
      <c r="AK60" s="1377"/>
      <c r="AL60" s="1377"/>
      <c r="AM60" s="1377"/>
      <c r="AN60" s="1380">
        <v>1000</v>
      </c>
      <c r="AO60" s="1380">
        <v>1000</v>
      </c>
      <c r="AP60" s="1383">
        <v>16500</v>
      </c>
    </row>
    <row r="61" spans="2:42" ht="15.75" x14ac:dyDescent="0.25">
      <c r="B61" s="1374" t="s">
        <v>1563</v>
      </c>
      <c r="C61" s="1377" t="s">
        <v>1564</v>
      </c>
      <c r="D61" s="1376" t="s">
        <v>1562</v>
      </c>
      <c r="E61" s="1377" t="s">
        <v>1495</v>
      </c>
      <c r="F61" s="1377" t="s">
        <v>1493</v>
      </c>
      <c r="G61" s="1377">
        <v>642</v>
      </c>
      <c r="H61" s="1378" t="s">
        <v>646</v>
      </c>
      <c r="I61" s="1378" t="s">
        <v>5</v>
      </c>
      <c r="J61" s="1378" t="s">
        <v>1451</v>
      </c>
      <c r="K61" s="1389">
        <v>8000</v>
      </c>
      <c r="L61" s="1380"/>
      <c r="M61" s="1380"/>
      <c r="N61" s="1381">
        <v>0</v>
      </c>
      <c r="O61" s="1381"/>
      <c r="P61" s="1381"/>
      <c r="Q61" s="1381"/>
      <c r="R61" s="1381"/>
      <c r="S61" s="1381"/>
      <c r="T61" s="1381"/>
      <c r="U61" s="1381"/>
      <c r="V61" s="1381"/>
      <c r="W61" s="1381">
        <v>0</v>
      </c>
      <c r="X61" s="1380">
        <v>8000</v>
      </c>
      <c r="Y61" s="1380"/>
      <c r="Z61" s="1380">
        <v>50</v>
      </c>
      <c r="AA61" s="1380"/>
      <c r="AB61" s="1382">
        <v>7950</v>
      </c>
      <c r="AC61" s="1377"/>
      <c r="AD61" s="1377"/>
      <c r="AE61" s="1377"/>
      <c r="AF61" s="1377"/>
      <c r="AG61" s="1377"/>
      <c r="AH61" s="1377"/>
      <c r="AI61" s="1377"/>
      <c r="AJ61" s="1377"/>
      <c r="AK61" s="1377"/>
      <c r="AL61" s="1377"/>
      <c r="AM61" s="1377"/>
      <c r="AN61" s="1380">
        <v>1000</v>
      </c>
      <c r="AO61" s="1380">
        <v>1000</v>
      </c>
      <c r="AP61" s="1383">
        <v>9000</v>
      </c>
    </row>
    <row r="62" spans="2:42" ht="15.75" x14ac:dyDescent="0.25">
      <c r="B62" s="1374" t="s">
        <v>291</v>
      </c>
      <c r="C62" s="1377" t="s">
        <v>1565</v>
      </c>
      <c r="D62" s="1376" t="s">
        <v>1562</v>
      </c>
      <c r="E62" s="1377" t="s">
        <v>1461</v>
      </c>
      <c r="F62" s="1377" t="s">
        <v>1493</v>
      </c>
      <c r="G62" s="1377">
        <v>642</v>
      </c>
      <c r="H62" s="1378" t="s">
        <v>646</v>
      </c>
      <c r="I62" s="1378" t="s">
        <v>5</v>
      </c>
      <c r="J62" s="1378" t="s">
        <v>1451</v>
      </c>
      <c r="K62" s="1389">
        <v>6000</v>
      </c>
      <c r="L62" s="1380"/>
      <c r="M62" s="1380"/>
      <c r="N62" s="1381"/>
      <c r="O62" s="1381"/>
      <c r="P62" s="1381"/>
      <c r="Q62" s="1381"/>
      <c r="R62" s="1381"/>
      <c r="S62" s="1381"/>
      <c r="T62" s="1381"/>
      <c r="U62" s="1381"/>
      <c r="V62" s="1381"/>
      <c r="W62" s="1381">
        <v>0</v>
      </c>
      <c r="X62" s="1380">
        <v>6000</v>
      </c>
      <c r="Y62" s="1380"/>
      <c r="Z62" s="1380">
        <v>50</v>
      </c>
      <c r="AA62" s="1380"/>
      <c r="AB62" s="1382">
        <v>5950</v>
      </c>
      <c r="AC62" s="1377"/>
      <c r="AD62" s="1377"/>
      <c r="AE62" s="1377"/>
      <c r="AF62" s="1377"/>
      <c r="AG62" s="1377"/>
      <c r="AH62" s="1377"/>
      <c r="AI62" s="1377"/>
      <c r="AJ62" s="1377"/>
      <c r="AK62" s="1377"/>
      <c r="AL62" s="1377"/>
      <c r="AM62" s="1377"/>
      <c r="AN62" s="1380">
        <v>500</v>
      </c>
      <c r="AO62" s="1380">
        <v>500</v>
      </c>
      <c r="AP62" s="1383">
        <v>6500</v>
      </c>
    </row>
    <row r="63" spans="2:42" ht="15.75" x14ac:dyDescent="0.25">
      <c r="B63" s="1374" t="s">
        <v>1566</v>
      </c>
      <c r="C63" s="1377" t="s">
        <v>1567</v>
      </c>
      <c r="D63" s="1376" t="s">
        <v>1562</v>
      </c>
      <c r="E63" s="1377" t="s">
        <v>1461</v>
      </c>
      <c r="F63" s="1377" t="s">
        <v>1493</v>
      </c>
      <c r="G63" s="1377">
        <v>642</v>
      </c>
      <c r="H63" s="1378" t="s">
        <v>646</v>
      </c>
      <c r="I63" s="1378" t="s">
        <v>5</v>
      </c>
      <c r="J63" s="1378" t="s">
        <v>1451</v>
      </c>
      <c r="K63" s="1389">
        <v>5500</v>
      </c>
      <c r="L63" s="1380"/>
      <c r="M63" s="1380"/>
      <c r="N63" s="1381"/>
      <c r="O63" s="1381"/>
      <c r="P63" s="1381"/>
      <c r="Q63" s="1381"/>
      <c r="R63" s="1381"/>
      <c r="S63" s="1381"/>
      <c r="T63" s="1381"/>
      <c r="U63" s="1381"/>
      <c r="V63" s="1381"/>
      <c r="W63" s="1381">
        <v>0</v>
      </c>
      <c r="X63" s="1380">
        <v>887.0967741935483</v>
      </c>
      <c r="Y63" s="1380"/>
      <c r="Z63" s="1380"/>
      <c r="AA63" s="1380"/>
      <c r="AB63" s="1382">
        <v>887.0967741935483</v>
      </c>
      <c r="AC63" s="1377"/>
      <c r="AD63" s="1377"/>
      <c r="AE63" s="1377"/>
      <c r="AF63" s="1377"/>
      <c r="AG63" s="1377"/>
      <c r="AH63" s="1377"/>
      <c r="AI63" s="1377"/>
      <c r="AJ63" s="1377"/>
      <c r="AK63" s="1377"/>
      <c r="AL63" s="1377"/>
      <c r="AM63" s="1377"/>
      <c r="AN63" s="1380"/>
      <c r="AO63" s="1380">
        <v>0</v>
      </c>
      <c r="AP63" s="1383">
        <v>887.0967741935483</v>
      </c>
    </row>
    <row r="64" spans="2:42" ht="15.75" x14ac:dyDescent="0.25">
      <c r="B64" s="1374" t="s">
        <v>1568</v>
      </c>
      <c r="C64" s="1377" t="s">
        <v>1569</v>
      </c>
      <c r="D64" s="1376" t="s">
        <v>1562</v>
      </c>
      <c r="E64" s="1377" t="s">
        <v>1570</v>
      </c>
      <c r="F64" s="1377" t="s">
        <v>1493</v>
      </c>
      <c r="G64" s="1377">
        <v>641</v>
      </c>
      <c r="H64" s="1378" t="s">
        <v>646</v>
      </c>
      <c r="I64" s="1378" t="s">
        <v>5</v>
      </c>
      <c r="J64" s="1378" t="s">
        <v>1451</v>
      </c>
      <c r="K64" s="1389">
        <v>6000</v>
      </c>
      <c r="L64" s="1380"/>
      <c r="M64" s="1380"/>
      <c r="N64" s="1381"/>
      <c r="O64" s="1381"/>
      <c r="P64" s="1381"/>
      <c r="Q64" s="1381"/>
      <c r="R64" s="1381"/>
      <c r="S64" s="1381"/>
      <c r="T64" s="1381"/>
      <c r="U64" s="1381"/>
      <c r="V64" s="1381"/>
      <c r="W64" s="1381">
        <v>0</v>
      </c>
      <c r="X64" s="1380">
        <v>5806.4516129032263</v>
      </c>
      <c r="Y64" s="1380"/>
      <c r="Z64" s="1380">
        <v>50</v>
      </c>
      <c r="AA64" s="1380"/>
      <c r="AB64" s="1382">
        <v>5756.4516129032263</v>
      </c>
      <c r="AC64" s="1377"/>
      <c r="AD64" s="1377"/>
      <c r="AE64" s="1377"/>
      <c r="AF64" s="1377"/>
      <c r="AG64" s="1377"/>
      <c r="AH64" s="1377"/>
      <c r="AI64" s="1377"/>
      <c r="AJ64" s="1377"/>
      <c r="AK64" s="1377"/>
      <c r="AL64" s="1377"/>
      <c r="AM64" s="1377"/>
      <c r="AN64" s="1380">
        <v>1000</v>
      </c>
      <c r="AO64" s="1380">
        <v>1000</v>
      </c>
      <c r="AP64" s="1383">
        <v>6806.4516129032263</v>
      </c>
    </row>
    <row r="65" spans="2:42" ht="15.75" x14ac:dyDescent="0.25">
      <c r="B65" s="1374" t="s">
        <v>1571</v>
      </c>
      <c r="C65" s="1377" t="s">
        <v>1572</v>
      </c>
      <c r="D65" s="1376" t="s">
        <v>1562</v>
      </c>
      <c r="E65" s="1377" t="s">
        <v>1570</v>
      </c>
      <c r="F65" s="1377" t="s">
        <v>1493</v>
      </c>
      <c r="G65" s="1377">
        <v>641</v>
      </c>
      <c r="H65" s="1378" t="s">
        <v>646</v>
      </c>
      <c r="I65" s="1378" t="s">
        <v>5</v>
      </c>
      <c r="J65" s="1378" t="s">
        <v>1451</v>
      </c>
      <c r="K65" s="1389">
        <v>6000</v>
      </c>
      <c r="L65" s="1380"/>
      <c r="M65" s="1380"/>
      <c r="N65" s="1381"/>
      <c r="O65" s="1381"/>
      <c r="P65" s="1381"/>
      <c r="Q65" s="1381"/>
      <c r="R65" s="1381"/>
      <c r="S65" s="1381"/>
      <c r="T65" s="1381"/>
      <c r="U65" s="1381"/>
      <c r="V65" s="1381"/>
      <c r="W65" s="1381">
        <v>0</v>
      </c>
      <c r="X65" s="1380">
        <v>6000</v>
      </c>
      <c r="Y65" s="1380"/>
      <c r="Z65" s="1380">
        <v>50</v>
      </c>
      <c r="AA65" s="1380"/>
      <c r="AB65" s="1382">
        <v>5950</v>
      </c>
      <c r="AC65" s="1377"/>
      <c r="AD65" s="1377"/>
      <c r="AE65" s="1377"/>
      <c r="AF65" s="1377"/>
      <c r="AG65" s="1377"/>
      <c r="AH65" s="1377"/>
      <c r="AI65" s="1377"/>
      <c r="AJ65" s="1377"/>
      <c r="AK65" s="1377"/>
      <c r="AL65" s="1377"/>
      <c r="AM65" s="1377"/>
      <c r="AN65" s="1380">
        <v>1000</v>
      </c>
      <c r="AO65" s="1380">
        <v>1000</v>
      </c>
      <c r="AP65" s="1383">
        <v>7000</v>
      </c>
    </row>
    <row r="66" spans="2:42" ht="15.75" x14ac:dyDescent="0.25">
      <c r="B66" s="1374" t="s">
        <v>1573</v>
      </c>
      <c r="C66" s="1377" t="s">
        <v>1574</v>
      </c>
      <c r="D66" s="1376" t="s">
        <v>1562</v>
      </c>
      <c r="E66" s="1377" t="s">
        <v>1174</v>
      </c>
      <c r="F66" s="1377" t="s">
        <v>1493</v>
      </c>
      <c r="G66" s="1377">
        <v>627</v>
      </c>
      <c r="H66" s="1378" t="s">
        <v>646</v>
      </c>
      <c r="I66" s="1378" t="s">
        <v>5</v>
      </c>
      <c r="J66" s="1378" t="s">
        <v>1451</v>
      </c>
      <c r="K66" s="1389">
        <v>7000</v>
      </c>
      <c r="L66" s="1380"/>
      <c r="M66" s="1380"/>
      <c r="N66" s="1381">
        <v>967.74193548387098</v>
      </c>
      <c r="O66" s="1381"/>
      <c r="P66" s="1381"/>
      <c r="Q66" s="1381"/>
      <c r="R66" s="1381"/>
      <c r="S66" s="1381"/>
      <c r="T66" s="1381"/>
      <c r="U66" s="1381"/>
      <c r="V66" s="1381"/>
      <c r="W66" s="1381">
        <v>967.74193548387098</v>
      </c>
      <c r="X66" s="1380">
        <v>7741.9354838709678</v>
      </c>
      <c r="Y66" s="1380"/>
      <c r="Z66" s="1380">
        <v>50</v>
      </c>
      <c r="AA66" s="1380"/>
      <c r="AB66" s="1382">
        <v>7691.9354838709678</v>
      </c>
      <c r="AC66" s="1377"/>
      <c r="AD66" s="1377"/>
      <c r="AE66" s="1377"/>
      <c r="AF66" s="1377"/>
      <c r="AG66" s="1377"/>
      <c r="AH66" s="1377"/>
      <c r="AI66" s="1377"/>
      <c r="AJ66" s="1377"/>
      <c r="AK66" s="1377"/>
      <c r="AL66" s="1377"/>
      <c r="AM66" s="1377"/>
      <c r="AN66" s="1380">
        <v>1000</v>
      </c>
      <c r="AO66" s="1380">
        <v>1000</v>
      </c>
      <c r="AP66" s="1383">
        <v>8741.9354838709678</v>
      </c>
    </row>
    <row r="67" spans="2:42" ht="15.75" hidden="1" x14ac:dyDescent="0.25">
      <c r="B67" s="1374" t="s">
        <v>1575</v>
      </c>
      <c r="C67" s="1377" t="s">
        <v>1576</v>
      </c>
      <c r="D67" s="1376" t="s">
        <v>1562</v>
      </c>
      <c r="E67" s="1377" t="s">
        <v>1504</v>
      </c>
      <c r="F67" s="1377" t="s">
        <v>1505</v>
      </c>
      <c r="G67" s="1377">
        <v>622</v>
      </c>
      <c r="H67" s="1378" t="s">
        <v>646</v>
      </c>
      <c r="I67" s="1378" t="s">
        <v>5</v>
      </c>
      <c r="J67" s="1378" t="s">
        <v>1451</v>
      </c>
      <c r="K67" s="1390">
        <v>10000</v>
      </c>
      <c r="L67" s="1380"/>
      <c r="M67" s="1380"/>
      <c r="N67" s="1381"/>
      <c r="O67" s="1381">
        <v>50</v>
      </c>
      <c r="P67" s="1381"/>
      <c r="Q67" s="1381"/>
      <c r="R67" s="1381"/>
      <c r="S67" s="1381"/>
      <c r="T67" s="1381"/>
      <c r="U67" s="1381"/>
      <c r="V67" s="1381"/>
      <c r="W67" s="1381">
        <v>50</v>
      </c>
      <c r="X67" s="1380">
        <v>10050</v>
      </c>
      <c r="Y67" s="1380">
        <v>1120</v>
      </c>
      <c r="Z67" s="1380">
        <v>50</v>
      </c>
      <c r="AA67" s="1380"/>
      <c r="AB67" s="1382">
        <v>8880</v>
      </c>
      <c r="AC67" s="1377"/>
      <c r="AD67" s="1377"/>
      <c r="AE67" s="1377"/>
      <c r="AF67" s="1377"/>
      <c r="AG67" s="1377"/>
      <c r="AH67" s="1377"/>
      <c r="AI67" s="1377"/>
      <c r="AJ67" s="1377"/>
      <c r="AK67" s="1377"/>
      <c r="AL67" s="1377"/>
      <c r="AM67" s="1377"/>
      <c r="AN67" s="1380">
        <v>1000</v>
      </c>
      <c r="AO67" s="1380">
        <v>1000</v>
      </c>
      <c r="AP67" s="1383">
        <v>11050</v>
      </c>
    </row>
    <row r="68" spans="2:42" ht="15.75" hidden="1" x14ac:dyDescent="0.25">
      <c r="B68" s="1374" t="s">
        <v>1577</v>
      </c>
      <c r="C68" s="1377" t="s">
        <v>1578</v>
      </c>
      <c r="D68" s="1376" t="s">
        <v>1562</v>
      </c>
      <c r="E68" s="1377" t="s">
        <v>1579</v>
      </c>
      <c r="F68" s="1377" t="s">
        <v>1505</v>
      </c>
      <c r="G68" s="1377">
        <v>622</v>
      </c>
      <c r="H68" s="1378" t="s">
        <v>646</v>
      </c>
      <c r="I68" s="1378" t="s">
        <v>5</v>
      </c>
      <c r="J68" s="1378" t="s">
        <v>1451</v>
      </c>
      <c r="K68" s="1390">
        <v>9000</v>
      </c>
      <c r="L68" s="1380"/>
      <c r="M68" s="1380"/>
      <c r="N68" s="1381"/>
      <c r="O68" s="1381">
        <v>50</v>
      </c>
      <c r="P68" s="1381"/>
      <c r="Q68" s="1381"/>
      <c r="R68" s="1381"/>
      <c r="S68" s="1381"/>
      <c r="T68" s="1381"/>
      <c r="U68" s="1381"/>
      <c r="V68" s="1381"/>
      <c r="W68" s="1381">
        <v>50</v>
      </c>
      <c r="X68" s="1380">
        <v>9050</v>
      </c>
      <c r="Y68" s="1380"/>
      <c r="Z68" s="1380">
        <v>50</v>
      </c>
      <c r="AA68" s="1380"/>
      <c r="AB68" s="1382">
        <v>9000</v>
      </c>
      <c r="AC68" s="1377"/>
      <c r="AD68" s="1377"/>
      <c r="AE68" s="1377"/>
      <c r="AF68" s="1377"/>
      <c r="AG68" s="1377"/>
      <c r="AH68" s="1377"/>
      <c r="AI68" s="1377"/>
      <c r="AJ68" s="1377"/>
      <c r="AK68" s="1377"/>
      <c r="AL68" s="1377"/>
      <c r="AM68" s="1377"/>
      <c r="AN68" s="1380">
        <v>500</v>
      </c>
      <c r="AO68" s="1380">
        <v>500</v>
      </c>
      <c r="AP68" s="1383">
        <v>9550</v>
      </c>
    </row>
    <row r="69" spans="2:42" ht="15.75" x14ac:dyDescent="0.25">
      <c r="B69" s="1374" t="s">
        <v>1580</v>
      </c>
      <c r="C69" s="1377" t="s">
        <v>1581</v>
      </c>
      <c r="D69" s="1376" t="s">
        <v>1562</v>
      </c>
      <c r="E69" s="1377" t="s">
        <v>1469</v>
      </c>
      <c r="F69" s="1377" t="s">
        <v>1493</v>
      </c>
      <c r="G69" s="1377">
        <v>627</v>
      </c>
      <c r="H69" s="1378" t="s">
        <v>646</v>
      </c>
      <c r="I69" s="1378" t="s">
        <v>5</v>
      </c>
      <c r="J69" s="1378" t="s">
        <v>1451</v>
      </c>
      <c r="K69" s="1389">
        <v>6000</v>
      </c>
      <c r="L69" s="1380"/>
      <c r="M69" s="1380"/>
      <c r="N69" s="1381"/>
      <c r="O69" s="1381"/>
      <c r="P69" s="1381"/>
      <c r="Q69" s="1381"/>
      <c r="R69" s="1381"/>
      <c r="S69" s="1381"/>
      <c r="T69" s="1381"/>
      <c r="U69" s="1381"/>
      <c r="V69" s="1381"/>
      <c r="W69" s="1381">
        <v>0</v>
      </c>
      <c r="X69" s="1380">
        <v>5709.677419354839</v>
      </c>
      <c r="Y69" s="1380"/>
      <c r="Z69" s="1380">
        <v>50</v>
      </c>
      <c r="AA69" s="1380"/>
      <c r="AB69" s="1382">
        <v>5659.677419354839</v>
      </c>
      <c r="AC69" s="1377"/>
      <c r="AD69" s="1377"/>
      <c r="AE69" s="1377"/>
      <c r="AF69" s="1377"/>
      <c r="AG69" s="1377"/>
      <c r="AH69" s="1377"/>
      <c r="AI69" s="1377"/>
      <c r="AJ69" s="1377"/>
      <c r="AK69" s="1377"/>
      <c r="AL69" s="1377"/>
      <c r="AM69" s="1377"/>
      <c r="AN69" s="1380">
        <v>1000</v>
      </c>
      <c r="AO69" s="1380">
        <v>1000</v>
      </c>
      <c r="AP69" s="1383">
        <v>6709.677419354839</v>
      </c>
    </row>
    <row r="70" spans="2:42" ht="15.75" x14ac:dyDescent="0.25">
      <c r="B70" s="1374" t="s">
        <v>1582</v>
      </c>
      <c r="C70" s="1377" t="s">
        <v>1583</v>
      </c>
      <c r="D70" s="1376" t="s">
        <v>1562</v>
      </c>
      <c r="E70" s="1377" t="s">
        <v>1502</v>
      </c>
      <c r="F70" s="1377" t="s">
        <v>1493</v>
      </c>
      <c r="G70" s="1377">
        <v>627</v>
      </c>
      <c r="H70" s="1378" t="s">
        <v>646</v>
      </c>
      <c r="I70" s="1378" t="s">
        <v>5</v>
      </c>
      <c r="J70" s="1378" t="s">
        <v>1451</v>
      </c>
      <c r="K70" s="1389">
        <v>4000</v>
      </c>
      <c r="L70" s="1380"/>
      <c r="M70" s="1380"/>
      <c r="N70" s="1381"/>
      <c r="O70" s="1381"/>
      <c r="P70" s="1381"/>
      <c r="Q70" s="1381"/>
      <c r="R70" s="1381"/>
      <c r="S70" s="1381"/>
      <c r="T70" s="1381"/>
      <c r="U70" s="1381"/>
      <c r="V70" s="1381"/>
      <c r="W70" s="1381">
        <v>0</v>
      </c>
      <c r="X70" s="1380">
        <v>4000</v>
      </c>
      <c r="Y70" s="1380"/>
      <c r="Z70" s="1380"/>
      <c r="AA70" s="1380"/>
      <c r="AB70" s="1382">
        <v>4000</v>
      </c>
      <c r="AC70" s="1377"/>
      <c r="AD70" s="1377"/>
      <c r="AE70" s="1377"/>
      <c r="AF70" s="1377"/>
      <c r="AG70" s="1377"/>
      <c r="AH70" s="1377"/>
      <c r="AI70" s="1377"/>
      <c r="AJ70" s="1377"/>
      <c r="AK70" s="1377"/>
      <c r="AL70" s="1377"/>
      <c r="AM70" s="1377"/>
      <c r="AN70" s="1380">
        <v>1000</v>
      </c>
      <c r="AO70" s="1380">
        <v>1000</v>
      </c>
      <c r="AP70" s="1383">
        <v>5000</v>
      </c>
    </row>
    <row r="71" spans="2:42" ht="15.75" x14ac:dyDescent="0.25">
      <c r="B71" s="1374" t="s">
        <v>1584</v>
      </c>
      <c r="C71" s="1377" t="s">
        <v>1585</v>
      </c>
      <c r="D71" s="1376" t="s">
        <v>1562</v>
      </c>
      <c r="E71" s="1377" t="s">
        <v>1509</v>
      </c>
      <c r="F71" s="1377" t="s">
        <v>1493</v>
      </c>
      <c r="G71" s="1377">
        <v>627</v>
      </c>
      <c r="H71" s="1378" t="s">
        <v>646</v>
      </c>
      <c r="I71" s="1378" t="s">
        <v>5</v>
      </c>
      <c r="J71" s="1378" t="s">
        <v>1451</v>
      </c>
      <c r="K71" s="1389">
        <v>7000</v>
      </c>
      <c r="L71" s="1380"/>
      <c r="M71" s="1380"/>
      <c r="N71" s="1381"/>
      <c r="O71" s="1381"/>
      <c r="P71" s="1381"/>
      <c r="Q71" s="1381"/>
      <c r="R71" s="1381"/>
      <c r="S71" s="1381"/>
      <c r="T71" s="1381"/>
      <c r="U71" s="1381"/>
      <c r="V71" s="1381"/>
      <c r="W71" s="1381">
        <v>0</v>
      </c>
      <c r="X71" s="1380">
        <v>7000</v>
      </c>
      <c r="Y71" s="1380"/>
      <c r="Z71" s="1380">
        <v>50</v>
      </c>
      <c r="AA71" s="1380"/>
      <c r="AB71" s="1382">
        <v>6950</v>
      </c>
      <c r="AC71" s="1377"/>
      <c r="AD71" s="1377"/>
      <c r="AE71" s="1377"/>
      <c r="AF71" s="1377"/>
      <c r="AG71" s="1377"/>
      <c r="AH71" s="1377"/>
      <c r="AI71" s="1377"/>
      <c r="AJ71" s="1377"/>
      <c r="AK71" s="1377"/>
      <c r="AL71" s="1377"/>
      <c r="AM71" s="1377"/>
      <c r="AN71" s="1380">
        <v>1000</v>
      </c>
      <c r="AO71" s="1380">
        <v>1000</v>
      </c>
      <c r="AP71" s="1383">
        <v>8000</v>
      </c>
    </row>
    <row r="72" spans="2:42" ht="15.75" x14ac:dyDescent="0.25">
      <c r="B72" s="1374" t="s">
        <v>1586</v>
      </c>
      <c r="C72" s="1377" t="s">
        <v>1587</v>
      </c>
      <c r="D72" s="1376" t="s">
        <v>1562</v>
      </c>
      <c r="E72" s="1377" t="s">
        <v>1509</v>
      </c>
      <c r="F72" s="1377" t="s">
        <v>1493</v>
      </c>
      <c r="G72" s="1377">
        <v>627</v>
      </c>
      <c r="H72" s="1378" t="s">
        <v>646</v>
      </c>
      <c r="I72" s="1378" t="s">
        <v>5</v>
      </c>
      <c r="J72" s="1378" t="s">
        <v>1451</v>
      </c>
      <c r="K72" s="1389">
        <v>7000</v>
      </c>
      <c r="L72" s="1380"/>
      <c r="M72" s="1380"/>
      <c r="N72" s="1381"/>
      <c r="O72" s="1381"/>
      <c r="P72" s="1381"/>
      <c r="Q72" s="1381"/>
      <c r="R72" s="1381"/>
      <c r="S72" s="1381"/>
      <c r="T72" s="1381"/>
      <c r="U72" s="1381"/>
      <c r="V72" s="1381"/>
      <c r="W72" s="1381">
        <v>0</v>
      </c>
      <c r="X72" s="1380">
        <v>6548.3870967741941</v>
      </c>
      <c r="Y72" s="1380"/>
      <c r="Z72" s="1380">
        <v>50</v>
      </c>
      <c r="AA72" s="1380"/>
      <c r="AB72" s="1382">
        <v>6498.3870967741941</v>
      </c>
      <c r="AC72" s="1377"/>
      <c r="AD72" s="1377"/>
      <c r="AE72" s="1377"/>
      <c r="AF72" s="1377"/>
      <c r="AG72" s="1377"/>
      <c r="AH72" s="1377"/>
      <c r="AI72" s="1377"/>
      <c r="AJ72" s="1377"/>
      <c r="AK72" s="1377"/>
      <c r="AL72" s="1377"/>
      <c r="AM72" s="1377"/>
      <c r="AN72" s="1380">
        <v>1000</v>
      </c>
      <c r="AO72" s="1380">
        <v>1000</v>
      </c>
      <c r="AP72" s="1383">
        <v>7548.3870967741941</v>
      </c>
    </row>
    <row r="73" spans="2:42" ht="15.75" x14ac:dyDescent="0.25">
      <c r="B73" s="1374" t="s">
        <v>1588</v>
      </c>
      <c r="C73" s="1377" t="s">
        <v>1589</v>
      </c>
      <c r="D73" s="1376" t="s">
        <v>1562</v>
      </c>
      <c r="E73" s="1377" t="s">
        <v>1509</v>
      </c>
      <c r="F73" s="1377" t="s">
        <v>1493</v>
      </c>
      <c r="G73" s="1377">
        <v>627</v>
      </c>
      <c r="H73" s="1378" t="s">
        <v>646</v>
      </c>
      <c r="I73" s="1378" t="s">
        <v>5</v>
      </c>
      <c r="J73" s="1378" t="s">
        <v>1451</v>
      </c>
      <c r="K73" s="1389">
        <v>6000</v>
      </c>
      <c r="L73" s="1380"/>
      <c r="M73" s="1380"/>
      <c r="N73" s="1381"/>
      <c r="O73" s="1381"/>
      <c r="P73" s="1381"/>
      <c r="Q73" s="1381"/>
      <c r="R73" s="1381"/>
      <c r="S73" s="1381"/>
      <c r="T73" s="1381"/>
      <c r="U73" s="1381"/>
      <c r="V73" s="1381"/>
      <c r="W73" s="1381">
        <v>0</v>
      </c>
      <c r="X73" s="1380">
        <v>5516.1290322580653</v>
      </c>
      <c r="Y73" s="1380"/>
      <c r="Z73" s="1380">
        <v>50</v>
      </c>
      <c r="AA73" s="1380"/>
      <c r="AB73" s="1382">
        <v>5466.1290322580653</v>
      </c>
      <c r="AC73" s="1377"/>
      <c r="AD73" s="1377"/>
      <c r="AE73" s="1377"/>
      <c r="AF73" s="1377"/>
      <c r="AG73" s="1377"/>
      <c r="AH73" s="1377"/>
      <c r="AI73" s="1377"/>
      <c r="AJ73" s="1377"/>
      <c r="AK73" s="1377"/>
      <c r="AL73" s="1377"/>
      <c r="AM73" s="1377"/>
      <c r="AN73" s="1380">
        <v>1000</v>
      </c>
      <c r="AO73" s="1380">
        <v>1000</v>
      </c>
      <c r="AP73" s="1383">
        <v>6516.1290322580653</v>
      </c>
    </row>
    <row r="74" spans="2:42" ht="15.75" x14ac:dyDescent="0.25">
      <c r="B74" s="1374" t="s">
        <v>1590</v>
      </c>
      <c r="C74" s="1377" t="s">
        <v>1591</v>
      </c>
      <c r="D74" s="1376" t="s">
        <v>1562</v>
      </c>
      <c r="E74" s="1377" t="s">
        <v>1509</v>
      </c>
      <c r="F74" s="1377" t="s">
        <v>1493</v>
      </c>
      <c r="G74" s="1377">
        <v>627</v>
      </c>
      <c r="H74" s="1378" t="s">
        <v>646</v>
      </c>
      <c r="I74" s="1378" t="s">
        <v>5</v>
      </c>
      <c r="J74" s="1378" t="s">
        <v>1451</v>
      </c>
      <c r="K74" s="1389">
        <v>5000</v>
      </c>
      <c r="L74" s="1380"/>
      <c r="M74" s="1380"/>
      <c r="N74" s="1381"/>
      <c r="O74" s="1381"/>
      <c r="P74" s="1381"/>
      <c r="Q74" s="1381"/>
      <c r="R74" s="1381"/>
      <c r="S74" s="1381"/>
      <c r="T74" s="1381"/>
      <c r="U74" s="1381"/>
      <c r="V74" s="1381"/>
      <c r="W74" s="1381">
        <v>0</v>
      </c>
      <c r="X74" s="1380">
        <v>3225.8064516129029</v>
      </c>
      <c r="Y74" s="1380"/>
      <c r="Z74" s="1380">
        <v>50</v>
      </c>
      <c r="AA74" s="1380"/>
      <c r="AB74" s="1382">
        <v>3175.8064516129029</v>
      </c>
      <c r="AC74" s="1377"/>
      <c r="AD74" s="1377"/>
      <c r="AE74" s="1377"/>
      <c r="AF74" s="1377"/>
      <c r="AG74" s="1377"/>
      <c r="AH74" s="1377"/>
      <c r="AI74" s="1377"/>
      <c r="AJ74" s="1377"/>
      <c r="AK74" s="1377"/>
      <c r="AL74" s="1377"/>
      <c r="AM74" s="1377"/>
      <c r="AN74" s="1380"/>
      <c r="AO74" s="1380">
        <v>0</v>
      </c>
      <c r="AP74" s="1383">
        <v>3225.8064516129029</v>
      </c>
    </row>
    <row r="75" spans="2:42" ht="15.75" hidden="1" x14ac:dyDescent="0.25">
      <c r="B75" s="1374" t="s">
        <v>1592</v>
      </c>
      <c r="C75" s="1391" t="s">
        <v>1593</v>
      </c>
      <c r="D75" s="1376" t="s">
        <v>1562</v>
      </c>
      <c r="E75" s="1376" t="s">
        <v>1536</v>
      </c>
      <c r="F75" s="1377" t="s">
        <v>1505</v>
      </c>
      <c r="G75" s="1377">
        <v>622</v>
      </c>
      <c r="H75" s="1378" t="s">
        <v>646</v>
      </c>
      <c r="I75" s="1378" t="s">
        <v>5</v>
      </c>
      <c r="J75" s="1378" t="s">
        <v>1451</v>
      </c>
      <c r="K75" s="1392">
        <v>4000</v>
      </c>
      <c r="L75" s="1380">
        <v>6637</v>
      </c>
      <c r="M75" s="1380"/>
      <c r="N75" s="1381"/>
      <c r="O75" s="1381">
        <v>50</v>
      </c>
      <c r="P75" s="1381"/>
      <c r="Q75" s="1381"/>
      <c r="R75" s="1381"/>
      <c r="S75" s="1381">
        <v>500</v>
      </c>
      <c r="T75" s="1381"/>
      <c r="U75" s="1381"/>
      <c r="V75" s="1381"/>
      <c r="W75" s="1381">
        <v>550</v>
      </c>
      <c r="X75" s="1380">
        <v>11057.967741935485</v>
      </c>
      <c r="Y75" s="1380"/>
      <c r="Z75" s="1380">
        <v>50</v>
      </c>
      <c r="AA75" s="1380"/>
      <c r="AB75" s="1382">
        <v>11007.967741935485</v>
      </c>
      <c r="AC75" s="1377"/>
      <c r="AD75" s="1377"/>
      <c r="AE75" s="1377"/>
      <c r="AF75" s="1377"/>
      <c r="AG75" s="1377"/>
      <c r="AH75" s="1377"/>
      <c r="AI75" s="1377"/>
      <c r="AJ75" s="1377"/>
      <c r="AK75" s="1377"/>
      <c r="AL75" s="1377"/>
      <c r="AM75" s="1377"/>
      <c r="AN75" s="1380">
        <v>500</v>
      </c>
      <c r="AO75" s="1380">
        <v>500</v>
      </c>
      <c r="AP75" s="1383">
        <v>11557.967741935485</v>
      </c>
    </row>
    <row r="76" spans="2:42" ht="15.75" x14ac:dyDescent="0.25">
      <c r="B76" s="1374" t="s">
        <v>1594</v>
      </c>
      <c r="C76" s="1391" t="s">
        <v>1595</v>
      </c>
      <c r="D76" s="1376" t="s">
        <v>1562</v>
      </c>
      <c r="E76" s="1376" t="s">
        <v>1543</v>
      </c>
      <c r="F76" s="1377" t="s">
        <v>1493</v>
      </c>
      <c r="G76" s="1377">
        <v>627</v>
      </c>
      <c r="H76" s="1378" t="s">
        <v>646</v>
      </c>
      <c r="I76" s="1378" t="s">
        <v>5</v>
      </c>
      <c r="J76" s="1378" t="s">
        <v>1451</v>
      </c>
      <c r="K76" s="1393">
        <v>3000</v>
      </c>
      <c r="L76" s="1380">
        <v>11181.5</v>
      </c>
      <c r="M76" s="1380"/>
      <c r="N76" s="1381">
        <v>2000</v>
      </c>
      <c r="O76" s="1381">
        <v>50</v>
      </c>
      <c r="P76" s="1381"/>
      <c r="Q76" s="1381"/>
      <c r="R76" s="1381"/>
      <c r="S76" s="1381">
        <v>500</v>
      </c>
      <c r="T76" s="1381"/>
      <c r="U76" s="1381"/>
      <c r="V76" s="1381"/>
      <c r="W76" s="1381">
        <v>2550</v>
      </c>
      <c r="X76" s="1380">
        <v>16731.5</v>
      </c>
      <c r="Y76" s="1380"/>
      <c r="Z76" s="1380">
        <v>50</v>
      </c>
      <c r="AA76" s="1380"/>
      <c r="AB76" s="1382">
        <v>16681.5</v>
      </c>
      <c r="AC76" s="1377"/>
      <c r="AD76" s="1377"/>
      <c r="AE76" s="1377"/>
      <c r="AF76" s="1377"/>
      <c r="AG76" s="1377"/>
      <c r="AH76" s="1377"/>
      <c r="AI76" s="1377"/>
      <c r="AJ76" s="1377"/>
      <c r="AK76" s="1377"/>
      <c r="AL76" s="1377"/>
      <c r="AM76" s="1377"/>
      <c r="AN76" s="1380">
        <v>1000</v>
      </c>
      <c r="AO76" s="1380">
        <v>1000</v>
      </c>
      <c r="AP76" s="1383">
        <v>17731.5</v>
      </c>
    </row>
    <row r="77" spans="2:42" ht="15.75" hidden="1" x14ac:dyDescent="0.25">
      <c r="B77" s="1374" t="s">
        <v>1596</v>
      </c>
      <c r="C77" s="1394" t="s">
        <v>1597</v>
      </c>
      <c r="D77" s="1376" t="s">
        <v>1562</v>
      </c>
      <c r="E77" s="1376" t="s">
        <v>1530</v>
      </c>
      <c r="F77" s="1377" t="s">
        <v>1531</v>
      </c>
      <c r="G77" s="1377">
        <v>627</v>
      </c>
      <c r="H77" s="1378" t="s">
        <v>646</v>
      </c>
      <c r="I77" s="1378" t="s">
        <v>5</v>
      </c>
      <c r="J77" s="1378" t="s">
        <v>1451</v>
      </c>
      <c r="K77" s="1392">
        <v>3000</v>
      </c>
      <c r="L77" s="1380">
        <v>6018</v>
      </c>
      <c r="M77" s="1380"/>
      <c r="N77" s="1381"/>
      <c r="O77" s="1381">
        <v>50</v>
      </c>
      <c r="P77" s="1381"/>
      <c r="Q77" s="1381"/>
      <c r="R77" s="1381"/>
      <c r="S77" s="1381">
        <v>500</v>
      </c>
      <c r="T77" s="1381"/>
      <c r="U77" s="1381"/>
      <c r="V77" s="1381"/>
      <c r="W77" s="1381">
        <v>550</v>
      </c>
      <c r="X77" s="1380">
        <v>9084.1290322580644</v>
      </c>
      <c r="Y77" s="1380"/>
      <c r="Z77" s="1380">
        <v>50</v>
      </c>
      <c r="AA77" s="1380"/>
      <c r="AB77" s="1382">
        <v>9034.1290322580644</v>
      </c>
      <c r="AC77" s="1377"/>
      <c r="AD77" s="1377"/>
      <c r="AE77" s="1377"/>
      <c r="AF77" s="1377"/>
      <c r="AG77" s="1377"/>
      <c r="AH77" s="1377"/>
      <c r="AI77" s="1377"/>
      <c r="AJ77" s="1377"/>
      <c r="AK77" s="1377"/>
      <c r="AL77" s="1377"/>
      <c r="AM77" s="1377"/>
      <c r="AN77" s="1380">
        <v>1000</v>
      </c>
      <c r="AO77" s="1380">
        <v>1000</v>
      </c>
      <c r="AP77" s="1383">
        <v>10084.129032258064</v>
      </c>
    </row>
    <row r="78" spans="2:42" ht="15.75" hidden="1" x14ac:dyDescent="0.25">
      <c r="B78" s="1374" t="s">
        <v>1598</v>
      </c>
      <c r="C78" s="1394" t="s">
        <v>1519</v>
      </c>
      <c r="D78" s="1376" t="s">
        <v>1562</v>
      </c>
      <c r="E78" s="1376" t="s">
        <v>1536</v>
      </c>
      <c r="F78" s="1377" t="s">
        <v>1505</v>
      </c>
      <c r="G78" s="1377">
        <v>622</v>
      </c>
      <c r="H78" s="1378" t="s">
        <v>646</v>
      </c>
      <c r="I78" s="1378" t="s">
        <v>5</v>
      </c>
      <c r="J78" s="1378" t="s">
        <v>1451</v>
      </c>
      <c r="K78" s="1392">
        <v>4000</v>
      </c>
      <c r="L78" s="1380">
        <v>8129</v>
      </c>
      <c r="M78" s="1380"/>
      <c r="N78" s="1381"/>
      <c r="O78" s="1381">
        <v>50</v>
      </c>
      <c r="P78" s="1381"/>
      <c r="Q78" s="1381"/>
      <c r="R78" s="1381"/>
      <c r="S78" s="1381">
        <v>500</v>
      </c>
      <c r="T78" s="1381"/>
      <c r="U78" s="1381"/>
      <c r="V78" s="1381"/>
      <c r="W78" s="1381">
        <v>550</v>
      </c>
      <c r="X78" s="1380">
        <v>11388.677419354839</v>
      </c>
      <c r="Y78" s="1380"/>
      <c r="Z78" s="1380">
        <v>50</v>
      </c>
      <c r="AA78" s="1380"/>
      <c r="AB78" s="1382">
        <v>11338.677419354839</v>
      </c>
      <c r="AC78" s="1377"/>
      <c r="AD78" s="1377"/>
      <c r="AE78" s="1377"/>
      <c r="AF78" s="1377"/>
      <c r="AG78" s="1377"/>
      <c r="AH78" s="1377"/>
      <c r="AI78" s="1377"/>
      <c r="AJ78" s="1377"/>
      <c r="AK78" s="1377"/>
      <c r="AL78" s="1377"/>
      <c r="AM78" s="1377"/>
      <c r="AN78" s="1380">
        <v>1000</v>
      </c>
      <c r="AO78" s="1380">
        <v>1000</v>
      </c>
      <c r="AP78" s="1383">
        <v>12388.677419354839</v>
      </c>
    </row>
    <row r="79" spans="2:42" ht="15.75" x14ac:dyDescent="0.25">
      <c r="B79" s="1374" t="s">
        <v>1599</v>
      </c>
      <c r="C79" s="1391" t="s">
        <v>1600</v>
      </c>
      <c r="D79" s="1376" t="s">
        <v>1562</v>
      </c>
      <c r="E79" s="1376" t="s">
        <v>1546</v>
      </c>
      <c r="F79" s="1377" t="s">
        <v>1493</v>
      </c>
      <c r="G79" s="1377">
        <v>627</v>
      </c>
      <c r="H79" s="1378" t="s">
        <v>646</v>
      </c>
      <c r="I79" s="1378" t="s">
        <v>5</v>
      </c>
      <c r="J79" s="1378" t="s">
        <v>1451</v>
      </c>
      <c r="K79" s="1393">
        <v>3000</v>
      </c>
      <c r="L79" s="1380">
        <v>3510</v>
      </c>
      <c r="M79" s="1380"/>
      <c r="N79" s="1381"/>
      <c r="O79" s="1381">
        <v>50</v>
      </c>
      <c r="P79" s="1381"/>
      <c r="Q79" s="1381"/>
      <c r="R79" s="1381"/>
      <c r="S79" s="1381">
        <v>230</v>
      </c>
      <c r="T79" s="1381"/>
      <c r="U79" s="1381"/>
      <c r="V79" s="1381"/>
      <c r="W79" s="1381">
        <v>280</v>
      </c>
      <c r="X79" s="1380">
        <v>5144.8387096774195</v>
      </c>
      <c r="Y79" s="1380"/>
      <c r="Z79" s="1380">
        <v>50</v>
      </c>
      <c r="AA79" s="1380"/>
      <c r="AB79" s="1382">
        <v>5094.8387096774195</v>
      </c>
      <c r="AC79" s="1377"/>
      <c r="AD79" s="1377"/>
      <c r="AE79" s="1377"/>
      <c r="AF79" s="1377"/>
      <c r="AG79" s="1377"/>
      <c r="AH79" s="1377"/>
      <c r="AI79" s="1377"/>
      <c r="AJ79" s="1377"/>
      <c r="AK79" s="1377"/>
      <c r="AL79" s="1377"/>
      <c r="AM79" s="1377"/>
      <c r="AN79" s="1380">
        <v>500</v>
      </c>
      <c r="AO79" s="1380">
        <v>500</v>
      </c>
      <c r="AP79" s="1383">
        <v>5644.8387096774195</v>
      </c>
    </row>
    <row r="80" spans="2:42" ht="15.75" x14ac:dyDescent="0.25">
      <c r="B80" s="1374" t="s">
        <v>1601</v>
      </c>
      <c r="C80" s="1387" t="s">
        <v>1602</v>
      </c>
      <c r="D80" s="1376" t="s">
        <v>1562</v>
      </c>
      <c r="E80" s="1376" t="s">
        <v>1546</v>
      </c>
      <c r="F80" s="1377" t="s">
        <v>1493</v>
      </c>
      <c r="G80" s="1377">
        <v>627</v>
      </c>
      <c r="H80" s="1378" t="s">
        <v>646</v>
      </c>
      <c r="I80" s="1378" t="s">
        <v>5</v>
      </c>
      <c r="J80" s="1378" t="s">
        <v>1451</v>
      </c>
      <c r="K80" s="1392">
        <v>3000</v>
      </c>
      <c r="L80" s="1380">
        <v>6930</v>
      </c>
      <c r="M80" s="1380"/>
      <c r="N80" s="1381"/>
      <c r="O80" s="1381">
        <v>50</v>
      </c>
      <c r="P80" s="1381"/>
      <c r="Q80" s="1381"/>
      <c r="R80" s="1381"/>
      <c r="S80" s="1381">
        <v>500</v>
      </c>
      <c r="T80" s="1381"/>
      <c r="U80" s="1381"/>
      <c r="V80" s="1381"/>
      <c r="W80" s="1381">
        <v>550</v>
      </c>
      <c r="X80" s="1380">
        <v>10383.225806451614</v>
      </c>
      <c r="Y80" s="1380"/>
      <c r="Z80" s="1380">
        <v>50</v>
      </c>
      <c r="AA80" s="1380"/>
      <c r="AB80" s="1382">
        <v>10333.225806451614</v>
      </c>
      <c r="AC80" s="1377"/>
      <c r="AD80" s="1377"/>
      <c r="AE80" s="1377"/>
      <c r="AF80" s="1377"/>
      <c r="AG80" s="1377"/>
      <c r="AH80" s="1377"/>
      <c r="AI80" s="1377"/>
      <c r="AJ80" s="1377"/>
      <c r="AK80" s="1377"/>
      <c r="AL80" s="1377"/>
      <c r="AM80" s="1377"/>
      <c r="AN80" s="1380">
        <v>500</v>
      </c>
      <c r="AO80" s="1380">
        <v>500</v>
      </c>
      <c r="AP80" s="1383">
        <v>10883.225806451614</v>
      </c>
    </row>
    <row r="81" spans="2:42" ht="15.75" x14ac:dyDescent="0.25">
      <c r="B81" s="1374" t="s">
        <v>1603</v>
      </c>
      <c r="C81" s="1394" t="s">
        <v>1604</v>
      </c>
      <c r="D81" s="1376" t="s">
        <v>1562</v>
      </c>
      <c r="E81" s="1376" t="s">
        <v>1546</v>
      </c>
      <c r="F81" s="1377" t="s">
        <v>1493</v>
      </c>
      <c r="G81" s="1377">
        <v>627</v>
      </c>
      <c r="H81" s="1378" t="s">
        <v>646</v>
      </c>
      <c r="I81" s="1378" t="s">
        <v>5</v>
      </c>
      <c r="J81" s="1378" t="s">
        <v>1451</v>
      </c>
      <c r="K81" s="1392">
        <v>3000</v>
      </c>
      <c r="L81" s="1380">
        <v>8100</v>
      </c>
      <c r="M81" s="1380"/>
      <c r="N81" s="1381"/>
      <c r="O81" s="1381">
        <v>50</v>
      </c>
      <c r="P81" s="1381"/>
      <c r="Q81" s="1381"/>
      <c r="R81" s="1381"/>
      <c r="S81" s="1381">
        <v>500</v>
      </c>
      <c r="T81" s="1381"/>
      <c r="U81" s="1381"/>
      <c r="V81" s="1381"/>
      <c r="W81" s="1381">
        <v>550</v>
      </c>
      <c r="X81" s="1380">
        <v>11553.225806451614</v>
      </c>
      <c r="Y81" s="1380"/>
      <c r="Z81" s="1380">
        <v>50</v>
      </c>
      <c r="AA81" s="1380"/>
      <c r="AB81" s="1382">
        <v>11503.225806451614</v>
      </c>
      <c r="AC81" s="1377"/>
      <c r="AD81" s="1377"/>
      <c r="AE81" s="1377"/>
      <c r="AF81" s="1377"/>
      <c r="AG81" s="1377"/>
      <c r="AH81" s="1377"/>
      <c r="AI81" s="1377"/>
      <c r="AJ81" s="1377"/>
      <c r="AK81" s="1377"/>
      <c r="AL81" s="1377"/>
      <c r="AM81" s="1377"/>
      <c r="AN81" s="1380">
        <v>500</v>
      </c>
      <c r="AO81" s="1380">
        <v>500</v>
      </c>
      <c r="AP81" s="1383">
        <v>12053.225806451614</v>
      </c>
    </row>
    <row r="82" spans="2:42" ht="15.75" x14ac:dyDescent="0.25">
      <c r="B82" s="1374" t="s">
        <v>1605</v>
      </c>
      <c r="C82" s="1394" t="s">
        <v>1606</v>
      </c>
      <c r="D82" s="1376" t="s">
        <v>1562</v>
      </c>
      <c r="E82" s="1376" t="s">
        <v>1546</v>
      </c>
      <c r="F82" s="1377" t="s">
        <v>1493</v>
      </c>
      <c r="G82" s="1377">
        <v>627</v>
      </c>
      <c r="H82" s="1378" t="s">
        <v>646</v>
      </c>
      <c r="I82" s="1378" t="s">
        <v>5</v>
      </c>
      <c r="J82" s="1378" t="s">
        <v>1451</v>
      </c>
      <c r="K82" s="1392">
        <v>3000</v>
      </c>
      <c r="L82" s="1380">
        <v>7560</v>
      </c>
      <c r="M82" s="1380"/>
      <c r="N82" s="1381"/>
      <c r="O82" s="1381">
        <v>50</v>
      </c>
      <c r="P82" s="1381"/>
      <c r="Q82" s="1381"/>
      <c r="R82" s="1381"/>
      <c r="S82" s="1381">
        <v>500</v>
      </c>
      <c r="T82" s="1381"/>
      <c r="U82" s="1381"/>
      <c r="V82" s="1381"/>
      <c r="W82" s="1381">
        <v>550</v>
      </c>
      <c r="X82" s="1380">
        <v>10916.451612903225</v>
      </c>
      <c r="Y82" s="1380"/>
      <c r="Z82" s="1380">
        <v>50</v>
      </c>
      <c r="AA82" s="1380"/>
      <c r="AB82" s="1382">
        <v>10866.451612903225</v>
      </c>
      <c r="AC82" s="1377"/>
      <c r="AD82" s="1377"/>
      <c r="AE82" s="1377"/>
      <c r="AF82" s="1377"/>
      <c r="AG82" s="1377"/>
      <c r="AH82" s="1377"/>
      <c r="AI82" s="1377"/>
      <c r="AJ82" s="1377"/>
      <c r="AK82" s="1377"/>
      <c r="AL82" s="1377"/>
      <c r="AM82" s="1377"/>
      <c r="AN82" s="1380">
        <v>500</v>
      </c>
      <c r="AO82" s="1380">
        <v>500</v>
      </c>
      <c r="AP82" s="1383">
        <v>11416.451612903225</v>
      </c>
    </row>
    <row r="83" spans="2:42" ht="15.75" x14ac:dyDescent="0.25">
      <c r="B83" s="1374" t="s">
        <v>1607</v>
      </c>
      <c r="C83" s="1394" t="s">
        <v>1608</v>
      </c>
      <c r="D83" s="1376" t="s">
        <v>1562</v>
      </c>
      <c r="E83" s="1376" t="s">
        <v>1546</v>
      </c>
      <c r="F83" s="1377" t="s">
        <v>1493</v>
      </c>
      <c r="G83" s="1377">
        <v>627</v>
      </c>
      <c r="H83" s="1378" t="s">
        <v>646</v>
      </c>
      <c r="I83" s="1378" t="s">
        <v>5</v>
      </c>
      <c r="J83" s="1378" t="s">
        <v>1451</v>
      </c>
      <c r="K83" s="1392">
        <v>3000</v>
      </c>
      <c r="L83" s="1380">
        <v>7110</v>
      </c>
      <c r="M83" s="1380"/>
      <c r="N83" s="1381"/>
      <c r="O83" s="1381">
        <v>50</v>
      </c>
      <c r="P83" s="1381"/>
      <c r="Q83" s="1381"/>
      <c r="R83" s="1381"/>
      <c r="S83" s="1381">
        <v>500</v>
      </c>
      <c r="T83" s="1381"/>
      <c r="U83" s="1381"/>
      <c r="V83" s="1381"/>
      <c r="W83" s="1381">
        <v>550</v>
      </c>
      <c r="X83" s="1380">
        <v>10466.451612903225</v>
      </c>
      <c r="Y83" s="1380"/>
      <c r="Z83" s="1380">
        <v>50</v>
      </c>
      <c r="AA83" s="1380"/>
      <c r="AB83" s="1382">
        <v>10416.451612903225</v>
      </c>
      <c r="AC83" s="1377"/>
      <c r="AD83" s="1377"/>
      <c r="AE83" s="1377"/>
      <c r="AF83" s="1377"/>
      <c r="AG83" s="1377"/>
      <c r="AH83" s="1377"/>
      <c r="AI83" s="1377"/>
      <c r="AJ83" s="1377"/>
      <c r="AK83" s="1377"/>
      <c r="AL83" s="1377"/>
      <c r="AM83" s="1377"/>
      <c r="AN83" s="1380">
        <v>1000</v>
      </c>
      <c r="AO83" s="1380">
        <v>1000</v>
      </c>
      <c r="AP83" s="1383">
        <v>11466.451612903225</v>
      </c>
    </row>
    <row r="84" spans="2:42" ht="15.75" x14ac:dyDescent="0.25">
      <c r="B84" s="1374" t="s">
        <v>1609</v>
      </c>
      <c r="C84" s="1394" t="s">
        <v>1610</v>
      </c>
      <c r="D84" s="1376" t="s">
        <v>1562</v>
      </c>
      <c r="E84" s="1376" t="s">
        <v>1546</v>
      </c>
      <c r="F84" s="1377" t="s">
        <v>1493</v>
      </c>
      <c r="G84" s="1377">
        <v>627</v>
      </c>
      <c r="H84" s="1378" t="s">
        <v>646</v>
      </c>
      <c r="I84" s="1378" t="s">
        <v>5</v>
      </c>
      <c r="J84" s="1378" t="s">
        <v>1451</v>
      </c>
      <c r="K84" s="1392">
        <v>3000</v>
      </c>
      <c r="L84" s="1380">
        <v>7650</v>
      </c>
      <c r="M84" s="1380"/>
      <c r="N84" s="1381"/>
      <c r="O84" s="1381">
        <v>50</v>
      </c>
      <c r="P84" s="1381"/>
      <c r="Q84" s="1381"/>
      <c r="R84" s="1381"/>
      <c r="S84" s="1381">
        <v>500</v>
      </c>
      <c r="T84" s="1381"/>
      <c r="U84" s="1381"/>
      <c r="V84" s="1381"/>
      <c r="W84" s="1381">
        <v>550</v>
      </c>
      <c r="X84" s="1380">
        <v>10909.677419354839</v>
      </c>
      <c r="Y84" s="1380"/>
      <c r="Z84" s="1380">
        <v>50</v>
      </c>
      <c r="AA84" s="1380"/>
      <c r="AB84" s="1382">
        <v>10859.677419354839</v>
      </c>
      <c r="AC84" s="1377"/>
      <c r="AD84" s="1377"/>
      <c r="AE84" s="1377"/>
      <c r="AF84" s="1377"/>
      <c r="AG84" s="1377"/>
      <c r="AH84" s="1377"/>
      <c r="AI84" s="1377"/>
      <c r="AJ84" s="1377"/>
      <c r="AK84" s="1377"/>
      <c r="AL84" s="1377"/>
      <c r="AM84" s="1377"/>
      <c r="AN84" s="1380">
        <v>1000</v>
      </c>
      <c r="AO84" s="1380">
        <v>1000</v>
      </c>
      <c r="AP84" s="1383">
        <v>11909.677419354839</v>
      </c>
    </row>
    <row r="85" spans="2:42" ht="15.75" x14ac:dyDescent="0.25">
      <c r="B85" s="1374" t="s">
        <v>1611</v>
      </c>
      <c r="C85" s="1394" t="s">
        <v>1612</v>
      </c>
      <c r="D85" s="1376" t="s">
        <v>1562</v>
      </c>
      <c r="E85" s="1376" t="s">
        <v>1546</v>
      </c>
      <c r="F85" s="1377" t="s">
        <v>1493</v>
      </c>
      <c r="G85" s="1377">
        <v>627</v>
      </c>
      <c r="H85" s="1378" t="s">
        <v>646</v>
      </c>
      <c r="I85" s="1378" t="s">
        <v>5</v>
      </c>
      <c r="J85" s="1378" t="s">
        <v>1451</v>
      </c>
      <c r="K85" s="1392">
        <v>3000</v>
      </c>
      <c r="L85" s="1380">
        <v>8190</v>
      </c>
      <c r="M85" s="1380"/>
      <c r="N85" s="1381"/>
      <c r="O85" s="1381">
        <v>50</v>
      </c>
      <c r="P85" s="1381"/>
      <c r="Q85" s="1381"/>
      <c r="R85" s="1381"/>
      <c r="S85" s="1381">
        <v>500</v>
      </c>
      <c r="T85" s="1381"/>
      <c r="U85" s="1381"/>
      <c r="V85" s="1381"/>
      <c r="W85" s="1381">
        <v>550</v>
      </c>
      <c r="X85" s="1380">
        <v>11740</v>
      </c>
      <c r="Y85" s="1380"/>
      <c r="Z85" s="1380">
        <v>50</v>
      </c>
      <c r="AA85" s="1380"/>
      <c r="AB85" s="1382">
        <v>11690</v>
      </c>
      <c r="AC85" s="1377"/>
      <c r="AD85" s="1377"/>
      <c r="AE85" s="1377"/>
      <c r="AF85" s="1377"/>
      <c r="AG85" s="1377"/>
      <c r="AH85" s="1377"/>
      <c r="AI85" s="1377"/>
      <c r="AJ85" s="1377"/>
      <c r="AK85" s="1377"/>
      <c r="AL85" s="1377"/>
      <c r="AM85" s="1377"/>
      <c r="AN85" s="1380">
        <v>1000</v>
      </c>
      <c r="AO85" s="1380">
        <v>1000</v>
      </c>
      <c r="AP85" s="1383">
        <v>12740</v>
      </c>
    </row>
    <row r="86" spans="2:42" ht="15.75" x14ac:dyDescent="0.25">
      <c r="B86" s="1374" t="s">
        <v>1613</v>
      </c>
      <c r="C86" s="1394" t="s">
        <v>1614</v>
      </c>
      <c r="D86" s="1376" t="s">
        <v>1562</v>
      </c>
      <c r="E86" s="1376" t="s">
        <v>1546</v>
      </c>
      <c r="F86" s="1377" t="s">
        <v>1493</v>
      </c>
      <c r="G86" s="1377">
        <v>627</v>
      </c>
      <c r="H86" s="1378" t="s">
        <v>646</v>
      </c>
      <c r="I86" s="1378" t="s">
        <v>5</v>
      </c>
      <c r="J86" s="1378" t="s">
        <v>1451</v>
      </c>
      <c r="K86" s="1392">
        <v>3000</v>
      </c>
      <c r="L86" s="1380">
        <v>7200</v>
      </c>
      <c r="M86" s="1380"/>
      <c r="N86" s="1381"/>
      <c r="O86" s="1381">
        <v>50</v>
      </c>
      <c r="P86" s="1381"/>
      <c r="Q86" s="1381"/>
      <c r="R86" s="1381"/>
      <c r="S86" s="1381">
        <v>500</v>
      </c>
      <c r="T86" s="1381"/>
      <c r="U86" s="1381"/>
      <c r="V86" s="1381"/>
      <c r="W86" s="1381">
        <v>550</v>
      </c>
      <c r="X86" s="1380">
        <v>10459.677419354839</v>
      </c>
      <c r="Y86" s="1380"/>
      <c r="Z86" s="1380">
        <v>50</v>
      </c>
      <c r="AA86" s="1380"/>
      <c r="AB86" s="1382">
        <v>10409.677419354839</v>
      </c>
      <c r="AC86" s="1377"/>
      <c r="AD86" s="1377"/>
      <c r="AE86" s="1377"/>
      <c r="AF86" s="1377"/>
      <c r="AG86" s="1377"/>
      <c r="AH86" s="1377"/>
      <c r="AI86" s="1377"/>
      <c r="AJ86" s="1377"/>
      <c r="AK86" s="1377"/>
      <c r="AL86" s="1377"/>
      <c r="AM86" s="1377"/>
      <c r="AN86" s="1380">
        <v>1000</v>
      </c>
      <c r="AO86" s="1380">
        <v>1000</v>
      </c>
      <c r="AP86" s="1383">
        <v>11459.677419354839</v>
      </c>
    </row>
    <row r="87" spans="2:42" ht="15.75" x14ac:dyDescent="0.25">
      <c r="B87" s="1374" t="s">
        <v>1615</v>
      </c>
      <c r="C87" s="1394" t="s">
        <v>1616</v>
      </c>
      <c r="D87" s="1376" t="s">
        <v>1562</v>
      </c>
      <c r="E87" s="1376" t="s">
        <v>1546</v>
      </c>
      <c r="F87" s="1377" t="s">
        <v>1493</v>
      </c>
      <c r="G87" s="1377">
        <v>627</v>
      </c>
      <c r="H87" s="1378" t="s">
        <v>646</v>
      </c>
      <c r="I87" s="1378" t="s">
        <v>5</v>
      </c>
      <c r="J87" s="1378" t="s">
        <v>1451</v>
      </c>
      <c r="K87" s="1392">
        <v>3000</v>
      </c>
      <c r="L87" s="1380">
        <v>7380</v>
      </c>
      <c r="M87" s="1380"/>
      <c r="N87" s="1381"/>
      <c r="O87" s="1381">
        <v>50</v>
      </c>
      <c r="P87" s="1381"/>
      <c r="Q87" s="1381"/>
      <c r="R87" s="1381"/>
      <c r="S87" s="1381">
        <v>500</v>
      </c>
      <c r="T87" s="1381"/>
      <c r="U87" s="1381"/>
      <c r="V87" s="1381"/>
      <c r="W87" s="1381">
        <v>550</v>
      </c>
      <c r="X87" s="1380">
        <v>10736.451612903225</v>
      </c>
      <c r="Y87" s="1380"/>
      <c r="Z87" s="1380">
        <v>50</v>
      </c>
      <c r="AA87" s="1380"/>
      <c r="AB87" s="1382">
        <v>10686.451612903225</v>
      </c>
      <c r="AC87" s="1377"/>
      <c r="AD87" s="1377"/>
      <c r="AE87" s="1377"/>
      <c r="AF87" s="1377"/>
      <c r="AG87" s="1377"/>
      <c r="AH87" s="1377"/>
      <c r="AI87" s="1377"/>
      <c r="AJ87" s="1377"/>
      <c r="AK87" s="1377"/>
      <c r="AL87" s="1377"/>
      <c r="AM87" s="1377"/>
      <c r="AN87" s="1380">
        <v>500</v>
      </c>
      <c r="AO87" s="1380">
        <v>500</v>
      </c>
      <c r="AP87" s="1383">
        <v>11236.451612903225</v>
      </c>
    </row>
    <row r="88" spans="2:42" ht="15.75" x14ac:dyDescent="0.25">
      <c r="B88" s="1374" t="s">
        <v>1617</v>
      </c>
      <c r="C88" s="1394" t="s">
        <v>1618</v>
      </c>
      <c r="D88" s="1376" t="s">
        <v>1562</v>
      </c>
      <c r="E88" s="1376" t="s">
        <v>1546</v>
      </c>
      <c r="F88" s="1377" t="s">
        <v>1493</v>
      </c>
      <c r="G88" s="1377">
        <v>627</v>
      </c>
      <c r="H88" s="1378" t="s">
        <v>646</v>
      </c>
      <c r="I88" s="1378" t="s">
        <v>5</v>
      </c>
      <c r="J88" s="1378" t="s">
        <v>1451</v>
      </c>
      <c r="K88" s="1392">
        <v>3000</v>
      </c>
      <c r="L88" s="1380">
        <v>6570</v>
      </c>
      <c r="M88" s="1380"/>
      <c r="N88" s="1381"/>
      <c r="O88" s="1381">
        <v>50</v>
      </c>
      <c r="P88" s="1381"/>
      <c r="Q88" s="1381"/>
      <c r="R88" s="1381"/>
      <c r="S88" s="1381">
        <v>500</v>
      </c>
      <c r="T88" s="1381"/>
      <c r="U88" s="1381"/>
      <c r="V88" s="1381"/>
      <c r="W88" s="1381">
        <v>550</v>
      </c>
      <c r="X88" s="1380">
        <v>10023.225806451614</v>
      </c>
      <c r="Y88" s="1380"/>
      <c r="Z88" s="1380">
        <v>50</v>
      </c>
      <c r="AA88" s="1380"/>
      <c r="AB88" s="1382">
        <v>9973.2258064516136</v>
      </c>
      <c r="AC88" s="1377"/>
      <c r="AD88" s="1377"/>
      <c r="AE88" s="1377"/>
      <c r="AF88" s="1377"/>
      <c r="AG88" s="1377"/>
      <c r="AH88" s="1377"/>
      <c r="AI88" s="1377"/>
      <c r="AJ88" s="1377"/>
      <c r="AK88" s="1377"/>
      <c r="AL88" s="1377"/>
      <c r="AM88" s="1377"/>
      <c r="AN88" s="1380">
        <v>500</v>
      </c>
      <c r="AO88" s="1380">
        <v>500</v>
      </c>
      <c r="AP88" s="1383">
        <v>10523.225806451614</v>
      </c>
    </row>
    <row r="89" spans="2:42" ht="15.75" x14ac:dyDescent="0.25">
      <c r="B89" s="1374" t="s">
        <v>1619</v>
      </c>
      <c r="C89" s="1394" t="s">
        <v>1620</v>
      </c>
      <c r="D89" s="1376" t="s">
        <v>1562</v>
      </c>
      <c r="E89" s="1376" t="s">
        <v>1546</v>
      </c>
      <c r="F89" s="1377" t="s">
        <v>1493</v>
      </c>
      <c r="G89" s="1377">
        <v>627</v>
      </c>
      <c r="H89" s="1378" t="s">
        <v>646</v>
      </c>
      <c r="I89" s="1378" t="s">
        <v>5</v>
      </c>
      <c r="J89" s="1378" t="s">
        <v>1451</v>
      </c>
      <c r="K89" s="1392">
        <v>3000</v>
      </c>
      <c r="L89" s="1380">
        <v>7920</v>
      </c>
      <c r="M89" s="1380"/>
      <c r="N89" s="1381"/>
      <c r="O89" s="1381">
        <v>50</v>
      </c>
      <c r="P89" s="1381"/>
      <c r="Q89" s="1381"/>
      <c r="R89" s="1381"/>
      <c r="S89" s="1381">
        <v>500</v>
      </c>
      <c r="T89" s="1381"/>
      <c r="U89" s="1381"/>
      <c r="V89" s="1381"/>
      <c r="W89" s="1381">
        <v>550</v>
      </c>
      <c r="X89" s="1380">
        <v>11470</v>
      </c>
      <c r="Y89" s="1380"/>
      <c r="Z89" s="1380">
        <v>50</v>
      </c>
      <c r="AA89" s="1380"/>
      <c r="AB89" s="1382">
        <v>11420</v>
      </c>
      <c r="AC89" s="1377"/>
      <c r="AD89" s="1377"/>
      <c r="AE89" s="1377"/>
      <c r="AF89" s="1377"/>
      <c r="AG89" s="1377"/>
      <c r="AH89" s="1377"/>
      <c r="AI89" s="1377"/>
      <c r="AJ89" s="1377"/>
      <c r="AK89" s="1377"/>
      <c r="AL89" s="1377"/>
      <c r="AM89" s="1377"/>
      <c r="AN89" s="1380">
        <v>500</v>
      </c>
      <c r="AO89" s="1380">
        <v>500</v>
      </c>
      <c r="AP89" s="1383">
        <v>11970</v>
      </c>
    </row>
    <row r="90" spans="2:42" ht="15.75" x14ac:dyDescent="0.25">
      <c r="B90" s="1374" t="s">
        <v>1621</v>
      </c>
      <c r="C90" s="1394" t="s">
        <v>1622</v>
      </c>
      <c r="D90" s="1376" t="s">
        <v>1562</v>
      </c>
      <c r="E90" s="1376" t="s">
        <v>1546</v>
      </c>
      <c r="F90" s="1377" t="s">
        <v>1493</v>
      </c>
      <c r="G90" s="1377">
        <v>627</v>
      </c>
      <c r="H90" s="1378" t="s">
        <v>646</v>
      </c>
      <c r="I90" s="1378" t="s">
        <v>5</v>
      </c>
      <c r="J90" s="1378" t="s">
        <v>1451</v>
      </c>
      <c r="K90" s="1392">
        <v>3000</v>
      </c>
      <c r="L90" s="1380">
        <v>4950</v>
      </c>
      <c r="M90" s="1380"/>
      <c r="N90" s="1381"/>
      <c r="O90" s="1381">
        <v>50</v>
      </c>
      <c r="P90" s="1381"/>
      <c r="Q90" s="1381"/>
      <c r="R90" s="1381"/>
      <c r="S90" s="1381">
        <v>325</v>
      </c>
      <c r="T90" s="1381"/>
      <c r="U90" s="1381"/>
      <c r="V90" s="1381"/>
      <c r="W90" s="1381">
        <v>375</v>
      </c>
      <c r="X90" s="1380">
        <v>7260.4838709677424</v>
      </c>
      <c r="Y90" s="1380"/>
      <c r="Z90" s="1380">
        <v>50</v>
      </c>
      <c r="AA90" s="1380"/>
      <c r="AB90" s="1382">
        <v>7210.4838709677424</v>
      </c>
      <c r="AC90" s="1377"/>
      <c r="AD90" s="1377"/>
      <c r="AE90" s="1377"/>
      <c r="AF90" s="1377"/>
      <c r="AG90" s="1377"/>
      <c r="AH90" s="1377"/>
      <c r="AI90" s="1377"/>
      <c r="AJ90" s="1377"/>
      <c r="AK90" s="1377"/>
      <c r="AL90" s="1377"/>
      <c r="AM90" s="1377"/>
      <c r="AN90" s="1380">
        <v>500</v>
      </c>
      <c r="AO90" s="1380">
        <v>500</v>
      </c>
      <c r="AP90" s="1383">
        <v>7760.4838709677424</v>
      </c>
    </row>
    <row r="91" spans="2:42" ht="15.75" hidden="1" x14ac:dyDescent="0.25">
      <c r="B91" s="1374" t="s">
        <v>1623</v>
      </c>
      <c r="C91" s="1395" t="s">
        <v>1624</v>
      </c>
      <c r="D91" s="1376" t="s">
        <v>1562</v>
      </c>
      <c r="E91" s="1376" t="s">
        <v>1625</v>
      </c>
      <c r="F91" s="1376" t="s">
        <v>1626</v>
      </c>
      <c r="G91" s="1377">
        <v>622</v>
      </c>
      <c r="H91" s="1378" t="s">
        <v>646</v>
      </c>
      <c r="I91" s="1378" t="s">
        <v>5</v>
      </c>
      <c r="J91" s="1378" t="s">
        <v>1451</v>
      </c>
      <c r="K91" s="1380">
        <v>5500</v>
      </c>
      <c r="L91" s="1380"/>
      <c r="M91" s="1380">
        <v>544.76612903225794</v>
      </c>
      <c r="N91" s="1381">
        <v>831.93548387096769</v>
      </c>
      <c r="O91" s="1381"/>
      <c r="P91" s="1381"/>
      <c r="Q91" s="1381"/>
      <c r="R91" s="1381"/>
      <c r="S91" s="1381"/>
      <c r="T91" s="1381"/>
      <c r="U91" s="1381"/>
      <c r="V91" s="1381"/>
      <c r="W91" s="1381">
        <v>831.93548387096769</v>
      </c>
      <c r="X91" s="1380">
        <v>5952.3467741935474</v>
      </c>
      <c r="Y91" s="1380"/>
      <c r="Z91" s="1380">
        <v>50</v>
      </c>
      <c r="AA91" s="1380"/>
      <c r="AB91" s="1382">
        <v>5902.3467741935474</v>
      </c>
      <c r="AC91" s="1377"/>
      <c r="AD91" s="1377"/>
      <c r="AE91" s="1377"/>
      <c r="AF91" s="1377"/>
      <c r="AG91" s="1377"/>
      <c r="AH91" s="1377"/>
      <c r="AI91" s="1377"/>
      <c r="AJ91" s="1377"/>
      <c r="AK91" s="1377"/>
      <c r="AL91" s="1377"/>
      <c r="AM91" s="1377"/>
      <c r="AN91" s="1380">
        <v>1000</v>
      </c>
      <c r="AO91" s="1380">
        <v>1000</v>
      </c>
      <c r="AP91" s="1383">
        <v>6952.3467741935474</v>
      </c>
    </row>
    <row r="92" spans="2:42" ht="15.75" hidden="1" x14ac:dyDescent="0.25">
      <c r="B92" s="1374" t="s">
        <v>1627</v>
      </c>
      <c r="C92" s="1395" t="s">
        <v>1628</v>
      </c>
      <c r="D92" s="1376" t="s">
        <v>1562</v>
      </c>
      <c r="E92" s="1376" t="s">
        <v>1629</v>
      </c>
      <c r="F92" s="1376" t="s">
        <v>1626</v>
      </c>
      <c r="G92" s="1377">
        <v>622</v>
      </c>
      <c r="H92" s="1378" t="s">
        <v>646</v>
      </c>
      <c r="I92" s="1378" t="s">
        <v>5</v>
      </c>
      <c r="J92" s="1378" t="s">
        <v>1451</v>
      </c>
      <c r="K92" s="1380">
        <v>5500</v>
      </c>
      <c r="L92" s="1380"/>
      <c r="M92" s="1380">
        <v>1299.6854838709676</v>
      </c>
      <c r="N92" s="1381"/>
      <c r="O92" s="1381"/>
      <c r="P92" s="1381"/>
      <c r="Q92" s="1381"/>
      <c r="R92" s="1381"/>
      <c r="S92" s="1381"/>
      <c r="T92" s="1381"/>
      <c r="U92" s="1381"/>
      <c r="V92" s="1381"/>
      <c r="W92" s="1381">
        <v>0</v>
      </c>
      <c r="X92" s="1380">
        <v>6444.8467741935483</v>
      </c>
      <c r="Y92" s="1380"/>
      <c r="Z92" s="1380">
        <v>50</v>
      </c>
      <c r="AA92" s="1380"/>
      <c r="AB92" s="1382">
        <v>6394.8467741935483</v>
      </c>
      <c r="AC92" s="1377"/>
      <c r="AD92" s="1377"/>
      <c r="AE92" s="1377"/>
      <c r="AF92" s="1377"/>
      <c r="AG92" s="1377"/>
      <c r="AH92" s="1377"/>
      <c r="AI92" s="1377"/>
      <c r="AJ92" s="1377"/>
      <c r="AK92" s="1377"/>
      <c r="AL92" s="1377"/>
      <c r="AM92" s="1377"/>
      <c r="AN92" s="1380">
        <v>1000</v>
      </c>
      <c r="AO92" s="1380">
        <v>1000</v>
      </c>
      <c r="AP92" s="1383">
        <v>7444.8467741935483</v>
      </c>
    </row>
    <row r="93" spans="2:42" ht="15.75" hidden="1" x14ac:dyDescent="0.25">
      <c r="B93" s="1374" t="s">
        <v>1630</v>
      </c>
      <c r="C93" s="1395" t="s">
        <v>1631</v>
      </c>
      <c r="D93" s="1376" t="s">
        <v>1562</v>
      </c>
      <c r="E93" s="1376" t="s">
        <v>1629</v>
      </c>
      <c r="F93" s="1376" t="s">
        <v>1626</v>
      </c>
      <c r="G93" s="1377">
        <v>622</v>
      </c>
      <c r="H93" s="1378" t="s">
        <v>646</v>
      </c>
      <c r="I93" s="1378" t="s">
        <v>5</v>
      </c>
      <c r="J93" s="1378" t="s">
        <v>1451</v>
      </c>
      <c r="K93" s="1380">
        <v>5500</v>
      </c>
      <c r="L93" s="1380"/>
      <c r="M93" s="1380">
        <v>400.92338709677415</v>
      </c>
      <c r="N93" s="1381"/>
      <c r="O93" s="1381"/>
      <c r="P93" s="1381"/>
      <c r="Q93" s="1381"/>
      <c r="R93" s="1381"/>
      <c r="S93" s="1381"/>
      <c r="T93" s="1381"/>
      <c r="U93" s="1381"/>
      <c r="V93" s="1381"/>
      <c r="W93" s="1381">
        <v>0</v>
      </c>
      <c r="X93" s="1380">
        <v>2499.7943548387093</v>
      </c>
      <c r="Y93" s="1380"/>
      <c r="Z93" s="1380"/>
      <c r="AA93" s="1380"/>
      <c r="AB93" s="1382">
        <v>2499.7943548387093</v>
      </c>
      <c r="AC93" s="1377"/>
      <c r="AD93" s="1377"/>
      <c r="AE93" s="1377"/>
      <c r="AF93" s="1377"/>
      <c r="AG93" s="1377"/>
      <c r="AH93" s="1377"/>
      <c r="AI93" s="1377"/>
      <c r="AJ93" s="1377"/>
      <c r="AK93" s="1377"/>
      <c r="AL93" s="1377"/>
      <c r="AM93" s="1377"/>
      <c r="AN93" s="1380">
        <v>1000</v>
      </c>
      <c r="AO93" s="1380">
        <v>1000</v>
      </c>
      <c r="AP93" s="1383">
        <v>3499.7943548387093</v>
      </c>
    </row>
    <row r="94" spans="2:42" ht="15.75" hidden="1" x14ac:dyDescent="0.25">
      <c r="B94" s="1374" t="s">
        <v>1632</v>
      </c>
      <c r="C94" s="1395" t="s">
        <v>1633</v>
      </c>
      <c r="D94" s="1376" t="s">
        <v>1562</v>
      </c>
      <c r="E94" s="1376" t="s">
        <v>1629</v>
      </c>
      <c r="F94" s="1376" t="s">
        <v>1626</v>
      </c>
      <c r="G94" s="1377">
        <v>622</v>
      </c>
      <c r="H94" s="1378" t="s">
        <v>646</v>
      </c>
      <c r="I94" s="1378" t="s">
        <v>5</v>
      </c>
      <c r="J94" s="1378" t="s">
        <v>1451</v>
      </c>
      <c r="K94" s="1380">
        <v>4500</v>
      </c>
      <c r="L94" s="1380"/>
      <c r="M94" s="1380">
        <v>591.1602822580644</v>
      </c>
      <c r="N94" s="1381"/>
      <c r="O94" s="1381"/>
      <c r="P94" s="1381"/>
      <c r="Q94" s="1381"/>
      <c r="R94" s="1381"/>
      <c r="S94" s="1381"/>
      <c r="T94" s="1381"/>
      <c r="U94" s="1381"/>
      <c r="V94" s="1381"/>
      <c r="W94" s="1381">
        <v>0</v>
      </c>
      <c r="X94" s="1380">
        <v>4722.4506048387093</v>
      </c>
      <c r="Y94" s="1380"/>
      <c r="Z94" s="1380">
        <v>50</v>
      </c>
      <c r="AA94" s="1380"/>
      <c r="AB94" s="1382">
        <v>4672.4506048387093</v>
      </c>
      <c r="AC94" s="1377"/>
      <c r="AD94" s="1377"/>
      <c r="AE94" s="1377"/>
      <c r="AF94" s="1377"/>
      <c r="AG94" s="1377"/>
      <c r="AH94" s="1377"/>
      <c r="AI94" s="1377"/>
      <c r="AJ94" s="1377"/>
      <c r="AK94" s="1377"/>
      <c r="AL94" s="1377"/>
      <c r="AM94" s="1377"/>
      <c r="AN94" s="1380">
        <v>1000</v>
      </c>
      <c r="AO94" s="1380">
        <v>1000</v>
      </c>
      <c r="AP94" s="1383">
        <v>5722.4506048387093</v>
      </c>
    </row>
    <row r="95" spans="2:42" ht="15.75" hidden="1" x14ac:dyDescent="0.25">
      <c r="B95" s="1374" t="s">
        <v>1634</v>
      </c>
      <c r="C95" s="1395" t="s">
        <v>1635</v>
      </c>
      <c r="D95" s="1376" t="s">
        <v>1562</v>
      </c>
      <c r="E95" s="1376" t="s">
        <v>1629</v>
      </c>
      <c r="F95" s="1376" t="s">
        <v>1626</v>
      </c>
      <c r="G95" s="1377">
        <v>622</v>
      </c>
      <c r="H95" s="1378" t="s">
        <v>646</v>
      </c>
      <c r="I95" s="1378" t="s">
        <v>5</v>
      </c>
      <c r="J95" s="1378" t="s">
        <v>1451</v>
      </c>
      <c r="K95" s="1380">
        <v>4500</v>
      </c>
      <c r="L95" s="1380"/>
      <c r="M95" s="1380">
        <v>241.01310483870967</v>
      </c>
      <c r="N95" s="1381"/>
      <c r="O95" s="1381"/>
      <c r="P95" s="1381"/>
      <c r="Q95" s="1381"/>
      <c r="R95" s="1381"/>
      <c r="S95" s="1381"/>
      <c r="T95" s="1381"/>
      <c r="U95" s="1381"/>
      <c r="V95" s="1381"/>
      <c r="W95" s="1381">
        <v>0</v>
      </c>
      <c r="X95" s="1380">
        <v>2942.4647177419356</v>
      </c>
      <c r="Y95" s="1380"/>
      <c r="Z95" s="1380"/>
      <c r="AA95" s="1380"/>
      <c r="AB95" s="1382">
        <v>2942.4647177419356</v>
      </c>
      <c r="AC95" s="1377"/>
      <c r="AD95" s="1377"/>
      <c r="AE95" s="1377"/>
      <c r="AF95" s="1377"/>
      <c r="AG95" s="1377"/>
      <c r="AH95" s="1377"/>
      <c r="AI95" s="1377"/>
      <c r="AJ95" s="1377"/>
      <c r="AK95" s="1377"/>
      <c r="AL95" s="1377"/>
      <c r="AM95" s="1377"/>
      <c r="AN95" s="1380">
        <v>1000</v>
      </c>
      <c r="AO95" s="1380">
        <v>1000</v>
      </c>
      <c r="AP95" s="1383">
        <v>3942.4647177419356</v>
      </c>
    </row>
    <row r="96" spans="2:42" ht="15.75" hidden="1" x14ac:dyDescent="0.25">
      <c r="B96" s="1374" t="s">
        <v>1636</v>
      </c>
      <c r="C96" s="1395" t="s">
        <v>1637</v>
      </c>
      <c r="D96" s="1376" t="s">
        <v>1562</v>
      </c>
      <c r="E96" s="1376" t="s">
        <v>1629</v>
      </c>
      <c r="F96" s="1376" t="s">
        <v>1626</v>
      </c>
      <c r="G96" s="1377">
        <v>622</v>
      </c>
      <c r="H96" s="1378" t="s">
        <v>646</v>
      </c>
      <c r="I96" s="1378" t="s">
        <v>5</v>
      </c>
      <c r="J96" s="1378" t="s">
        <v>1451</v>
      </c>
      <c r="K96" s="1380">
        <v>4500</v>
      </c>
      <c r="L96" s="1380"/>
      <c r="M96" s="1380">
        <v>345.97379032258056</v>
      </c>
      <c r="N96" s="1381"/>
      <c r="O96" s="1381"/>
      <c r="P96" s="1381"/>
      <c r="Q96" s="1381"/>
      <c r="R96" s="1381"/>
      <c r="S96" s="1381"/>
      <c r="T96" s="1381"/>
      <c r="U96" s="1381"/>
      <c r="V96" s="1381"/>
      <c r="W96" s="1381">
        <v>0</v>
      </c>
      <c r="X96" s="1380">
        <v>1725.0060483870966</v>
      </c>
      <c r="Y96" s="1380"/>
      <c r="Z96" s="1380"/>
      <c r="AA96" s="1380"/>
      <c r="AB96" s="1382">
        <v>1725.0060483870966</v>
      </c>
      <c r="AC96" s="1377"/>
      <c r="AD96" s="1377"/>
      <c r="AE96" s="1377"/>
      <c r="AF96" s="1377"/>
      <c r="AG96" s="1377"/>
      <c r="AH96" s="1377"/>
      <c r="AI96" s="1377"/>
      <c r="AJ96" s="1377"/>
      <c r="AK96" s="1377"/>
      <c r="AL96" s="1377"/>
      <c r="AM96" s="1377"/>
      <c r="AN96" s="1380">
        <v>500</v>
      </c>
      <c r="AO96" s="1380">
        <v>500</v>
      </c>
      <c r="AP96" s="1383">
        <v>2225.0060483870966</v>
      </c>
    </row>
    <row r="97" spans="2:42" ht="15.75" hidden="1" x14ac:dyDescent="0.25">
      <c r="B97" s="1374" t="s">
        <v>1638</v>
      </c>
      <c r="C97" s="1395" t="s">
        <v>1639</v>
      </c>
      <c r="D97" s="1376" t="s">
        <v>1562</v>
      </c>
      <c r="E97" s="1376" t="s">
        <v>1629</v>
      </c>
      <c r="F97" s="1376" t="s">
        <v>1626</v>
      </c>
      <c r="G97" s="1377">
        <v>622</v>
      </c>
      <c r="H97" s="1378" t="s">
        <v>646</v>
      </c>
      <c r="I97" s="1378" t="s">
        <v>5</v>
      </c>
      <c r="J97" s="1378" t="s">
        <v>1451</v>
      </c>
      <c r="K97" s="1380">
        <v>4500</v>
      </c>
      <c r="L97" s="1380"/>
      <c r="M97" s="1380">
        <v>377.90020161290317</v>
      </c>
      <c r="N97" s="1381"/>
      <c r="O97" s="1381"/>
      <c r="P97" s="1381"/>
      <c r="Q97" s="1381"/>
      <c r="R97" s="1381"/>
      <c r="S97" s="1381"/>
      <c r="T97" s="1381"/>
      <c r="U97" s="1381"/>
      <c r="V97" s="1381"/>
      <c r="W97" s="1381">
        <v>0</v>
      </c>
      <c r="X97" s="1380">
        <v>4224.6743951612898</v>
      </c>
      <c r="Y97" s="1380"/>
      <c r="Z97" s="1380">
        <v>50</v>
      </c>
      <c r="AA97" s="1380"/>
      <c r="AB97" s="1382">
        <v>4174.6743951612898</v>
      </c>
      <c r="AC97" s="1377"/>
      <c r="AD97" s="1377"/>
      <c r="AE97" s="1377"/>
      <c r="AF97" s="1377"/>
      <c r="AG97" s="1377"/>
      <c r="AH97" s="1377"/>
      <c r="AI97" s="1377"/>
      <c r="AJ97" s="1377"/>
      <c r="AK97" s="1377"/>
      <c r="AL97" s="1377"/>
      <c r="AM97" s="1377"/>
      <c r="AN97" s="1380">
        <v>500</v>
      </c>
      <c r="AO97" s="1380">
        <v>500</v>
      </c>
      <c r="AP97" s="1383">
        <v>4724.6743951612898</v>
      </c>
    </row>
    <row r="98" spans="2:42" ht="15.75" hidden="1" x14ac:dyDescent="0.25">
      <c r="B98" s="1374" t="s">
        <v>1640</v>
      </c>
      <c r="C98" s="1395" t="s">
        <v>1641</v>
      </c>
      <c r="D98" s="1376" t="s">
        <v>1562</v>
      </c>
      <c r="E98" s="1376" t="s">
        <v>1629</v>
      </c>
      <c r="F98" s="1376" t="s">
        <v>1626</v>
      </c>
      <c r="G98" s="1377">
        <v>622</v>
      </c>
      <c r="H98" s="1378" t="s">
        <v>646</v>
      </c>
      <c r="I98" s="1378" t="s">
        <v>5</v>
      </c>
      <c r="J98" s="1378" t="s">
        <v>1451</v>
      </c>
      <c r="K98" s="1380">
        <v>5000</v>
      </c>
      <c r="L98" s="1380"/>
      <c r="M98" s="1380">
        <v>480.40322580645153</v>
      </c>
      <c r="N98" s="1381"/>
      <c r="O98" s="1381"/>
      <c r="P98" s="1381"/>
      <c r="Q98" s="1381"/>
      <c r="R98" s="1381"/>
      <c r="S98" s="1381"/>
      <c r="T98" s="1381"/>
      <c r="U98" s="1381"/>
      <c r="V98" s="1381"/>
      <c r="W98" s="1381">
        <v>0</v>
      </c>
      <c r="X98" s="1380">
        <v>2899.7580645161288</v>
      </c>
      <c r="Y98" s="1380"/>
      <c r="Z98" s="1380"/>
      <c r="AA98" s="1380"/>
      <c r="AB98" s="1382">
        <v>2899.7580645161288</v>
      </c>
      <c r="AC98" s="1377"/>
      <c r="AD98" s="1377"/>
      <c r="AE98" s="1377"/>
      <c r="AF98" s="1377"/>
      <c r="AG98" s="1377"/>
      <c r="AH98" s="1377"/>
      <c r="AI98" s="1377"/>
      <c r="AJ98" s="1377"/>
      <c r="AK98" s="1377"/>
      <c r="AL98" s="1377"/>
      <c r="AM98" s="1377"/>
      <c r="AN98" s="1380">
        <v>1000</v>
      </c>
      <c r="AO98" s="1380">
        <v>1000</v>
      </c>
      <c r="AP98" s="1383">
        <v>3899.7580645161288</v>
      </c>
    </row>
    <row r="99" spans="2:42" ht="15.75" hidden="1" x14ac:dyDescent="0.25">
      <c r="B99" s="1374" t="s">
        <v>1642</v>
      </c>
      <c r="C99" s="1376" t="s">
        <v>1643</v>
      </c>
      <c r="D99" s="1376" t="s">
        <v>1644</v>
      </c>
      <c r="E99" s="1376" t="s">
        <v>1625</v>
      </c>
      <c r="F99" s="1376" t="s">
        <v>1626</v>
      </c>
      <c r="G99" s="1377">
        <v>622</v>
      </c>
      <c r="H99" s="1378" t="s">
        <v>646</v>
      </c>
      <c r="I99" s="1378" t="s">
        <v>5</v>
      </c>
      <c r="J99" s="1378" t="s">
        <v>1451</v>
      </c>
      <c r="K99" s="1396">
        <v>6500</v>
      </c>
      <c r="L99" s="1380"/>
      <c r="M99" s="1380">
        <v>695.95866935483866</v>
      </c>
      <c r="N99" s="1381">
        <v>3000</v>
      </c>
      <c r="O99" s="1381">
        <v>50</v>
      </c>
      <c r="P99" s="1381"/>
      <c r="Q99" s="1381"/>
      <c r="R99" s="1381"/>
      <c r="S99" s="1381"/>
      <c r="T99" s="1381"/>
      <c r="U99" s="1381"/>
      <c r="V99" s="1381"/>
      <c r="W99" s="1381">
        <v>3050</v>
      </c>
      <c r="X99" s="1380">
        <v>10245.958669354839</v>
      </c>
      <c r="Y99" s="1380">
        <v>1120</v>
      </c>
      <c r="Z99" s="1380">
        <v>50</v>
      </c>
      <c r="AA99" s="1380"/>
      <c r="AB99" s="1382">
        <v>9075.958669354839</v>
      </c>
      <c r="AC99" s="1377"/>
      <c r="AD99" s="1377"/>
      <c r="AE99" s="1377"/>
      <c r="AF99" s="1377"/>
      <c r="AG99" s="1377"/>
      <c r="AH99" s="1377"/>
      <c r="AI99" s="1377"/>
      <c r="AJ99" s="1377"/>
      <c r="AK99" s="1377"/>
      <c r="AL99" s="1377"/>
      <c r="AM99" s="1377"/>
      <c r="AN99" s="1380">
        <v>1000</v>
      </c>
      <c r="AO99" s="1380">
        <v>1000</v>
      </c>
      <c r="AP99" s="1383">
        <v>11245.958669354839</v>
      </c>
    </row>
    <row r="100" spans="2:42" ht="15.75" hidden="1" x14ac:dyDescent="0.25">
      <c r="B100" s="1374" t="s">
        <v>1645</v>
      </c>
      <c r="C100" s="1387" t="s">
        <v>1646</v>
      </c>
      <c r="D100" s="1376" t="s">
        <v>1644</v>
      </c>
      <c r="E100" s="1376" t="s">
        <v>1625</v>
      </c>
      <c r="F100" s="1376" t="s">
        <v>1626</v>
      </c>
      <c r="G100" s="1377">
        <v>622</v>
      </c>
      <c r="H100" s="1378" t="s">
        <v>646</v>
      </c>
      <c r="I100" s="1378" t="s">
        <v>5</v>
      </c>
      <c r="J100" s="1378" t="s">
        <v>1451</v>
      </c>
      <c r="K100" s="1397">
        <v>5500</v>
      </c>
      <c r="L100" s="1380"/>
      <c r="M100" s="1380">
        <v>76.767137096774178</v>
      </c>
      <c r="N100" s="1381">
        <v>3000</v>
      </c>
      <c r="O100" s="1381">
        <v>50</v>
      </c>
      <c r="P100" s="1381"/>
      <c r="Q100" s="1381"/>
      <c r="R100" s="1381">
        <v>1000</v>
      </c>
      <c r="S100" s="1381"/>
      <c r="T100" s="1381"/>
      <c r="U100" s="1381"/>
      <c r="V100" s="1381"/>
      <c r="W100" s="1381">
        <v>4050</v>
      </c>
      <c r="X100" s="1380">
        <v>9601.928427419356</v>
      </c>
      <c r="Y100" s="1380">
        <v>1120</v>
      </c>
      <c r="Z100" s="1380">
        <v>50</v>
      </c>
      <c r="AA100" s="1380"/>
      <c r="AB100" s="1382">
        <v>8431.928427419356</v>
      </c>
      <c r="AC100" s="1377"/>
      <c r="AD100" s="1377"/>
      <c r="AE100" s="1377"/>
      <c r="AF100" s="1377"/>
      <c r="AG100" s="1377"/>
      <c r="AH100" s="1377"/>
      <c r="AI100" s="1377"/>
      <c r="AJ100" s="1377"/>
      <c r="AK100" s="1377"/>
      <c r="AL100" s="1377"/>
      <c r="AM100" s="1377"/>
      <c r="AN100" s="1380">
        <v>1000</v>
      </c>
      <c r="AO100" s="1380">
        <v>1000</v>
      </c>
      <c r="AP100" s="1383">
        <v>10601.928427419356</v>
      </c>
    </row>
    <row r="101" spans="2:42" ht="15.75" hidden="1" x14ac:dyDescent="0.25">
      <c r="B101" s="1374" t="s">
        <v>1647</v>
      </c>
      <c r="C101" s="1398" t="s">
        <v>1648</v>
      </c>
      <c r="D101" s="1376" t="s">
        <v>1644</v>
      </c>
      <c r="E101" s="1376" t="s">
        <v>1629</v>
      </c>
      <c r="F101" s="1376" t="s">
        <v>1626</v>
      </c>
      <c r="G101" s="1377">
        <v>622</v>
      </c>
      <c r="H101" s="1378" t="s">
        <v>646</v>
      </c>
      <c r="I101" s="1378" t="s">
        <v>5</v>
      </c>
      <c r="J101" s="1378" t="s">
        <v>1451</v>
      </c>
      <c r="K101" s="1396">
        <v>4600</v>
      </c>
      <c r="L101" s="1380"/>
      <c r="M101" s="1380"/>
      <c r="N101" s="1381"/>
      <c r="O101" s="1381"/>
      <c r="P101" s="1381"/>
      <c r="Q101" s="1381">
        <v>200</v>
      </c>
      <c r="R101" s="1381"/>
      <c r="S101" s="1381"/>
      <c r="T101" s="1381"/>
      <c r="U101" s="1381"/>
      <c r="V101" s="1381"/>
      <c r="W101" s="1381">
        <v>200</v>
      </c>
      <c r="X101" s="1380">
        <v>1161.5483870967741</v>
      </c>
      <c r="Y101" s="1380"/>
      <c r="Z101" s="1380"/>
      <c r="AA101" s="1380"/>
      <c r="AB101" s="1382">
        <v>1161.5483870967741</v>
      </c>
      <c r="AC101" s="1377"/>
      <c r="AD101" s="1377"/>
      <c r="AE101" s="1377"/>
      <c r="AF101" s="1377"/>
      <c r="AG101" s="1377"/>
      <c r="AH101" s="1377"/>
      <c r="AI101" s="1377"/>
      <c r="AJ101" s="1377"/>
      <c r="AK101" s="1377"/>
      <c r="AL101" s="1377"/>
      <c r="AM101" s="1377"/>
      <c r="AN101" s="1380">
        <v>1000</v>
      </c>
      <c r="AO101" s="1380">
        <v>1000</v>
      </c>
      <c r="AP101" s="1383">
        <v>2161.5483870967741</v>
      </c>
    </row>
    <row r="102" spans="2:42" ht="15.75" hidden="1" x14ac:dyDescent="0.25">
      <c r="B102" s="1374" t="s">
        <v>292</v>
      </c>
      <c r="C102" s="1398" t="s">
        <v>1649</v>
      </c>
      <c r="D102" s="1376" t="s">
        <v>1644</v>
      </c>
      <c r="E102" s="1376" t="s">
        <v>1629</v>
      </c>
      <c r="F102" s="1376" t="s">
        <v>1626</v>
      </c>
      <c r="G102" s="1377">
        <v>622</v>
      </c>
      <c r="H102" s="1378" t="s">
        <v>646</v>
      </c>
      <c r="I102" s="1378" t="s">
        <v>5</v>
      </c>
      <c r="J102" s="1378" t="s">
        <v>1451</v>
      </c>
      <c r="K102" s="1396">
        <v>4600</v>
      </c>
      <c r="L102" s="1380"/>
      <c r="M102" s="1380"/>
      <c r="N102" s="1381"/>
      <c r="O102" s="1381"/>
      <c r="P102" s="1381"/>
      <c r="Q102" s="1381">
        <v>200</v>
      </c>
      <c r="R102" s="1381"/>
      <c r="S102" s="1381"/>
      <c r="T102" s="1381"/>
      <c r="U102" s="1381"/>
      <c r="V102" s="1381"/>
      <c r="W102" s="1381">
        <v>200</v>
      </c>
      <c r="X102" s="1380">
        <v>1609.6774193548385</v>
      </c>
      <c r="Y102" s="1380"/>
      <c r="Z102" s="1380"/>
      <c r="AA102" s="1380"/>
      <c r="AB102" s="1382">
        <v>1609.6774193548385</v>
      </c>
      <c r="AC102" s="1377"/>
      <c r="AD102" s="1377"/>
      <c r="AE102" s="1377"/>
      <c r="AF102" s="1377"/>
      <c r="AG102" s="1377"/>
      <c r="AH102" s="1377"/>
      <c r="AI102" s="1377"/>
      <c r="AJ102" s="1377"/>
      <c r="AK102" s="1377"/>
      <c r="AL102" s="1377"/>
      <c r="AM102" s="1377"/>
      <c r="AN102" s="1380">
        <v>1000</v>
      </c>
      <c r="AO102" s="1380">
        <v>1000</v>
      </c>
      <c r="AP102" s="1383">
        <v>2609.6774193548385</v>
      </c>
    </row>
    <row r="103" spans="2:42" ht="15.75" hidden="1" x14ac:dyDescent="0.25">
      <c r="B103" s="1374" t="s">
        <v>1650</v>
      </c>
      <c r="C103" s="1398" t="s">
        <v>1651</v>
      </c>
      <c r="D103" s="1376" t="s">
        <v>1644</v>
      </c>
      <c r="E103" s="1376" t="s">
        <v>1629</v>
      </c>
      <c r="F103" s="1376" t="s">
        <v>1626</v>
      </c>
      <c r="G103" s="1377">
        <v>622</v>
      </c>
      <c r="H103" s="1378" t="s">
        <v>646</v>
      </c>
      <c r="I103" s="1378" t="s">
        <v>5</v>
      </c>
      <c r="J103" s="1378" t="s">
        <v>1451</v>
      </c>
      <c r="K103" s="1396">
        <v>4600</v>
      </c>
      <c r="L103" s="1380"/>
      <c r="M103" s="1380"/>
      <c r="N103" s="1381"/>
      <c r="O103" s="1381"/>
      <c r="P103" s="1381"/>
      <c r="Q103" s="1381">
        <v>200</v>
      </c>
      <c r="R103" s="1381"/>
      <c r="S103" s="1381"/>
      <c r="T103" s="1381"/>
      <c r="U103" s="1381"/>
      <c r="V103" s="1381"/>
      <c r="W103" s="1381">
        <v>200</v>
      </c>
      <c r="X103" s="1380">
        <v>1090.3225806451612</v>
      </c>
      <c r="Y103" s="1380"/>
      <c r="Z103" s="1380"/>
      <c r="AA103" s="1380"/>
      <c r="AB103" s="1382">
        <v>1090.3225806451612</v>
      </c>
      <c r="AC103" s="1377"/>
      <c r="AD103" s="1377"/>
      <c r="AE103" s="1377"/>
      <c r="AF103" s="1377"/>
      <c r="AG103" s="1377"/>
      <c r="AH103" s="1377"/>
      <c r="AI103" s="1377"/>
      <c r="AJ103" s="1377"/>
      <c r="AK103" s="1377"/>
      <c r="AL103" s="1377"/>
      <c r="AM103" s="1377"/>
      <c r="AN103" s="1380">
        <v>1000</v>
      </c>
      <c r="AO103" s="1380">
        <v>1000</v>
      </c>
      <c r="AP103" s="1383">
        <v>2090.322580645161</v>
      </c>
    </row>
    <row r="104" spans="2:42" ht="15.75" hidden="1" x14ac:dyDescent="0.25">
      <c r="B104" s="1374" t="s">
        <v>1652</v>
      </c>
      <c r="C104" s="1398" t="s">
        <v>1653</v>
      </c>
      <c r="D104" s="1376" t="s">
        <v>1644</v>
      </c>
      <c r="E104" s="1376" t="s">
        <v>1629</v>
      </c>
      <c r="F104" s="1376" t="s">
        <v>1626</v>
      </c>
      <c r="G104" s="1377">
        <v>622</v>
      </c>
      <c r="H104" s="1378" t="s">
        <v>646</v>
      </c>
      <c r="I104" s="1378" t="s">
        <v>5</v>
      </c>
      <c r="J104" s="1378" t="s">
        <v>1451</v>
      </c>
      <c r="K104" s="1396">
        <v>4600</v>
      </c>
      <c r="L104" s="1380"/>
      <c r="M104" s="1380">
        <v>10.238709677419353</v>
      </c>
      <c r="N104" s="1381"/>
      <c r="O104" s="1381"/>
      <c r="P104" s="1381"/>
      <c r="Q104" s="1381">
        <v>200</v>
      </c>
      <c r="R104" s="1381"/>
      <c r="S104" s="1381"/>
      <c r="T104" s="1381"/>
      <c r="U104" s="1381"/>
      <c r="V104" s="1381"/>
      <c r="W104" s="1381">
        <v>200</v>
      </c>
      <c r="X104" s="1380">
        <v>952.17419354838705</v>
      </c>
      <c r="Y104" s="1380"/>
      <c r="Z104" s="1380"/>
      <c r="AA104" s="1380"/>
      <c r="AB104" s="1382">
        <v>952.17419354838705</v>
      </c>
      <c r="AC104" s="1377"/>
      <c r="AD104" s="1377"/>
      <c r="AE104" s="1377"/>
      <c r="AF104" s="1377"/>
      <c r="AG104" s="1377"/>
      <c r="AH104" s="1377"/>
      <c r="AI104" s="1377"/>
      <c r="AJ104" s="1377"/>
      <c r="AK104" s="1377"/>
      <c r="AL104" s="1377"/>
      <c r="AM104" s="1377"/>
      <c r="AN104" s="1380">
        <v>1000</v>
      </c>
      <c r="AO104" s="1380">
        <v>1000</v>
      </c>
      <c r="AP104" s="1383">
        <v>1952.1741935483869</v>
      </c>
    </row>
    <row r="105" spans="2:42" ht="15.75" hidden="1" x14ac:dyDescent="0.25">
      <c r="B105" s="1374" t="s">
        <v>1654</v>
      </c>
      <c r="C105" s="1399" t="s">
        <v>1655</v>
      </c>
      <c r="D105" s="1376" t="s">
        <v>1644</v>
      </c>
      <c r="E105" s="1376" t="s">
        <v>1629</v>
      </c>
      <c r="F105" s="1376" t="s">
        <v>1626</v>
      </c>
      <c r="G105" s="1377">
        <v>622</v>
      </c>
      <c r="H105" s="1378" t="s">
        <v>646</v>
      </c>
      <c r="I105" s="1378" t="s">
        <v>5</v>
      </c>
      <c r="J105" s="1378" t="s">
        <v>1451</v>
      </c>
      <c r="K105" s="1400">
        <v>4600</v>
      </c>
      <c r="L105" s="1380"/>
      <c r="M105" s="1380">
        <v>10.238709677419353</v>
      </c>
      <c r="N105" s="1381"/>
      <c r="O105" s="1381"/>
      <c r="P105" s="1381"/>
      <c r="Q105" s="1381">
        <v>200</v>
      </c>
      <c r="R105" s="1381"/>
      <c r="S105" s="1381"/>
      <c r="T105" s="1381"/>
      <c r="U105" s="1381"/>
      <c r="V105" s="1381"/>
      <c r="W105" s="1381">
        <v>200</v>
      </c>
      <c r="X105" s="1380">
        <v>952.17419354838705</v>
      </c>
      <c r="Y105" s="1380"/>
      <c r="Z105" s="1380"/>
      <c r="AA105" s="1380"/>
      <c r="AB105" s="1382">
        <v>952.17419354838705</v>
      </c>
      <c r="AC105" s="1377"/>
      <c r="AD105" s="1377"/>
      <c r="AE105" s="1377"/>
      <c r="AF105" s="1377"/>
      <c r="AG105" s="1377"/>
      <c r="AH105" s="1377"/>
      <c r="AI105" s="1377"/>
      <c r="AJ105" s="1377"/>
      <c r="AK105" s="1377"/>
      <c r="AL105" s="1377"/>
      <c r="AM105" s="1377"/>
      <c r="AN105" s="1380">
        <v>1000</v>
      </c>
      <c r="AO105" s="1380">
        <v>1000</v>
      </c>
      <c r="AP105" s="1383">
        <v>1952.1741935483869</v>
      </c>
    </row>
    <row r="106" spans="2:42" ht="15.75" hidden="1" x14ac:dyDescent="0.25">
      <c r="B106" s="1374" t="s">
        <v>1656</v>
      </c>
      <c r="C106" s="1387" t="s">
        <v>1657</v>
      </c>
      <c r="D106" s="1376" t="s">
        <v>1644</v>
      </c>
      <c r="E106" s="1376" t="s">
        <v>1658</v>
      </c>
      <c r="F106" s="1376" t="s">
        <v>1659</v>
      </c>
      <c r="G106" s="1377">
        <v>627</v>
      </c>
      <c r="H106" s="1378" t="s">
        <v>646</v>
      </c>
      <c r="I106" s="1378" t="s">
        <v>5</v>
      </c>
      <c r="J106" s="1378" t="s">
        <v>1451</v>
      </c>
      <c r="K106" s="1397">
        <v>5000</v>
      </c>
      <c r="L106" s="1380"/>
      <c r="M106" s="1380"/>
      <c r="N106" s="1381"/>
      <c r="O106" s="1381">
        <v>50</v>
      </c>
      <c r="P106" s="1381"/>
      <c r="Q106" s="1381"/>
      <c r="R106" s="1381"/>
      <c r="S106" s="1381"/>
      <c r="T106" s="1381"/>
      <c r="U106" s="1381"/>
      <c r="V106" s="1381"/>
      <c r="W106" s="1381">
        <v>50</v>
      </c>
      <c r="X106" s="1380">
        <v>5050</v>
      </c>
      <c r="Y106" s="1380"/>
      <c r="Z106" s="1380">
        <v>50</v>
      </c>
      <c r="AA106" s="1380"/>
      <c r="AB106" s="1382">
        <v>5000</v>
      </c>
      <c r="AC106" s="1377"/>
      <c r="AD106" s="1377"/>
      <c r="AE106" s="1377"/>
      <c r="AF106" s="1377"/>
      <c r="AG106" s="1377"/>
      <c r="AH106" s="1377"/>
      <c r="AI106" s="1377"/>
      <c r="AJ106" s="1377"/>
      <c r="AK106" s="1377"/>
      <c r="AL106" s="1377"/>
      <c r="AM106" s="1377"/>
      <c r="AN106" s="1380">
        <v>500</v>
      </c>
      <c r="AO106" s="1380">
        <v>500</v>
      </c>
      <c r="AP106" s="1383">
        <v>5550</v>
      </c>
    </row>
    <row r="107" spans="2:42" ht="15.75" hidden="1" x14ac:dyDescent="0.25">
      <c r="B107" s="1374" t="s">
        <v>1660</v>
      </c>
      <c r="C107" s="1387" t="s">
        <v>1661</v>
      </c>
      <c r="D107" s="1376" t="s">
        <v>1644</v>
      </c>
      <c r="E107" s="1376" t="s">
        <v>1658</v>
      </c>
      <c r="F107" s="1376" t="s">
        <v>1659</v>
      </c>
      <c r="G107" s="1377">
        <v>627</v>
      </c>
      <c r="H107" s="1378" t="s">
        <v>646</v>
      </c>
      <c r="I107" s="1378" t="s">
        <v>5</v>
      </c>
      <c r="J107" s="1378" t="s">
        <v>1451</v>
      </c>
      <c r="K107" s="1397">
        <v>6500</v>
      </c>
      <c r="L107" s="1380"/>
      <c r="M107" s="1380"/>
      <c r="N107" s="1381"/>
      <c r="O107" s="1381">
        <v>50</v>
      </c>
      <c r="P107" s="1381"/>
      <c r="Q107" s="1381"/>
      <c r="R107" s="1381"/>
      <c r="S107" s="1381"/>
      <c r="T107" s="1381"/>
      <c r="U107" s="1381"/>
      <c r="V107" s="1381"/>
      <c r="W107" s="1381">
        <v>50</v>
      </c>
      <c r="X107" s="1380">
        <v>6550</v>
      </c>
      <c r="Y107" s="1380"/>
      <c r="Z107" s="1380">
        <v>50</v>
      </c>
      <c r="AA107" s="1380"/>
      <c r="AB107" s="1382">
        <v>6500</v>
      </c>
      <c r="AC107" s="1377"/>
      <c r="AD107" s="1377"/>
      <c r="AE107" s="1377"/>
      <c r="AF107" s="1377"/>
      <c r="AG107" s="1377"/>
      <c r="AH107" s="1377"/>
      <c r="AI107" s="1377"/>
      <c r="AJ107" s="1377"/>
      <c r="AK107" s="1377"/>
      <c r="AL107" s="1377"/>
      <c r="AM107" s="1377"/>
      <c r="AN107" s="1380">
        <v>500</v>
      </c>
      <c r="AO107" s="1380">
        <v>500</v>
      </c>
      <c r="AP107" s="1383">
        <v>7050</v>
      </c>
    </row>
    <row r="108" spans="2:42" ht="15.75" hidden="1" x14ac:dyDescent="0.25">
      <c r="B108" s="1374" t="s">
        <v>1662</v>
      </c>
      <c r="C108" s="1401" t="s">
        <v>1663</v>
      </c>
      <c r="D108" s="1376" t="s">
        <v>1644</v>
      </c>
      <c r="E108" s="1377" t="s">
        <v>1358</v>
      </c>
      <c r="F108" s="1377" t="s">
        <v>1493</v>
      </c>
      <c r="G108" s="1377">
        <v>642</v>
      </c>
      <c r="H108" s="1378" t="s">
        <v>646</v>
      </c>
      <c r="I108" s="1378" t="s">
        <v>5</v>
      </c>
      <c r="J108" s="1378" t="s">
        <v>1451</v>
      </c>
      <c r="K108" s="1380">
        <v>12500</v>
      </c>
      <c r="L108" s="1380"/>
      <c r="M108" s="1380"/>
      <c r="N108" s="1381">
        <v>3000</v>
      </c>
      <c r="O108" s="1381"/>
      <c r="P108" s="1381"/>
      <c r="Q108" s="1381"/>
      <c r="R108" s="1381"/>
      <c r="S108" s="1381"/>
      <c r="T108" s="1381"/>
      <c r="U108" s="1381"/>
      <c r="V108" s="1381"/>
      <c r="W108" s="1381">
        <v>3000</v>
      </c>
      <c r="X108" s="1380">
        <v>11064.516129032258</v>
      </c>
      <c r="Y108" s="1380">
        <v>1120</v>
      </c>
      <c r="Z108" s="1380">
        <v>50</v>
      </c>
      <c r="AA108" s="1380"/>
      <c r="AB108" s="1382">
        <v>9894.5161290322576</v>
      </c>
      <c r="AC108" s="1377"/>
      <c r="AD108" s="1377"/>
      <c r="AE108" s="1377"/>
      <c r="AF108" s="1377"/>
      <c r="AG108" s="1377"/>
      <c r="AH108" s="1377"/>
      <c r="AI108" s="1377"/>
      <c r="AJ108" s="1377"/>
      <c r="AK108" s="1377"/>
      <c r="AL108" s="1377"/>
      <c r="AM108" s="1377"/>
      <c r="AN108" s="1380">
        <v>1000</v>
      </c>
      <c r="AO108" s="1380">
        <v>1000</v>
      </c>
      <c r="AP108" s="1383">
        <v>12064.516129032258</v>
      </c>
    </row>
    <row r="109" spans="2:42" ht="15.75" hidden="1" x14ac:dyDescent="0.25">
      <c r="B109" s="1374" t="s">
        <v>1664</v>
      </c>
      <c r="C109" s="1387" t="s">
        <v>1665</v>
      </c>
      <c r="D109" s="1376" t="s">
        <v>1644</v>
      </c>
      <c r="E109" s="1377" t="s">
        <v>1456</v>
      </c>
      <c r="F109" s="1377" t="s">
        <v>1493</v>
      </c>
      <c r="G109" s="1377">
        <v>641</v>
      </c>
      <c r="H109" s="1378" t="s">
        <v>646</v>
      </c>
      <c r="I109" s="1378" t="s">
        <v>5</v>
      </c>
      <c r="J109" s="1378" t="s">
        <v>1451</v>
      </c>
      <c r="K109" s="1380">
        <v>6000</v>
      </c>
      <c r="L109" s="1380"/>
      <c r="M109" s="1380"/>
      <c r="N109" s="1381"/>
      <c r="O109" s="1381"/>
      <c r="P109" s="1381"/>
      <c r="Q109" s="1381"/>
      <c r="R109" s="1381"/>
      <c r="S109" s="1381"/>
      <c r="T109" s="1381"/>
      <c r="U109" s="1381"/>
      <c r="V109" s="1381"/>
      <c r="W109" s="1381">
        <v>0</v>
      </c>
      <c r="X109" s="1380">
        <v>5032.2580645161297</v>
      </c>
      <c r="Y109" s="1380"/>
      <c r="Z109" s="1380">
        <v>50</v>
      </c>
      <c r="AA109" s="1380"/>
      <c r="AB109" s="1382">
        <v>4982.2580645161297</v>
      </c>
      <c r="AC109" s="1377"/>
      <c r="AD109" s="1377"/>
      <c r="AE109" s="1377"/>
      <c r="AF109" s="1377"/>
      <c r="AG109" s="1377"/>
      <c r="AH109" s="1377"/>
      <c r="AI109" s="1377"/>
      <c r="AJ109" s="1377"/>
      <c r="AK109" s="1377"/>
      <c r="AL109" s="1377"/>
      <c r="AM109" s="1377"/>
      <c r="AN109" s="1380">
        <v>1000</v>
      </c>
      <c r="AO109" s="1380">
        <v>1000</v>
      </c>
      <c r="AP109" s="1383">
        <v>6032.2580645161297</v>
      </c>
    </row>
    <row r="110" spans="2:42" ht="15.75" hidden="1" x14ac:dyDescent="0.25">
      <c r="B110" s="1374" t="s">
        <v>1666</v>
      </c>
      <c r="C110" s="1387" t="s">
        <v>1667</v>
      </c>
      <c r="D110" s="1376" t="s">
        <v>1644</v>
      </c>
      <c r="E110" s="1377" t="s">
        <v>1456</v>
      </c>
      <c r="F110" s="1377" t="s">
        <v>1493</v>
      </c>
      <c r="G110" s="1377">
        <v>641</v>
      </c>
      <c r="H110" s="1378" t="s">
        <v>646</v>
      </c>
      <c r="I110" s="1378" t="s">
        <v>5</v>
      </c>
      <c r="J110" s="1378" t="s">
        <v>1451</v>
      </c>
      <c r="K110" s="1380">
        <v>6000</v>
      </c>
      <c r="L110" s="1380"/>
      <c r="M110" s="1380"/>
      <c r="N110" s="1381"/>
      <c r="O110" s="1381"/>
      <c r="P110" s="1381"/>
      <c r="Q110" s="1381"/>
      <c r="R110" s="1381"/>
      <c r="S110" s="1381"/>
      <c r="T110" s="1381"/>
      <c r="U110" s="1381"/>
      <c r="V110" s="1381"/>
      <c r="W110" s="1381">
        <v>0</v>
      </c>
      <c r="X110" s="1380">
        <v>3774.1935483870971</v>
      </c>
      <c r="Y110" s="1380"/>
      <c r="Z110" s="1380">
        <v>50</v>
      </c>
      <c r="AA110" s="1380"/>
      <c r="AB110" s="1382">
        <v>3724.1935483870971</v>
      </c>
      <c r="AC110" s="1377"/>
      <c r="AD110" s="1377"/>
      <c r="AE110" s="1377"/>
      <c r="AF110" s="1377"/>
      <c r="AG110" s="1377"/>
      <c r="AH110" s="1377"/>
      <c r="AI110" s="1377"/>
      <c r="AJ110" s="1377"/>
      <c r="AK110" s="1377"/>
      <c r="AL110" s="1377"/>
      <c r="AM110" s="1377"/>
      <c r="AN110" s="1380">
        <v>1000</v>
      </c>
      <c r="AO110" s="1380">
        <v>1000</v>
      </c>
      <c r="AP110" s="1383">
        <v>4774.1935483870966</v>
      </c>
    </row>
    <row r="111" spans="2:42" ht="15.75" hidden="1" x14ac:dyDescent="0.25">
      <c r="B111" s="1374" t="s">
        <v>1668</v>
      </c>
      <c r="C111" s="1387" t="s">
        <v>1669</v>
      </c>
      <c r="D111" s="1376" t="s">
        <v>1644</v>
      </c>
      <c r="E111" s="1377" t="s">
        <v>1509</v>
      </c>
      <c r="F111" s="1377" t="s">
        <v>1493</v>
      </c>
      <c r="G111" s="1377">
        <v>627</v>
      </c>
      <c r="H111" s="1378" t="s">
        <v>646</v>
      </c>
      <c r="I111" s="1378" t="s">
        <v>5</v>
      </c>
      <c r="J111" s="1378" t="s">
        <v>1451</v>
      </c>
      <c r="K111" s="1380">
        <v>8500</v>
      </c>
      <c r="L111" s="1380"/>
      <c r="M111" s="1380"/>
      <c r="N111" s="1381"/>
      <c r="O111" s="1381"/>
      <c r="P111" s="1381"/>
      <c r="Q111" s="1381"/>
      <c r="R111" s="1381"/>
      <c r="S111" s="1381"/>
      <c r="T111" s="1381"/>
      <c r="U111" s="1381"/>
      <c r="V111" s="1381"/>
      <c r="W111" s="1381">
        <v>0</v>
      </c>
      <c r="X111" s="1380">
        <v>8225.8064516129034</v>
      </c>
      <c r="Y111" s="1380">
        <v>1120</v>
      </c>
      <c r="Z111" s="1380">
        <v>50</v>
      </c>
      <c r="AA111" s="1380"/>
      <c r="AB111" s="1382">
        <v>7055.8064516129034</v>
      </c>
      <c r="AC111" s="1377"/>
      <c r="AD111" s="1377"/>
      <c r="AE111" s="1377"/>
      <c r="AF111" s="1377"/>
      <c r="AG111" s="1377"/>
      <c r="AH111" s="1377"/>
      <c r="AI111" s="1377"/>
      <c r="AJ111" s="1377"/>
      <c r="AK111" s="1377"/>
      <c r="AL111" s="1377"/>
      <c r="AM111" s="1377"/>
      <c r="AN111" s="1380">
        <v>1000</v>
      </c>
      <c r="AO111" s="1380">
        <v>1000</v>
      </c>
      <c r="AP111" s="1383">
        <v>9225.8064516129034</v>
      </c>
    </row>
    <row r="112" spans="2:42" ht="15.75" hidden="1" x14ac:dyDescent="0.25">
      <c r="B112" s="1374" t="s">
        <v>294</v>
      </c>
      <c r="C112" s="1387" t="s">
        <v>1670</v>
      </c>
      <c r="D112" s="1376" t="s">
        <v>1644</v>
      </c>
      <c r="E112" s="1377" t="s">
        <v>1671</v>
      </c>
      <c r="F112" s="1377" t="s">
        <v>1493</v>
      </c>
      <c r="G112" s="1377">
        <v>627</v>
      </c>
      <c r="H112" s="1378" t="s">
        <v>646</v>
      </c>
      <c r="I112" s="1378" t="s">
        <v>5</v>
      </c>
      <c r="J112" s="1378" t="s">
        <v>1451</v>
      </c>
      <c r="K112" s="1380">
        <v>9000</v>
      </c>
      <c r="L112" s="1380"/>
      <c r="M112" s="1380"/>
      <c r="N112" s="1381">
        <v>2000</v>
      </c>
      <c r="O112" s="1381"/>
      <c r="P112" s="1381"/>
      <c r="Q112" s="1381"/>
      <c r="R112" s="1381"/>
      <c r="S112" s="1381"/>
      <c r="T112" s="1381"/>
      <c r="U112" s="1381"/>
      <c r="V112" s="1381"/>
      <c r="W112" s="1381">
        <v>2000</v>
      </c>
      <c r="X112" s="1380">
        <v>11000</v>
      </c>
      <c r="Y112" s="1380"/>
      <c r="Z112" s="1380">
        <v>50</v>
      </c>
      <c r="AA112" s="1380"/>
      <c r="AB112" s="1382">
        <v>10950</v>
      </c>
      <c r="AC112" s="1377"/>
      <c r="AD112" s="1377"/>
      <c r="AE112" s="1377"/>
      <c r="AF112" s="1377"/>
      <c r="AG112" s="1377"/>
      <c r="AH112" s="1377"/>
      <c r="AI112" s="1377"/>
      <c r="AJ112" s="1377"/>
      <c r="AK112" s="1377"/>
      <c r="AL112" s="1377"/>
      <c r="AM112" s="1377"/>
      <c r="AN112" s="1380">
        <v>1000</v>
      </c>
      <c r="AO112" s="1380">
        <v>1000</v>
      </c>
      <c r="AP112" s="1383">
        <v>12000</v>
      </c>
    </row>
    <row r="113" spans="2:42" ht="15.75" hidden="1" x14ac:dyDescent="0.25">
      <c r="B113" s="1374" t="s">
        <v>296</v>
      </c>
      <c r="C113" s="1387" t="s">
        <v>1672</v>
      </c>
      <c r="D113" s="1376" t="s">
        <v>1644</v>
      </c>
      <c r="E113" s="1377" t="s">
        <v>1509</v>
      </c>
      <c r="F113" s="1377" t="s">
        <v>1493</v>
      </c>
      <c r="G113" s="1377">
        <v>627</v>
      </c>
      <c r="H113" s="1378" t="s">
        <v>646</v>
      </c>
      <c r="I113" s="1378" t="s">
        <v>5</v>
      </c>
      <c r="J113" s="1378" t="s">
        <v>1451</v>
      </c>
      <c r="K113" s="1380">
        <v>7000</v>
      </c>
      <c r="L113" s="1380"/>
      <c r="M113" s="1380"/>
      <c r="N113" s="1381"/>
      <c r="O113" s="1381"/>
      <c r="P113" s="1381"/>
      <c r="Q113" s="1381"/>
      <c r="R113" s="1381"/>
      <c r="S113" s="1381"/>
      <c r="T113" s="1381"/>
      <c r="U113" s="1381"/>
      <c r="V113" s="1381"/>
      <c r="W113" s="1381">
        <v>0</v>
      </c>
      <c r="X113" s="1380">
        <v>6661.2903225806449</v>
      </c>
      <c r="Y113" s="1380"/>
      <c r="Z113" s="1380">
        <v>50</v>
      </c>
      <c r="AA113" s="1380"/>
      <c r="AB113" s="1382">
        <v>6611.2903225806449</v>
      </c>
      <c r="AC113" s="1377"/>
      <c r="AD113" s="1377"/>
      <c r="AE113" s="1377"/>
      <c r="AF113" s="1377"/>
      <c r="AG113" s="1377"/>
      <c r="AH113" s="1377"/>
      <c r="AI113" s="1377"/>
      <c r="AJ113" s="1377"/>
      <c r="AK113" s="1377"/>
      <c r="AL113" s="1377"/>
      <c r="AM113" s="1377"/>
      <c r="AN113" s="1380">
        <v>1000</v>
      </c>
      <c r="AO113" s="1380">
        <v>1000</v>
      </c>
      <c r="AP113" s="1383">
        <v>7661.2903225806449</v>
      </c>
    </row>
    <row r="114" spans="2:42" ht="15.75" hidden="1" x14ac:dyDescent="0.25">
      <c r="B114" s="1374" t="s">
        <v>298</v>
      </c>
      <c r="C114" s="1387" t="s">
        <v>1673</v>
      </c>
      <c r="D114" s="1376" t="s">
        <v>1644</v>
      </c>
      <c r="E114" s="1377" t="s">
        <v>1509</v>
      </c>
      <c r="F114" s="1377" t="s">
        <v>1493</v>
      </c>
      <c r="G114" s="1377">
        <v>627</v>
      </c>
      <c r="H114" s="1378" t="s">
        <v>646</v>
      </c>
      <c r="I114" s="1378" t="s">
        <v>5</v>
      </c>
      <c r="J114" s="1378" t="s">
        <v>1451</v>
      </c>
      <c r="K114" s="1380">
        <v>7000</v>
      </c>
      <c r="L114" s="1380"/>
      <c r="M114" s="1380"/>
      <c r="N114" s="1381"/>
      <c r="O114" s="1381"/>
      <c r="P114" s="1381"/>
      <c r="Q114" s="1381"/>
      <c r="R114" s="1381"/>
      <c r="S114" s="1381"/>
      <c r="T114" s="1381"/>
      <c r="U114" s="1381"/>
      <c r="V114" s="1381"/>
      <c r="W114" s="1381">
        <v>0</v>
      </c>
      <c r="X114" s="1380">
        <v>7000</v>
      </c>
      <c r="Y114" s="1380"/>
      <c r="Z114" s="1380">
        <v>50</v>
      </c>
      <c r="AA114" s="1380"/>
      <c r="AB114" s="1382">
        <v>6950</v>
      </c>
      <c r="AC114" s="1377"/>
      <c r="AD114" s="1377"/>
      <c r="AE114" s="1377"/>
      <c r="AF114" s="1377"/>
      <c r="AG114" s="1377"/>
      <c r="AH114" s="1377"/>
      <c r="AI114" s="1377"/>
      <c r="AJ114" s="1377"/>
      <c r="AK114" s="1377"/>
      <c r="AL114" s="1377"/>
      <c r="AM114" s="1377"/>
      <c r="AN114" s="1380">
        <v>500</v>
      </c>
      <c r="AO114" s="1380">
        <v>500</v>
      </c>
      <c r="AP114" s="1383">
        <v>7500</v>
      </c>
    </row>
    <row r="115" spans="2:42" ht="15.75" hidden="1" x14ac:dyDescent="0.25">
      <c r="B115" s="1374" t="s">
        <v>1674</v>
      </c>
      <c r="C115" s="1402" t="s">
        <v>1675</v>
      </c>
      <c r="D115" s="1376" t="s">
        <v>1644</v>
      </c>
      <c r="E115" s="1377" t="s">
        <v>1579</v>
      </c>
      <c r="F115" s="1377" t="s">
        <v>1505</v>
      </c>
      <c r="G115" s="1377">
        <v>622</v>
      </c>
      <c r="H115" s="1378" t="s">
        <v>646</v>
      </c>
      <c r="I115" s="1378" t="s">
        <v>5</v>
      </c>
      <c r="J115" s="1378" t="s">
        <v>1451</v>
      </c>
      <c r="K115" s="1403">
        <v>8520</v>
      </c>
      <c r="L115" s="1380"/>
      <c r="M115" s="1380"/>
      <c r="N115" s="1381">
        <v>2903.2258064516132</v>
      </c>
      <c r="O115" s="1381">
        <v>50</v>
      </c>
      <c r="P115" s="1381"/>
      <c r="Q115" s="1381"/>
      <c r="R115" s="1381"/>
      <c r="S115" s="1381"/>
      <c r="T115" s="1381"/>
      <c r="U115" s="1381"/>
      <c r="V115" s="1381"/>
      <c r="W115" s="1381">
        <v>2953.2258064516132</v>
      </c>
      <c r="X115" s="1380">
        <v>11198.387096774193</v>
      </c>
      <c r="Y115" s="1380">
        <v>1120</v>
      </c>
      <c r="Z115" s="1380">
        <v>50</v>
      </c>
      <c r="AA115" s="1380"/>
      <c r="AB115" s="1382">
        <v>10028.387096774193</v>
      </c>
      <c r="AC115" s="1377"/>
      <c r="AD115" s="1377"/>
      <c r="AE115" s="1377"/>
      <c r="AF115" s="1377"/>
      <c r="AG115" s="1377"/>
      <c r="AH115" s="1377"/>
      <c r="AI115" s="1377"/>
      <c r="AJ115" s="1377"/>
      <c r="AK115" s="1377"/>
      <c r="AL115" s="1377"/>
      <c r="AM115" s="1377"/>
      <c r="AN115" s="1380">
        <v>1000</v>
      </c>
      <c r="AO115" s="1380">
        <v>1000</v>
      </c>
      <c r="AP115" s="1383">
        <v>12198.387096774193</v>
      </c>
    </row>
    <row r="116" spans="2:42" ht="15.75" hidden="1" x14ac:dyDescent="0.25">
      <c r="B116" s="1374" t="s">
        <v>1676</v>
      </c>
      <c r="C116" s="1402" t="s">
        <v>1507</v>
      </c>
      <c r="D116" s="1376" t="s">
        <v>1644</v>
      </c>
      <c r="E116" s="1377" t="s">
        <v>1579</v>
      </c>
      <c r="F116" s="1377" t="s">
        <v>1505</v>
      </c>
      <c r="G116" s="1377">
        <v>622</v>
      </c>
      <c r="H116" s="1378" t="s">
        <v>646</v>
      </c>
      <c r="I116" s="1378" t="s">
        <v>5</v>
      </c>
      <c r="J116" s="1378" t="s">
        <v>1451</v>
      </c>
      <c r="K116" s="1403">
        <v>7500</v>
      </c>
      <c r="L116" s="1380"/>
      <c r="M116" s="1380"/>
      <c r="N116" s="1381">
        <v>2500</v>
      </c>
      <c r="O116" s="1381">
        <v>50</v>
      </c>
      <c r="P116" s="1381"/>
      <c r="Q116" s="1381"/>
      <c r="R116" s="1381"/>
      <c r="S116" s="1381"/>
      <c r="T116" s="1381"/>
      <c r="U116" s="1381"/>
      <c r="V116" s="1381"/>
      <c r="W116" s="1381">
        <v>2550</v>
      </c>
      <c r="X116" s="1380">
        <v>10050</v>
      </c>
      <c r="Y116" s="1380">
        <v>1120</v>
      </c>
      <c r="Z116" s="1380">
        <v>50</v>
      </c>
      <c r="AA116" s="1380"/>
      <c r="AB116" s="1382">
        <v>8880</v>
      </c>
      <c r="AC116" s="1377"/>
      <c r="AD116" s="1377"/>
      <c r="AE116" s="1377"/>
      <c r="AF116" s="1377"/>
      <c r="AG116" s="1377"/>
      <c r="AH116" s="1377"/>
      <c r="AI116" s="1377"/>
      <c r="AJ116" s="1377"/>
      <c r="AK116" s="1377"/>
      <c r="AL116" s="1377"/>
      <c r="AM116" s="1377"/>
      <c r="AN116" s="1380">
        <v>1000</v>
      </c>
      <c r="AO116" s="1380">
        <v>1000</v>
      </c>
      <c r="AP116" s="1383">
        <v>11050</v>
      </c>
    </row>
    <row r="117" spans="2:42" ht="15.75" hidden="1" x14ac:dyDescent="0.25">
      <c r="B117" s="1374" t="s">
        <v>1677</v>
      </c>
      <c r="C117" s="1402" t="s">
        <v>1678</v>
      </c>
      <c r="D117" s="1376" t="s">
        <v>1644</v>
      </c>
      <c r="E117" s="1377" t="s">
        <v>1469</v>
      </c>
      <c r="F117" s="1377" t="s">
        <v>1493</v>
      </c>
      <c r="G117" s="1377">
        <v>627</v>
      </c>
      <c r="H117" s="1378" t="s">
        <v>646</v>
      </c>
      <c r="I117" s="1378" t="s">
        <v>5</v>
      </c>
      <c r="J117" s="1378" t="s">
        <v>1451</v>
      </c>
      <c r="K117" s="1403">
        <v>7000</v>
      </c>
      <c r="L117" s="1380"/>
      <c r="M117" s="1380"/>
      <c r="N117" s="1381">
        <v>774.19354838709683</v>
      </c>
      <c r="O117" s="1381">
        <v>50</v>
      </c>
      <c r="P117" s="1381"/>
      <c r="Q117" s="1381"/>
      <c r="R117" s="1381"/>
      <c r="S117" s="1381"/>
      <c r="T117" s="1381"/>
      <c r="U117" s="1381"/>
      <c r="V117" s="1381"/>
      <c r="W117" s="1381">
        <v>824.19354838709683</v>
      </c>
      <c r="X117" s="1380">
        <v>6135.1612903225805</v>
      </c>
      <c r="Y117" s="1380">
        <v>1120</v>
      </c>
      <c r="Z117" s="1380">
        <v>50</v>
      </c>
      <c r="AA117" s="1380"/>
      <c r="AB117" s="1382">
        <v>4965.1612903225805</v>
      </c>
      <c r="AC117" s="1377"/>
      <c r="AD117" s="1377"/>
      <c r="AE117" s="1377"/>
      <c r="AF117" s="1377"/>
      <c r="AG117" s="1377"/>
      <c r="AH117" s="1377"/>
      <c r="AI117" s="1377"/>
      <c r="AJ117" s="1377"/>
      <c r="AK117" s="1377"/>
      <c r="AL117" s="1377"/>
      <c r="AM117" s="1377"/>
      <c r="AN117" s="1380">
        <v>1000</v>
      </c>
      <c r="AO117" s="1380">
        <v>1000</v>
      </c>
      <c r="AP117" s="1383">
        <v>7135.1612903225805</v>
      </c>
    </row>
    <row r="118" spans="2:42" ht="15.75" hidden="1" x14ac:dyDescent="0.25">
      <c r="B118" s="1374" t="s">
        <v>1679</v>
      </c>
      <c r="C118" s="1402" t="s">
        <v>1680</v>
      </c>
      <c r="D118" s="1376" t="s">
        <v>1644</v>
      </c>
      <c r="E118" s="1377" t="s">
        <v>1174</v>
      </c>
      <c r="F118" s="1377" t="s">
        <v>1493</v>
      </c>
      <c r="G118" s="1377">
        <v>627</v>
      </c>
      <c r="H118" s="1378" t="s">
        <v>646</v>
      </c>
      <c r="I118" s="1378" t="s">
        <v>5</v>
      </c>
      <c r="J118" s="1378" t="s">
        <v>1451</v>
      </c>
      <c r="K118" s="1404">
        <v>9000</v>
      </c>
      <c r="L118" s="1380"/>
      <c r="M118" s="1380"/>
      <c r="N118" s="1381"/>
      <c r="O118" s="1381"/>
      <c r="P118" s="1381"/>
      <c r="Q118" s="1381"/>
      <c r="R118" s="1381"/>
      <c r="S118" s="1381"/>
      <c r="T118" s="1381"/>
      <c r="U118" s="1381"/>
      <c r="V118" s="1381"/>
      <c r="W118" s="1381">
        <v>0</v>
      </c>
      <c r="X118" s="1380">
        <v>4354.8387096774195</v>
      </c>
      <c r="Y118" s="1380"/>
      <c r="Z118" s="1380"/>
      <c r="AA118" s="1380"/>
      <c r="AB118" s="1382">
        <v>4354.8387096774195</v>
      </c>
      <c r="AC118" s="1377"/>
      <c r="AD118" s="1377"/>
      <c r="AE118" s="1377"/>
      <c r="AF118" s="1377"/>
      <c r="AG118" s="1377"/>
      <c r="AH118" s="1377"/>
      <c r="AI118" s="1377"/>
      <c r="AJ118" s="1377"/>
      <c r="AK118" s="1377"/>
      <c r="AL118" s="1377"/>
      <c r="AM118" s="1377"/>
      <c r="AN118" s="1380"/>
      <c r="AO118" s="1380">
        <v>0</v>
      </c>
      <c r="AP118" s="1383">
        <v>4354.8387096774195</v>
      </c>
    </row>
    <row r="119" spans="2:42" ht="15.75" hidden="1" x14ac:dyDescent="0.25">
      <c r="B119" s="1374" t="s">
        <v>1681</v>
      </c>
      <c r="C119" s="1402" t="s">
        <v>1682</v>
      </c>
      <c r="D119" s="1376" t="s">
        <v>1644</v>
      </c>
      <c r="E119" s="1377" t="s">
        <v>1502</v>
      </c>
      <c r="F119" s="1377" t="s">
        <v>1493</v>
      </c>
      <c r="G119" s="1377">
        <v>627</v>
      </c>
      <c r="H119" s="1378" t="s">
        <v>646</v>
      </c>
      <c r="I119" s="1378" t="s">
        <v>5</v>
      </c>
      <c r="J119" s="1378" t="s">
        <v>1451</v>
      </c>
      <c r="K119" s="1403">
        <v>6000</v>
      </c>
      <c r="L119" s="1380"/>
      <c r="M119" s="1380"/>
      <c r="N119" s="1381"/>
      <c r="O119" s="1381"/>
      <c r="P119" s="1381"/>
      <c r="Q119" s="1381"/>
      <c r="R119" s="1381"/>
      <c r="S119" s="1381"/>
      <c r="T119" s="1381"/>
      <c r="U119" s="1381"/>
      <c r="V119" s="1381"/>
      <c r="W119" s="1381">
        <v>0</v>
      </c>
      <c r="X119" s="1380">
        <v>6000</v>
      </c>
      <c r="Y119" s="1380">
        <v>1120</v>
      </c>
      <c r="Z119" s="1380">
        <v>50</v>
      </c>
      <c r="AA119" s="1380"/>
      <c r="AB119" s="1382">
        <v>4830</v>
      </c>
      <c r="AC119" s="1377"/>
      <c r="AD119" s="1377"/>
      <c r="AE119" s="1377"/>
      <c r="AF119" s="1377"/>
      <c r="AG119" s="1377"/>
      <c r="AH119" s="1377"/>
      <c r="AI119" s="1377"/>
      <c r="AJ119" s="1377"/>
      <c r="AK119" s="1377"/>
      <c r="AL119" s="1377"/>
      <c r="AM119" s="1377"/>
      <c r="AN119" s="1380">
        <v>1000</v>
      </c>
      <c r="AO119" s="1380">
        <v>1000</v>
      </c>
      <c r="AP119" s="1383">
        <v>7000</v>
      </c>
    </row>
    <row r="120" spans="2:42" ht="15.75" hidden="1" x14ac:dyDescent="0.25">
      <c r="B120" s="1374" t="s">
        <v>1683</v>
      </c>
      <c r="C120" s="1402" t="s">
        <v>1684</v>
      </c>
      <c r="D120" s="1376" t="s">
        <v>1644</v>
      </c>
      <c r="E120" s="1377" t="s">
        <v>1461</v>
      </c>
      <c r="F120" s="1377" t="s">
        <v>1493</v>
      </c>
      <c r="G120" s="1377">
        <v>642</v>
      </c>
      <c r="H120" s="1378" t="s">
        <v>646</v>
      </c>
      <c r="I120" s="1378" t="s">
        <v>5</v>
      </c>
      <c r="J120" s="1378" t="s">
        <v>1451</v>
      </c>
      <c r="K120" s="1403">
        <v>6500</v>
      </c>
      <c r="L120" s="1380"/>
      <c r="M120" s="1380"/>
      <c r="N120" s="1381"/>
      <c r="O120" s="1381"/>
      <c r="P120" s="1381"/>
      <c r="Q120" s="1381"/>
      <c r="R120" s="1381"/>
      <c r="S120" s="1381"/>
      <c r="T120" s="1381"/>
      <c r="U120" s="1381"/>
      <c r="V120" s="1381"/>
      <c r="W120" s="1381">
        <v>0</v>
      </c>
      <c r="X120" s="1380">
        <v>6671.9354838709678</v>
      </c>
      <c r="Y120" s="1380"/>
      <c r="Z120" s="1380">
        <v>50</v>
      </c>
      <c r="AA120" s="1380">
        <v>40</v>
      </c>
      <c r="AB120" s="1382">
        <v>6581.9354838709678</v>
      </c>
      <c r="AC120" s="1377"/>
      <c r="AD120" s="1377"/>
      <c r="AE120" s="1377"/>
      <c r="AF120" s="1377"/>
      <c r="AG120" s="1377"/>
      <c r="AH120" s="1377"/>
      <c r="AI120" s="1377"/>
      <c r="AJ120" s="1377"/>
      <c r="AK120" s="1377"/>
      <c r="AL120" s="1377"/>
      <c r="AM120" s="1377"/>
      <c r="AN120" s="1380">
        <v>1000</v>
      </c>
      <c r="AO120" s="1380">
        <v>1000</v>
      </c>
      <c r="AP120" s="1383">
        <v>7671.9354838709678</v>
      </c>
    </row>
    <row r="121" spans="2:42" ht="15.75" hidden="1" x14ac:dyDescent="0.25">
      <c r="B121" s="1374" t="s">
        <v>1685</v>
      </c>
      <c r="C121" s="1398" t="s">
        <v>1517</v>
      </c>
      <c r="D121" s="1376" t="s">
        <v>1644</v>
      </c>
      <c r="E121" s="1377" t="s">
        <v>1530</v>
      </c>
      <c r="F121" s="1377" t="s">
        <v>1493</v>
      </c>
      <c r="G121" s="1377">
        <v>627</v>
      </c>
      <c r="H121" s="1378" t="s">
        <v>646</v>
      </c>
      <c r="I121" s="1378" t="s">
        <v>5</v>
      </c>
      <c r="J121" s="1378" t="s">
        <v>1451</v>
      </c>
      <c r="K121" s="1397">
        <v>3312</v>
      </c>
      <c r="L121" s="1380">
        <v>3847</v>
      </c>
      <c r="M121" s="1380"/>
      <c r="N121" s="1381"/>
      <c r="O121" s="1381">
        <v>50</v>
      </c>
      <c r="P121" s="1381"/>
      <c r="Q121" s="1381"/>
      <c r="R121" s="1381"/>
      <c r="S121" s="1381">
        <v>500</v>
      </c>
      <c r="T121" s="1381"/>
      <c r="U121" s="1381"/>
      <c r="V121" s="1381"/>
      <c r="W121" s="1381">
        <v>550</v>
      </c>
      <c r="X121" s="1380">
        <v>7602.1612903225814</v>
      </c>
      <c r="Y121" s="1380">
        <v>1120</v>
      </c>
      <c r="Z121" s="1380">
        <v>50</v>
      </c>
      <c r="AA121" s="1380"/>
      <c r="AB121" s="1382">
        <v>6432.1612903225814</v>
      </c>
      <c r="AC121" s="1377"/>
      <c r="AD121" s="1377"/>
      <c r="AE121" s="1377"/>
      <c r="AF121" s="1377"/>
      <c r="AG121" s="1377"/>
      <c r="AH121" s="1377"/>
      <c r="AI121" s="1377"/>
      <c r="AJ121" s="1377"/>
      <c r="AK121" s="1377"/>
      <c r="AL121" s="1377"/>
      <c r="AM121" s="1377"/>
      <c r="AN121" s="1380">
        <v>1000</v>
      </c>
      <c r="AO121" s="1380">
        <v>1000</v>
      </c>
      <c r="AP121" s="1383">
        <v>8602.1612903225814</v>
      </c>
    </row>
    <row r="122" spans="2:42" ht="15.75" hidden="1" x14ac:dyDescent="0.25">
      <c r="B122" s="1374" t="s">
        <v>300</v>
      </c>
      <c r="C122" s="1398" t="s">
        <v>1686</v>
      </c>
      <c r="D122" s="1376" t="s">
        <v>1644</v>
      </c>
      <c r="E122" s="1377" t="s">
        <v>1527</v>
      </c>
      <c r="F122" s="1377" t="s">
        <v>1505</v>
      </c>
      <c r="G122" s="1377">
        <v>622</v>
      </c>
      <c r="H122" s="1378" t="s">
        <v>646</v>
      </c>
      <c r="I122" s="1378" t="s">
        <v>5</v>
      </c>
      <c r="J122" s="1378" t="s">
        <v>1451</v>
      </c>
      <c r="K122" s="1397">
        <v>4000</v>
      </c>
      <c r="L122" s="1380">
        <v>6635</v>
      </c>
      <c r="M122" s="1380"/>
      <c r="N122" s="1381"/>
      <c r="O122" s="1381">
        <v>50</v>
      </c>
      <c r="P122" s="1381"/>
      <c r="Q122" s="1381"/>
      <c r="R122" s="1381"/>
      <c r="S122" s="1381">
        <v>500</v>
      </c>
      <c r="T122" s="1381"/>
      <c r="U122" s="1381"/>
      <c r="V122" s="1381"/>
      <c r="W122" s="1381">
        <v>550</v>
      </c>
      <c r="X122" s="1380">
        <v>11055.967741935485</v>
      </c>
      <c r="Y122" s="1380"/>
      <c r="Z122" s="1380">
        <v>50</v>
      </c>
      <c r="AA122" s="1380"/>
      <c r="AB122" s="1382">
        <v>11005.967741935485</v>
      </c>
      <c r="AC122" s="1377"/>
      <c r="AD122" s="1377"/>
      <c r="AE122" s="1377"/>
      <c r="AF122" s="1377"/>
      <c r="AG122" s="1377"/>
      <c r="AH122" s="1377"/>
      <c r="AI122" s="1377"/>
      <c r="AJ122" s="1377"/>
      <c r="AK122" s="1377"/>
      <c r="AL122" s="1377"/>
      <c r="AM122" s="1377"/>
      <c r="AN122" s="1380">
        <v>1000</v>
      </c>
      <c r="AO122" s="1380">
        <v>1000</v>
      </c>
      <c r="AP122" s="1383">
        <v>12055.967741935485</v>
      </c>
    </row>
    <row r="123" spans="2:42" ht="15.75" hidden="1" x14ac:dyDescent="0.25">
      <c r="B123" s="1374" t="s">
        <v>302</v>
      </c>
      <c r="C123" s="1398" t="s">
        <v>1687</v>
      </c>
      <c r="D123" s="1376" t="s">
        <v>1644</v>
      </c>
      <c r="E123" s="1377" t="s">
        <v>1527</v>
      </c>
      <c r="F123" s="1377" t="s">
        <v>1505</v>
      </c>
      <c r="G123" s="1377">
        <v>622</v>
      </c>
      <c r="H123" s="1378" t="s">
        <v>646</v>
      </c>
      <c r="I123" s="1378" t="s">
        <v>5</v>
      </c>
      <c r="J123" s="1378" t="s">
        <v>1451</v>
      </c>
      <c r="K123" s="1397">
        <v>4000</v>
      </c>
      <c r="L123" s="1380">
        <v>4523</v>
      </c>
      <c r="M123" s="1380"/>
      <c r="N123" s="1381"/>
      <c r="O123" s="1381">
        <v>50</v>
      </c>
      <c r="P123" s="1381"/>
      <c r="Q123" s="1381"/>
      <c r="R123" s="1381"/>
      <c r="S123" s="1381">
        <v>500</v>
      </c>
      <c r="T123" s="1381"/>
      <c r="U123" s="1381"/>
      <c r="V123" s="1381"/>
      <c r="W123" s="1381">
        <v>550</v>
      </c>
      <c r="X123" s="1380">
        <v>9073</v>
      </c>
      <c r="Y123" s="1380"/>
      <c r="Z123" s="1380">
        <v>50</v>
      </c>
      <c r="AA123" s="1380"/>
      <c r="AB123" s="1382">
        <v>9023</v>
      </c>
      <c r="AC123" s="1377"/>
      <c r="AD123" s="1377"/>
      <c r="AE123" s="1377"/>
      <c r="AF123" s="1377"/>
      <c r="AG123" s="1377"/>
      <c r="AH123" s="1377"/>
      <c r="AI123" s="1377"/>
      <c r="AJ123" s="1377"/>
      <c r="AK123" s="1377"/>
      <c r="AL123" s="1377"/>
      <c r="AM123" s="1377"/>
      <c r="AN123" s="1380">
        <v>1000</v>
      </c>
      <c r="AO123" s="1380">
        <v>1000</v>
      </c>
      <c r="AP123" s="1383">
        <v>10073</v>
      </c>
    </row>
    <row r="124" spans="2:42" ht="15.75" hidden="1" x14ac:dyDescent="0.25">
      <c r="B124" s="1374" t="s">
        <v>304</v>
      </c>
      <c r="C124" s="1398" t="s">
        <v>1688</v>
      </c>
      <c r="D124" s="1376" t="s">
        <v>1644</v>
      </c>
      <c r="E124" s="1377" t="s">
        <v>1530</v>
      </c>
      <c r="F124" s="1377" t="s">
        <v>1531</v>
      </c>
      <c r="G124" s="1377">
        <v>627</v>
      </c>
      <c r="H124" s="1378" t="s">
        <v>646</v>
      </c>
      <c r="I124" s="1378" t="s">
        <v>5</v>
      </c>
      <c r="J124" s="1378" t="s">
        <v>1451</v>
      </c>
      <c r="K124" s="1397">
        <v>3000</v>
      </c>
      <c r="L124" s="1380">
        <v>6100</v>
      </c>
      <c r="M124" s="1380"/>
      <c r="N124" s="1381"/>
      <c r="O124" s="1381">
        <v>50</v>
      </c>
      <c r="P124" s="1381"/>
      <c r="Q124" s="1381"/>
      <c r="R124" s="1381"/>
      <c r="S124" s="1381">
        <v>500</v>
      </c>
      <c r="T124" s="1381"/>
      <c r="U124" s="1381"/>
      <c r="V124" s="1381"/>
      <c r="W124" s="1381">
        <v>550</v>
      </c>
      <c r="X124" s="1380">
        <v>9650</v>
      </c>
      <c r="Y124" s="1380"/>
      <c r="Z124" s="1380">
        <v>50</v>
      </c>
      <c r="AA124" s="1380"/>
      <c r="AB124" s="1382">
        <v>9600</v>
      </c>
      <c r="AC124" s="1377"/>
      <c r="AD124" s="1377"/>
      <c r="AE124" s="1377"/>
      <c r="AF124" s="1377"/>
      <c r="AG124" s="1377"/>
      <c r="AH124" s="1377"/>
      <c r="AI124" s="1377"/>
      <c r="AJ124" s="1377"/>
      <c r="AK124" s="1377"/>
      <c r="AL124" s="1377"/>
      <c r="AM124" s="1377"/>
      <c r="AN124" s="1380">
        <v>1000</v>
      </c>
      <c r="AO124" s="1380">
        <v>1000</v>
      </c>
      <c r="AP124" s="1383">
        <v>10650</v>
      </c>
    </row>
    <row r="125" spans="2:42" ht="15.75" hidden="1" x14ac:dyDescent="0.25">
      <c r="B125" s="1374" t="s">
        <v>306</v>
      </c>
      <c r="C125" s="1398" t="s">
        <v>1689</v>
      </c>
      <c r="D125" s="1376" t="s">
        <v>1644</v>
      </c>
      <c r="E125" s="1377" t="s">
        <v>1530</v>
      </c>
      <c r="F125" s="1377" t="s">
        <v>1531</v>
      </c>
      <c r="G125" s="1377">
        <v>627</v>
      </c>
      <c r="H125" s="1378" t="s">
        <v>646</v>
      </c>
      <c r="I125" s="1378" t="s">
        <v>5</v>
      </c>
      <c r="J125" s="1378" t="s">
        <v>1451</v>
      </c>
      <c r="K125" s="1397">
        <v>3000</v>
      </c>
      <c r="L125" s="1380">
        <v>3538</v>
      </c>
      <c r="M125" s="1380"/>
      <c r="N125" s="1381"/>
      <c r="O125" s="1381">
        <v>50</v>
      </c>
      <c r="P125" s="1381"/>
      <c r="Q125" s="1381"/>
      <c r="R125" s="1381"/>
      <c r="S125" s="1381">
        <v>300</v>
      </c>
      <c r="T125" s="1381"/>
      <c r="U125" s="1381"/>
      <c r="V125" s="1381"/>
      <c r="W125" s="1381">
        <v>350</v>
      </c>
      <c r="X125" s="1380">
        <v>6694.4516129032254</v>
      </c>
      <c r="Y125" s="1380"/>
      <c r="Z125" s="1380">
        <v>50</v>
      </c>
      <c r="AA125" s="1380"/>
      <c r="AB125" s="1382">
        <v>6644.4516129032254</v>
      </c>
      <c r="AC125" s="1377"/>
      <c r="AD125" s="1377"/>
      <c r="AE125" s="1377"/>
      <c r="AF125" s="1377"/>
      <c r="AG125" s="1377"/>
      <c r="AH125" s="1377"/>
      <c r="AI125" s="1377"/>
      <c r="AJ125" s="1377"/>
      <c r="AK125" s="1377"/>
      <c r="AL125" s="1377"/>
      <c r="AM125" s="1377"/>
      <c r="AN125" s="1380">
        <v>1000</v>
      </c>
      <c r="AO125" s="1380">
        <v>1000</v>
      </c>
      <c r="AP125" s="1383">
        <v>7694.4516129032254</v>
      </c>
    </row>
    <row r="126" spans="2:42" ht="15.75" hidden="1" x14ac:dyDescent="0.25">
      <c r="B126" s="1374" t="s">
        <v>1690</v>
      </c>
      <c r="C126" s="1398" t="s">
        <v>1691</v>
      </c>
      <c r="D126" s="1376" t="s">
        <v>1644</v>
      </c>
      <c r="E126" s="1377" t="s">
        <v>1527</v>
      </c>
      <c r="F126" s="1377" t="s">
        <v>1505</v>
      </c>
      <c r="G126" s="1377">
        <v>622</v>
      </c>
      <c r="H126" s="1378" t="s">
        <v>646</v>
      </c>
      <c r="I126" s="1378" t="s">
        <v>5</v>
      </c>
      <c r="J126" s="1378" t="s">
        <v>1451</v>
      </c>
      <c r="K126" s="1397">
        <v>4000</v>
      </c>
      <c r="L126" s="1380">
        <v>4553.5</v>
      </c>
      <c r="M126" s="1380"/>
      <c r="N126" s="1381"/>
      <c r="O126" s="1381">
        <v>50</v>
      </c>
      <c r="P126" s="1381"/>
      <c r="Q126" s="1381"/>
      <c r="R126" s="1381"/>
      <c r="S126" s="1381">
        <v>300</v>
      </c>
      <c r="T126" s="1381"/>
      <c r="U126" s="1381"/>
      <c r="V126" s="1381"/>
      <c r="W126" s="1381">
        <v>350</v>
      </c>
      <c r="X126" s="1380">
        <v>8645.4354838709678</v>
      </c>
      <c r="Y126" s="1380"/>
      <c r="Z126" s="1380">
        <v>50</v>
      </c>
      <c r="AA126" s="1380"/>
      <c r="AB126" s="1382">
        <v>8595.4354838709678</v>
      </c>
      <c r="AC126" s="1377"/>
      <c r="AD126" s="1377"/>
      <c r="AE126" s="1377"/>
      <c r="AF126" s="1377"/>
      <c r="AG126" s="1377"/>
      <c r="AH126" s="1377"/>
      <c r="AI126" s="1377"/>
      <c r="AJ126" s="1377"/>
      <c r="AK126" s="1377"/>
      <c r="AL126" s="1377"/>
      <c r="AM126" s="1377"/>
      <c r="AN126" s="1380">
        <v>1000</v>
      </c>
      <c r="AO126" s="1380">
        <v>1000</v>
      </c>
      <c r="AP126" s="1383">
        <v>9645.4354838709678</v>
      </c>
    </row>
    <row r="127" spans="2:42" ht="15.75" hidden="1" x14ac:dyDescent="0.25">
      <c r="B127" s="1374" t="s">
        <v>1692</v>
      </c>
      <c r="C127" s="1399" t="s">
        <v>1693</v>
      </c>
      <c r="D127" s="1376" t="s">
        <v>1644</v>
      </c>
      <c r="E127" s="1377" t="s">
        <v>1546</v>
      </c>
      <c r="F127" s="1377" t="s">
        <v>1493</v>
      </c>
      <c r="G127" s="1377">
        <v>627</v>
      </c>
      <c r="H127" s="1378" t="s">
        <v>646</v>
      </c>
      <c r="I127" s="1378" t="s">
        <v>5</v>
      </c>
      <c r="J127" s="1378" t="s">
        <v>1451</v>
      </c>
      <c r="K127" s="1397">
        <v>3000</v>
      </c>
      <c r="L127" s="1380">
        <v>6810</v>
      </c>
      <c r="M127" s="1380"/>
      <c r="N127" s="1381"/>
      <c r="O127" s="1381">
        <v>50</v>
      </c>
      <c r="P127" s="1381"/>
      <c r="Q127" s="1381"/>
      <c r="R127" s="1381"/>
      <c r="S127" s="1381">
        <v>500</v>
      </c>
      <c r="T127" s="1381"/>
      <c r="U127" s="1381"/>
      <c r="V127" s="1381"/>
      <c r="W127" s="1381">
        <v>550</v>
      </c>
      <c r="X127" s="1380">
        <v>10360</v>
      </c>
      <c r="Y127" s="1380"/>
      <c r="Z127" s="1380">
        <v>50</v>
      </c>
      <c r="AA127" s="1380"/>
      <c r="AB127" s="1382">
        <v>10310</v>
      </c>
      <c r="AC127" s="1377"/>
      <c r="AD127" s="1377"/>
      <c r="AE127" s="1377"/>
      <c r="AF127" s="1377"/>
      <c r="AG127" s="1377"/>
      <c r="AH127" s="1377"/>
      <c r="AI127" s="1377"/>
      <c r="AJ127" s="1377"/>
      <c r="AK127" s="1377"/>
      <c r="AL127" s="1377"/>
      <c r="AM127" s="1377"/>
      <c r="AN127" s="1380">
        <v>1000</v>
      </c>
      <c r="AO127" s="1380">
        <v>1000</v>
      </c>
      <c r="AP127" s="1383">
        <v>11360</v>
      </c>
    </row>
    <row r="128" spans="2:42" ht="15.75" hidden="1" x14ac:dyDescent="0.25">
      <c r="B128" s="1374" t="s">
        <v>1694</v>
      </c>
      <c r="C128" s="1399" t="s">
        <v>1695</v>
      </c>
      <c r="D128" s="1376" t="s">
        <v>1644</v>
      </c>
      <c r="E128" s="1377" t="s">
        <v>1543</v>
      </c>
      <c r="F128" s="1377" t="s">
        <v>1493</v>
      </c>
      <c r="G128" s="1377">
        <v>627</v>
      </c>
      <c r="H128" s="1378" t="s">
        <v>646</v>
      </c>
      <c r="I128" s="1378" t="s">
        <v>5</v>
      </c>
      <c r="J128" s="1378" t="s">
        <v>1451</v>
      </c>
      <c r="K128" s="1397">
        <v>8000</v>
      </c>
      <c r="L128" s="1380"/>
      <c r="M128" s="1380"/>
      <c r="N128" s="1381">
        <v>4000</v>
      </c>
      <c r="O128" s="1381">
        <v>50</v>
      </c>
      <c r="P128" s="1381"/>
      <c r="Q128" s="1381"/>
      <c r="R128" s="1381"/>
      <c r="S128" s="1381"/>
      <c r="T128" s="1381"/>
      <c r="U128" s="1381"/>
      <c r="V128" s="1381"/>
      <c r="W128" s="1381">
        <v>4050</v>
      </c>
      <c r="X128" s="1380">
        <v>12050</v>
      </c>
      <c r="Y128" s="1380"/>
      <c r="Z128" s="1380">
        <v>50</v>
      </c>
      <c r="AA128" s="1380"/>
      <c r="AB128" s="1382">
        <v>12000</v>
      </c>
      <c r="AC128" s="1377"/>
      <c r="AD128" s="1377"/>
      <c r="AE128" s="1377"/>
      <c r="AF128" s="1377"/>
      <c r="AG128" s="1377"/>
      <c r="AH128" s="1377"/>
      <c r="AI128" s="1377"/>
      <c r="AJ128" s="1377"/>
      <c r="AK128" s="1377"/>
      <c r="AL128" s="1377"/>
      <c r="AM128" s="1377"/>
      <c r="AN128" s="1380">
        <v>1000</v>
      </c>
      <c r="AO128" s="1380">
        <v>1000</v>
      </c>
      <c r="AP128" s="1383">
        <v>13050</v>
      </c>
    </row>
    <row r="129" spans="2:42" ht="15.75" hidden="1" x14ac:dyDescent="0.25">
      <c r="B129" s="1374" t="s">
        <v>1696</v>
      </c>
      <c r="C129" s="1399" t="s">
        <v>1697</v>
      </c>
      <c r="D129" s="1376" t="s">
        <v>1644</v>
      </c>
      <c r="E129" s="1377" t="s">
        <v>1546</v>
      </c>
      <c r="F129" s="1377" t="s">
        <v>1493</v>
      </c>
      <c r="G129" s="1377">
        <v>627</v>
      </c>
      <c r="H129" s="1378" t="s">
        <v>646</v>
      </c>
      <c r="I129" s="1378" t="s">
        <v>5</v>
      </c>
      <c r="J129" s="1378" t="s">
        <v>1451</v>
      </c>
      <c r="K129" s="1397">
        <v>3000</v>
      </c>
      <c r="L129" s="1380">
        <v>6560</v>
      </c>
      <c r="M129" s="1380"/>
      <c r="N129" s="1381"/>
      <c r="O129" s="1381">
        <v>50</v>
      </c>
      <c r="P129" s="1381"/>
      <c r="Q129" s="1381"/>
      <c r="R129" s="1381"/>
      <c r="S129" s="1381">
        <v>500</v>
      </c>
      <c r="T129" s="1381"/>
      <c r="U129" s="1381"/>
      <c r="V129" s="1381"/>
      <c r="W129" s="1381">
        <v>550</v>
      </c>
      <c r="X129" s="1380">
        <v>10110</v>
      </c>
      <c r="Y129" s="1380"/>
      <c r="Z129" s="1380">
        <v>50</v>
      </c>
      <c r="AA129" s="1380"/>
      <c r="AB129" s="1382">
        <v>10060</v>
      </c>
      <c r="AC129" s="1377"/>
      <c r="AD129" s="1377"/>
      <c r="AE129" s="1377"/>
      <c r="AF129" s="1377"/>
      <c r="AG129" s="1377"/>
      <c r="AH129" s="1377"/>
      <c r="AI129" s="1377"/>
      <c r="AJ129" s="1377"/>
      <c r="AK129" s="1377"/>
      <c r="AL129" s="1377"/>
      <c r="AM129" s="1377"/>
      <c r="AN129" s="1380">
        <v>1000</v>
      </c>
      <c r="AO129" s="1380">
        <v>1000</v>
      </c>
      <c r="AP129" s="1383">
        <v>11110</v>
      </c>
    </row>
    <row r="130" spans="2:42" ht="15.75" hidden="1" x14ac:dyDescent="0.25">
      <c r="B130" s="1374" t="s">
        <v>1698</v>
      </c>
      <c r="C130" s="1399" t="s">
        <v>1699</v>
      </c>
      <c r="D130" s="1376" t="s">
        <v>1644</v>
      </c>
      <c r="E130" s="1377" t="s">
        <v>1546</v>
      </c>
      <c r="F130" s="1377" t="s">
        <v>1493</v>
      </c>
      <c r="G130" s="1377">
        <v>627</v>
      </c>
      <c r="H130" s="1378" t="s">
        <v>646</v>
      </c>
      <c r="I130" s="1378" t="s">
        <v>5</v>
      </c>
      <c r="J130" s="1378" t="s">
        <v>1451</v>
      </c>
      <c r="K130" s="1397">
        <v>3000</v>
      </c>
      <c r="L130" s="1380">
        <v>6320</v>
      </c>
      <c r="M130" s="1380"/>
      <c r="N130" s="1381"/>
      <c r="O130" s="1381">
        <v>50</v>
      </c>
      <c r="P130" s="1381"/>
      <c r="Q130" s="1381"/>
      <c r="R130" s="1381"/>
      <c r="S130" s="1381">
        <v>300</v>
      </c>
      <c r="T130" s="1381"/>
      <c r="U130" s="1381"/>
      <c r="V130" s="1381"/>
      <c r="W130" s="1381">
        <v>350</v>
      </c>
      <c r="X130" s="1380">
        <v>9089.354838709678</v>
      </c>
      <c r="Y130" s="1380"/>
      <c r="Z130" s="1380">
        <v>50</v>
      </c>
      <c r="AA130" s="1380"/>
      <c r="AB130" s="1382">
        <v>9039.354838709678</v>
      </c>
      <c r="AC130" s="1377"/>
      <c r="AD130" s="1377"/>
      <c r="AE130" s="1377"/>
      <c r="AF130" s="1377"/>
      <c r="AG130" s="1377"/>
      <c r="AH130" s="1377"/>
      <c r="AI130" s="1377"/>
      <c r="AJ130" s="1377"/>
      <c r="AK130" s="1377"/>
      <c r="AL130" s="1377"/>
      <c r="AM130" s="1377"/>
      <c r="AN130" s="1380">
        <v>1000</v>
      </c>
      <c r="AO130" s="1380">
        <v>1000</v>
      </c>
      <c r="AP130" s="1383">
        <v>10089.354838709678</v>
      </c>
    </row>
    <row r="131" spans="2:42" ht="15.75" hidden="1" x14ac:dyDescent="0.25">
      <c r="B131" s="1374" t="s">
        <v>1700</v>
      </c>
      <c r="C131" s="1399" t="s">
        <v>1701</v>
      </c>
      <c r="D131" s="1376" t="s">
        <v>1644</v>
      </c>
      <c r="E131" s="1377" t="s">
        <v>1546</v>
      </c>
      <c r="F131" s="1377" t="s">
        <v>1493</v>
      </c>
      <c r="G131" s="1377">
        <v>627</v>
      </c>
      <c r="H131" s="1378" t="s">
        <v>646</v>
      </c>
      <c r="I131" s="1378" t="s">
        <v>5</v>
      </c>
      <c r="J131" s="1378" t="s">
        <v>1451</v>
      </c>
      <c r="K131" s="1397">
        <v>3000</v>
      </c>
      <c r="L131" s="1380">
        <v>6743</v>
      </c>
      <c r="M131" s="1380"/>
      <c r="N131" s="1381"/>
      <c r="O131" s="1381">
        <v>50</v>
      </c>
      <c r="P131" s="1381"/>
      <c r="Q131" s="1381"/>
      <c r="R131" s="1381"/>
      <c r="S131" s="1381">
        <v>500</v>
      </c>
      <c r="T131" s="1381"/>
      <c r="U131" s="1381"/>
      <c r="V131" s="1381"/>
      <c r="W131" s="1381">
        <v>550</v>
      </c>
      <c r="X131" s="1380">
        <v>10196.225806451614</v>
      </c>
      <c r="Y131" s="1380">
        <v>1170</v>
      </c>
      <c r="Z131" s="1380">
        <v>50</v>
      </c>
      <c r="AA131" s="1380"/>
      <c r="AB131" s="1382">
        <v>8976.2258064516136</v>
      </c>
      <c r="AC131" s="1377"/>
      <c r="AD131" s="1377"/>
      <c r="AE131" s="1377"/>
      <c r="AF131" s="1377"/>
      <c r="AG131" s="1377"/>
      <c r="AH131" s="1377"/>
      <c r="AI131" s="1377"/>
      <c r="AJ131" s="1377"/>
      <c r="AK131" s="1377"/>
      <c r="AL131" s="1377"/>
      <c r="AM131" s="1377"/>
      <c r="AN131" s="1380">
        <v>500</v>
      </c>
      <c r="AO131" s="1380">
        <v>500</v>
      </c>
      <c r="AP131" s="1383">
        <v>10696.225806451614</v>
      </c>
    </row>
    <row r="132" spans="2:42" ht="15.75" hidden="1" x14ac:dyDescent="0.25">
      <c r="B132" s="1374" t="s">
        <v>308</v>
      </c>
      <c r="C132" s="1399" t="s">
        <v>1702</v>
      </c>
      <c r="D132" s="1376" t="s">
        <v>1644</v>
      </c>
      <c r="E132" s="1377" t="s">
        <v>1546</v>
      </c>
      <c r="F132" s="1377" t="s">
        <v>1493</v>
      </c>
      <c r="G132" s="1377">
        <v>627</v>
      </c>
      <c r="H132" s="1378" t="s">
        <v>646</v>
      </c>
      <c r="I132" s="1378" t="s">
        <v>5</v>
      </c>
      <c r="J132" s="1378" t="s">
        <v>1451</v>
      </c>
      <c r="K132" s="1397">
        <v>3000</v>
      </c>
      <c r="L132" s="1380">
        <v>4720</v>
      </c>
      <c r="M132" s="1380"/>
      <c r="N132" s="1381"/>
      <c r="O132" s="1381">
        <v>50</v>
      </c>
      <c r="P132" s="1381"/>
      <c r="Q132" s="1381"/>
      <c r="R132" s="1381"/>
      <c r="S132" s="1381">
        <v>300</v>
      </c>
      <c r="T132" s="1381"/>
      <c r="U132" s="1381"/>
      <c r="V132" s="1381"/>
      <c r="W132" s="1381">
        <v>350</v>
      </c>
      <c r="X132" s="1380">
        <v>7295.8064516129034</v>
      </c>
      <c r="Y132" s="1380"/>
      <c r="Z132" s="1380">
        <v>50</v>
      </c>
      <c r="AA132" s="1380"/>
      <c r="AB132" s="1382">
        <v>7245.8064516129034</v>
      </c>
      <c r="AC132" s="1377"/>
      <c r="AD132" s="1377"/>
      <c r="AE132" s="1377"/>
      <c r="AF132" s="1377"/>
      <c r="AG132" s="1377"/>
      <c r="AH132" s="1377"/>
      <c r="AI132" s="1377"/>
      <c r="AJ132" s="1377"/>
      <c r="AK132" s="1377"/>
      <c r="AL132" s="1377"/>
      <c r="AM132" s="1377"/>
      <c r="AN132" s="1380">
        <v>1000</v>
      </c>
      <c r="AO132" s="1380">
        <v>1000</v>
      </c>
      <c r="AP132" s="1383">
        <v>8295.8064516129034</v>
      </c>
    </row>
    <row r="133" spans="2:42" ht="15.75" hidden="1" x14ac:dyDescent="0.25">
      <c r="B133" s="1374" t="s">
        <v>310</v>
      </c>
      <c r="C133" s="1399" t="s">
        <v>1703</v>
      </c>
      <c r="D133" s="1376" t="s">
        <v>1644</v>
      </c>
      <c r="E133" s="1377" t="s">
        <v>1546</v>
      </c>
      <c r="F133" s="1377" t="s">
        <v>1493</v>
      </c>
      <c r="G133" s="1377">
        <v>627</v>
      </c>
      <c r="H133" s="1378" t="s">
        <v>646</v>
      </c>
      <c r="I133" s="1378" t="s">
        <v>5</v>
      </c>
      <c r="J133" s="1378" t="s">
        <v>1451</v>
      </c>
      <c r="K133" s="1397">
        <v>3000</v>
      </c>
      <c r="L133" s="1380">
        <v>6480</v>
      </c>
      <c r="M133" s="1380"/>
      <c r="N133" s="1381"/>
      <c r="O133" s="1381">
        <v>50</v>
      </c>
      <c r="P133" s="1381"/>
      <c r="Q133" s="1381"/>
      <c r="R133" s="1381"/>
      <c r="S133" s="1381">
        <v>500</v>
      </c>
      <c r="T133" s="1381"/>
      <c r="U133" s="1381"/>
      <c r="V133" s="1381"/>
      <c r="W133" s="1381">
        <v>550</v>
      </c>
      <c r="X133" s="1380">
        <v>9933.2258064516136</v>
      </c>
      <c r="Y133" s="1380"/>
      <c r="Z133" s="1380">
        <v>50</v>
      </c>
      <c r="AA133" s="1380"/>
      <c r="AB133" s="1382">
        <v>9883.2258064516136</v>
      </c>
      <c r="AC133" s="1377"/>
      <c r="AD133" s="1377"/>
      <c r="AE133" s="1377"/>
      <c r="AF133" s="1377"/>
      <c r="AG133" s="1377"/>
      <c r="AH133" s="1377"/>
      <c r="AI133" s="1377"/>
      <c r="AJ133" s="1377"/>
      <c r="AK133" s="1377"/>
      <c r="AL133" s="1377"/>
      <c r="AM133" s="1377"/>
      <c r="AN133" s="1380">
        <v>500</v>
      </c>
      <c r="AO133" s="1380">
        <v>500</v>
      </c>
      <c r="AP133" s="1383">
        <v>10433.225806451614</v>
      </c>
    </row>
    <row r="134" spans="2:42" ht="15.75" hidden="1" x14ac:dyDescent="0.25">
      <c r="B134" s="1374" t="s">
        <v>312</v>
      </c>
      <c r="C134" s="1399" t="s">
        <v>1704</v>
      </c>
      <c r="D134" s="1376" t="s">
        <v>1644</v>
      </c>
      <c r="E134" s="1377" t="s">
        <v>1546</v>
      </c>
      <c r="F134" s="1377" t="s">
        <v>1493</v>
      </c>
      <c r="G134" s="1377">
        <v>627</v>
      </c>
      <c r="H134" s="1378" t="s">
        <v>646</v>
      </c>
      <c r="I134" s="1378" t="s">
        <v>5</v>
      </c>
      <c r="J134" s="1378" t="s">
        <v>1451</v>
      </c>
      <c r="K134" s="1397">
        <v>3000</v>
      </c>
      <c r="L134" s="1380">
        <v>6240</v>
      </c>
      <c r="M134" s="1380"/>
      <c r="N134" s="1381"/>
      <c r="O134" s="1381">
        <v>50</v>
      </c>
      <c r="P134" s="1381"/>
      <c r="Q134" s="1381"/>
      <c r="R134" s="1381"/>
      <c r="S134" s="1381">
        <v>500</v>
      </c>
      <c r="T134" s="1381"/>
      <c r="U134" s="1381"/>
      <c r="V134" s="1381"/>
      <c r="W134" s="1381">
        <v>550</v>
      </c>
      <c r="X134" s="1380">
        <v>9693.2258064516136</v>
      </c>
      <c r="Y134" s="1380"/>
      <c r="Z134" s="1380">
        <v>50</v>
      </c>
      <c r="AA134" s="1380"/>
      <c r="AB134" s="1382">
        <v>9643.2258064516136</v>
      </c>
      <c r="AC134" s="1377"/>
      <c r="AD134" s="1377"/>
      <c r="AE134" s="1377"/>
      <c r="AF134" s="1377"/>
      <c r="AG134" s="1377"/>
      <c r="AH134" s="1377"/>
      <c r="AI134" s="1377"/>
      <c r="AJ134" s="1377"/>
      <c r="AK134" s="1377"/>
      <c r="AL134" s="1377"/>
      <c r="AM134" s="1377"/>
      <c r="AN134" s="1380">
        <v>1000</v>
      </c>
      <c r="AO134" s="1380">
        <v>1000</v>
      </c>
      <c r="AP134" s="1383">
        <v>10693.225806451614</v>
      </c>
    </row>
    <row r="135" spans="2:42" ht="15.75" hidden="1" x14ac:dyDescent="0.25">
      <c r="B135" s="1374" t="s">
        <v>314</v>
      </c>
      <c r="C135" s="1399" t="s">
        <v>1705</v>
      </c>
      <c r="D135" s="1376" t="s">
        <v>1644</v>
      </c>
      <c r="E135" s="1377" t="s">
        <v>1546</v>
      </c>
      <c r="F135" s="1377" t="s">
        <v>1493</v>
      </c>
      <c r="G135" s="1377">
        <v>627</v>
      </c>
      <c r="H135" s="1378" t="s">
        <v>646</v>
      </c>
      <c r="I135" s="1378" t="s">
        <v>5</v>
      </c>
      <c r="J135" s="1378" t="s">
        <v>1451</v>
      </c>
      <c r="K135" s="1397">
        <v>3000</v>
      </c>
      <c r="L135" s="1380">
        <v>2240</v>
      </c>
      <c r="M135" s="1380"/>
      <c r="N135" s="1381"/>
      <c r="O135" s="1381">
        <v>50</v>
      </c>
      <c r="P135" s="1381"/>
      <c r="Q135" s="1381"/>
      <c r="R135" s="1381"/>
      <c r="S135" s="1381">
        <v>200</v>
      </c>
      <c r="T135" s="1381"/>
      <c r="U135" s="1381"/>
      <c r="V135" s="1381"/>
      <c r="W135" s="1381">
        <v>250</v>
      </c>
      <c r="X135" s="1380">
        <v>3554.516129032258</v>
      </c>
      <c r="Y135" s="1380"/>
      <c r="Z135" s="1380">
        <v>50</v>
      </c>
      <c r="AA135" s="1380"/>
      <c r="AB135" s="1382">
        <v>3504.516129032258</v>
      </c>
      <c r="AC135" s="1377"/>
      <c r="AD135" s="1377"/>
      <c r="AE135" s="1377"/>
      <c r="AF135" s="1377"/>
      <c r="AG135" s="1377"/>
      <c r="AH135" s="1377"/>
      <c r="AI135" s="1377"/>
      <c r="AJ135" s="1377"/>
      <c r="AK135" s="1377"/>
      <c r="AL135" s="1377"/>
      <c r="AM135" s="1377"/>
      <c r="AN135" s="1380">
        <v>500</v>
      </c>
      <c r="AO135" s="1380">
        <v>500</v>
      </c>
      <c r="AP135" s="1383">
        <v>4054.516129032258</v>
      </c>
    </row>
    <row r="136" spans="2:42" ht="15.75" hidden="1" x14ac:dyDescent="0.25">
      <c r="B136" s="1374" t="s">
        <v>316</v>
      </c>
      <c r="C136" s="1399" t="s">
        <v>1519</v>
      </c>
      <c r="D136" s="1376" t="s">
        <v>1644</v>
      </c>
      <c r="E136" s="1377" t="s">
        <v>1546</v>
      </c>
      <c r="F136" s="1377" t="s">
        <v>1493</v>
      </c>
      <c r="G136" s="1377">
        <v>627</v>
      </c>
      <c r="H136" s="1378" t="s">
        <v>646</v>
      </c>
      <c r="I136" s="1378" t="s">
        <v>5</v>
      </c>
      <c r="J136" s="1378" t="s">
        <v>1451</v>
      </c>
      <c r="K136" s="1397">
        <v>3000</v>
      </c>
      <c r="L136" s="1380">
        <v>6880</v>
      </c>
      <c r="M136" s="1380"/>
      <c r="N136" s="1381"/>
      <c r="O136" s="1381">
        <v>50</v>
      </c>
      <c r="P136" s="1381"/>
      <c r="Q136" s="1381"/>
      <c r="R136" s="1381"/>
      <c r="S136" s="1381">
        <v>500</v>
      </c>
      <c r="T136" s="1381"/>
      <c r="U136" s="1381"/>
      <c r="V136" s="1381"/>
      <c r="W136" s="1381">
        <v>550</v>
      </c>
      <c r="X136" s="1380">
        <v>10333.225806451614</v>
      </c>
      <c r="Y136" s="1380"/>
      <c r="Z136" s="1380">
        <v>50</v>
      </c>
      <c r="AA136" s="1380"/>
      <c r="AB136" s="1382">
        <v>10283.225806451614</v>
      </c>
      <c r="AC136" s="1377"/>
      <c r="AD136" s="1377"/>
      <c r="AE136" s="1377"/>
      <c r="AF136" s="1377"/>
      <c r="AG136" s="1377"/>
      <c r="AH136" s="1377"/>
      <c r="AI136" s="1377"/>
      <c r="AJ136" s="1377"/>
      <c r="AK136" s="1377"/>
      <c r="AL136" s="1377"/>
      <c r="AM136" s="1377"/>
      <c r="AN136" s="1380">
        <v>500</v>
      </c>
      <c r="AO136" s="1380">
        <v>500</v>
      </c>
      <c r="AP136" s="1383">
        <v>10833.225806451614</v>
      </c>
    </row>
    <row r="137" spans="2:42" ht="15.75" hidden="1" x14ac:dyDescent="0.25">
      <c r="B137" s="1374" t="s">
        <v>318</v>
      </c>
      <c r="C137" s="1399" t="s">
        <v>1706</v>
      </c>
      <c r="D137" s="1376" t="s">
        <v>1644</v>
      </c>
      <c r="E137" s="1377" t="s">
        <v>1546</v>
      </c>
      <c r="F137" s="1377" t="s">
        <v>1493</v>
      </c>
      <c r="G137" s="1377">
        <v>627</v>
      </c>
      <c r="H137" s="1378" t="s">
        <v>646</v>
      </c>
      <c r="I137" s="1378" t="s">
        <v>5</v>
      </c>
      <c r="J137" s="1378" t="s">
        <v>1451</v>
      </c>
      <c r="K137" s="1397">
        <v>3000</v>
      </c>
      <c r="L137" s="1380">
        <v>5760</v>
      </c>
      <c r="M137" s="1380"/>
      <c r="N137" s="1381"/>
      <c r="O137" s="1381">
        <v>50</v>
      </c>
      <c r="P137" s="1381"/>
      <c r="Q137" s="1381"/>
      <c r="R137" s="1381"/>
      <c r="S137" s="1381"/>
      <c r="T137" s="1381"/>
      <c r="U137" s="1381"/>
      <c r="V137" s="1381"/>
      <c r="W137" s="1381">
        <v>50</v>
      </c>
      <c r="X137" s="1380">
        <v>8519.677419354839</v>
      </c>
      <c r="Y137" s="1380"/>
      <c r="Z137" s="1380">
        <v>50</v>
      </c>
      <c r="AA137" s="1380"/>
      <c r="AB137" s="1382">
        <v>8469.677419354839</v>
      </c>
      <c r="AC137" s="1377"/>
      <c r="AD137" s="1377"/>
      <c r="AE137" s="1377"/>
      <c r="AF137" s="1377"/>
      <c r="AG137" s="1377"/>
      <c r="AH137" s="1377"/>
      <c r="AI137" s="1377"/>
      <c r="AJ137" s="1377"/>
      <c r="AK137" s="1377"/>
      <c r="AL137" s="1377"/>
      <c r="AM137" s="1377"/>
      <c r="AN137" s="1380">
        <v>500</v>
      </c>
      <c r="AO137" s="1380">
        <v>500</v>
      </c>
      <c r="AP137" s="1383">
        <v>9019.677419354839</v>
      </c>
    </row>
    <row r="138" spans="2:42" ht="15.75" hidden="1" x14ac:dyDescent="0.25">
      <c r="B138" s="1374" t="s">
        <v>320</v>
      </c>
      <c r="C138" s="1399" t="s">
        <v>1707</v>
      </c>
      <c r="D138" s="1376" t="s">
        <v>1644</v>
      </c>
      <c r="E138" s="1377" t="s">
        <v>1546</v>
      </c>
      <c r="F138" s="1377" t="s">
        <v>1493</v>
      </c>
      <c r="G138" s="1377">
        <v>627</v>
      </c>
      <c r="H138" s="1378" t="s">
        <v>646</v>
      </c>
      <c r="I138" s="1378" t="s">
        <v>5</v>
      </c>
      <c r="J138" s="1378" t="s">
        <v>1451</v>
      </c>
      <c r="K138" s="1397">
        <v>3000</v>
      </c>
      <c r="L138" s="1380">
        <v>5040</v>
      </c>
      <c r="M138" s="1380"/>
      <c r="N138" s="1381"/>
      <c r="O138" s="1381">
        <v>50</v>
      </c>
      <c r="P138" s="1381"/>
      <c r="Q138" s="1381"/>
      <c r="R138" s="1381"/>
      <c r="S138" s="1381">
        <v>500</v>
      </c>
      <c r="T138" s="1381"/>
      <c r="U138" s="1381"/>
      <c r="V138" s="1381"/>
      <c r="W138" s="1381">
        <v>550</v>
      </c>
      <c r="X138" s="1380">
        <v>8202.9032258064508</v>
      </c>
      <c r="Y138" s="1380"/>
      <c r="Z138" s="1380">
        <v>50</v>
      </c>
      <c r="AA138" s="1380"/>
      <c r="AB138" s="1382">
        <v>8152.9032258064508</v>
      </c>
      <c r="AC138" s="1377"/>
      <c r="AD138" s="1377"/>
      <c r="AE138" s="1377"/>
      <c r="AF138" s="1377"/>
      <c r="AG138" s="1377"/>
      <c r="AH138" s="1377"/>
      <c r="AI138" s="1377"/>
      <c r="AJ138" s="1377"/>
      <c r="AK138" s="1377"/>
      <c r="AL138" s="1377"/>
      <c r="AM138" s="1377"/>
      <c r="AN138" s="1380">
        <v>500</v>
      </c>
      <c r="AO138" s="1380">
        <v>500</v>
      </c>
      <c r="AP138" s="1383">
        <v>8702.9032258064508</v>
      </c>
    </row>
    <row r="139" spans="2:42" ht="15.75" hidden="1" x14ac:dyDescent="0.25">
      <c r="B139" s="1374" t="s">
        <v>322</v>
      </c>
      <c r="C139" s="1402" t="s">
        <v>1708</v>
      </c>
      <c r="D139" s="1376" t="s">
        <v>1709</v>
      </c>
      <c r="E139" s="1377" t="s">
        <v>1358</v>
      </c>
      <c r="F139" s="1384" t="s">
        <v>1710</v>
      </c>
      <c r="G139" s="1377">
        <v>642</v>
      </c>
      <c r="H139" s="1378" t="s">
        <v>646</v>
      </c>
      <c r="I139" s="1378" t="s">
        <v>5</v>
      </c>
      <c r="J139" s="1378" t="s">
        <v>1451</v>
      </c>
      <c r="K139" s="1403">
        <v>10520</v>
      </c>
      <c r="L139" s="1380"/>
      <c r="M139" s="1380"/>
      <c r="N139" s="1381">
        <v>5000</v>
      </c>
      <c r="O139" s="1381"/>
      <c r="P139" s="1381"/>
      <c r="Q139" s="1381"/>
      <c r="R139" s="1381"/>
      <c r="S139" s="1381"/>
      <c r="T139" s="1381"/>
      <c r="U139" s="1381"/>
      <c r="V139" s="1381"/>
      <c r="W139" s="1381">
        <v>5000</v>
      </c>
      <c r="X139" s="1380">
        <v>15520</v>
      </c>
      <c r="Y139" s="1380">
        <v>1120</v>
      </c>
      <c r="Z139" s="1380">
        <v>50</v>
      </c>
      <c r="AA139" s="1380"/>
      <c r="AB139" s="1382">
        <v>14350</v>
      </c>
      <c r="AC139" s="1377"/>
      <c r="AD139" s="1377"/>
      <c r="AE139" s="1377"/>
      <c r="AF139" s="1377"/>
      <c r="AG139" s="1377"/>
      <c r="AH139" s="1377"/>
      <c r="AI139" s="1377"/>
      <c r="AJ139" s="1377"/>
      <c r="AK139" s="1377"/>
      <c r="AL139" s="1377"/>
      <c r="AM139" s="1377"/>
      <c r="AN139" s="1380">
        <v>1000</v>
      </c>
      <c r="AO139" s="1380">
        <v>1000</v>
      </c>
      <c r="AP139" s="1383">
        <v>16520</v>
      </c>
    </row>
    <row r="140" spans="2:42" ht="15.75" hidden="1" x14ac:dyDescent="0.25">
      <c r="B140" s="1374" t="s">
        <v>1711</v>
      </c>
      <c r="C140" s="1376" t="s">
        <v>1712</v>
      </c>
      <c r="D140" s="1376" t="s">
        <v>1709</v>
      </c>
      <c r="E140" s="1377" t="s">
        <v>1713</v>
      </c>
      <c r="F140" s="1384" t="s">
        <v>1710</v>
      </c>
      <c r="G140" s="1377">
        <v>627</v>
      </c>
      <c r="H140" s="1378" t="s">
        <v>646</v>
      </c>
      <c r="I140" s="1378" t="s">
        <v>5</v>
      </c>
      <c r="J140" s="1378" t="s">
        <v>1451</v>
      </c>
      <c r="K140" s="1403">
        <v>10520</v>
      </c>
      <c r="L140" s="1380"/>
      <c r="M140" s="1380"/>
      <c r="N140" s="1381"/>
      <c r="O140" s="1381"/>
      <c r="P140" s="1381"/>
      <c r="Q140" s="1381"/>
      <c r="R140" s="1381"/>
      <c r="S140" s="1381"/>
      <c r="T140" s="1381"/>
      <c r="U140" s="1381"/>
      <c r="V140" s="1381"/>
      <c r="W140" s="1381">
        <v>0</v>
      </c>
      <c r="X140" s="1380">
        <v>10520</v>
      </c>
      <c r="Y140" s="1380">
        <v>1600</v>
      </c>
      <c r="Z140" s="1380">
        <v>50</v>
      </c>
      <c r="AA140" s="1380"/>
      <c r="AB140" s="1382">
        <v>8870</v>
      </c>
      <c r="AC140" s="1377"/>
      <c r="AD140" s="1377"/>
      <c r="AE140" s="1377"/>
      <c r="AF140" s="1377"/>
      <c r="AG140" s="1377"/>
      <c r="AH140" s="1377"/>
      <c r="AI140" s="1377"/>
      <c r="AJ140" s="1377"/>
      <c r="AK140" s="1377"/>
      <c r="AL140" s="1377"/>
      <c r="AM140" s="1377"/>
      <c r="AN140" s="1380">
        <v>1000</v>
      </c>
      <c r="AO140" s="1380">
        <v>1000</v>
      </c>
      <c r="AP140" s="1383">
        <v>11520</v>
      </c>
    </row>
    <row r="141" spans="2:42" ht="15.75" hidden="1" x14ac:dyDescent="0.25">
      <c r="B141" s="1374" t="s">
        <v>324</v>
      </c>
      <c r="C141" s="1387" t="s">
        <v>1714</v>
      </c>
      <c r="D141" s="1376" t="s">
        <v>1709</v>
      </c>
      <c r="E141" s="1377" t="s">
        <v>1715</v>
      </c>
      <c r="F141" s="1384" t="s">
        <v>1710</v>
      </c>
      <c r="G141" s="1384">
        <v>627</v>
      </c>
      <c r="H141" s="1378" t="s">
        <v>646</v>
      </c>
      <c r="I141" s="1378" t="s">
        <v>5</v>
      </c>
      <c r="J141" s="1378" t="s">
        <v>1451</v>
      </c>
      <c r="K141" s="1403">
        <v>10000</v>
      </c>
      <c r="L141" s="1380"/>
      <c r="M141" s="1380"/>
      <c r="N141" s="1381"/>
      <c r="O141" s="1381">
        <v>50</v>
      </c>
      <c r="P141" s="1381"/>
      <c r="Q141" s="1381"/>
      <c r="R141" s="1381"/>
      <c r="S141" s="1381"/>
      <c r="T141" s="1381"/>
      <c r="U141" s="1381"/>
      <c r="V141" s="1381"/>
      <c r="W141" s="1381">
        <v>50</v>
      </c>
      <c r="X141" s="1380">
        <v>8759.677419354839</v>
      </c>
      <c r="Y141" s="1380"/>
      <c r="Z141" s="1380">
        <v>50</v>
      </c>
      <c r="AA141" s="1380"/>
      <c r="AB141" s="1382">
        <v>8709.677419354839</v>
      </c>
      <c r="AC141" s="1377"/>
      <c r="AD141" s="1377"/>
      <c r="AE141" s="1377"/>
      <c r="AF141" s="1377"/>
      <c r="AG141" s="1377"/>
      <c r="AH141" s="1377"/>
      <c r="AI141" s="1377"/>
      <c r="AJ141" s="1377"/>
      <c r="AK141" s="1377"/>
      <c r="AL141" s="1377"/>
      <c r="AM141" s="1377"/>
      <c r="AN141" s="1380">
        <v>1000</v>
      </c>
      <c r="AO141" s="1380">
        <v>1000</v>
      </c>
      <c r="AP141" s="1383">
        <v>9759.677419354839</v>
      </c>
    </row>
    <row r="142" spans="2:42" ht="15.75" hidden="1" x14ac:dyDescent="0.25">
      <c r="B142" s="1374" t="s">
        <v>326</v>
      </c>
      <c r="C142" s="1387" t="s">
        <v>1716</v>
      </c>
      <c r="D142" s="1376" t="s">
        <v>1709</v>
      </c>
      <c r="E142" s="1377" t="s">
        <v>1715</v>
      </c>
      <c r="F142" s="1384" t="s">
        <v>1710</v>
      </c>
      <c r="G142" s="1384">
        <v>627</v>
      </c>
      <c r="H142" s="1378" t="s">
        <v>646</v>
      </c>
      <c r="I142" s="1378" t="s">
        <v>5</v>
      </c>
      <c r="J142" s="1378" t="s">
        <v>1451</v>
      </c>
      <c r="K142" s="1403">
        <v>8000</v>
      </c>
      <c r="L142" s="1380"/>
      <c r="M142" s="1380"/>
      <c r="N142" s="1381"/>
      <c r="O142" s="1381">
        <v>50</v>
      </c>
      <c r="P142" s="1381"/>
      <c r="Q142" s="1381"/>
      <c r="R142" s="1381"/>
      <c r="S142" s="1381"/>
      <c r="T142" s="1381"/>
      <c r="U142" s="1381"/>
      <c r="V142" s="1381"/>
      <c r="W142" s="1381">
        <v>50</v>
      </c>
      <c r="X142" s="1380">
        <v>8050</v>
      </c>
      <c r="Y142" s="1380"/>
      <c r="Z142" s="1380">
        <v>50</v>
      </c>
      <c r="AA142" s="1380"/>
      <c r="AB142" s="1382">
        <v>8000</v>
      </c>
      <c r="AC142" s="1377"/>
      <c r="AD142" s="1377"/>
      <c r="AE142" s="1377"/>
      <c r="AF142" s="1377"/>
      <c r="AG142" s="1377"/>
      <c r="AH142" s="1377"/>
      <c r="AI142" s="1377"/>
      <c r="AJ142" s="1377"/>
      <c r="AK142" s="1377"/>
      <c r="AL142" s="1377"/>
      <c r="AM142" s="1377"/>
      <c r="AN142" s="1380">
        <v>1000</v>
      </c>
      <c r="AO142" s="1380">
        <v>1000</v>
      </c>
      <c r="AP142" s="1383">
        <v>9050</v>
      </c>
    </row>
    <row r="143" spans="2:42" ht="15.75" hidden="1" x14ac:dyDescent="0.25">
      <c r="B143" s="1374" t="s">
        <v>328</v>
      </c>
      <c r="C143" s="1388" t="s">
        <v>1717</v>
      </c>
      <c r="D143" s="1376" t="s">
        <v>1709</v>
      </c>
      <c r="E143" s="1377" t="s">
        <v>1461</v>
      </c>
      <c r="F143" s="1384" t="s">
        <v>1710</v>
      </c>
      <c r="G143" s="1377">
        <v>642</v>
      </c>
      <c r="H143" s="1378" t="s">
        <v>646</v>
      </c>
      <c r="I143" s="1378" t="s">
        <v>5</v>
      </c>
      <c r="J143" s="1378" t="s">
        <v>1451</v>
      </c>
      <c r="K143" s="1403">
        <v>7000</v>
      </c>
      <c r="L143" s="1380"/>
      <c r="M143" s="1380"/>
      <c r="N143" s="1381"/>
      <c r="O143" s="1381"/>
      <c r="P143" s="1381"/>
      <c r="Q143" s="1381"/>
      <c r="R143" s="1381"/>
      <c r="S143" s="1381"/>
      <c r="T143" s="1381"/>
      <c r="U143" s="1381"/>
      <c r="V143" s="1381"/>
      <c r="W143" s="1381">
        <v>0</v>
      </c>
      <c r="X143" s="1380">
        <v>6767.4193548387093</v>
      </c>
      <c r="Y143" s="1380">
        <v>1120</v>
      </c>
      <c r="Z143" s="1380">
        <v>50</v>
      </c>
      <c r="AA143" s="1380">
        <v>410</v>
      </c>
      <c r="AB143" s="1382">
        <v>5187.4193548387093</v>
      </c>
      <c r="AC143" s="1377"/>
      <c r="AD143" s="1377"/>
      <c r="AE143" s="1377"/>
      <c r="AF143" s="1377"/>
      <c r="AG143" s="1377"/>
      <c r="AH143" s="1377"/>
      <c r="AI143" s="1377"/>
      <c r="AJ143" s="1377"/>
      <c r="AK143" s="1377"/>
      <c r="AL143" s="1377"/>
      <c r="AM143" s="1377"/>
      <c r="AN143" s="1380">
        <v>1000</v>
      </c>
      <c r="AO143" s="1380">
        <v>1000</v>
      </c>
      <c r="AP143" s="1383">
        <v>7767.4193548387093</v>
      </c>
    </row>
    <row r="144" spans="2:42" ht="15.75" hidden="1" x14ac:dyDescent="0.25">
      <c r="B144" s="1374" t="s">
        <v>1718</v>
      </c>
      <c r="C144" s="1385" t="s">
        <v>1719</v>
      </c>
      <c r="D144" s="1376" t="s">
        <v>1709</v>
      </c>
      <c r="E144" s="1377" t="s">
        <v>1461</v>
      </c>
      <c r="F144" s="1384" t="s">
        <v>1710</v>
      </c>
      <c r="G144" s="1377">
        <v>642</v>
      </c>
      <c r="H144" s="1378" t="s">
        <v>646</v>
      </c>
      <c r="I144" s="1378" t="s">
        <v>5</v>
      </c>
      <c r="J144" s="1378" t="s">
        <v>1451</v>
      </c>
      <c r="K144" s="1403">
        <v>6000</v>
      </c>
      <c r="L144" s="1380"/>
      <c r="M144" s="1380"/>
      <c r="N144" s="1381"/>
      <c r="O144" s="1381"/>
      <c r="P144" s="1381"/>
      <c r="Q144" s="1381"/>
      <c r="R144" s="1381"/>
      <c r="S144" s="1381"/>
      <c r="T144" s="1381"/>
      <c r="U144" s="1381"/>
      <c r="V144" s="1381"/>
      <c r="W144" s="1381">
        <v>0</v>
      </c>
      <c r="X144" s="1380">
        <v>5970.9677419354848</v>
      </c>
      <c r="Y144" s="1380"/>
      <c r="Z144" s="1380">
        <v>50</v>
      </c>
      <c r="AA144" s="1380"/>
      <c r="AB144" s="1382">
        <v>5920.9677419354848</v>
      </c>
      <c r="AC144" s="1377"/>
      <c r="AD144" s="1377"/>
      <c r="AE144" s="1377"/>
      <c r="AF144" s="1377"/>
      <c r="AG144" s="1377"/>
      <c r="AH144" s="1377"/>
      <c r="AI144" s="1377"/>
      <c r="AJ144" s="1377"/>
      <c r="AK144" s="1377"/>
      <c r="AL144" s="1377"/>
      <c r="AM144" s="1377"/>
      <c r="AN144" s="1380">
        <v>500</v>
      </c>
      <c r="AO144" s="1380">
        <v>500</v>
      </c>
      <c r="AP144" s="1383">
        <v>6470.9677419354848</v>
      </c>
    </row>
    <row r="145" spans="2:42" ht="15.75" hidden="1" x14ac:dyDescent="0.25">
      <c r="B145" s="1374" t="s">
        <v>1720</v>
      </c>
      <c r="C145" s="1401" t="s">
        <v>1721</v>
      </c>
      <c r="D145" s="1376" t="s">
        <v>1709</v>
      </c>
      <c r="E145" s="1377" t="s">
        <v>1722</v>
      </c>
      <c r="F145" s="1384" t="s">
        <v>1710</v>
      </c>
      <c r="G145" s="1377">
        <v>627</v>
      </c>
      <c r="H145" s="1378" t="s">
        <v>646</v>
      </c>
      <c r="I145" s="1378" t="s">
        <v>5</v>
      </c>
      <c r="J145" s="1378" t="s">
        <v>1451</v>
      </c>
      <c r="K145" s="1380"/>
      <c r="L145" s="1380">
        <v>14100</v>
      </c>
      <c r="M145" s="1380"/>
      <c r="N145" s="1381"/>
      <c r="O145" s="1381"/>
      <c r="P145" s="1381"/>
      <c r="Q145" s="1381"/>
      <c r="R145" s="1381"/>
      <c r="S145" s="1381"/>
      <c r="T145" s="1381"/>
      <c r="U145" s="1381"/>
      <c r="V145" s="1381"/>
      <c r="W145" s="1381">
        <v>0</v>
      </c>
      <c r="X145" s="1380">
        <v>14100</v>
      </c>
      <c r="Y145" s="1380">
        <v>1120</v>
      </c>
      <c r="Z145" s="1380">
        <v>50</v>
      </c>
      <c r="AA145" s="1380"/>
      <c r="AB145" s="1382">
        <v>12930</v>
      </c>
      <c r="AC145" s="1377"/>
      <c r="AD145" s="1377"/>
      <c r="AE145" s="1377"/>
      <c r="AF145" s="1377"/>
      <c r="AG145" s="1377"/>
      <c r="AH145" s="1377"/>
      <c r="AI145" s="1377"/>
      <c r="AJ145" s="1377"/>
      <c r="AK145" s="1377"/>
      <c r="AL145" s="1377"/>
      <c r="AM145" s="1377"/>
      <c r="AN145" s="1380">
        <v>1000</v>
      </c>
      <c r="AO145" s="1380">
        <v>1000</v>
      </c>
      <c r="AP145" s="1383">
        <v>15100</v>
      </c>
    </row>
    <row r="146" spans="2:42" ht="15.75" hidden="1" x14ac:dyDescent="0.25">
      <c r="B146" s="1374" t="s">
        <v>1723</v>
      </c>
      <c r="C146" s="1401" t="s">
        <v>1724</v>
      </c>
      <c r="D146" s="1376" t="s">
        <v>1709</v>
      </c>
      <c r="E146" s="1377" t="s">
        <v>1722</v>
      </c>
      <c r="F146" s="1384" t="s">
        <v>1710</v>
      </c>
      <c r="G146" s="1377">
        <v>627</v>
      </c>
      <c r="H146" s="1378" t="s">
        <v>646</v>
      </c>
      <c r="I146" s="1378" t="s">
        <v>5</v>
      </c>
      <c r="J146" s="1378" t="s">
        <v>1451</v>
      </c>
      <c r="K146" s="1380"/>
      <c r="L146" s="1380">
        <v>20450</v>
      </c>
      <c r="M146" s="1380"/>
      <c r="N146" s="1381"/>
      <c r="O146" s="1381"/>
      <c r="P146" s="1381"/>
      <c r="Q146" s="1381"/>
      <c r="R146" s="1381"/>
      <c r="S146" s="1381"/>
      <c r="T146" s="1381"/>
      <c r="U146" s="1381"/>
      <c r="V146" s="1381"/>
      <c r="W146" s="1381">
        <v>0</v>
      </c>
      <c r="X146" s="1380">
        <v>20450</v>
      </c>
      <c r="Y146" s="1380"/>
      <c r="Z146" s="1380">
        <v>50</v>
      </c>
      <c r="AA146" s="1380"/>
      <c r="AB146" s="1382">
        <v>20400</v>
      </c>
      <c r="AC146" s="1377"/>
      <c r="AD146" s="1377"/>
      <c r="AE146" s="1377"/>
      <c r="AF146" s="1377"/>
      <c r="AG146" s="1377"/>
      <c r="AH146" s="1377"/>
      <c r="AI146" s="1377"/>
      <c r="AJ146" s="1377"/>
      <c r="AK146" s="1377"/>
      <c r="AL146" s="1377"/>
      <c r="AM146" s="1377"/>
      <c r="AN146" s="1380">
        <v>1000</v>
      </c>
      <c r="AO146" s="1380">
        <v>1000</v>
      </c>
      <c r="AP146" s="1383">
        <v>21450</v>
      </c>
    </row>
    <row r="147" spans="2:42" ht="15.75" hidden="1" x14ac:dyDescent="0.25">
      <c r="B147" s="1374" t="s">
        <v>1725</v>
      </c>
      <c r="C147" s="1401" t="s">
        <v>1726</v>
      </c>
      <c r="D147" s="1376" t="s">
        <v>1709</v>
      </c>
      <c r="E147" s="1377" t="s">
        <v>1722</v>
      </c>
      <c r="F147" s="1384" t="s">
        <v>1710</v>
      </c>
      <c r="G147" s="1377">
        <v>627</v>
      </c>
      <c r="H147" s="1378" t="s">
        <v>646</v>
      </c>
      <c r="I147" s="1378" t="s">
        <v>5</v>
      </c>
      <c r="J147" s="1378" t="s">
        <v>1451</v>
      </c>
      <c r="K147" s="1380"/>
      <c r="L147" s="1380">
        <v>17900</v>
      </c>
      <c r="M147" s="1380"/>
      <c r="N147" s="1381"/>
      <c r="O147" s="1381"/>
      <c r="P147" s="1381"/>
      <c r="Q147" s="1381"/>
      <c r="R147" s="1381"/>
      <c r="S147" s="1381"/>
      <c r="T147" s="1381"/>
      <c r="U147" s="1381"/>
      <c r="V147" s="1381"/>
      <c r="W147" s="1381">
        <v>0</v>
      </c>
      <c r="X147" s="1380">
        <v>17900</v>
      </c>
      <c r="Y147" s="1380"/>
      <c r="Z147" s="1380">
        <v>50</v>
      </c>
      <c r="AA147" s="1380"/>
      <c r="AB147" s="1382">
        <v>17850</v>
      </c>
      <c r="AC147" s="1377"/>
      <c r="AD147" s="1377"/>
      <c r="AE147" s="1377"/>
      <c r="AF147" s="1377"/>
      <c r="AG147" s="1377"/>
      <c r="AH147" s="1377"/>
      <c r="AI147" s="1377"/>
      <c r="AJ147" s="1377"/>
      <c r="AK147" s="1377"/>
      <c r="AL147" s="1377"/>
      <c r="AM147" s="1377"/>
      <c r="AN147" s="1380">
        <v>1000</v>
      </c>
      <c r="AO147" s="1380">
        <v>1000</v>
      </c>
      <c r="AP147" s="1383">
        <v>18900</v>
      </c>
    </row>
    <row r="148" spans="2:42" ht="15.75" hidden="1" x14ac:dyDescent="0.25">
      <c r="B148" s="1374" t="s">
        <v>1727</v>
      </c>
      <c r="C148" s="1401" t="s">
        <v>1728</v>
      </c>
      <c r="D148" s="1376" t="s">
        <v>1709</v>
      </c>
      <c r="E148" s="1377" t="s">
        <v>1722</v>
      </c>
      <c r="F148" s="1384" t="s">
        <v>1710</v>
      </c>
      <c r="G148" s="1377">
        <v>627</v>
      </c>
      <c r="H148" s="1378" t="s">
        <v>646</v>
      </c>
      <c r="I148" s="1378" t="s">
        <v>5</v>
      </c>
      <c r="J148" s="1378" t="s">
        <v>1451</v>
      </c>
      <c r="K148" s="1380"/>
      <c r="L148" s="1380">
        <v>19450</v>
      </c>
      <c r="M148" s="1380"/>
      <c r="N148" s="1381"/>
      <c r="O148" s="1381"/>
      <c r="P148" s="1381"/>
      <c r="Q148" s="1381"/>
      <c r="R148" s="1381"/>
      <c r="S148" s="1381"/>
      <c r="T148" s="1381"/>
      <c r="U148" s="1381"/>
      <c r="V148" s="1381"/>
      <c r="W148" s="1381">
        <v>0</v>
      </c>
      <c r="X148" s="1380">
        <v>19450</v>
      </c>
      <c r="Y148" s="1380"/>
      <c r="Z148" s="1380">
        <v>50</v>
      </c>
      <c r="AA148" s="1380"/>
      <c r="AB148" s="1382">
        <v>19400</v>
      </c>
      <c r="AC148" s="1377"/>
      <c r="AD148" s="1377"/>
      <c r="AE148" s="1377"/>
      <c r="AF148" s="1377"/>
      <c r="AG148" s="1377"/>
      <c r="AH148" s="1377"/>
      <c r="AI148" s="1377"/>
      <c r="AJ148" s="1377"/>
      <c r="AK148" s="1377"/>
      <c r="AL148" s="1377"/>
      <c r="AM148" s="1377"/>
      <c r="AN148" s="1380">
        <v>1000</v>
      </c>
      <c r="AO148" s="1380">
        <v>1000</v>
      </c>
      <c r="AP148" s="1383">
        <v>20450</v>
      </c>
    </row>
    <row r="149" spans="2:42" ht="15.75" hidden="1" x14ac:dyDescent="0.25">
      <c r="B149" s="1374" t="s">
        <v>1729</v>
      </c>
      <c r="C149" s="1401" t="s">
        <v>1730</v>
      </c>
      <c r="D149" s="1376" t="s">
        <v>1709</v>
      </c>
      <c r="E149" s="1377" t="s">
        <v>1722</v>
      </c>
      <c r="F149" s="1384" t="s">
        <v>1710</v>
      </c>
      <c r="G149" s="1377">
        <v>627</v>
      </c>
      <c r="H149" s="1378" t="s">
        <v>646</v>
      </c>
      <c r="I149" s="1378" t="s">
        <v>5</v>
      </c>
      <c r="J149" s="1378" t="s">
        <v>1451</v>
      </c>
      <c r="K149" s="1380"/>
      <c r="L149" s="1380">
        <v>16050</v>
      </c>
      <c r="M149" s="1380"/>
      <c r="N149" s="1381"/>
      <c r="O149" s="1381"/>
      <c r="P149" s="1381"/>
      <c r="Q149" s="1381"/>
      <c r="R149" s="1381"/>
      <c r="S149" s="1381"/>
      <c r="T149" s="1381"/>
      <c r="U149" s="1381"/>
      <c r="V149" s="1381"/>
      <c r="W149" s="1381">
        <v>0</v>
      </c>
      <c r="X149" s="1380">
        <v>16050</v>
      </c>
      <c r="Y149" s="1380"/>
      <c r="Z149" s="1380">
        <v>50</v>
      </c>
      <c r="AA149" s="1380"/>
      <c r="AB149" s="1382">
        <v>16000</v>
      </c>
      <c r="AC149" s="1377"/>
      <c r="AD149" s="1377"/>
      <c r="AE149" s="1377"/>
      <c r="AF149" s="1377"/>
      <c r="AG149" s="1377"/>
      <c r="AH149" s="1377"/>
      <c r="AI149" s="1377"/>
      <c r="AJ149" s="1377"/>
      <c r="AK149" s="1377"/>
      <c r="AL149" s="1377"/>
      <c r="AM149" s="1377"/>
      <c r="AN149" s="1380">
        <v>500</v>
      </c>
      <c r="AO149" s="1380">
        <v>500</v>
      </c>
      <c r="AP149" s="1383">
        <v>16550</v>
      </c>
    </row>
    <row r="150" spans="2:42" ht="15.75" hidden="1" x14ac:dyDescent="0.25">
      <c r="B150" s="1374" t="s">
        <v>1731</v>
      </c>
      <c r="C150" s="1401" t="s">
        <v>1732</v>
      </c>
      <c r="D150" s="1376" t="s">
        <v>1709</v>
      </c>
      <c r="E150" s="1377" t="s">
        <v>1722</v>
      </c>
      <c r="F150" s="1384" t="s">
        <v>1710</v>
      </c>
      <c r="G150" s="1377">
        <v>627</v>
      </c>
      <c r="H150" s="1378" t="s">
        <v>646</v>
      </c>
      <c r="I150" s="1378" t="s">
        <v>5</v>
      </c>
      <c r="J150" s="1378" t="s">
        <v>1451</v>
      </c>
      <c r="K150" s="1380"/>
      <c r="L150" s="1380">
        <v>21600</v>
      </c>
      <c r="M150" s="1380"/>
      <c r="N150" s="1381"/>
      <c r="O150" s="1381"/>
      <c r="P150" s="1381"/>
      <c r="Q150" s="1381"/>
      <c r="R150" s="1381"/>
      <c r="S150" s="1381"/>
      <c r="T150" s="1381"/>
      <c r="U150" s="1381"/>
      <c r="V150" s="1381"/>
      <c r="W150" s="1381">
        <v>0</v>
      </c>
      <c r="X150" s="1380">
        <v>21600</v>
      </c>
      <c r="Y150" s="1380"/>
      <c r="Z150" s="1380">
        <v>50</v>
      </c>
      <c r="AA150" s="1380"/>
      <c r="AB150" s="1382">
        <v>21550</v>
      </c>
      <c r="AC150" s="1377"/>
      <c r="AD150" s="1377"/>
      <c r="AE150" s="1377"/>
      <c r="AF150" s="1377"/>
      <c r="AG150" s="1377"/>
      <c r="AH150" s="1377"/>
      <c r="AI150" s="1377"/>
      <c r="AJ150" s="1377"/>
      <c r="AK150" s="1377"/>
      <c r="AL150" s="1377"/>
      <c r="AM150" s="1377"/>
      <c r="AN150" s="1380">
        <v>500</v>
      </c>
      <c r="AO150" s="1380">
        <v>500</v>
      </c>
      <c r="AP150" s="1383">
        <v>22100</v>
      </c>
    </row>
    <row r="151" spans="2:42" ht="15.75" hidden="1" x14ac:dyDescent="0.25">
      <c r="B151" s="1374" t="s">
        <v>330</v>
      </c>
      <c r="C151" s="1401" t="s">
        <v>1733</v>
      </c>
      <c r="D151" s="1376" t="s">
        <v>1709</v>
      </c>
      <c r="E151" s="1377" t="s">
        <v>1722</v>
      </c>
      <c r="F151" s="1384" t="s">
        <v>1710</v>
      </c>
      <c r="G151" s="1377">
        <v>627</v>
      </c>
      <c r="H151" s="1378" t="s">
        <v>646</v>
      </c>
      <c r="I151" s="1378" t="s">
        <v>5</v>
      </c>
      <c r="J151" s="1378" t="s">
        <v>1451</v>
      </c>
      <c r="K151" s="1380"/>
      <c r="L151" s="1380">
        <v>16050</v>
      </c>
      <c r="M151" s="1380"/>
      <c r="N151" s="1381"/>
      <c r="O151" s="1381"/>
      <c r="P151" s="1381"/>
      <c r="Q151" s="1381"/>
      <c r="R151" s="1381"/>
      <c r="S151" s="1381"/>
      <c r="T151" s="1381"/>
      <c r="U151" s="1381"/>
      <c r="V151" s="1381"/>
      <c r="W151" s="1381">
        <v>0</v>
      </c>
      <c r="X151" s="1380">
        <v>16050</v>
      </c>
      <c r="Y151" s="1380"/>
      <c r="Z151" s="1380">
        <v>50</v>
      </c>
      <c r="AA151" s="1380"/>
      <c r="AB151" s="1382">
        <v>16000</v>
      </c>
      <c r="AC151" s="1377"/>
      <c r="AD151" s="1377"/>
      <c r="AE151" s="1377"/>
      <c r="AF151" s="1377"/>
      <c r="AG151" s="1377"/>
      <c r="AH151" s="1377"/>
      <c r="AI151" s="1377"/>
      <c r="AJ151" s="1377"/>
      <c r="AK151" s="1377"/>
      <c r="AL151" s="1377"/>
      <c r="AM151" s="1377"/>
      <c r="AN151" s="1380">
        <v>500</v>
      </c>
      <c r="AO151" s="1380">
        <v>500</v>
      </c>
      <c r="AP151" s="1383">
        <v>16550</v>
      </c>
    </row>
    <row r="152" spans="2:42" ht="15.75" hidden="1" x14ac:dyDescent="0.25">
      <c r="B152" s="1374" t="s">
        <v>332</v>
      </c>
      <c r="C152" s="1401" t="s">
        <v>1734</v>
      </c>
      <c r="D152" s="1376" t="s">
        <v>1709</v>
      </c>
      <c r="E152" s="1377" t="s">
        <v>1722</v>
      </c>
      <c r="F152" s="1384" t="s">
        <v>1710</v>
      </c>
      <c r="G152" s="1377">
        <v>627</v>
      </c>
      <c r="H152" s="1378" t="s">
        <v>646</v>
      </c>
      <c r="I152" s="1378" t="s">
        <v>5</v>
      </c>
      <c r="J152" s="1378" t="s">
        <v>1451</v>
      </c>
      <c r="K152" s="1380"/>
      <c r="L152" s="1380">
        <v>19000</v>
      </c>
      <c r="M152" s="1380"/>
      <c r="N152" s="1381"/>
      <c r="O152" s="1381"/>
      <c r="P152" s="1381"/>
      <c r="Q152" s="1381"/>
      <c r="R152" s="1381"/>
      <c r="S152" s="1381"/>
      <c r="T152" s="1381"/>
      <c r="U152" s="1381"/>
      <c r="V152" s="1381"/>
      <c r="W152" s="1381">
        <v>0</v>
      </c>
      <c r="X152" s="1380">
        <v>19000</v>
      </c>
      <c r="Y152" s="1380"/>
      <c r="Z152" s="1380">
        <v>50</v>
      </c>
      <c r="AA152" s="1380"/>
      <c r="AB152" s="1382">
        <v>18950</v>
      </c>
      <c r="AC152" s="1377"/>
      <c r="AD152" s="1377"/>
      <c r="AE152" s="1377"/>
      <c r="AF152" s="1377"/>
      <c r="AG152" s="1377"/>
      <c r="AH152" s="1377"/>
      <c r="AI152" s="1377"/>
      <c r="AJ152" s="1377"/>
      <c r="AK152" s="1377"/>
      <c r="AL152" s="1377"/>
      <c r="AM152" s="1377"/>
      <c r="AN152" s="1380">
        <v>500</v>
      </c>
      <c r="AO152" s="1380">
        <v>500</v>
      </c>
      <c r="AP152" s="1383">
        <v>19500</v>
      </c>
    </row>
    <row r="153" spans="2:42" ht="15.75" hidden="1" x14ac:dyDescent="0.25">
      <c r="B153" s="1374" t="s">
        <v>334</v>
      </c>
      <c r="C153" s="1401" t="s">
        <v>1735</v>
      </c>
      <c r="D153" s="1376" t="s">
        <v>1709</v>
      </c>
      <c r="E153" s="1377" t="s">
        <v>1722</v>
      </c>
      <c r="F153" s="1384" t="s">
        <v>1710</v>
      </c>
      <c r="G153" s="1377">
        <v>627</v>
      </c>
      <c r="H153" s="1378" t="s">
        <v>646</v>
      </c>
      <c r="I153" s="1378" t="s">
        <v>5</v>
      </c>
      <c r="J153" s="1378" t="s">
        <v>1451</v>
      </c>
      <c r="K153" s="1380"/>
      <c r="L153" s="1380">
        <v>19220</v>
      </c>
      <c r="M153" s="1380"/>
      <c r="N153" s="1381"/>
      <c r="O153" s="1381"/>
      <c r="P153" s="1381"/>
      <c r="Q153" s="1381"/>
      <c r="R153" s="1381"/>
      <c r="S153" s="1381"/>
      <c r="T153" s="1381"/>
      <c r="U153" s="1381"/>
      <c r="V153" s="1381"/>
      <c r="W153" s="1381">
        <v>0</v>
      </c>
      <c r="X153" s="1380">
        <v>19220</v>
      </c>
      <c r="Y153" s="1380"/>
      <c r="Z153" s="1380">
        <v>50</v>
      </c>
      <c r="AA153" s="1380"/>
      <c r="AB153" s="1382">
        <v>19170</v>
      </c>
      <c r="AC153" s="1377"/>
      <c r="AD153" s="1377"/>
      <c r="AE153" s="1377"/>
      <c r="AF153" s="1377"/>
      <c r="AG153" s="1377"/>
      <c r="AH153" s="1377"/>
      <c r="AI153" s="1377"/>
      <c r="AJ153" s="1377"/>
      <c r="AK153" s="1377"/>
      <c r="AL153" s="1377"/>
      <c r="AM153" s="1377"/>
      <c r="AN153" s="1380">
        <v>500</v>
      </c>
      <c r="AO153" s="1380">
        <v>500</v>
      </c>
      <c r="AP153" s="1383">
        <v>19720</v>
      </c>
    </row>
    <row r="154" spans="2:42" ht="15.75" hidden="1" x14ac:dyDescent="0.25">
      <c r="B154" s="1374" t="s">
        <v>336</v>
      </c>
      <c r="C154" s="1401" t="s">
        <v>1736</v>
      </c>
      <c r="D154" s="1376" t="s">
        <v>1709</v>
      </c>
      <c r="E154" s="1377" t="s">
        <v>1722</v>
      </c>
      <c r="F154" s="1384" t="s">
        <v>1710</v>
      </c>
      <c r="G154" s="1377">
        <v>627</v>
      </c>
      <c r="H154" s="1378" t="s">
        <v>646</v>
      </c>
      <c r="I154" s="1378" t="s">
        <v>5</v>
      </c>
      <c r="J154" s="1378" t="s">
        <v>1451</v>
      </c>
      <c r="K154" s="1380"/>
      <c r="L154" s="1380">
        <v>18300</v>
      </c>
      <c r="M154" s="1380"/>
      <c r="N154" s="1381"/>
      <c r="O154" s="1381"/>
      <c r="P154" s="1381"/>
      <c r="Q154" s="1381"/>
      <c r="R154" s="1381"/>
      <c r="S154" s="1381"/>
      <c r="T154" s="1381"/>
      <c r="U154" s="1381"/>
      <c r="V154" s="1381"/>
      <c r="W154" s="1381">
        <v>0</v>
      </c>
      <c r="X154" s="1380">
        <v>18300</v>
      </c>
      <c r="Y154" s="1380"/>
      <c r="Z154" s="1380">
        <v>50</v>
      </c>
      <c r="AA154" s="1380"/>
      <c r="AB154" s="1382">
        <v>18250</v>
      </c>
      <c r="AC154" s="1377"/>
      <c r="AD154" s="1377"/>
      <c r="AE154" s="1377"/>
      <c r="AF154" s="1377"/>
      <c r="AG154" s="1377"/>
      <c r="AH154" s="1377"/>
      <c r="AI154" s="1377"/>
      <c r="AJ154" s="1377"/>
      <c r="AK154" s="1377"/>
      <c r="AL154" s="1377"/>
      <c r="AM154" s="1377"/>
      <c r="AN154" s="1380">
        <v>500</v>
      </c>
      <c r="AO154" s="1380">
        <v>500</v>
      </c>
      <c r="AP154" s="1383">
        <v>18800</v>
      </c>
    </row>
    <row r="155" spans="2:42" ht="15.75" hidden="1" x14ac:dyDescent="0.25">
      <c r="B155" s="1374" t="s">
        <v>338</v>
      </c>
      <c r="C155" s="1377" t="s">
        <v>1737</v>
      </c>
      <c r="D155" s="1376" t="s">
        <v>1738</v>
      </c>
      <c r="E155" s="1377" t="s">
        <v>1739</v>
      </c>
      <c r="F155" s="1384" t="s">
        <v>1710</v>
      </c>
      <c r="G155" s="1377">
        <v>642</v>
      </c>
      <c r="H155" s="1378" t="s">
        <v>646</v>
      </c>
      <c r="I155" s="1378" t="s">
        <v>5</v>
      </c>
      <c r="J155" s="1378" t="s">
        <v>1451</v>
      </c>
      <c r="K155" s="1380">
        <v>9200</v>
      </c>
      <c r="L155" s="1380"/>
      <c r="M155" s="1380"/>
      <c r="N155" s="1381"/>
      <c r="O155" s="1381"/>
      <c r="P155" s="1381"/>
      <c r="Q155" s="1381"/>
      <c r="R155" s="1381"/>
      <c r="S155" s="1381"/>
      <c r="T155" s="1381"/>
      <c r="U155" s="1381"/>
      <c r="V155" s="1381"/>
      <c r="W155" s="1381">
        <v>0</v>
      </c>
      <c r="X155" s="1380">
        <v>9191.0967741935474</v>
      </c>
      <c r="Y155" s="1380">
        <v>1120</v>
      </c>
      <c r="Z155" s="1380">
        <v>50</v>
      </c>
      <c r="AA155" s="1380">
        <v>20</v>
      </c>
      <c r="AB155" s="1382">
        <v>8001.0967741935474</v>
      </c>
      <c r="AC155" s="1377"/>
      <c r="AD155" s="1377"/>
      <c r="AE155" s="1377"/>
      <c r="AF155" s="1377"/>
      <c r="AG155" s="1377"/>
      <c r="AH155" s="1377"/>
      <c r="AI155" s="1377"/>
      <c r="AJ155" s="1377"/>
      <c r="AK155" s="1377"/>
      <c r="AL155" s="1377"/>
      <c r="AM155" s="1377"/>
      <c r="AN155" s="1380">
        <v>1000</v>
      </c>
      <c r="AO155" s="1380">
        <v>1000</v>
      </c>
      <c r="AP155" s="1383">
        <v>10191.096774193547</v>
      </c>
    </row>
    <row r="156" spans="2:42" ht="15.75" hidden="1" x14ac:dyDescent="0.25">
      <c r="B156" s="1374" t="s">
        <v>340</v>
      </c>
      <c r="C156" s="1377" t="s">
        <v>1740</v>
      </c>
      <c r="D156" s="1376" t="s">
        <v>1738</v>
      </c>
      <c r="E156" s="1377" t="s">
        <v>1739</v>
      </c>
      <c r="F156" s="1384" t="s">
        <v>1710</v>
      </c>
      <c r="G156" s="1377">
        <v>642</v>
      </c>
      <c r="H156" s="1378" t="s">
        <v>646</v>
      </c>
      <c r="I156" s="1378" t="s">
        <v>5</v>
      </c>
      <c r="J156" s="1378" t="s">
        <v>1451</v>
      </c>
      <c r="K156" s="1380">
        <v>9500</v>
      </c>
      <c r="L156" s="1380"/>
      <c r="M156" s="1380"/>
      <c r="N156" s="1381"/>
      <c r="O156" s="1381"/>
      <c r="P156" s="1381"/>
      <c r="Q156" s="1381"/>
      <c r="R156" s="1381"/>
      <c r="S156" s="1381"/>
      <c r="T156" s="1381"/>
      <c r="U156" s="1381"/>
      <c r="V156" s="1381"/>
      <c r="W156" s="1381">
        <v>0</v>
      </c>
      <c r="X156" s="1380">
        <v>9273.2258064516136</v>
      </c>
      <c r="Y156" s="1380">
        <v>1120</v>
      </c>
      <c r="Z156" s="1380">
        <v>50</v>
      </c>
      <c r="AA156" s="1380">
        <v>380</v>
      </c>
      <c r="AB156" s="1382">
        <v>7723.2258064516136</v>
      </c>
      <c r="AC156" s="1377"/>
      <c r="AD156" s="1377"/>
      <c r="AE156" s="1377"/>
      <c r="AF156" s="1377"/>
      <c r="AG156" s="1377"/>
      <c r="AH156" s="1377"/>
      <c r="AI156" s="1377"/>
      <c r="AJ156" s="1377"/>
      <c r="AK156" s="1377"/>
      <c r="AL156" s="1377"/>
      <c r="AM156" s="1377"/>
      <c r="AN156" s="1380">
        <v>1000</v>
      </c>
      <c r="AO156" s="1380">
        <v>1000</v>
      </c>
      <c r="AP156" s="1383">
        <v>10273.225806451614</v>
      </c>
    </row>
    <row r="157" spans="2:42" ht="15.75" hidden="1" x14ac:dyDescent="0.25">
      <c r="B157" s="1374" t="s">
        <v>342</v>
      </c>
      <c r="C157" s="1377" t="s">
        <v>1741</v>
      </c>
      <c r="D157" s="1376" t="s">
        <v>1738</v>
      </c>
      <c r="E157" s="1377" t="s">
        <v>1739</v>
      </c>
      <c r="F157" s="1384" t="s">
        <v>1710</v>
      </c>
      <c r="G157" s="1377">
        <v>642</v>
      </c>
      <c r="H157" s="1378" t="s">
        <v>646</v>
      </c>
      <c r="I157" s="1378" t="s">
        <v>5</v>
      </c>
      <c r="J157" s="1378" t="s">
        <v>1451</v>
      </c>
      <c r="K157" s="1380">
        <v>9500</v>
      </c>
      <c r="L157" s="1380"/>
      <c r="M157" s="1380"/>
      <c r="N157" s="1381"/>
      <c r="O157" s="1381"/>
      <c r="P157" s="1381"/>
      <c r="Q157" s="1381"/>
      <c r="R157" s="1381"/>
      <c r="S157" s="1381"/>
      <c r="T157" s="1381"/>
      <c r="U157" s="1381"/>
      <c r="V157" s="1381"/>
      <c r="W157" s="1381">
        <v>0</v>
      </c>
      <c r="X157" s="1380">
        <v>6947.2580645161297</v>
      </c>
      <c r="Y157" s="1380"/>
      <c r="Z157" s="1380"/>
      <c r="AA157" s="1380"/>
      <c r="AB157" s="1382">
        <v>6947.2580645161297</v>
      </c>
      <c r="AC157" s="1377"/>
      <c r="AD157" s="1377"/>
      <c r="AE157" s="1377"/>
      <c r="AF157" s="1377"/>
      <c r="AG157" s="1377"/>
      <c r="AH157" s="1377"/>
      <c r="AI157" s="1377"/>
      <c r="AJ157" s="1377"/>
      <c r="AK157" s="1377"/>
      <c r="AL157" s="1377"/>
      <c r="AM157" s="1377"/>
      <c r="AN157" s="1380">
        <v>1000</v>
      </c>
      <c r="AO157" s="1380">
        <v>1000</v>
      </c>
      <c r="AP157" s="1383">
        <v>7947.2580645161297</v>
      </c>
    </row>
    <row r="158" spans="2:42" ht="15.75" hidden="1" x14ac:dyDescent="0.25">
      <c r="B158" s="1374" t="s">
        <v>1742</v>
      </c>
      <c r="C158" s="1377" t="s">
        <v>1743</v>
      </c>
      <c r="D158" s="1376" t="s">
        <v>1738</v>
      </c>
      <c r="E158" s="1377" t="s">
        <v>1461</v>
      </c>
      <c r="F158" s="1384" t="s">
        <v>1710</v>
      </c>
      <c r="G158" s="1377">
        <v>642</v>
      </c>
      <c r="H158" s="1378" t="s">
        <v>646</v>
      </c>
      <c r="I158" s="1378" t="s">
        <v>5</v>
      </c>
      <c r="J158" s="1378" t="s">
        <v>1451</v>
      </c>
      <c r="K158" s="1380">
        <v>8000</v>
      </c>
      <c r="L158" s="1380"/>
      <c r="M158" s="1380">
        <v>382.09677419354841</v>
      </c>
      <c r="N158" s="1381"/>
      <c r="O158" s="1381"/>
      <c r="P158" s="1381"/>
      <c r="Q158" s="1381"/>
      <c r="R158" s="1381"/>
      <c r="S158" s="1381"/>
      <c r="T158" s="1381"/>
      <c r="U158" s="1381"/>
      <c r="V158" s="1381"/>
      <c r="W158" s="1381">
        <v>0</v>
      </c>
      <c r="X158" s="1380">
        <v>8353.709677419356</v>
      </c>
      <c r="Y158" s="1380"/>
      <c r="Z158" s="1380">
        <v>50</v>
      </c>
      <c r="AA158" s="1380">
        <v>60</v>
      </c>
      <c r="AB158" s="1382">
        <v>8243.709677419356</v>
      </c>
      <c r="AC158" s="1377"/>
      <c r="AD158" s="1377"/>
      <c r="AE158" s="1377"/>
      <c r="AF158" s="1377"/>
      <c r="AG158" s="1377"/>
      <c r="AH158" s="1377"/>
      <c r="AI158" s="1377"/>
      <c r="AJ158" s="1377"/>
      <c r="AK158" s="1377"/>
      <c r="AL158" s="1377"/>
      <c r="AM158" s="1377"/>
      <c r="AN158" s="1380">
        <v>500</v>
      </c>
      <c r="AO158" s="1380">
        <v>500</v>
      </c>
      <c r="AP158" s="1383">
        <v>8853.709677419356</v>
      </c>
    </row>
    <row r="159" spans="2:42" ht="15.75" hidden="1" x14ac:dyDescent="0.25">
      <c r="B159" s="1374" t="s">
        <v>1744</v>
      </c>
      <c r="C159" s="1377" t="s">
        <v>1745</v>
      </c>
      <c r="D159" s="1376" t="s">
        <v>1738</v>
      </c>
      <c r="E159" s="1377" t="s">
        <v>1746</v>
      </c>
      <c r="F159" s="1384" t="s">
        <v>1710</v>
      </c>
      <c r="G159" s="1377">
        <v>642</v>
      </c>
      <c r="H159" s="1378" t="s">
        <v>646</v>
      </c>
      <c r="I159" s="1378" t="s">
        <v>5</v>
      </c>
      <c r="J159" s="1378" t="s">
        <v>1451</v>
      </c>
      <c r="K159" s="1380">
        <v>8000</v>
      </c>
      <c r="L159" s="1380"/>
      <c r="M159" s="1380"/>
      <c r="N159" s="1381"/>
      <c r="O159" s="1381"/>
      <c r="P159" s="1381"/>
      <c r="Q159" s="1381"/>
      <c r="R159" s="1381"/>
      <c r="S159" s="1381"/>
      <c r="T159" s="1381"/>
      <c r="U159" s="1381"/>
      <c r="V159" s="1381"/>
      <c r="W159" s="1381">
        <v>0</v>
      </c>
      <c r="X159" s="1380">
        <v>7101.9354838709678</v>
      </c>
      <c r="Y159" s="1380"/>
      <c r="Z159" s="1380">
        <v>50</v>
      </c>
      <c r="AA159" s="1380">
        <v>250</v>
      </c>
      <c r="AB159" s="1382">
        <v>6801.9354838709678</v>
      </c>
      <c r="AC159" s="1377"/>
      <c r="AD159" s="1377"/>
      <c r="AE159" s="1377"/>
      <c r="AF159" s="1377"/>
      <c r="AG159" s="1377"/>
      <c r="AH159" s="1377"/>
      <c r="AI159" s="1377"/>
      <c r="AJ159" s="1377"/>
      <c r="AK159" s="1377"/>
      <c r="AL159" s="1377"/>
      <c r="AM159" s="1377"/>
      <c r="AN159" s="1380">
        <v>500</v>
      </c>
      <c r="AO159" s="1380">
        <v>500</v>
      </c>
      <c r="AP159" s="1383">
        <v>7601.9354838709678</v>
      </c>
    </row>
    <row r="160" spans="2:42" ht="15.75" hidden="1" x14ac:dyDescent="0.25">
      <c r="B160" s="1374" t="s">
        <v>1747</v>
      </c>
      <c r="C160" s="1377" t="s">
        <v>1748</v>
      </c>
      <c r="D160" s="1376" t="s">
        <v>1738</v>
      </c>
      <c r="E160" s="1377" t="s">
        <v>1746</v>
      </c>
      <c r="F160" s="1384" t="s">
        <v>1710</v>
      </c>
      <c r="G160" s="1377">
        <v>642</v>
      </c>
      <c r="H160" s="1378" t="s">
        <v>646</v>
      </c>
      <c r="I160" s="1378" t="s">
        <v>5</v>
      </c>
      <c r="J160" s="1378" t="s">
        <v>1451</v>
      </c>
      <c r="K160" s="1380">
        <v>7000</v>
      </c>
      <c r="L160" s="1380"/>
      <c r="M160" s="1380">
        <v>510.26612903225811</v>
      </c>
      <c r="N160" s="1381"/>
      <c r="O160" s="1381"/>
      <c r="P160" s="1381"/>
      <c r="Q160" s="1381"/>
      <c r="R160" s="1381"/>
      <c r="S160" s="1381"/>
      <c r="T160" s="1381"/>
      <c r="U160" s="1381"/>
      <c r="V160" s="1381"/>
      <c r="W160" s="1381">
        <v>0</v>
      </c>
      <c r="X160" s="1380">
        <v>7783.4919354838721</v>
      </c>
      <c r="Y160" s="1380"/>
      <c r="Z160" s="1380">
        <v>50</v>
      </c>
      <c r="AA160" s="1380">
        <v>180</v>
      </c>
      <c r="AB160" s="1382">
        <v>7553.4919354838721</v>
      </c>
      <c r="AC160" s="1377"/>
      <c r="AD160" s="1377"/>
      <c r="AE160" s="1377"/>
      <c r="AF160" s="1377"/>
      <c r="AG160" s="1377"/>
      <c r="AH160" s="1377"/>
      <c r="AI160" s="1377"/>
      <c r="AJ160" s="1377"/>
      <c r="AK160" s="1377"/>
      <c r="AL160" s="1377"/>
      <c r="AM160" s="1377"/>
      <c r="AN160" s="1380">
        <v>1000</v>
      </c>
      <c r="AO160" s="1380">
        <v>1000</v>
      </c>
      <c r="AP160" s="1383">
        <v>8783.4919354838712</v>
      </c>
    </row>
    <row r="161" spans="2:42" ht="15.75" hidden="1" x14ac:dyDescent="0.25">
      <c r="B161" s="1374" t="s">
        <v>1749</v>
      </c>
      <c r="C161" s="1377" t="s">
        <v>1750</v>
      </c>
      <c r="D161" s="1376" t="s">
        <v>1738</v>
      </c>
      <c r="E161" s="1377" t="s">
        <v>1746</v>
      </c>
      <c r="F161" s="1384" t="s">
        <v>1710</v>
      </c>
      <c r="G161" s="1377">
        <v>642</v>
      </c>
      <c r="H161" s="1378" t="s">
        <v>646</v>
      </c>
      <c r="I161" s="1378" t="s">
        <v>5</v>
      </c>
      <c r="J161" s="1378" t="s">
        <v>1451</v>
      </c>
      <c r="K161" s="1380">
        <v>7000</v>
      </c>
      <c r="L161" s="1380"/>
      <c r="M161" s="1380">
        <v>755.66129032258073</v>
      </c>
      <c r="N161" s="1381"/>
      <c r="O161" s="1381"/>
      <c r="P161" s="1381"/>
      <c r="Q161" s="1381"/>
      <c r="R161" s="1381"/>
      <c r="S161" s="1381"/>
      <c r="T161" s="1381"/>
      <c r="U161" s="1381"/>
      <c r="V161" s="1381"/>
      <c r="W161" s="1381">
        <v>0</v>
      </c>
      <c r="X161" s="1380">
        <v>7895.6612903225805</v>
      </c>
      <c r="Y161" s="1380"/>
      <c r="Z161" s="1380">
        <v>50</v>
      </c>
      <c r="AA161" s="1380">
        <v>430</v>
      </c>
      <c r="AB161" s="1382">
        <v>7415.6612903225805</v>
      </c>
      <c r="AC161" s="1377"/>
      <c r="AD161" s="1377"/>
      <c r="AE161" s="1377"/>
      <c r="AF161" s="1377"/>
      <c r="AG161" s="1377"/>
      <c r="AH161" s="1377"/>
      <c r="AI161" s="1377"/>
      <c r="AJ161" s="1377"/>
      <c r="AK161" s="1377"/>
      <c r="AL161" s="1377"/>
      <c r="AM161" s="1377"/>
      <c r="AN161" s="1380">
        <v>1000</v>
      </c>
      <c r="AO161" s="1380">
        <v>1000</v>
      </c>
      <c r="AP161" s="1383">
        <v>8895.6612903225796</v>
      </c>
    </row>
    <row r="162" spans="2:42" ht="15.75" hidden="1" x14ac:dyDescent="0.25">
      <c r="B162" s="1374" t="s">
        <v>1751</v>
      </c>
      <c r="C162" s="1377" t="s">
        <v>1752</v>
      </c>
      <c r="D162" s="1376" t="s">
        <v>1738</v>
      </c>
      <c r="E162" s="1377" t="s">
        <v>1746</v>
      </c>
      <c r="F162" s="1384" t="s">
        <v>1710</v>
      </c>
      <c r="G162" s="1377">
        <v>642</v>
      </c>
      <c r="H162" s="1378" t="s">
        <v>646</v>
      </c>
      <c r="I162" s="1378" t="s">
        <v>5</v>
      </c>
      <c r="J162" s="1378" t="s">
        <v>1451</v>
      </c>
      <c r="K162" s="1380">
        <v>7000</v>
      </c>
      <c r="L162" s="1380"/>
      <c r="M162" s="1380"/>
      <c r="N162" s="1381"/>
      <c r="O162" s="1381"/>
      <c r="P162" s="1381"/>
      <c r="Q162" s="1381"/>
      <c r="R162" s="1381"/>
      <c r="S162" s="1381"/>
      <c r="T162" s="1381"/>
      <c r="U162" s="1381"/>
      <c r="V162" s="1381"/>
      <c r="W162" s="1381">
        <v>0</v>
      </c>
      <c r="X162" s="1380">
        <v>6437.7419354838712</v>
      </c>
      <c r="Y162" s="1380">
        <v>1120</v>
      </c>
      <c r="Z162" s="1380">
        <v>50</v>
      </c>
      <c r="AA162" s="1380">
        <v>220</v>
      </c>
      <c r="AB162" s="1382">
        <v>5047.7419354838712</v>
      </c>
      <c r="AC162" s="1377"/>
      <c r="AD162" s="1377"/>
      <c r="AE162" s="1377"/>
      <c r="AF162" s="1377"/>
      <c r="AG162" s="1377"/>
      <c r="AH162" s="1377"/>
      <c r="AI162" s="1377"/>
      <c r="AJ162" s="1377"/>
      <c r="AK162" s="1377"/>
      <c r="AL162" s="1377"/>
      <c r="AM162" s="1377"/>
      <c r="AN162" s="1380">
        <v>1000</v>
      </c>
      <c r="AO162" s="1380">
        <v>1000</v>
      </c>
      <c r="AP162" s="1383">
        <v>7437.7419354838712</v>
      </c>
    </row>
    <row r="163" spans="2:42" ht="15.75" hidden="1" x14ac:dyDescent="0.25">
      <c r="B163" s="1374" t="s">
        <v>1753</v>
      </c>
      <c r="C163" s="1377" t="s">
        <v>1754</v>
      </c>
      <c r="D163" s="1376" t="s">
        <v>1738</v>
      </c>
      <c r="E163" s="1377" t="s">
        <v>1746</v>
      </c>
      <c r="F163" s="1384" t="s">
        <v>1710</v>
      </c>
      <c r="G163" s="1377">
        <v>642</v>
      </c>
      <c r="H163" s="1378" t="s">
        <v>646</v>
      </c>
      <c r="I163" s="1378" t="s">
        <v>5</v>
      </c>
      <c r="J163" s="1378" t="s">
        <v>1451</v>
      </c>
      <c r="K163" s="1380">
        <v>7500</v>
      </c>
      <c r="L163" s="1380"/>
      <c r="M163" s="1380"/>
      <c r="N163" s="1381"/>
      <c r="O163" s="1381"/>
      <c r="P163" s="1381"/>
      <c r="Q163" s="1381"/>
      <c r="R163" s="1381"/>
      <c r="S163" s="1381"/>
      <c r="T163" s="1381"/>
      <c r="U163" s="1381"/>
      <c r="V163" s="1381"/>
      <c r="W163" s="1381">
        <v>0</v>
      </c>
      <c r="X163" s="1380">
        <v>7487.9032258064517</v>
      </c>
      <c r="Y163" s="1380"/>
      <c r="Z163" s="1380">
        <v>50</v>
      </c>
      <c r="AA163" s="1380">
        <v>140</v>
      </c>
      <c r="AB163" s="1382">
        <v>7297.9032258064517</v>
      </c>
      <c r="AC163" s="1377"/>
      <c r="AD163" s="1377"/>
      <c r="AE163" s="1377"/>
      <c r="AF163" s="1377"/>
      <c r="AG163" s="1377"/>
      <c r="AH163" s="1377"/>
      <c r="AI163" s="1377"/>
      <c r="AJ163" s="1377"/>
      <c r="AK163" s="1377"/>
      <c r="AL163" s="1377"/>
      <c r="AM163" s="1377"/>
      <c r="AN163" s="1380">
        <v>1000</v>
      </c>
      <c r="AO163" s="1380">
        <v>1000</v>
      </c>
      <c r="AP163" s="1383">
        <v>8487.9032258064508</v>
      </c>
    </row>
    <row r="164" spans="2:42" ht="15.75" hidden="1" x14ac:dyDescent="0.25">
      <c r="B164" s="1374" t="s">
        <v>1755</v>
      </c>
      <c r="C164" s="1377" t="s">
        <v>1756</v>
      </c>
      <c r="D164" s="1376" t="s">
        <v>1738</v>
      </c>
      <c r="E164" s="1377" t="s">
        <v>1746</v>
      </c>
      <c r="F164" s="1384" t="s">
        <v>1710</v>
      </c>
      <c r="G164" s="1377">
        <v>642</v>
      </c>
      <c r="H164" s="1378" t="s">
        <v>646</v>
      </c>
      <c r="I164" s="1378" t="s">
        <v>5</v>
      </c>
      <c r="J164" s="1378" t="s">
        <v>1451</v>
      </c>
      <c r="K164" s="1380">
        <v>6500</v>
      </c>
      <c r="L164" s="1380"/>
      <c r="M164" s="1380"/>
      <c r="N164" s="1381"/>
      <c r="O164" s="1381"/>
      <c r="P164" s="1381"/>
      <c r="Q164" s="1381"/>
      <c r="R164" s="1381"/>
      <c r="S164" s="1381"/>
      <c r="T164" s="1381"/>
      <c r="U164" s="1381"/>
      <c r="V164" s="1381"/>
      <c r="W164" s="1381">
        <v>0</v>
      </c>
      <c r="X164" s="1380">
        <v>6397.2580645161297</v>
      </c>
      <c r="Y164" s="1380"/>
      <c r="Z164" s="1380">
        <v>50</v>
      </c>
      <c r="AA164" s="1380">
        <v>20</v>
      </c>
      <c r="AB164" s="1382">
        <v>6327.2580645161297</v>
      </c>
      <c r="AC164" s="1377"/>
      <c r="AD164" s="1377"/>
      <c r="AE164" s="1377"/>
      <c r="AF164" s="1377"/>
      <c r="AG164" s="1377"/>
      <c r="AH164" s="1377"/>
      <c r="AI164" s="1377"/>
      <c r="AJ164" s="1377"/>
      <c r="AK164" s="1377"/>
      <c r="AL164" s="1377"/>
      <c r="AM164" s="1377"/>
      <c r="AN164" s="1380">
        <v>1000</v>
      </c>
      <c r="AO164" s="1380">
        <v>1000</v>
      </c>
      <c r="AP164" s="1383">
        <v>7397.2580645161297</v>
      </c>
    </row>
    <row r="165" spans="2:42" ht="15.75" hidden="1" x14ac:dyDescent="0.25">
      <c r="B165" s="1374" t="s">
        <v>1757</v>
      </c>
      <c r="C165" s="1377" t="s">
        <v>1758</v>
      </c>
      <c r="D165" s="1376" t="s">
        <v>1738</v>
      </c>
      <c r="E165" s="1377" t="s">
        <v>1746</v>
      </c>
      <c r="F165" s="1384" t="s">
        <v>1710</v>
      </c>
      <c r="G165" s="1377">
        <v>642</v>
      </c>
      <c r="H165" s="1378" t="s">
        <v>646</v>
      </c>
      <c r="I165" s="1378" t="s">
        <v>5</v>
      </c>
      <c r="J165" s="1378" t="s">
        <v>1451</v>
      </c>
      <c r="K165" s="1380">
        <v>5000</v>
      </c>
      <c r="L165" s="1380"/>
      <c r="M165" s="1380"/>
      <c r="N165" s="1381"/>
      <c r="O165" s="1381"/>
      <c r="P165" s="1381"/>
      <c r="Q165" s="1381"/>
      <c r="R165" s="1381"/>
      <c r="S165" s="1381"/>
      <c r="T165" s="1381"/>
      <c r="U165" s="1381"/>
      <c r="V165" s="1381"/>
      <c r="W165" s="1381">
        <v>0</v>
      </c>
      <c r="X165" s="1380">
        <v>5483.8709677419356</v>
      </c>
      <c r="Y165" s="1380"/>
      <c r="Z165" s="1380">
        <v>50</v>
      </c>
      <c r="AA165" s="1380">
        <v>140</v>
      </c>
      <c r="AB165" s="1382">
        <v>5293.8709677419356</v>
      </c>
      <c r="AC165" s="1377"/>
      <c r="AD165" s="1377"/>
      <c r="AE165" s="1377"/>
      <c r="AF165" s="1377"/>
      <c r="AG165" s="1377"/>
      <c r="AH165" s="1377"/>
      <c r="AI165" s="1377"/>
      <c r="AJ165" s="1377"/>
      <c r="AK165" s="1377"/>
      <c r="AL165" s="1377"/>
      <c r="AM165" s="1377"/>
      <c r="AN165" s="1380">
        <v>1000</v>
      </c>
      <c r="AO165" s="1380">
        <v>1000</v>
      </c>
      <c r="AP165" s="1383">
        <v>6483.8709677419356</v>
      </c>
    </row>
    <row r="166" spans="2:42" ht="15.75" hidden="1" x14ac:dyDescent="0.25">
      <c r="B166" s="1374" t="s">
        <v>1759</v>
      </c>
      <c r="C166" s="1377" t="s">
        <v>1760</v>
      </c>
      <c r="D166" s="1376" t="s">
        <v>1738</v>
      </c>
      <c r="E166" s="1377" t="s">
        <v>1761</v>
      </c>
      <c r="F166" s="1384" t="s">
        <v>1710</v>
      </c>
      <c r="G166" s="1377">
        <v>627</v>
      </c>
      <c r="H166" s="1378" t="s">
        <v>646</v>
      </c>
      <c r="I166" s="1378" t="s">
        <v>5</v>
      </c>
      <c r="J166" s="1378" t="s">
        <v>1451</v>
      </c>
      <c r="K166" s="1380">
        <v>12000</v>
      </c>
      <c r="L166" s="1380"/>
      <c r="M166" s="1380"/>
      <c r="N166" s="1381"/>
      <c r="O166" s="1381"/>
      <c r="P166" s="1381"/>
      <c r="Q166" s="1381"/>
      <c r="R166" s="1381"/>
      <c r="S166" s="1381"/>
      <c r="T166" s="1381">
        <v>3000</v>
      </c>
      <c r="U166" s="1381"/>
      <c r="V166" s="1381"/>
      <c r="W166" s="1381">
        <v>3000</v>
      </c>
      <c r="X166" s="1380">
        <v>15000</v>
      </c>
      <c r="Y166" s="1380">
        <v>1120</v>
      </c>
      <c r="Z166" s="1380">
        <v>50</v>
      </c>
      <c r="AA166" s="1380"/>
      <c r="AB166" s="1382">
        <v>13830</v>
      </c>
      <c r="AC166" s="1377"/>
      <c r="AD166" s="1377"/>
      <c r="AE166" s="1377"/>
      <c r="AF166" s="1377"/>
      <c r="AG166" s="1377"/>
      <c r="AH166" s="1377"/>
      <c r="AI166" s="1377"/>
      <c r="AJ166" s="1377"/>
      <c r="AK166" s="1377"/>
      <c r="AL166" s="1377"/>
      <c r="AM166" s="1377"/>
      <c r="AN166" s="1380">
        <v>1000</v>
      </c>
      <c r="AO166" s="1380">
        <v>1000</v>
      </c>
      <c r="AP166" s="1383">
        <v>16000</v>
      </c>
    </row>
    <row r="167" spans="2:42" ht="15.75" hidden="1" x14ac:dyDescent="0.25">
      <c r="B167" s="1374" t="s">
        <v>1762</v>
      </c>
      <c r="C167" s="1377" t="s">
        <v>1763</v>
      </c>
      <c r="D167" s="1376" t="s">
        <v>1738</v>
      </c>
      <c r="E167" s="1377" t="s">
        <v>1764</v>
      </c>
      <c r="F167" s="1384" t="s">
        <v>1710</v>
      </c>
      <c r="G167" s="1384">
        <v>642</v>
      </c>
      <c r="H167" s="1378" t="s">
        <v>646</v>
      </c>
      <c r="I167" s="1378" t="s">
        <v>5</v>
      </c>
      <c r="J167" s="1378" t="s">
        <v>1451</v>
      </c>
      <c r="K167" s="1380">
        <v>10000</v>
      </c>
      <c r="L167" s="1380"/>
      <c r="M167" s="1380"/>
      <c r="N167" s="1381"/>
      <c r="O167" s="1381"/>
      <c r="P167" s="1381"/>
      <c r="Q167" s="1381"/>
      <c r="R167" s="1381"/>
      <c r="S167" s="1381"/>
      <c r="T167" s="1381"/>
      <c r="U167" s="1381"/>
      <c r="V167" s="1381"/>
      <c r="W167" s="1381">
        <v>0</v>
      </c>
      <c r="X167" s="1380">
        <v>10000</v>
      </c>
      <c r="Y167" s="1380"/>
      <c r="Z167" s="1380">
        <v>50</v>
      </c>
      <c r="AA167" s="1380"/>
      <c r="AB167" s="1382">
        <v>9950</v>
      </c>
      <c r="AC167" s="1377"/>
      <c r="AD167" s="1377"/>
      <c r="AE167" s="1377"/>
      <c r="AF167" s="1377"/>
      <c r="AG167" s="1377"/>
      <c r="AH167" s="1377"/>
      <c r="AI167" s="1377"/>
      <c r="AJ167" s="1377"/>
      <c r="AK167" s="1377"/>
      <c r="AL167" s="1377"/>
      <c r="AM167" s="1377"/>
      <c r="AN167" s="1380">
        <v>500</v>
      </c>
      <c r="AO167" s="1380">
        <v>500</v>
      </c>
      <c r="AP167" s="1383">
        <v>10500</v>
      </c>
    </row>
    <row r="168" spans="2:42" ht="15.75" hidden="1" x14ac:dyDescent="0.25">
      <c r="B168" s="1374" t="s">
        <v>1765</v>
      </c>
      <c r="C168" s="1377" t="s">
        <v>1766</v>
      </c>
      <c r="D168" s="1376" t="s">
        <v>1738</v>
      </c>
      <c r="E168" s="1377" t="s">
        <v>1767</v>
      </c>
      <c r="F168" s="1384" t="s">
        <v>1710</v>
      </c>
      <c r="G168" s="1384">
        <v>642</v>
      </c>
      <c r="H168" s="1378" t="s">
        <v>646</v>
      </c>
      <c r="I168" s="1378" t="s">
        <v>5</v>
      </c>
      <c r="J168" s="1378" t="s">
        <v>1451</v>
      </c>
      <c r="K168" s="1380">
        <v>7000</v>
      </c>
      <c r="L168" s="1380"/>
      <c r="M168" s="1380"/>
      <c r="N168" s="1381"/>
      <c r="O168" s="1381"/>
      <c r="P168" s="1381"/>
      <c r="Q168" s="1381"/>
      <c r="R168" s="1381"/>
      <c r="S168" s="1381"/>
      <c r="T168" s="1381"/>
      <c r="U168" s="1381"/>
      <c r="V168" s="1381"/>
      <c r="W168" s="1381">
        <v>0</v>
      </c>
      <c r="X168" s="1380">
        <v>7000</v>
      </c>
      <c r="Y168" s="1380"/>
      <c r="Z168" s="1380"/>
      <c r="AA168" s="1380"/>
      <c r="AB168" s="1382">
        <v>7000</v>
      </c>
      <c r="AC168" s="1377"/>
      <c r="AD168" s="1377"/>
      <c r="AE168" s="1377"/>
      <c r="AF168" s="1377"/>
      <c r="AG168" s="1377"/>
      <c r="AH168" s="1377"/>
      <c r="AI168" s="1377"/>
      <c r="AJ168" s="1377"/>
      <c r="AK168" s="1377"/>
      <c r="AL168" s="1377"/>
      <c r="AM168" s="1377"/>
      <c r="AN168" s="1380">
        <v>500</v>
      </c>
      <c r="AO168" s="1380">
        <v>500</v>
      </c>
      <c r="AP168" s="1383">
        <v>7500</v>
      </c>
    </row>
    <row r="169" spans="2:42" ht="15.75" hidden="1" x14ac:dyDescent="0.25">
      <c r="B169" s="1374" t="s">
        <v>1768</v>
      </c>
      <c r="C169" s="1377" t="s">
        <v>1769</v>
      </c>
      <c r="D169" s="1376" t="s">
        <v>1738</v>
      </c>
      <c r="E169" s="1377" t="s">
        <v>1770</v>
      </c>
      <c r="F169" s="1384" t="s">
        <v>1710</v>
      </c>
      <c r="G169" s="1384">
        <v>642</v>
      </c>
      <c r="H169" s="1378" t="s">
        <v>646</v>
      </c>
      <c r="I169" s="1378" t="s">
        <v>5</v>
      </c>
      <c r="J169" s="1378" t="s">
        <v>1451</v>
      </c>
      <c r="K169" s="1380"/>
      <c r="L169" s="1380"/>
      <c r="M169" s="1380"/>
      <c r="N169" s="1381"/>
      <c r="O169" s="1381"/>
      <c r="P169" s="1381"/>
      <c r="Q169" s="1381"/>
      <c r="R169" s="1381"/>
      <c r="S169" s="1381"/>
      <c r="T169" s="1381">
        <v>3000</v>
      </c>
      <c r="U169" s="1381"/>
      <c r="V169" s="1381"/>
      <c r="W169" s="1381">
        <v>3000</v>
      </c>
      <c r="X169" s="1380">
        <v>3000</v>
      </c>
      <c r="Y169" s="1380"/>
      <c r="Z169" s="1380"/>
      <c r="AA169" s="1380"/>
      <c r="AB169" s="1382">
        <v>3000</v>
      </c>
      <c r="AC169" s="1377"/>
      <c r="AD169" s="1377"/>
      <c r="AE169" s="1377"/>
      <c r="AF169" s="1377"/>
      <c r="AG169" s="1377"/>
      <c r="AH169" s="1377"/>
      <c r="AI169" s="1377"/>
      <c r="AJ169" s="1377"/>
      <c r="AK169" s="1377"/>
      <c r="AL169" s="1377"/>
      <c r="AM169" s="1377"/>
      <c r="AN169" s="1380"/>
      <c r="AO169" s="1380">
        <v>0</v>
      </c>
      <c r="AP169" s="1383">
        <v>3000</v>
      </c>
    </row>
    <row r="173" spans="2:42" x14ac:dyDescent="0.25">
      <c r="D173" s="1384" t="s">
        <v>1493</v>
      </c>
      <c r="E173" s="1405">
        <f>SUM(COUNTIF($B$3:$AP$169,D173))</f>
        <v>74</v>
      </c>
      <c r="F173" s="1406">
        <f>SUMIFS($AP$3:$AP$169,$F$3:$F$169,D173)*12</f>
        <v>8601886.258064514</v>
      </c>
      <c r="G173" s="1406"/>
      <c r="H173" s="1405">
        <f>F173/E173/12</f>
        <v>9686.8088491717499</v>
      </c>
    </row>
    <row r="174" spans="2:42" x14ac:dyDescent="0.25">
      <c r="D174" s="1384" t="s">
        <v>1450</v>
      </c>
      <c r="E174" s="1405">
        <f t="shared" ref="E174:E179" si="0">SUM(COUNTIF($B$3:$AP$169,D174))</f>
        <v>24</v>
      </c>
      <c r="F174" s="1406">
        <f t="shared" ref="F174:F179" si="1">SUMIFS($AP$3:$AP$169,$F$3:$F$169,D174)*12</f>
        <v>2084546.3225806453</v>
      </c>
      <c r="G174" s="1406"/>
      <c r="H174" s="1405">
        <f t="shared" ref="H174:H179" si="2">F174/E174/12</f>
        <v>7238.0080645161297</v>
      </c>
    </row>
    <row r="175" spans="2:42" x14ac:dyDescent="0.25">
      <c r="D175" s="1384" t="s">
        <v>1531</v>
      </c>
      <c r="E175" s="1405">
        <f t="shared" si="0"/>
        <v>7</v>
      </c>
      <c r="F175" s="1406">
        <f t="shared" si="1"/>
        <v>838311.09677419346</v>
      </c>
      <c r="G175" s="1406"/>
      <c r="H175" s="1405">
        <f t="shared" si="2"/>
        <v>9979.8940092165885</v>
      </c>
    </row>
    <row r="176" spans="2:42" x14ac:dyDescent="0.25">
      <c r="D176" s="1384" t="s">
        <v>1710</v>
      </c>
      <c r="E176" s="1405">
        <f t="shared" si="0"/>
        <v>31</v>
      </c>
      <c r="F176" s="1406">
        <f t="shared" si="1"/>
        <v>4554734.6129032252</v>
      </c>
      <c r="G176" s="1406"/>
      <c r="H176" s="1405">
        <f t="shared" si="2"/>
        <v>12243.910249739854</v>
      </c>
    </row>
    <row r="177" spans="4:8" x14ac:dyDescent="0.25">
      <c r="D177" s="1384" t="s">
        <v>1659</v>
      </c>
      <c r="E177" s="1405">
        <f t="shared" si="0"/>
        <v>2</v>
      </c>
      <c r="F177" s="1406">
        <f t="shared" si="1"/>
        <v>151200</v>
      </c>
      <c r="G177" s="1406"/>
      <c r="H177" s="1405">
        <f t="shared" si="2"/>
        <v>6300</v>
      </c>
    </row>
    <row r="178" spans="4:8" x14ac:dyDescent="0.25">
      <c r="D178" s="1384" t="s">
        <v>1505</v>
      </c>
      <c r="E178" s="1405">
        <f t="shared" si="0"/>
        <v>14</v>
      </c>
      <c r="F178" s="1406">
        <f t="shared" si="1"/>
        <v>1843732.064516129</v>
      </c>
      <c r="G178" s="1406"/>
      <c r="H178" s="1405">
        <f t="shared" si="2"/>
        <v>10974.595622119816</v>
      </c>
    </row>
    <row r="179" spans="4:8" x14ac:dyDescent="0.25">
      <c r="D179" s="1384" t="s">
        <v>1626</v>
      </c>
      <c r="E179" s="1405">
        <f t="shared" si="0"/>
        <v>15</v>
      </c>
      <c r="F179" s="1406">
        <f t="shared" si="1"/>
        <v>852301.50725806458</v>
      </c>
      <c r="G179" s="1406"/>
      <c r="H179" s="1405">
        <f t="shared" si="2"/>
        <v>4735.0083736559145</v>
      </c>
    </row>
    <row r="180" spans="4:8" x14ac:dyDescent="0.25">
      <c r="F180" s="1408">
        <f>SUBTOTAL(9,F173:F179)</f>
        <v>18926711.862096772</v>
      </c>
      <c r="G180" s="1408"/>
    </row>
    <row r="181" spans="4:8" x14ac:dyDescent="0.25">
      <c r="D181" s="1384" t="s">
        <v>1771</v>
      </c>
    </row>
    <row r="182" spans="4:8" x14ac:dyDescent="0.25">
      <c r="D182" s="1384" t="s">
        <v>1772</v>
      </c>
    </row>
    <row r="184" spans="4:8" x14ac:dyDescent="0.25">
      <c r="D184" s="1417">
        <v>621</v>
      </c>
    </row>
    <row r="186" spans="4:8" x14ac:dyDescent="0.25">
      <c r="D186" s="1377" t="s">
        <v>1505</v>
      </c>
      <c r="E186" s="1384">
        <f ca="1">SUM(COUNTIFS($F:$F,$D186,$G:$G,D$184))</f>
        <v>0</v>
      </c>
      <c r="F186" s="1405">
        <f ca="1">SUMIFS($AP:$AP,$F:$F,D186,$G:$G,D184)</f>
        <v>0</v>
      </c>
    </row>
    <row r="187" spans="4:8" ht="15.75" x14ac:dyDescent="0.25">
      <c r="D187" s="1376" t="s">
        <v>1626</v>
      </c>
      <c r="E187" s="1384">
        <f ca="1">SUM(COUNTIFS($F:$F,$D187,$G:$G,D$184))</f>
        <v>0</v>
      </c>
      <c r="F187" s="1405">
        <f ca="1">SUMIFS($AP:$AP,$F:$F,D187,$G:$G,D184)</f>
        <v>0</v>
      </c>
    </row>
    <row r="189" spans="4:8" x14ac:dyDescent="0.25">
      <c r="D189" s="1417">
        <v>627</v>
      </c>
    </row>
    <row r="190" spans="4:8" x14ac:dyDescent="0.25">
      <c r="D190" s="1384" t="s">
        <v>1531</v>
      </c>
      <c r="E190" s="1384">
        <f ca="1">SUM(COUNTIFS($F:$F,$D190,$G:$G,D$189))</f>
        <v>7</v>
      </c>
      <c r="F190" s="1405">
        <f ca="1">SUMIFS($AP:$AP,$F:$F,D190,$G:$G,D$189)</f>
        <v>69859.258064516122</v>
      </c>
    </row>
    <row r="191" spans="4:8" x14ac:dyDescent="0.25">
      <c r="D191" s="1384" t="s">
        <v>1659</v>
      </c>
      <c r="E191" s="1384">
        <f ca="1">SUM(COUNTIFS($F:$F,$D191,$G:$G,D$189))</f>
        <v>2</v>
      </c>
      <c r="F191" s="1405">
        <f ca="1">SUMIFS($AP:$AP,$F:$F,D191,$G:$G,D$189)</f>
        <v>12600</v>
      </c>
    </row>
    <row r="192" spans="4:8" x14ac:dyDescent="0.25">
      <c r="D192" s="1377" t="s">
        <v>1493</v>
      </c>
      <c r="E192" s="1384">
        <f ca="1">SUM(COUNTIFS($F:$F,$D192,$G:$G,D$189))</f>
        <v>55</v>
      </c>
      <c r="F192" s="1405">
        <f ca="1">SUMIFS($AP:$AP,$F:$F,D192,$G:$G,D$189)</f>
        <v>534065.69354838727</v>
      </c>
    </row>
    <row r="193" spans="4:6" x14ac:dyDescent="0.25">
      <c r="D193" s="1377" t="s">
        <v>1450</v>
      </c>
      <c r="E193" s="1384">
        <f t="shared" ref="E193:E194" ca="1" si="3">SUM(COUNTIFS($F:$F,$D193,$G:$G,D$189))</f>
        <v>3</v>
      </c>
      <c r="F193" s="1405">
        <f ca="1">SUMIFS($AP:$AP,$F:$F,D193,$G:$G,D$189)</f>
        <v>13000</v>
      </c>
    </row>
    <row r="194" spans="4:6" x14ac:dyDescent="0.25">
      <c r="D194" s="1384" t="s">
        <v>1710</v>
      </c>
      <c r="E194" s="1384">
        <f t="shared" ca="1" si="3"/>
        <v>14</v>
      </c>
      <c r="F194" s="1405">
        <f ca="1">SUMIFS($AP:$AP,$F:$F,D194,$G:$G,D$189)</f>
        <v>235449.67741935485</v>
      </c>
    </row>
    <row r="196" spans="4:6" x14ac:dyDescent="0.25">
      <c r="D196" s="1417">
        <v>641</v>
      </c>
    </row>
    <row r="197" spans="4:6" x14ac:dyDescent="0.25">
      <c r="D197" s="1377" t="s">
        <v>1493</v>
      </c>
      <c r="E197" s="1384">
        <f ca="1">SUM(COUNTIFS($F:$F,$D197,$G:$G,D$196))</f>
        <v>9</v>
      </c>
      <c r="F197" s="1405">
        <f ca="1">SUMIFS($AP:$AP,$F:$F,D197,$G:$G,D$196)</f>
        <v>88876.548387096773</v>
      </c>
    </row>
    <row r="198" spans="4:6" x14ac:dyDescent="0.25">
      <c r="D198" s="1377" t="s">
        <v>1450</v>
      </c>
      <c r="E198" s="1384">
        <f ca="1">SUM(COUNTIFS($F:$F,$D198,$G:$G,D$196))</f>
        <v>14</v>
      </c>
      <c r="F198" s="1405">
        <f ca="1">SUMIFS($AP:$AP,$F:$F,D198,$G:$G,D$196)</f>
        <v>99577.741935483893</v>
      </c>
    </row>
    <row r="200" spans="4:6" x14ac:dyDescent="0.25">
      <c r="D200" s="1417">
        <v>642</v>
      </c>
    </row>
    <row r="201" spans="4:6" x14ac:dyDescent="0.25">
      <c r="D201" s="1377" t="s">
        <v>1493</v>
      </c>
      <c r="E201" s="1384">
        <f ca="1">SUM(COUNTIFS($F:$F,$D201,$G:$G,D$200))</f>
        <v>10</v>
      </c>
      <c r="F201" s="1405">
        <f ca="1">SUMIFS($AP:$AP,$F:$F,D201,$G:$G,D$200)</f>
        <v>93881.612903225803</v>
      </c>
    </row>
    <row r="202" spans="4:6" x14ac:dyDescent="0.25">
      <c r="D202" s="1377" t="s">
        <v>1450</v>
      </c>
      <c r="E202" s="1384">
        <f ca="1">SUM(COUNTIFS($F:$F,$D202,$G:$G,D$200))</f>
        <v>7</v>
      </c>
      <c r="F202" s="1405">
        <f ca="1">SUMIFS($AP:$AP,$F:$F,D202,$G:$G,D$200)</f>
        <v>61134.45161290322</v>
      </c>
    </row>
    <row r="203" spans="4:6" x14ac:dyDescent="0.25">
      <c r="D203" s="1384" t="s">
        <v>1710</v>
      </c>
      <c r="E203" s="1384">
        <f ca="1">SUM(COUNTIFS($F:$F,$D203,$G:$G,D$200))</f>
        <v>17</v>
      </c>
      <c r="F203" s="1405">
        <f ca="1">SUMIFS($AP:$AP,$F:$F,D203,$G:$G,D$200)</f>
        <v>144111.54032258067</v>
      </c>
    </row>
  </sheetData>
  <autoFilter ref="B2:AP169" xr:uid="{1445E7CF-B528-4CEA-8987-B3C28CB7F2F2}">
    <filterColumn colId="2">
      <filters>
        <filter val="PX6 - CT"/>
      </filters>
    </filterColumn>
    <filterColumn colId="4">
      <filters>
        <filter val="NCGT- (Bê Tông&amp;Gạch)"/>
      </filters>
    </filterColumn>
  </autoFilter>
  <pageMargins left="0.7" right="0.7" top="0.75" bottom="0.75" header="0.3" footer="0.3"/>
  <pageSetup orientation="portrait" r:id="rId1"/>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99E84-4DEE-4F46-BA00-0A58937F4A84}">
  <sheetPr codeName="Sheet22">
    <tabColor theme="8" tint="0.39997558519241921"/>
  </sheetPr>
  <dimension ref="A2:V79"/>
  <sheetViews>
    <sheetView showGridLines="0" zoomScale="85" zoomScaleNormal="85" workbookViewId="0">
      <pane xSplit="4" ySplit="7" topLeftCell="E8" activePane="bottomRight" state="frozen"/>
      <selection activeCell="G37" sqref="G37"/>
      <selection pane="topRight" activeCell="G37" sqref="G37"/>
      <selection pane="bottomLeft" activeCell="G37" sqref="G37"/>
      <selection pane="bottomRight" activeCell="G27" sqref="G27"/>
    </sheetView>
  </sheetViews>
  <sheetFormatPr defaultColWidth="8.7109375" defaultRowHeight="15" x14ac:dyDescent="0.25"/>
  <cols>
    <col min="1" max="1" width="6.140625" style="60" customWidth="1"/>
    <col min="2" max="2" width="52.5703125" style="60" customWidth="1"/>
    <col min="3" max="3" width="9.7109375" style="60" customWidth="1"/>
    <col min="4" max="15" width="11.140625" style="60" customWidth="1"/>
    <col min="16" max="16384" width="8.7109375" style="60"/>
  </cols>
  <sheetData>
    <row r="2" spans="2:22" x14ac:dyDescent="0.25">
      <c r="B2" s="160" t="s">
        <v>780</v>
      </c>
    </row>
    <row r="4" spans="2:22" s="160" customFormat="1" x14ac:dyDescent="0.25">
      <c r="B4" s="160" t="s">
        <v>246</v>
      </c>
      <c r="E4" s="160">
        <v>2023</v>
      </c>
      <c r="F4" s="160">
        <f t="shared" ref="F4:O5" si="0">E4+1</f>
        <v>2024</v>
      </c>
      <c r="G4" s="160">
        <f t="shared" si="0"/>
        <v>2025</v>
      </c>
      <c r="H4" s="160">
        <f t="shared" si="0"/>
        <v>2026</v>
      </c>
      <c r="I4" s="160">
        <f t="shared" si="0"/>
        <v>2027</v>
      </c>
      <c r="J4" s="160">
        <f t="shared" si="0"/>
        <v>2028</v>
      </c>
      <c r="K4" s="160">
        <f t="shared" si="0"/>
        <v>2029</v>
      </c>
      <c r="L4" s="160">
        <f t="shared" si="0"/>
        <v>2030</v>
      </c>
      <c r="M4" s="160">
        <f t="shared" si="0"/>
        <v>2031</v>
      </c>
      <c r="N4" s="160">
        <f t="shared" si="0"/>
        <v>2032</v>
      </c>
      <c r="O4" s="160">
        <f t="shared" si="0"/>
        <v>2033</v>
      </c>
    </row>
    <row r="5" spans="2:22" x14ac:dyDescent="0.25">
      <c r="B5" s="474" t="s">
        <v>759</v>
      </c>
      <c r="E5" s="474">
        <v>0</v>
      </c>
      <c r="F5" s="474">
        <f>E5+1</f>
        <v>1</v>
      </c>
      <c r="G5" s="474">
        <f t="shared" si="0"/>
        <v>2</v>
      </c>
      <c r="H5" s="474">
        <f t="shared" si="0"/>
        <v>3</v>
      </c>
      <c r="I5" s="474">
        <f t="shared" si="0"/>
        <v>4</v>
      </c>
      <c r="J5" s="474">
        <f t="shared" si="0"/>
        <v>5</v>
      </c>
      <c r="K5" s="474">
        <f t="shared" si="0"/>
        <v>6</v>
      </c>
      <c r="L5" s="474">
        <f t="shared" si="0"/>
        <v>7</v>
      </c>
      <c r="M5" s="474">
        <f t="shared" si="0"/>
        <v>8</v>
      </c>
      <c r="N5" s="474">
        <f t="shared" si="0"/>
        <v>9</v>
      </c>
      <c r="O5" s="474">
        <f t="shared" si="0"/>
        <v>10</v>
      </c>
      <c r="P5" s="474"/>
      <c r="Q5" s="474"/>
      <c r="R5" s="474"/>
      <c r="S5" s="474"/>
      <c r="T5" s="474"/>
      <c r="U5" s="474"/>
      <c r="V5" s="474"/>
    </row>
    <row r="6" spans="2:22" x14ac:dyDescent="0.25">
      <c r="B6" s="494" t="str">
        <f>'3. CP-khac'!B6</f>
        <v>Tỷ lệ vận hành bê tông</v>
      </c>
      <c r="E6" s="152"/>
      <c r="F6" s="152">
        <f>'3. CP-Luong'!D6</f>
        <v>0.15</v>
      </c>
      <c r="G6" s="152">
        <f>'3. CP-Luong'!E6</f>
        <v>0.15</v>
      </c>
      <c r="H6" s="152">
        <f>'3. CP-Luong'!F6</f>
        <v>0.15</v>
      </c>
      <c r="I6" s="152">
        <f>'3. CP-Luong'!G6</f>
        <v>0.15</v>
      </c>
      <c r="J6" s="152">
        <f>'3. CP-Luong'!H6</f>
        <v>0.15</v>
      </c>
      <c r="K6" s="152">
        <f>'3. CP-Luong'!I6</f>
        <v>0.15</v>
      </c>
      <c r="L6" s="152">
        <f>'3. CP-Luong'!J6</f>
        <v>0.15</v>
      </c>
      <c r="M6" s="152">
        <f>'3. CP-Luong'!K6</f>
        <v>0.15</v>
      </c>
      <c r="N6" s="152">
        <f>'3. CP-Luong'!L6</f>
        <v>0.15</v>
      </c>
      <c r="O6" s="152">
        <f>'3. CP-Luong'!M6</f>
        <v>0.15</v>
      </c>
      <c r="P6" s="485"/>
      <c r="Q6" s="485"/>
      <c r="R6" s="485"/>
      <c r="S6" s="485"/>
      <c r="T6" s="485"/>
      <c r="U6" s="485"/>
      <c r="V6" s="485"/>
    </row>
    <row r="7" spans="2:22" x14ac:dyDescent="0.25">
      <c r="B7" s="494" t="str">
        <f>'3. CP-khac'!B7</f>
        <v>Tỷ lệ vận hành gạch</v>
      </c>
      <c r="E7" s="152"/>
      <c r="F7" s="152">
        <f>'3. CP-Luong'!D7</f>
        <v>0.4</v>
      </c>
      <c r="G7" s="152">
        <f>'3. CP-Luong'!E7</f>
        <v>0.4</v>
      </c>
      <c r="H7" s="152">
        <f>'3. CP-Luong'!F7</f>
        <v>0.4</v>
      </c>
      <c r="I7" s="152">
        <f>'3. CP-Luong'!G7</f>
        <v>0.4</v>
      </c>
      <c r="J7" s="152">
        <f>'3. CP-Luong'!H7</f>
        <v>0.4</v>
      </c>
      <c r="K7" s="152">
        <f>'3. CP-Luong'!I7</f>
        <v>0.4</v>
      </c>
      <c r="L7" s="152">
        <f>'3. CP-Luong'!J7</f>
        <v>0.4</v>
      </c>
      <c r="M7" s="152">
        <f>'3. CP-Luong'!K7</f>
        <v>0.4</v>
      </c>
      <c r="N7" s="152">
        <f>'3. CP-Luong'!L7</f>
        <v>0.4</v>
      </c>
      <c r="O7" s="152">
        <f>'3. CP-Luong'!M7</f>
        <v>0.4</v>
      </c>
    </row>
    <row r="8" spans="2:22" x14ac:dyDescent="0.25">
      <c r="B8" s="160" t="s">
        <v>1808</v>
      </c>
    </row>
    <row r="9" spans="2:22" x14ac:dyDescent="0.25">
      <c r="B9" s="160"/>
    </row>
    <row r="10" spans="2:22" x14ac:dyDescent="0.25">
      <c r="B10" s="160" t="s">
        <v>753</v>
      </c>
      <c r="D10" s="472"/>
      <c r="E10" s="152">
        <f>'[29]PL1. Input'!F54</f>
        <v>0</v>
      </c>
      <c r="F10" s="152">
        <f>'[29]PL1. Input'!G54</f>
        <v>1</v>
      </c>
    </row>
    <row r="11" spans="2:22" x14ac:dyDescent="0.25">
      <c r="B11" s="1112" t="s">
        <v>781</v>
      </c>
      <c r="C11" s="60" t="str">
        <f>'[29]PL1. Input'!$D$29</f>
        <v>(tỷ VNĐ)</v>
      </c>
      <c r="D11" s="472">
        <f>([29]cAPEX!$D$15/10^9)</f>
        <v>0</v>
      </c>
      <c r="E11" s="472"/>
      <c r="F11" s="472"/>
    </row>
    <row r="12" spans="2:22" x14ac:dyDescent="0.25">
      <c r="B12" s="1112" t="s">
        <v>782</v>
      </c>
      <c r="C12" s="60" t="str">
        <f>'[29]PL1. Input'!$D$29</f>
        <v>(tỷ VNĐ)</v>
      </c>
      <c r="D12" s="472">
        <f>SUM(D11:D11)</f>
        <v>0</v>
      </c>
      <c r="E12" s="481"/>
      <c r="F12" s="481">
        <f>$D$12*F10</f>
        <v>0</v>
      </c>
    </row>
    <row r="13" spans="2:22" x14ac:dyDescent="0.25">
      <c r="B13" s="160" t="s">
        <v>121</v>
      </c>
      <c r="C13" s="60" t="str">
        <f>'[29]PL1. Input'!$D$29</f>
        <v>(tỷ VNĐ)</v>
      </c>
      <c r="D13" s="472">
        <f>D12-D16</f>
        <v>0</v>
      </c>
      <c r="E13" s="481"/>
      <c r="F13" s="481"/>
    </row>
    <row r="14" spans="2:22" x14ac:dyDescent="0.25">
      <c r="B14" s="1112" t="s">
        <v>121</v>
      </c>
      <c r="C14" s="60" t="str">
        <f>'[29]PL1. Input'!$D$29</f>
        <v>(tỷ VNĐ)</v>
      </c>
      <c r="E14" s="515"/>
      <c r="F14" s="515">
        <f>IF(($D$13-E15)&gt;F12,F12,($D$13-E15))</f>
        <v>0</v>
      </c>
    </row>
    <row r="15" spans="2:22" x14ac:dyDescent="0.25">
      <c r="B15" s="1112" t="s">
        <v>783</v>
      </c>
      <c r="C15" s="60" t="str">
        <f>'[29]PL1. Input'!$D$29</f>
        <v>(tỷ VNĐ)</v>
      </c>
      <c r="E15" s="515"/>
      <c r="F15" s="515">
        <f>E15+F14</f>
        <v>0</v>
      </c>
    </row>
    <row r="16" spans="2:22" x14ac:dyDescent="0.25">
      <c r="B16" s="160" t="s">
        <v>741</v>
      </c>
      <c r="C16" s="60" t="str">
        <f>'[29]PL1. Input'!$D$29</f>
        <v>(tỷ VNĐ)</v>
      </c>
      <c r="D16" s="472">
        <f>D12*D17</f>
        <v>0</v>
      </c>
      <c r="E16" s="481"/>
      <c r="F16" s="481">
        <f>F12-F14</f>
        <v>0</v>
      </c>
    </row>
    <row r="17" spans="2:15" x14ac:dyDescent="0.25">
      <c r="B17" s="314" t="s">
        <v>784</v>
      </c>
      <c r="C17" s="60" t="s">
        <v>785</v>
      </c>
      <c r="D17" s="152">
        <v>0.3</v>
      </c>
      <c r="E17" s="383"/>
      <c r="F17" s="383">
        <f>$D17*F$16/SUM($D$17:$D$17)</f>
        <v>0</v>
      </c>
    </row>
    <row r="18" spans="2:15" x14ac:dyDescent="0.25">
      <c r="B18" s="1111"/>
      <c r="D18" s="1504"/>
      <c r="E18" s="1505"/>
      <c r="F18" s="1505"/>
      <c r="G18" s="1505"/>
      <c r="H18" s="1505"/>
      <c r="I18" s="1505"/>
      <c r="J18" s="1505"/>
      <c r="K18" s="1505"/>
      <c r="L18" s="1505"/>
      <c r="M18" s="1505"/>
      <c r="N18" s="1505"/>
      <c r="O18" s="1505"/>
    </row>
    <row r="19" spans="2:15" x14ac:dyDescent="0.25">
      <c r="B19" s="160" t="s">
        <v>786</v>
      </c>
      <c r="C19" s="1506">
        <f>'2. Input'!C19</f>
        <v>0.11</v>
      </c>
      <c r="E19" s="1507"/>
      <c r="F19" s="1507"/>
      <c r="G19" s="1507"/>
      <c r="H19" s="1507"/>
      <c r="I19" s="1507"/>
      <c r="J19" s="1507"/>
      <c r="K19" s="1507"/>
      <c r="L19" s="1507"/>
      <c r="M19" s="1507"/>
      <c r="N19" s="1507"/>
      <c r="O19" s="1507"/>
    </row>
    <row r="20" spans="2:15" x14ac:dyDescent="0.25">
      <c r="B20" s="1111" t="s">
        <v>191</v>
      </c>
      <c r="C20" s="60" t="str">
        <f>'[29]PL1. Input'!$D$29</f>
        <v>(tỷ VNĐ)</v>
      </c>
      <c r="D20" s="1508"/>
      <c r="E20" s="1505"/>
      <c r="F20" s="1509">
        <f>E28</f>
        <v>31.925406698</v>
      </c>
      <c r="G20" s="1509">
        <f t="shared" ref="G20:O20" si="1">F28</f>
        <v>19.056921242000001</v>
      </c>
      <c r="H20" s="1509">
        <f t="shared" si="1"/>
        <v>8.8620075210000007</v>
      </c>
      <c r="I20" s="1509">
        <f t="shared" si="1"/>
        <v>2.3749500020000003</v>
      </c>
      <c r="J20" s="1509">
        <f t="shared" si="1"/>
        <v>0</v>
      </c>
      <c r="K20" s="1509">
        <f t="shared" si="1"/>
        <v>0</v>
      </c>
      <c r="L20" s="1509">
        <f t="shared" si="1"/>
        <v>0</v>
      </c>
      <c r="M20" s="1509">
        <f t="shared" si="1"/>
        <v>0</v>
      </c>
      <c r="N20" s="1509">
        <f t="shared" si="1"/>
        <v>0</v>
      </c>
      <c r="O20" s="1509">
        <f t="shared" si="1"/>
        <v>0</v>
      </c>
    </row>
    <row r="21" spans="2:15" x14ac:dyDescent="0.25">
      <c r="B21" s="1112" t="s">
        <v>192</v>
      </c>
      <c r="C21" s="60" t="str">
        <f>'[29]PL1. Input'!$D$29</f>
        <v>(tỷ VNĐ)</v>
      </c>
      <c r="D21" s="1510"/>
      <c r="E21" s="1511"/>
      <c r="F21" s="673">
        <f t="shared" ref="F21:L21" si="2">F16</f>
        <v>0</v>
      </c>
      <c r="G21" s="673">
        <f t="shared" si="2"/>
        <v>0</v>
      </c>
      <c r="H21" s="673">
        <f t="shared" si="2"/>
        <v>0</v>
      </c>
      <c r="I21" s="673">
        <f t="shared" si="2"/>
        <v>0</v>
      </c>
      <c r="J21" s="673">
        <f t="shared" si="2"/>
        <v>0</v>
      </c>
      <c r="K21" s="673">
        <f t="shared" si="2"/>
        <v>0</v>
      </c>
      <c r="L21" s="673">
        <f t="shared" si="2"/>
        <v>0</v>
      </c>
      <c r="M21" s="673">
        <v>0</v>
      </c>
      <c r="N21" s="673">
        <v>0</v>
      </c>
      <c r="O21" s="673">
        <v>0</v>
      </c>
    </row>
    <row r="22" spans="2:15" x14ac:dyDescent="0.25">
      <c r="B22" s="1112" t="s">
        <v>193</v>
      </c>
      <c r="C22" s="60" t="str">
        <f>'[29]PL1. Input'!$D$29</f>
        <v>(tỷ VNĐ)</v>
      </c>
      <c r="D22" s="1510"/>
      <c r="E22" s="1511"/>
      <c r="F22" s="673">
        <f>(F21+F20)*$C$19</f>
        <v>3.5117947367800002</v>
      </c>
      <c r="G22" s="673">
        <f t="shared" ref="G22:O22" si="3">(G21+G20)*$C$19</f>
        <v>2.09626133662</v>
      </c>
      <c r="H22" s="673">
        <f t="shared" si="3"/>
        <v>0.97482082731000008</v>
      </c>
      <c r="I22" s="673">
        <f t="shared" si="3"/>
        <v>0.26124450022000001</v>
      </c>
      <c r="J22" s="673">
        <f t="shared" si="3"/>
        <v>0</v>
      </c>
      <c r="K22" s="673">
        <f t="shared" si="3"/>
        <v>0</v>
      </c>
      <c r="L22" s="673">
        <f t="shared" si="3"/>
        <v>0</v>
      </c>
      <c r="M22" s="673">
        <f t="shared" si="3"/>
        <v>0</v>
      </c>
      <c r="N22" s="673">
        <f t="shared" si="3"/>
        <v>0</v>
      </c>
      <c r="O22" s="673">
        <f t="shared" si="3"/>
        <v>0</v>
      </c>
    </row>
    <row r="23" spans="2:15" x14ac:dyDescent="0.25">
      <c r="B23" s="1111" t="s">
        <v>787</v>
      </c>
      <c r="C23" s="60" t="str">
        <f>'[29]PL1. Input'!$D$29</f>
        <v>(tỷ VNĐ)</v>
      </c>
      <c r="D23" s="1508"/>
      <c r="E23" s="1511"/>
      <c r="F23" s="673">
        <f>SUM(F24,F27)</f>
        <v>16.380280192779999</v>
      </c>
      <c r="G23" s="673">
        <f>SUM(G24,G27)</f>
        <v>12.29117505762</v>
      </c>
      <c r="H23" s="673">
        <f t="shared" ref="H23:I23" si="4">SUM(H24,H27)</f>
        <v>7.4618783463100007</v>
      </c>
      <c r="I23" s="673">
        <f t="shared" si="4"/>
        <v>2.6361945022199995</v>
      </c>
      <c r="J23" s="673">
        <f>SUM(J24,J27)</f>
        <v>0</v>
      </c>
      <c r="K23" s="673">
        <f t="shared" ref="K23:O23" si="5">SUM(K24,K27)</f>
        <v>0</v>
      </c>
      <c r="L23" s="673">
        <f t="shared" si="5"/>
        <v>0</v>
      </c>
      <c r="M23" s="673">
        <f t="shared" si="5"/>
        <v>0</v>
      </c>
      <c r="N23" s="673">
        <f t="shared" si="5"/>
        <v>0</v>
      </c>
      <c r="O23" s="673">
        <f t="shared" si="5"/>
        <v>0</v>
      </c>
    </row>
    <row r="24" spans="2:15" x14ac:dyDescent="0.25">
      <c r="B24" s="1113" t="s">
        <v>194</v>
      </c>
      <c r="C24" s="60" t="str">
        <f>'[29]PL1. Input'!$D$29</f>
        <v>(tỷ VNĐ)</v>
      </c>
      <c r="D24" s="1510"/>
      <c r="E24" s="1511"/>
      <c r="F24" s="673">
        <f>'3.Von CĐ'!E71</f>
        <v>12.868485455999998</v>
      </c>
      <c r="G24" s="673">
        <f>'3.Von CĐ'!F71</f>
        <v>10.194913721000001</v>
      </c>
      <c r="H24" s="673">
        <f>'3.Von CĐ'!G71</f>
        <v>6.4870575190000004</v>
      </c>
      <c r="I24" s="673">
        <f>'3.Von CĐ'!H71</f>
        <v>2.3749500019999994</v>
      </c>
      <c r="J24" s="673">
        <f>'3.Von CĐ'!I71</f>
        <v>0</v>
      </c>
      <c r="K24" s="673">
        <f>'3.Von CĐ'!J71</f>
        <v>0</v>
      </c>
      <c r="L24" s="673">
        <f>'3.Von CĐ'!K71</f>
        <v>0</v>
      </c>
      <c r="M24" s="673">
        <f>'3.Von CĐ'!L71</f>
        <v>0</v>
      </c>
      <c r="N24" s="673">
        <f>'3.Von CĐ'!M71</f>
        <v>0</v>
      </c>
      <c r="O24" s="673">
        <f>'3.Von CĐ'!N71</f>
        <v>0</v>
      </c>
    </row>
    <row r="25" spans="2:15" x14ac:dyDescent="0.25">
      <c r="B25" s="1512" t="s">
        <v>788</v>
      </c>
      <c r="C25" s="152">
        <f>'[29]PL1. Input'!D56</f>
        <v>0</v>
      </c>
      <c r="D25" s="1510"/>
      <c r="E25" s="1511"/>
      <c r="F25" s="673">
        <f ca="1">'4. KQ-PL'!I58</f>
        <v>5.4060629888953873</v>
      </c>
      <c r="G25" s="673">
        <f ca="1">'4. KQ-PL'!J58</f>
        <v>12.86185824094121</v>
      </c>
      <c r="H25" s="673">
        <f ca="1">'4. KQ-PL'!K58</f>
        <v>19.172480477676874</v>
      </c>
      <c r="I25" s="673">
        <f ca="1">'4. KQ-PL'!L58</f>
        <v>28.269579474354455</v>
      </c>
      <c r="J25" s="673">
        <f ca="1">'4. KQ-PL'!M58</f>
        <v>31.340805030269905</v>
      </c>
      <c r="K25" s="673">
        <f ca="1">'4. KQ-PL'!N58</f>
        <v>33.571226208495048</v>
      </c>
      <c r="L25" s="673">
        <f ca="1">'4. KQ-PL'!O58</f>
        <v>33.993398086752975</v>
      </c>
      <c r="M25" s="673">
        <f ca="1">'4. KQ-PL'!P58</f>
        <v>34.833456056697749</v>
      </c>
      <c r="N25" s="673">
        <f ca="1">'4. KQ-PL'!Q58</f>
        <v>35.774816976051767</v>
      </c>
      <c r="O25" s="673">
        <f ca="1">'4. KQ-PL'!R58</f>
        <v>36.44280617701007</v>
      </c>
    </row>
    <row r="26" spans="2:15" x14ac:dyDescent="0.25">
      <c r="B26" s="1512" t="s">
        <v>789</v>
      </c>
      <c r="C26" s="152">
        <f>'[29]PL1. Input'!D57</f>
        <v>1</v>
      </c>
      <c r="D26" s="1510"/>
      <c r="E26" s="1511"/>
      <c r="F26" s="673">
        <f>'3.CP-KH'!D10</f>
        <v>20.662273527019995</v>
      </c>
      <c r="G26" s="673">
        <f>'3.CP-KH'!E10</f>
        <v>19.444429658101068</v>
      </c>
      <c r="H26" s="673">
        <f>'3.CP-KH'!F10</f>
        <v>15.216971019397629</v>
      </c>
      <c r="I26" s="673">
        <f>'3.CP-KH'!G10</f>
        <v>7.1299795507893355</v>
      </c>
      <c r="J26" s="673">
        <f>'3.CP-KH'!H10</f>
        <v>5.2262909369523118</v>
      </c>
      <c r="K26" s="673">
        <f>'3.CP-KH'!I10</f>
        <v>2.9552403617905787</v>
      </c>
      <c r="L26" s="673">
        <f>'3.CP-KH'!J10</f>
        <v>2.9552403617905787</v>
      </c>
      <c r="M26" s="673">
        <f>'3.CP-KH'!K10</f>
        <v>2.4842139206026372</v>
      </c>
      <c r="N26" s="673">
        <f>'3.CP-KH'!L10</f>
        <v>1.8718510669103741</v>
      </c>
      <c r="O26" s="673">
        <f>'3.CP-KH'!M10</f>
        <v>1.6198890860873134</v>
      </c>
    </row>
    <row r="27" spans="2:15" x14ac:dyDescent="0.25">
      <c r="B27" s="1113" t="s">
        <v>790</v>
      </c>
      <c r="C27" s="60" t="str">
        <f>'[29]PL1. Input'!$D$29</f>
        <v>(tỷ VNĐ)</v>
      </c>
      <c r="D27" s="1510"/>
      <c r="E27" s="1511"/>
      <c r="F27" s="673">
        <f>F22</f>
        <v>3.5117947367800002</v>
      </c>
      <c r="G27" s="673">
        <f t="shared" ref="G27:I27" si="6">G22</f>
        <v>2.09626133662</v>
      </c>
      <c r="H27" s="673">
        <f t="shared" si="6"/>
        <v>0.97482082731000008</v>
      </c>
      <c r="I27" s="673">
        <f t="shared" si="6"/>
        <v>0.26124450022000001</v>
      </c>
      <c r="J27" s="673">
        <f>J22</f>
        <v>0</v>
      </c>
      <c r="K27" s="673">
        <f t="shared" ref="K27:O27" si="7">K22</f>
        <v>0</v>
      </c>
      <c r="L27" s="673">
        <f t="shared" si="7"/>
        <v>0</v>
      </c>
      <c r="M27" s="673">
        <f t="shared" si="7"/>
        <v>0</v>
      </c>
      <c r="N27" s="673">
        <f t="shared" si="7"/>
        <v>0</v>
      </c>
      <c r="O27" s="673">
        <f t="shared" si="7"/>
        <v>0</v>
      </c>
    </row>
    <row r="28" spans="2:15" x14ac:dyDescent="0.25">
      <c r="B28" s="1111" t="s">
        <v>791</v>
      </c>
      <c r="C28" s="60" t="str">
        <f>'[29]PL1. Input'!$D$29</f>
        <v>(tỷ VNĐ)</v>
      </c>
      <c r="D28" s="1504"/>
      <c r="E28" s="673">
        <f>'3.Von CĐ'!E69</f>
        <v>31.925406698</v>
      </c>
      <c r="F28" s="673">
        <f>F20+F21-F24</f>
        <v>19.056921242000001</v>
      </c>
      <c r="G28" s="673">
        <f t="shared" ref="G28:I28" si="8">G20+G21-G24</f>
        <v>8.8620075210000007</v>
      </c>
      <c r="H28" s="673">
        <f t="shared" si="8"/>
        <v>2.3749500020000003</v>
      </c>
      <c r="I28" s="673">
        <f t="shared" si="8"/>
        <v>0</v>
      </c>
      <c r="J28" s="673">
        <f>J20+J21-J24</f>
        <v>0</v>
      </c>
      <c r="K28" s="673">
        <f t="shared" ref="K28:O28" si="9">K20+K21-K24</f>
        <v>0</v>
      </c>
      <c r="L28" s="673">
        <f t="shared" si="9"/>
        <v>0</v>
      </c>
      <c r="M28" s="673">
        <f t="shared" si="9"/>
        <v>0</v>
      </c>
      <c r="N28" s="673">
        <f t="shared" si="9"/>
        <v>0</v>
      </c>
      <c r="O28" s="673">
        <f t="shared" si="9"/>
        <v>0</v>
      </c>
    </row>
    <row r="29" spans="2:15" x14ac:dyDescent="0.25">
      <c r="B29" s="1513"/>
      <c r="C29" s="1513"/>
      <c r="D29" s="1513"/>
      <c r="E29" s="1513"/>
      <c r="F29" s="1513"/>
      <c r="G29" s="1513"/>
      <c r="H29" s="1513"/>
      <c r="I29" s="1513"/>
      <c r="J29" s="1513"/>
      <c r="K29" s="1513"/>
      <c r="L29" s="1513"/>
      <c r="M29" s="1513"/>
      <c r="N29" s="1513"/>
      <c r="O29" s="1513"/>
    </row>
    <row r="31" spans="2:15" s="160" customFormat="1" x14ac:dyDescent="0.25">
      <c r="B31" s="160" t="s">
        <v>792</v>
      </c>
    </row>
    <row r="33" spans="1:15" x14ac:dyDescent="0.25">
      <c r="A33" s="1104" t="s">
        <v>29</v>
      </c>
      <c r="B33" s="160" t="s">
        <v>1807</v>
      </c>
      <c r="D33" s="383"/>
      <c r="E33" s="383"/>
      <c r="F33" s="383"/>
    </row>
    <row r="34" spans="1:15" x14ac:dyDescent="0.25">
      <c r="A34" s="1514"/>
      <c r="E34" s="1522"/>
      <c r="F34" s="1522"/>
      <c r="G34" s="1522"/>
      <c r="H34" s="1522"/>
      <c r="I34" s="1522"/>
      <c r="J34" s="1522"/>
      <c r="K34" s="1522"/>
      <c r="L34" s="1522"/>
      <c r="M34" s="1522"/>
      <c r="N34" s="1522"/>
      <c r="O34" s="1522"/>
    </row>
    <row r="35" spans="1:15" x14ac:dyDescent="0.25">
      <c r="A35" s="1514"/>
      <c r="B35" s="60" t="s">
        <v>229</v>
      </c>
      <c r="E35" s="1523">
        <f>'4. KQ-PL'!H17</f>
        <v>531.99834997300002</v>
      </c>
      <c r="F35" s="1523">
        <f>'4. KQ-PL'!I17</f>
        <v>472.69443724311299</v>
      </c>
      <c r="G35" s="1523">
        <f>'4. KQ-PL'!J17</f>
        <v>477.52465779160076</v>
      </c>
      <c r="H35" s="1523">
        <f>'4. KQ-PL'!K17</f>
        <v>482.40525639671222</v>
      </c>
      <c r="I35" s="1523">
        <f>'4. KQ-PL'!L17</f>
        <v>487.33677856362141</v>
      </c>
      <c r="J35" s="1523">
        <f>'4. KQ-PL'!M17</f>
        <v>492.31977609121873</v>
      </c>
      <c r="K35" s="1523">
        <f>'4. KQ-PL'!N17</f>
        <v>497.3548071519055</v>
      </c>
      <c r="L35" s="1523">
        <f>'4. KQ-PL'!O17</f>
        <v>502.4424363725247</v>
      </c>
      <c r="M35" s="1523">
        <f>'4. KQ-PL'!P17</f>
        <v>507.58323491644688</v>
      </c>
      <c r="N35" s="1523">
        <f>'4. KQ-PL'!Q17</f>
        <v>512.7777805668303</v>
      </c>
      <c r="O35" s="1523">
        <f>'4. KQ-PL'!R17</f>
        <v>518.02665781107203</v>
      </c>
    </row>
    <row r="36" spans="1:15" x14ac:dyDescent="0.25">
      <c r="A36" s="1514"/>
      <c r="B36" s="60" t="s">
        <v>267</v>
      </c>
      <c r="E36" s="1523">
        <f>'4. KQ-PL'!H23</f>
        <v>465.52350503299999</v>
      </c>
      <c r="F36" s="1523">
        <f ca="1">'4. KQ-PL'!I23</f>
        <v>397.32724307107969</v>
      </c>
      <c r="G36" s="1523">
        <f ca="1">'4. KQ-PL'!J23</f>
        <v>401.66380727774634</v>
      </c>
      <c r="H36" s="1523">
        <f ca="1">'4. KQ-PL'!K23</f>
        <v>404.98221297230845</v>
      </c>
      <c r="I36" s="1523">
        <f ca="1">'4. KQ-PL'!L23</f>
        <v>407.89493762091143</v>
      </c>
      <c r="J36" s="1523">
        <f ca="1">'4. KQ-PL'!M23</f>
        <v>411.48904348672841</v>
      </c>
      <c r="K36" s="1523">
        <f ca="1">'4. KQ-PL'!N23</f>
        <v>413.55853842912131</v>
      </c>
      <c r="L36" s="1523">
        <f ca="1">'4. KQ-PL'!O23</f>
        <v>417.76231875647477</v>
      </c>
      <c r="M36" s="1523">
        <f ca="1">'4. KQ-PL'!P23</f>
        <v>421.81299367607755</v>
      </c>
      <c r="N36" s="1523">
        <f ca="1">'4. KQ-PL'!Q23</f>
        <v>425.48691301720635</v>
      </c>
      <c r="O36" s="1523">
        <f ca="1">'4. KQ-PL'!R23</f>
        <v>429.66651879145491</v>
      </c>
    </row>
    <row r="37" spans="1:15" x14ac:dyDescent="0.25">
      <c r="A37" s="1514"/>
      <c r="E37" s="1523"/>
      <c r="F37" s="1523"/>
      <c r="G37" s="1523"/>
      <c r="H37" s="1523"/>
      <c r="I37" s="1523"/>
      <c r="J37" s="1523"/>
      <c r="K37" s="1523"/>
      <c r="L37" s="1523"/>
      <c r="M37" s="1523"/>
      <c r="N37" s="1523"/>
      <c r="O37" s="1523"/>
    </row>
    <row r="38" spans="1:15" x14ac:dyDescent="0.25">
      <c r="A38" s="1514"/>
      <c r="B38" s="60" t="s">
        <v>793</v>
      </c>
      <c r="E38" s="1523">
        <f>'2. Input'!C67</f>
        <v>180</v>
      </c>
      <c r="F38" s="1523">
        <f>E38</f>
        <v>180</v>
      </c>
      <c r="G38" s="1523">
        <f t="shared" ref="G38:O38" si="10">F38</f>
        <v>180</v>
      </c>
      <c r="H38" s="1523">
        <f t="shared" si="10"/>
        <v>180</v>
      </c>
      <c r="I38" s="1523">
        <f t="shared" si="10"/>
        <v>180</v>
      </c>
      <c r="J38" s="1523">
        <f t="shared" si="10"/>
        <v>180</v>
      </c>
      <c r="K38" s="1523">
        <f t="shared" si="10"/>
        <v>180</v>
      </c>
      <c r="L38" s="1523">
        <f t="shared" si="10"/>
        <v>180</v>
      </c>
      <c r="M38" s="1523">
        <f t="shared" si="10"/>
        <v>180</v>
      </c>
      <c r="N38" s="1523">
        <f t="shared" si="10"/>
        <v>180</v>
      </c>
      <c r="O38" s="1523">
        <f t="shared" si="10"/>
        <v>180</v>
      </c>
    </row>
    <row r="39" spans="1:15" x14ac:dyDescent="0.25">
      <c r="A39" s="1514"/>
      <c r="B39" s="60" t="s">
        <v>794</v>
      </c>
      <c r="E39" s="1523">
        <f>'2. Input'!C68</f>
        <v>12</v>
      </c>
      <c r="F39" s="1523">
        <f>E39</f>
        <v>12</v>
      </c>
      <c r="G39" s="1523">
        <f t="shared" ref="G39:O40" si="11">F39</f>
        <v>12</v>
      </c>
      <c r="H39" s="1523">
        <f t="shared" si="11"/>
        <v>12</v>
      </c>
      <c r="I39" s="1523">
        <f t="shared" si="11"/>
        <v>12</v>
      </c>
      <c r="J39" s="1523">
        <f t="shared" si="11"/>
        <v>12</v>
      </c>
      <c r="K39" s="1523">
        <f t="shared" si="11"/>
        <v>12</v>
      </c>
      <c r="L39" s="1523">
        <f t="shared" si="11"/>
        <v>12</v>
      </c>
      <c r="M39" s="1523">
        <f t="shared" si="11"/>
        <v>12</v>
      </c>
      <c r="N39" s="1523">
        <f t="shared" si="11"/>
        <v>12</v>
      </c>
      <c r="O39" s="1523">
        <f t="shared" si="11"/>
        <v>12</v>
      </c>
    </row>
    <row r="40" spans="1:15" x14ac:dyDescent="0.25">
      <c r="A40" s="1514"/>
      <c r="B40" s="60" t="s">
        <v>795</v>
      </c>
      <c r="E40" s="1523">
        <f>'2. Input'!C69</f>
        <v>180</v>
      </c>
      <c r="F40" s="1523">
        <f>E40</f>
        <v>180</v>
      </c>
      <c r="G40" s="1523">
        <f t="shared" si="11"/>
        <v>180</v>
      </c>
      <c r="H40" s="1523">
        <f t="shared" si="11"/>
        <v>180</v>
      </c>
      <c r="I40" s="1523">
        <f t="shared" si="11"/>
        <v>180</v>
      </c>
      <c r="J40" s="1523">
        <f t="shared" si="11"/>
        <v>180</v>
      </c>
      <c r="K40" s="1523">
        <f t="shared" si="11"/>
        <v>180</v>
      </c>
      <c r="L40" s="1523">
        <f t="shared" si="11"/>
        <v>180</v>
      </c>
      <c r="M40" s="1523">
        <f t="shared" si="11"/>
        <v>180</v>
      </c>
      <c r="N40" s="1523">
        <f t="shared" si="11"/>
        <v>180</v>
      </c>
      <c r="O40" s="1523">
        <f t="shared" si="11"/>
        <v>180</v>
      </c>
    </row>
    <row r="41" spans="1:15" x14ac:dyDescent="0.25">
      <c r="A41" s="1514"/>
      <c r="E41" s="1523"/>
      <c r="F41" s="1523"/>
      <c r="G41" s="1523"/>
      <c r="H41" s="1523"/>
      <c r="I41" s="1523"/>
      <c r="J41" s="1523"/>
      <c r="K41" s="1523"/>
      <c r="L41" s="1523"/>
      <c r="M41" s="1523"/>
      <c r="N41" s="1523"/>
      <c r="O41" s="1523"/>
    </row>
    <row r="42" spans="1:15" s="160" customFormat="1" x14ac:dyDescent="0.25">
      <c r="A42" s="1104"/>
      <c r="B42" s="160" t="s">
        <v>180</v>
      </c>
      <c r="E42" s="1157"/>
      <c r="F42" s="1157">
        <f>E54</f>
        <v>119.24020740899999</v>
      </c>
      <c r="G42" s="1157">
        <f t="shared" ref="G42:O42" ca="1" si="12">F54</f>
        <v>4.2356918815928282</v>
      </c>
      <c r="H42" s="1157">
        <f t="shared" ca="1" si="12"/>
        <v>4.6382102606334854</v>
      </c>
      <c r="I42" s="1157">
        <f t="shared" ca="1" si="12"/>
        <v>5.0449268110594403</v>
      </c>
      <c r="J42" s="1157">
        <f t="shared" ca="1" si="12"/>
        <v>5.4558869916351966</v>
      </c>
      <c r="K42" s="1157">
        <f t="shared" ca="1" si="12"/>
        <v>5.8711367856016352</v>
      </c>
      <c r="L42" s="1157">
        <f t="shared" ca="1" si="12"/>
        <v>6.2907227073255427</v>
      </c>
      <c r="M42" s="1157">
        <f t="shared" ca="1" si="12"/>
        <v>6.7146918090438135</v>
      </c>
      <c r="N42" s="1157">
        <f t="shared" ca="1" si="12"/>
        <v>7.1430916877039863</v>
      </c>
      <c r="O42" s="1157">
        <f t="shared" ca="1" si="12"/>
        <v>7.5759704919026092</v>
      </c>
    </row>
    <row r="43" spans="1:15" x14ac:dyDescent="0.25">
      <c r="A43" s="1514"/>
      <c r="B43" s="60" t="s">
        <v>796</v>
      </c>
      <c r="E43" s="1521">
        <f t="shared" ref="E43:O43" si="13">SUM(E44:E48,E49)</f>
        <v>414.72354630699994</v>
      </c>
      <c r="F43" s="1521">
        <f t="shared" ca="1" si="13"/>
        <v>96.980446043209867</v>
      </c>
      <c r="G43" s="1521">
        <f t="shared" ca="1" si="13"/>
        <v>97.407056445620896</v>
      </c>
      <c r="H43" s="1521">
        <f t="shared" ca="1" si="13"/>
        <v>97.832208583238852</v>
      </c>
      <c r="I43" s="1521">
        <f t="shared" ca="1" si="13"/>
        <v>98.259350567417954</v>
      </c>
      <c r="J43" s="1521">
        <f t="shared" ca="1" si="13"/>
        <v>98.69456761619449</v>
      </c>
      <c r="K43" s="1521">
        <f t="shared" ca="1" si="13"/>
        <v>99.1256507320428</v>
      </c>
      <c r="L43" s="1521">
        <f t="shared" ca="1" si="13"/>
        <v>99.572974168913035</v>
      </c>
      <c r="M43" s="1521">
        <f t="shared" ca="1" si="13"/>
        <v>100.02387779712656</v>
      </c>
      <c r="N43" s="1521">
        <f t="shared" ca="1" si="13"/>
        <v>100.47716726433146</v>
      </c>
      <c r="O43" s="1521">
        <f t="shared" ca="1" si="13"/>
        <v>100.93779373343077</v>
      </c>
    </row>
    <row r="44" spans="1:15" s="474" customFormat="1" x14ac:dyDescent="0.25">
      <c r="A44" s="677"/>
      <c r="B44" s="676" t="s">
        <v>41</v>
      </c>
      <c r="E44" s="668">
        <f>'1.BC_Muc tieu (ty) '!AL39</f>
        <v>217.79847201000001</v>
      </c>
      <c r="F44" s="668">
        <f t="shared" ref="F44:O44" si="14">F35/F39</f>
        <v>39.391203103592751</v>
      </c>
      <c r="G44" s="668">
        <f t="shared" si="14"/>
        <v>39.793721482633394</v>
      </c>
      <c r="H44" s="668">
        <f t="shared" si="14"/>
        <v>40.200438033059349</v>
      </c>
      <c r="I44" s="668">
        <f t="shared" si="14"/>
        <v>40.61139821363512</v>
      </c>
      <c r="J44" s="668">
        <f t="shared" si="14"/>
        <v>41.026648007601558</v>
      </c>
      <c r="K44" s="668">
        <f t="shared" si="14"/>
        <v>41.446233929325459</v>
      </c>
      <c r="L44" s="668">
        <f t="shared" si="14"/>
        <v>41.870203031043722</v>
      </c>
      <c r="M44" s="668">
        <f t="shared" si="14"/>
        <v>42.298602909703909</v>
      </c>
      <c r="N44" s="668">
        <f t="shared" si="14"/>
        <v>42.731481713902525</v>
      </c>
      <c r="O44" s="668">
        <f t="shared" si="14"/>
        <v>43.168888150922669</v>
      </c>
    </row>
    <row r="45" spans="1:15" s="474" customFormat="1" x14ac:dyDescent="0.25">
      <c r="A45" s="677"/>
      <c r="B45" s="676" t="s">
        <v>797</v>
      </c>
      <c r="E45" s="668">
        <f>'1.BC_Muc tieu (ty) '!AL40</f>
        <v>68.880121215000003</v>
      </c>
      <c r="F45" s="668">
        <f>'4. KQ- BS'!G16</f>
        <v>68.880121215000003</v>
      </c>
      <c r="G45" s="668">
        <f>'4. KQ- BS'!H16</f>
        <v>68.880121215000003</v>
      </c>
      <c r="H45" s="668">
        <f>'4. KQ- BS'!I16</f>
        <v>68.880121215000003</v>
      </c>
      <c r="I45" s="668">
        <f>'4. KQ- BS'!J16</f>
        <v>68.880121215000003</v>
      </c>
      <c r="J45" s="668">
        <f>'4. KQ- BS'!K16</f>
        <v>68.880121215000003</v>
      </c>
      <c r="K45" s="668">
        <f>'4. KQ- BS'!L16</f>
        <v>68.880121215000003</v>
      </c>
      <c r="L45" s="668">
        <f>'4. KQ- BS'!M16</f>
        <v>68.880121215000003</v>
      </c>
      <c r="M45" s="668">
        <f>'4. KQ- BS'!N16</f>
        <v>68.880121215000003</v>
      </c>
      <c r="N45" s="668">
        <f>'4. KQ- BS'!O16</f>
        <v>68.880121215000003</v>
      </c>
      <c r="O45" s="668">
        <f>'4. KQ- BS'!P16</f>
        <v>68.880121215000003</v>
      </c>
    </row>
    <row r="46" spans="1:15" s="474" customFormat="1" x14ac:dyDescent="0.25">
      <c r="A46" s="677"/>
      <c r="B46" s="676" t="s">
        <v>798</v>
      </c>
      <c r="E46" s="668">
        <f>'1.BC_Muc tieu (ty) '!AL44</f>
        <v>8.74076E-4</v>
      </c>
      <c r="F46" s="668">
        <f>E46</f>
        <v>8.74076E-4</v>
      </c>
      <c r="G46" s="668">
        <f t="shared" ref="G46:O47" si="15">F46</f>
        <v>8.74076E-4</v>
      </c>
      <c r="H46" s="668">
        <f t="shared" si="15"/>
        <v>8.74076E-4</v>
      </c>
      <c r="I46" s="668">
        <f t="shared" si="15"/>
        <v>8.74076E-4</v>
      </c>
      <c r="J46" s="668">
        <f t="shared" si="15"/>
        <v>8.74076E-4</v>
      </c>
      <c r="K46" s="668">
        <f t="shared" si="15"/>
        <v>8.74076E-4</v>
      </c>
      <c r="L46" s="668">
        <f t="shared" si="15"/>
        <v>8.74076E-4</v>
      </c>
      <c r="M46" s="668">
        <f t="shared" si="15"/>
        <v>8.74076E-4</v>
      </c>
      <c r="N46" s="668">
        <f t="shared" si="15"/>
        <v>8.74076E-4</v>
      </c>
      <c r="O46" s="668">
        <f t="shared" si="15"/>
        <v>8.74076E-4</v>
      </c>
    </row>
    <row r="47" spans="1:15" s="474" customFormat="1" x14ac:dyDescent="0.25">
      <c r="A47" s="677"/>
      <c r="B47" s="676" t="s">
        <v>799</v>
      </c>
      <c r="E47" s="668">
        <f>'1.BC_Muc tieu (ty) '!AL45</f>
        <v>-13.5</v>
      </c>
      <c r="F47" s="668">
        <f>E47</f>
        <v>-13.5</v>
      </c>
      <c r="G47" s="668">
        <f t="shared" si="15"/>
        <v>-13.5</v>
      </c>
      <c r="H47" s="668">
        <f t="shared" si="15"/>
        <v>-13.5</v>
      </c>
      <c r="I47" s="668">
        <f t="shared" si="15"/>
        <v>-13.5</v>
      </c>
      <c r="J47" s="668">
        <f t="shared" si="15"/>
        <v>-13.5</v>
      </c>
      <c r="K47" s="668">
        <f t="shared" si="15"/>
        <v>-13.5</v>
      </c>
      <c r="L47" s="668">
        <f t="shared" si="15"/>
        <v>-13.5</v>
      </c>
      <c r="M47" s="668">
        <f t="shared" si="15"/>
        <v>-13.5</v>
      </c>
      <c r="N47" s="668">
        <f t="shared" si="15"/>
        <v>-13.5</v>
      </c>
      <c r="O47" s="668">
        <f t="shared" si="15"/>
        <v>-13.5</v>
      </c>
    </row>
    <row r="48" spans="1:15" s="474" customFormat="1" x14ac:dyDescent="0.25">
      <c r="A48" s="677"/>
      <c r="B48" s="676" t="s">
        <v>55</v>
      </c>
      <c r="E48" s="668">
        <f>'1.BC_Muc tieu (ty) '!AL48</f>
        <v>131.64087787299999</v>
      </c>
      <c r="F48" s="668">
        <f ca="1">F36/F38</f>
        <v>2.2073735726171093</v>
      </c>
      <c r="G48" s="668">
        <f t="shared" ref="G48:O48" ca="1" si="16">G36/G38</f>
        <v>2.2314655959874798</v>
      </c>
      <c r="H48" s="668">
        <f t="shared" ca="1" si="16"/>
        <v>2.2499011831794915</v>
      </c>
      <c r="I48" s="668">
        <f t="shared" ca="1" si="16"/>
        <v>2.2660829867828411</v>
      </c>
      <c r="J48" s="668">
        <f t="shared" ca="1" si="16"/>
        <v>2.2860502415929358</v>
      </c>
      <c r="K48" s="668">
        <f t="shared" ca="1" si="16"/>
        <v>2.2975474357173407</v>
      </c>
      <c r="L48" s="668">
        <f t="shared" ca="1" si="16"/>
        <v>2.3209017708693045</v>
      </c>
      <c r="M48" s="668">
        <f t="shared" ca="1" si="16"/>
        <v>2.3434055204226532</v>
      </c>
      <c r="N48" s="668">
        <f t="shared" ca="1" si="16"/>
        <v>2.363816183428924</v>
      </c>
      <c r="O48" s="668">
        <f t="shared" ca="1" si="16"/>
        <v>2.3870362155080826</v>
      </c>
    </row>
    <row r="49" spans="1:15" s="474" customFormat="1" x14ac:dyDescent="0.25">
      <c r="A49" s="677"/>
      <c r="B49" s="676" t="s">
        <v>58</v>
      </c>
      <c r="E49" s="668">
        <f>'1.BC_Muc tieu (ty) '!AL55</f>
        <v>9.9032011329999996</v>
      </c>
      <c r="F49" s="668">
        <f>'4. KQ- BS'!H20</f>
        <v>8.74076E-4</v>
      </c>
      <c r="G49" s="668">
        <f>'4. KQ- BS'!I20</f>
        <v>8.74076E-4</v>
      </c>
      <c r="H49" s="668">
        <f>'4. KQ- BS'!J20</f>
        <v>8.74076E-4</v>
      </c>
      <c r="I49" s="668">
        <f>'4. KQ- BS'!K20</f>
        <v>8.74076E-4</v>
      </c>
      <c r="J49" s="668">
        <f>'4. KQ- BS'!L20</f>
        <v>8.74076E-4</v>
      </c>
      <c r="K49" s="668">
        <f>'4. KQ- BS'!M20</f>
        <v>8.74076E-4</v>
      </c>
      <c r="L49" s="668">
        <f>'4. KQ- BS'!N20</f>
        <v>8.74076E-4</v>
      </c>
      <c r="M49" s="668">
        <f>'4. KQ- BS'!O20</f>
        <v>8.74076E-4</v>
      </c>
      <c r="N49" s="668">
        <f>'4. KQ- BS'!P20</f>
        <v>8.74076E-4</v>
      </c>
      <c r="O49" s="668">
        <f>'4. KQ- BS'!Q20</f>
        <v>8.74076E-4</v>
      </c>
    </row>
    <row r="50" spans="1:15" x14ac:dyDescent="0.25">
      <c r="A50" s="1514"/>
      <c r="B50" s="60" t="s">
        <v>209</v>
      </c>
      <c r="E50" s="666">
        <f>SUM(E51:E52)</f>
        <v>295.48333889799994</v>
      </c>
      <c r="F50" s="666">
        <f t="shared" ref="F50:O50" ca="1" si="17">SUM(F51:F52)</f>
        <v>92.744754161617038</v>
      </c>
      <c r="G50" s="666">
        <f t="shared" ca="1" si="17"/>
        <v>92.76884618498741</v>
      </c>
      <c r="H50" s="666">
        <f t="shared" ca="1" si="17"/>
        <v>92.787281772179412</v>
      </c>
      <c r="I50" s="666">
        <f t="shared" ca="1" si="17"/>
        <v>92.803463575782757</v>
      </c>
      <c r="J50" s="666">
        <f t="shared" ca="1" si="17"/>
        <v>92.823430830592855</v>
      </c>
      <c r="K50" s="666">
        <f t="shared" ca="1" si="17"/>
        <v>92.834928024717257</v>
      </c>
      <c r="L50" s="666">
        <f t="shared" ca="1" si="17"/>
        <v>92.858282359869222</v>
      </c>
      <c r="M50" s="666">
        <f t="shared" ca="1" si="17"/>
        <v>92.880786109422573</v>
      </c>
      <c r="N50" s="666">
        <f t="shared" ca="1" si="17"/>
        <v>92.901196772428847</v>
      </c>
      <c r="O50" s="666">
        <f t="shared" ca="1" si="17"/>
        <v>92.924416804508013</v>
      </c>
    </row>
    <row r="51" spans="1:15" s="474" customFormat="1" x14ac:dyDescent="0.25">
      <c r="A51" s="677"/>
      <c r="B51" s="676" t="s">
        <v>800</v>
      </c>
      <c r="E51" s="668">
        <f>'1.BC_Muc tieu (ty) '!AL99</f>
        <v>204.94595830900002</v>
      </c>
      <c r="F51" s="668">
        <f t="shared" ref="F51:O51" ca="1" si="18">F36/F40</f>
        <v>2.2073735726171093</v>
      </c>
      <c r="G51" s="668">
        <f t="shared" ca="1" si="18"/>
        <v>2.2314655959874798</v>
      </c>
      <c r="H51" s="668">
        <f t="shared" ca="1" si="18"/>
        <v>2.2499011831794915</v>
      </c>
      <c r="I51" s="668">
        <f t="shared" ca="1" si="18"/>
        <v>2.2660829867828411</v>
      </c>
      <c r="J51" s="668">
        <f t="shared" ca="1" si="18"/>
        <v>2.2860502415929358</v>
      </c>
      <c r="K51" s="668">
        <f t="shared" ca="1" si="18"/>
        <v>2.2975474357173407</v>
      </c>
      <c r="L51" s="668">
        <f t="shared" ca="1" si="18"/>
        <v>2.3209017708693045</v>
      </c>
      <c r="M51" s="668">
        <f t="shared" ca="1" si="18"/>
        <v>2.3434055204226532</v>
      </c>
      <c r="N51" s="668">
        <f t="shared" ca="1" si="18"/>
        <v>2.363816183428924</v>
      </c>
      <c r="O51" s="668">
        <f t="shared" ca="1" si="18"/>
        <v>2.3870362155080826</v>
      </c>
    </row>
    <row r="52" spans="1:15" s="474" customFormat="1" x14ac:dyDescent="0.25">
      <c r="A52" s="677"/>
      <c r="B52" s="676" t="s">
        <v>801</v>
      </c>
      <c r="E52" s="668">
        <f>'4. KQ- BS'!G73-'4. KQ- BS'!G83-'3.CP-TC'!E51</f>
        <v>90.537380588999923</v>
      </c>
      <c r="F52" s="668">
        <f>E52</f>
        <v>90.537380588999923</v>
      </c>
      <c r="G52" s="668">
        <f t="shared" ref="G52:O52" si="19">F52</f>
        <v>90.537380588999923</v>
      </c>
      <c r="H52" s="668">
        <f t="shared" si="19"/>
        <v>90.537380588999923</v>
      </c>
      <c r="I52" s="668">
        <f t="shared" si="19"/>
        <v>90.537380588999923</v>
      </c>
      <c r="J52" s="668">
        <f t="shared" si="19"/>
        <v>90.537380588999923</v>
      </c>
      <c r="K52" s="668">
        <f t="shared" si="19"/>
        <v>90.537380588999923</v>
      </c>
      <c r="L52" s="668">
        <f t="shared" si="19"/>
        <v>90.537380588999923</v>
      </c>
      <c r="M52" s="668">
        <f t="shared" si="19"/>
        <v>90.537380588999923</v>
      </c>
      <c r="N52" s="668">
        <f t="shared" si="19"/>
        <v>90.537380588999923</v>
      </c>
      <c r="O52" s="668">
        <f t="shared" si="19"/>
        <v>90.537380588999923</v>
      </c>
    </row>
    <row r="53" spans="1:15" x14ac:dyDescent="0.25">
      <c r="A53" s="1514"/>
      <c r="E53" s="666"/>
      <c r="F53" s="666"/>
      <c r="G53" s="666"/>
      <c r="H53" s="666"/>
      <c r="I53" s="666"/>
      <c r="J53" s="666"/>
      <c r="K53" s="666"/>
      <c r="L53" s="666"/>
      <c r="M53" s="666"/>
      <c r="N53" s="666"/>
      <c r="O53" s="666"/>
    </row>
    <row r="54" spans="1:15" s="160" customFormat="1" x14ac:dyDescent="0.25">
      <c r="A54" s="1104"/>
      <c r="B54" s="160" t="s">
        <v>181</v>
      </c>
      <c r="E54" s="665">
        <f t="shared" ref="E54:O54" si="20">E43-E50</f>
        <v>119.24020740899999</v>
      </c>
      <c r="F54" s="665">
        <f t="shared" ca="1" si="20"/>
        <v>4.2356918815928282</v>
      </c>
      <c r="G54" s="665">
        <f t="shared" ca="1" si="20"/>
        <v>4.6382102606334854</v>
      </c>
      <c r="H54" s="665">
        <f t="shared" ca="1" si="20"/>
        <v>5.0449268110594403</v>
      </c>
      <c r="I54" s="665">
        <f t="shared" ca="1" si="20"/>
        <v>5.4558869916351966</v>
      </c>
      <c r="J54" s="665">
        <f t="shared" ca="1" si="20"/>
        <v>5.8711367856016352</v>
      </c>
      <c r="K54" s="665">
        <f t="shared" ca="1" si="20"/>
        <v>6.2907227073255427</v>
      </c>
      <c r="L54" s="665">
        <f t="shared" ca="1" si="20"/>
        <v>6.7146918090438135</v>
      </c>
      <c r="M54" s="665">
        <f t="shared" ca="1" si="20"/>
        <v>7.1430916877039863</v>
      </c>
      <c r="N54" s="665">
        <f t="shared" ca="1" si="20"/>
        <v>7.5759704919026092</v>
      </c>
      <c r="O54" s="665">
        <f t="shared" ca="1" si="20"/>
        <v>8.013376928922753</v>
      </c>
    </row>
    <row r="55" spans="1:15" x14ac:dyDescent="0.25">
      <c r="A55" s="1514"/>
      <c r="E55" s="383"/>
      <c r="F55" s="383"/>
      <c r="G55" s="383"/>
      <c r="H55" s="383"/>
      <c r="I55" s="383"/>
      <c r="J55" s="383"/>
      <c r="K55" s="383"/>
      <c r="L55" s="383"/>
      <c r="M55" s="383"/>
      <c r="N55" s="383"/>
      <c r="O55" s="383"/>
    </row>
    <row r="56" spans="1:15" s="1103" customFormat="1" x14ac:dyDescent="0.25">
      <c r="A56" s="1516"/>
      <c r="B56" s="1103" t="s">
        <v>182</v>
      </c>
      <c r="E56" s="1517"/>
      <c r="F56" s="1517">
        <f t="shared" ref="F56:O56" ca="1" si="21">F54-F42</f>
        <v>-115.00451552740716</v>
      </c>
      <c r="G56" s="1517">
        <f t="shared" ca="1" si="21"/>
        <v>0.40251837904065724</v>
      </c>
      <c r="H56" s="1517">
        <f t="shared" ca="1" si="21"/>
        <v>0.40671655042595489</v>
      </c>
      <c r="I56" s="1517">
        <f t="shared" ca="1" si="21"/>
        <v>0.41096018057575634</v>
      </c>
      <c r="J56" s="1517">
        <f t="shared" ca="1" si="21"/>
        <v>0.41524979396643857</v>
      </c>
      <c r="K56" s="1517">
        <f t="shared" ca="1" si="21"/>
        <v>0.41958592172390752</v>
      </c>
      <c r="L56" s="1517">
        <f t="shared" ca="1" si="21"/>
        <v>0.42396910171827074</v>
      </c>
      <c r="M56" s="1517">
        <f t="shared" ca="1" si="21"/>
        <v>0.42839987866017282</v>
      </c>
      <c r="N56" s="1517">
        <f t="shared" ca="1" si="21"/>
        <v>0.4328788041986229</v>
      </c>
      <c r="O56" s="1517">
        <f t="shared" ca="1" si="21"/>
        <v>0.43740643702014381</v>
      </c>
    </row>
    <row r="57" spans="1:15" x14ac:dyDescent="0.25">
      <c r="A57" s="1514"/>
      <c r="D57" s="383"/>
      <c r="E57" s="383"/>
      <c r="F57" s="383"/>
      <c r="G57" s="383"/>
      <c r="H57" s="383"/>
      <c r="I57" s="383"/>
      <c r="J57" s="383"/>
      <c r="K57" s="383"/>
      <c r="L57" s="383"/>
      <c r="M57" s="383"/>
      <c r="N57" s="383"/>
      <c r="O57" s="383"/>
    </row>
    <row r="59" spans="1:15" s="160" customFormat="1" x14ac:dyDescent="0.25">
      <c r="A59" s="1104" t="s">
        <v>31</v>
      </c>
      <c r="B59" s="160" t="s">
        <v>802</v>
      </c>
      <c r="E59" s="1515"/>
      <c r="F59" s="1515"/>
      <c r="G59" s="1515"/>
      <c r="H59" s="1515"/>
      <c r="I59" s="1515"/>
      <c r="J59" s="1515"/>
      <c r="K59" s="1515"/>
      <c r="L59" s="1515"/>
      <c r="M59" s="1515"/>
      <c r="N59" s="1515"/>
    </row>
    <row r="60" spans="1:15" x14ac:dyDescent="0.25">
      <c r="A60" s="1514"/>
      <c r="B60" s="1105" t="s">
        <v>229</v>
      </c>
      <c r="E60" s="666">
        <f>'4. KQ-PL'!H17</f>
        <v>531.99834997300002</v>
      </c>
      <c r="F60" s="666">
        <f>'4. KQ-PL'!I17</f>
        <v>472.69443724311299</v>
      </c>
      <c r="G60" s="666">
        <f>'4. KQ-PL'!J17</f>
        <v>477.52465779160076</v>
      </c>
      <c r="H60" s="666">
        <f>'4. KQ-PL'!K17</f>
        <v>482.40525639671222</v>
      </c>
      <c r="I60" s="666">
        <f>'4. KQ-PL'!L17</f>
        <v>487.33677856362141</v>
      </c>
      <c r="J60" s="666">
        <f>'4. KQ-PL'!M17</f>
        <v>492.31977609121873</v>
      </c>
      <c r="K60" s="666">
        <f>'4. KQ-PL'!N17</f>
        <v>497.3548071519055</v>
      </c>
      <c r="L60" s="666">
        <f>'4. KQ-PL'!O17</f>
        <v>502.4424363725247</v>
      </c>
      <c r="M60" s="666">
        <f>'4. KQ-PL'!P17</f>
        <v>507.58323491644688</v>
      </c>
      <c r="N60" s="666">
        <f>'4. KQ-PL'!Q17</f>
        <v>512.7777805668303</v>
      </c>
      <c r="O60" s="666">
        <f>'4. KQ-PL'!R17</f>
        <v>518.02665781107203</v>
      </c>
    </row>
    <row r="61" spans="1:15" x14ac:dyDescent="0.25">
      <c r="A61" s="1514"/>
      <c r="B61" s="1105" t="s">
        <v>612</v>
      </c>
      <c r="E61" s="1159">
        <f>'2. Input'!C70</f>
        <v>11.25</v>
      </c>
      <c r="F61" s="666">
        <f>E61</f>
        <v>11.25</v>
      </c>
      <c r="G61" s="666">
        <f t="shared" ref="G61:O61" si="22">F61</f>
        <v>11.25</v>
      </c>
      <c r="H61" s="666">
        <f t="shared" si="22"/>
        <v>11.25</v>
      </c>
      <c r="I61" s="666">
        <f t="shared" si="22"/>
        <v>11.25</v>
      </c>
      <c r="J61" s="666">
        <f t="shared" si="22"/>
        <v>11.25</v>
      </c>
      <c r="K61" s="666">
        <f t="shared" si="22"/>
        <v>11.25</v>
      </c>
      <c r="L61" s="666">
        <f t="shared" si="22"/>
        <v>11.25</v>
      </c>
      <c r="M61" s="666">
        <f t="shared" si="22"/>
        <v>11.25</v>
      </c>
      <c r="N61" s="666">
        <f t="shared" si="22"/>
        <v>11.25</v>
      </c>
      <c r="O61" s="666">
        <f t="shared" si="22"/>
        <v>11.25</v>
      </c>
    </row>
    <row r="62" spans="1:15" x14ac:dyDescent="0.25">
      <c r="A62" s="1514"/>
      <c r="B62" s="1105" t="s">
        <v>803</v>
      </c>
      <c r="E62" s="666">
        <f>E60/E61</f>
        <v>47.288742219822225</v>
      </c>
      <c r="F62" s="666">
        <f>F60/F61</f>
        <v>42.017283310498932</v>
      </c>
      <c r="G62" s="666">
        <f t="shared" ref="G62:O62" si="23">G60/G61</f>
        <v>42.446636248142291</v>
      </c>
      <c r="H62" s="666">
        <f t="shared" si="23"/>
        <v>42.88046723526331</v>
      </c>
      <c r="I62" s="666">
        <f t="shared" si="23"/>
        <v>43.318824761210792</v>
      </c>
      <c r="J62" s="666">
        <f t="shared" si="23"/>
        <v>43.761757874775</v>
      </c>
      <c r="K62" s="666">
        <f t="shared" si="23"/>
        <v>44.209316191280486</v>
      </c>
      <c r="L62" s="666">
        <f t="shared" si="23"/>
        <v>44.66154989977997</v>
      </c>
      <c r="M62" s="666">
        <f t="shared" si="23"/>
        <v>45.118509770350833</v>
      </c>
      <c r="N62" s="666">
        <f t="shared" si="23"/>
        <v>45.580247161496025</v>
      </c>
      <c r="O62" s="666">
        <f t="shared" si="23"/>
        <v>46.046814027650846</v>
      </c>
    </row>
    <row r="63" spans="1:15" x14ac:dyDescent="0.25">
      <c r="A63" s="1514"/>
      <c r="B63" s="1105" t="s">
        <v>804</v>
      </c>
      <c r="E63" s="666"/>
      <c r="F63" s="666">
        <f>E64</f>
        <v>-21.953631975999997</v>
      </c>
      <c r="G63" s="666">
        <f t="shared" ref="G63:O63" ca="1" si="24">F64</f>
        <v>-8.7537809160845939</v>
      </c>
      <c r="H63" s="666">
        <f t="shared" ca="1" si="24"/>
        <v>13.357593261957618</v>
      </c>
      <c r="I63" s="666">
        <f t="shared" ca="1" si="24"/>
        <v>41.259987240032089</v>
      </c>
      <c r="J63" s="666">
        <f t="shared" ca="1" si="24"/>
        <v>74.284596263175843</v>
      </c>
      <c r="K63" s="666">
        <f t="shared" ca="1" si="24"/>
        <v>110.8516922303981</v>
      </c>
      <c r="L63" s="666">
        <f t="shared" ca="1" si="24"/>
        <v>147.37815880068359</v>
      </c>
      <c r="M63" s="666">
        <f t="shared" ca="1" si="24"/>
        <v>184.32679724922718</v>
      </c>
      <c r="N63" s="666">
        <f t="shared" ca="1" si="24"/>
        <v>221.6444672265275</v>
      </c>
      <c r="O63" s="666">
        <f t="shared" ca="1" si="24"/>
        <v>259.29113526948964</v>
      </c>
    </row>
    <row r="64" spans="1:15" x14ac:dyDescent="0.25">
      <c r="A64" s="1514"/>
      <c r="B64" s="1105" t="s">
        <v>805</v>
      </c>
      <c r="E64" s="666">
        <f>'4. KQ- BS'!G6-'4. KQ- BS'!G73</f>
        <v>-21.953631975999997</v>
      </c>
      <c r="F64" s="666">
        <f ca="1">'4. KQ- BS'!H6-'4. KQ- BS'!H73</f>
        <v>-8.7537809160845939</v>
      </c>
      <c r="G64" s="666">
        <f ca="1">'4. KQ- BS'!I6-'4. KQ- BS'!I73</f>
        <v>13.357593261957618</v>
      </c>
      <c r="H64" s="666">
        <f ca="1">'4. KQ- BS'!J6-'4. KQ- BS'!J73</f>
        <v>41.259987240032089</v>
      </c>
      <c r="I64" s="666">
        <f ca="1">'4. KQ- BS'!K6-'4. KQ- BS'!K73</f>
        <v>74.284596263175843</v>
      </c>
      <c r="J64" s="666">
        <f ca="1">'4. KQ- BS'!L6-'4. KQ- BS'!L73</f>
        <v>110.8516922303981</v>
      </c>
      <c r="K64" s="666">
        <f ca="1">'4. KQ- BS'!M6-'4. KQ- BS'!M73</f>
        <v>147.37815880068359</v>
      </c>
      <c r="L64" s="666">
        <f ca="1">'4. KQ- BS'!N6-'4. KQ- BS'!N73</f>
        <v>184.32679724922718</v>
      </c>
      <c r="M64" s="666">
        <f ca="1">'4. KQ- BS'!O6-'4. KQ- BS'!O73</f>
        <v>221.6444672265275</v>
      </c>
      <c r="N64" s="666">
        <f ca="1">'4. KQ- BS'!P6-'4. KQ- BS'!P73</f>
        <v>259.29113526948964</v>
      </c>
      <c r="O64" s="666">
        <f ca="1">'4. KQ- BS'!Q6-'4. KQ- BS'!Q73</f>
        <v>297.35383053258693</v>
      </c>
    </row>
    <row r="65" spans="1:15" x14ac:dyDescent="0.25">
      <c r="A65" s="1514"/>
      <c r="B65" s="1105" t="s">
        <v>179</v>
      </c>
      <c r="E65" s="666"/>
      <c r="F65" s="666">
        <f t="shared" ref="F65:O65" ca="1" si="25">F64-F63</f>
        <v>13.199851059915403</v>
      </c>
      <c r="G65" s="666">
        <f t="shared" ca="1" si="25"/>
        <v>22.111374178042212</v>
      </c>
      <c r="H65" s="666">
        <f t="shared" ca="1" si="25"/>
        <v>27.902393978074471</v>
      </c>
      <c r="I65" s="666">
        <f t="shared" ca="1" si="25"/>
        <v>33.024609023143753</v>
      </c>
      <c r="J65" s="666">
        <f t="shared" ca="1" si="25"/>
        <v>36.567095967222258</v>
      </c>
      <c r="K65" s="666">
        <f t="shared" ca="1" si="25"/>
        <v>36.526466570285493</v>
      </c>
      <c r="L65" s="666">
        <f t="shared" ca="1" si="25"/>
        <v>36.948638448543591</v>
      </c>
      <c r="M65" s="666">
        <f t="shared" ca="1" si="25"/>
        <v>37.317669977300312</v>
      </c>
      <c r="N65" s="666">
        <f t="shared" ca="1" si="25"/>
        <v>37.646668042962148</v>
      </c>
      <c r="O65" s="666">
        <f t="shared" ca="1" si="25"/>
        <v>38.062695263097282</v>
      </c>
    </row>
    <row r="66" spans="1:15" x14ac:dyDescent="0.25">
      <c r="A66" s="1514"/>
      <c r="B66" s="1105"/>
      <c r="E66" s="666"/>
      <c r="F66" s="666"/>
      <c r="G66" s="666"/>
      <c r="H66" s="666"/>
      <c r="I66" s="666"/>
      <c r="J66" s="666"/>
      <c r="K66" s="666"/>
      <c r="L66" s="666"/>
      <c r="M66" s="666"/>
      <c r="N66" s="666"/>
      <c r="O66" s="666"/>
    </row>
    <row r="67" spans="1:15" s="1519" customFormat="1" x14ac:dyDescent="0.25">
      <c r="A67" s="1518"/>
      <c r="B67" s="1106" t="s">
        <v>758</v>
      </c>
      <c r="E67" s="1524"/>
      <c r="F67" s="1524">
        <f ca="1">'4. KQ- BS'!H8</f>
        <v>39.400349434821564</v>
      </c>
      <c r="G67" s="1524">
        <f ca="1">'4. KQ- BS'!I8</f>
        <v>45.03874434657223</v>
      </c>
      <c r="H67" s="1524">
        <f ca="1">'4. KQ- BS'!J8</f>
        <v>45.329035038788973</v>
      </c>
      <c r="I67" s="1524">
        <f ca="1">'4. KQ- BS'!K8</f>
        <v>51.759208223540725</v>
      </c>
      <c r="J67" s="1524">
        <f ca="1">'4. KQ- BS'!L8</f>
        <v>87.911054396796544</v>
      </c>
      <c r="K67" s="1524">
        <f ca="1">'4. KQ- BS'!M8</f>
        <v>124.01793504535814</v>
      </c>
      <c r="L67" s="1524">
        <f ca="1">'4. KQ- BS'!N8</f>
        <v>160.54260439218345</v>
      </c>
      <c r="M67" s="1524">
        <f ca="1">'4. KQ- BS'!O8</f>
        <v>197.43187449082359</v>
      </c>
      <c r="N67" s="1524">
        <f ca="1">'4. KQ- BS'!P8</f>
        <v>234.64566372958711</v>
      </c>
      <c r="O67" s="1524">
        <f ca="1">'4. KQ- BS'!Q8</f>
        <v>272.27095255566428</v>
      </c>
    </row>
    <row r="68" spans="1:15" s="160" customFormat="1" x14ac:dyDescent="0.25">
      <c r="A68" s="1104"/>
      <c r="B68" s="1107" t="s">
        <v>192</v>
      </c>
      <c r="E68" s="664"/>
      <c r="F68" s="664">
        <f>F72</f>
        <v>69.459323280498921</v>
      </c>
      <c r="G68" s="664">
        <f t="shared" ref="G68:O68" ca="1" si="26">G72</f>
        <v>53.388862393248033</v>
      </c>
      <c r="H68" s="664">
        <f t="shared" ca="1" si="26"/>
        <v>26.183475657816288</v>
      </c>
      <c r="I68" s="664">
        <f t="shared" ca="1" si="26"/>
        <v>0</v>
      </c>
      <c r="J68" s="664">
        <f t="shared" ca="1" si="26"/>
        <v>0</v>
      </c>
      <c r="K68" s="664">
        <f t="shared" ca="1" si="26"/>
        <v>0</v>
      </c>
      <c r="L68" s="664">
        <f t="shared" ca="1" si="26"/>
        <v>0</v>
      </c>
      <c r="M68" s="664">
        <f t="shared" ca="1" si="26"/>
        <v>0</v>
      </c>
      <c r="N68" s="664">
        <f t="shared" ca="1" si="26"/>
        <v>0</v>
      </c>
      <c r="O68" s="664">
        <f t="shared" ca="1" si="26"/>
        <v>0</v>
      </c>
    </row>
    <row r="69" spans="1:15" x14ac:dyDescent="0.25">
      <c r="A69" s="1104" t="s">
        <v>37</v>
      </c>
      <c r="B69" s="160" t="s">
        <v>806</v>
      </c>
      <c r="E69" s="666"/>
      <c r="F69" s="666"/>
      <c r="G69" s="666"/>
      <c r="H69" s="666"/>
      <c r="I69" s="666"/>
      <c r="J69" s="666"/>
      <c r="K69" s="666"/>
      <c r="L69" s="666"/>
      <c r="M69" s="666"/>
      <c r="N69" s="666"/>
      <c r="O69" s="666"/>
    </row>
    <row r="70" spans="1:15" x14ac:dyDescent="0.25">
      <c r="A70" s="1514"/>
      <c r="B70" s="1108" t="s">
        <v>190</v>
      </c>
      <c r="E70" s="666"/>
      <c r="F70" s="666"/>
      <c r="G70" s="666"/>
      <c r="H70" s="666"/>
      <c r="I70" s="666"/>
      <c r="J70" s="666"/>
      <c r="K70" s="666"/>
      <c r="L70" s="666"/>
      <c r="M70" s="666"/>
      <c r="N70" s="666"/>
      <c r="O70" s="666"/>
    </row>
    <row r="71" spans="1:15" s="160" customFormat="1" x14ac:dyDescent="0.25">
      <c r="A71" s="1104"/>
      <c r="B71" s="1109" t="s">
        <v>191</v>
      </c>
      <c r="E71" s="1525"/>
      <c r="F71" s="665">
        <f>E74</f>
        <v>192.148363354</v>
      </c>
      <c r="G71" s="665">
        <f>F74</f>
        <v>69.459323280498921</v>
      </c>
      <c r="H71" s="665">
        <f ca="1">G74</f>
        <v>53.388862393248033</v>
      </c>
      <c r="I71" s="665">
        <f t="shared" ref="I71:O71" ca="1" si="27">H74</f>
        <v>26.183475657816288</v>
      </c>
      <c r="J71" s="665">
        <f t="shared" ca="1" si="27"/>
        <v>0</v>
      </c>
      <c r="K71" s="665">
        <f t="shared" ca="1" si="27"/>
        <v>0</v>
      </c>
      <c r="L71" s="665">
        <f t="shared" ca="1" si="27"/>
        <v>0</v>
      </c>
      <c r="M71" s="665">
        <f t="shared" ca="1" si="27"/>
        <v>0</v>
      </c>
      <c r="N71" s="665">
        <f t="shared" ca="1" si="27"/>
        <v>0</v>
      </c>
      <c r="O71" s="665">
        <f t="shared" ca="1" si="27"/>
        <v>0</v>
      </c>
    </row>
    <row r="72" spans="1:15" s="474" customFormat="1" x14ac:dyDescent="0.25">
      <c r="A72" s="677"/>
      <c r="B72" s="1107" t="s">
        <v>192</v>
      </c>
      <c r="E72" s="1526"/>
      <c r="F72" s="1526">
        <f>MAX(F62-F63/0.8,0)</f>
        <v>69.459323280498921</v>
      </c>
      <c r="G72" s="1526">
        <f ca="1">MAX(G62-G63/0.8,0)</f>
        <v>53.388862393248033</v>
      </c>
      <c r="H72" s="1526">
        <f t="shared" ref="H72:O72" ca="1" si="28">MAX(H62-H63/0.8,0)</f>
        <v>26.183475657816288</v>
      </c>
      <c r="I72" s="1526">
        <f t="shared" ca="1" si="28"/>
        <v>0</v>
      </c>
      <c r="J72" s="1526">
        <f t="shared" ca="1" si="28"/>
        <v>0</v>
      </c>
      <c r="K72" s="1526">
        <f t="shared" ca="1" si="28"/>
        <v>0</v>
      </c>
      <c r="L72" s="1526">
        <f t="shared" ca="1" si="28"/>
        <v>0</v>
      </c>
      <c r="M72" s="1526">
        <f t="shared" ca="1" si="28"/>
        <v>0</v>
      </c>
      <c r="N72" s="1526">
        <f t="shared" ca="1" si="28"/>
        <v>0</v>
      </c>
      <c r="O72" s="1526">
        <f t="shared" ca="1" si="28"/>
        <v>0</v>
      </c>
    </row>
    <row r="73" spans="1:15" s="474" customFormat="1" x14ac:dyDescent="0.25">
      <c r="A73" s="677"/>
      <c r="B73" s="1107" t="s">
        <v>194</v>
      </c>
      <c r="E73" s="1527"/>
      <c r="F73" s="1527">
        <f>F71</f>
        <v>192.148363354</v>
      </c>
      <c r="G73" s="1527">
        <f>G71</f>
        <v>69.459323280498921</v>
      </c>
      <c r="H73" s="1527">
        <f ca="1">H71</f>
        <v>53.388862393248033</v>
      </c>
      <c r="I73" s="1527">
        <f t="shared" ref="I73:O73" ca="1" si="29">I71</f>
        <v>26.183475657816288</v>
      </c>
      <c r="J73" s="1527">
        <f t="shared" ca="1" si="29"/>
        <v>0</v>
      </c>
      <c r="K73" s="1527">
        <f t="shared" ca="1" si="29"/>
        <v>0</v>
      </c>
      <c r="L73" s="1527">
        <f t="shared" ca="1" si="29"/>
        <v>0</v>
      </c>
      <c r="M73" s="1527">
        <f t="shared" ca="1" si="29"/>
        <v>0</v>
      </c>
      <c r="N73" s="1527">
        <f t="shared" ca="1" si="29"/>
        <v>0</v>
      </c>
      <c r="O73" s="1527">
        <f t="shared" ca="1" si="29"/>
        <v>0</v>
      </c>
    </row>
    <row r="74" spans="1:15" s="160" customFormat="1" x14ac:dyDescent="0.25">
      <c r="A74" s="1104"/>
      <c r="B74" s="1109" t="s">
        <v>791</v>
      </c>
      <c r="E74" s="1525">
        <f>'1.BC_Muc tieu (ty) '!AL108</f>
        <v>192.148363354</v>
      </c>
      <c r="F74" s="665">
        <f>F71+F72-F73</f>
        <v>69.459323280498921</v>
      </c>
      <c r="G74" s="665">
        <f ca="1">G71+G72-G73</f>
        <v>53.388862393248033</v>
      </c>
      <c r="H74" s="665">
        <f ca="1">H71+H72-H73</f>
        <v>26.183475657816288</v>
      </c>
      <c r="I74" s="665">
        <f t="shared" ref="I74:O74" ca="1" si="30">I71+I72-I73</f>
        <v>0</v>
      </c>
      <c r="J74" s="665">
        <f t="shared" ca="1" si="30"/>
        <v>0</v>
      </c>
      <c r="K74" s="665">
        <f t="shared" ca="1" si="30"/>
        <v>0</v>
      </c>
      <c r="L74" s="665">
        <f t="shared" ca="1" si="30"/>
        <v>0</v>
      </c>
      <c r="M74" s="665">
        <f t="shared" ca="1" si="30"/>
        <v>0</v>
      </c>
      <c r="N74" s="665">
        <f t="shared" ca="1" si="30"/>
        <v>0</v>
      </c>
      <c r="O74" s="665">
        <f t="shared" ca="1" si="30"/>
        <v>0</v>
      </c>
    </row>
    <row r="75" spans="1:15" s="468" customFormat="1" x14ac:dyDescent="0.25">
      <c r="A75" s="1529"/>
      <c r="B75" s="1530" t="s">
        <v>807</v>
      </c>
      <c r="E75" s="1531"/>
      <c r="F75" s="468">
        <f>'2. Input'!C20</f>
        <v>0.1</v>
      </c>
      <c r="G75" s="468">
        <f>F75</f>
        <v>0.1</v>
      </c>
      <c r="H75" s="468">
        <f>G75</f>
        <v>0.1</v>
      </c>
      <c r="I75" s="468">
        <f t="shared" ref="I75:O75" si="31">H75</f>
        <v>0.1</v>
      </c>
      <c r="J75" s="468">
        <f t="shared" si="31"/>
        <v>0.1</v>
      </c>
      <c r="K75" s="468">
        <f t="shared" si="31"/>
        <v>0.1</v>
      </c>
      <c r="L75" s="468">
        <f t="shared" si="31"/>
        <v>0.1</v>
      </c>
      <c r="M75" s="468">
        <f t="shared" si="31"/>
        <v>0.1</v>
      </c>
      <c r="N75" s="468">
        <f t="shared" si="31"/>
        <v>0.1</v>
      </c>
      <c r="O75" s="468">
        <f t="shared" si="31"/>
        <v>0.1</v>
      </c>
    </row>
    <row r="76" spans="1:15" s="160" customFormat="1" x14ac:dyDescent="0.25">
      <c r="A76" s="1104"/>
      <c r="B76" s="1109" t="s">
        <v>686</v>
      </c>
      <c r="E76" s="665"/>
      <c r="F76" s="665">
        <f>(F71+F72)/2*F75</f>
        <v>13.080384331724947</v>
      </c>
      <c r="G76" s="665">
        <f t="shared" ref="G76:O76" ca="1" si="32">(G71+G72)/2*G75</f>
        <v>6.1424092836873481</v>
      </c>
      <c r="H76" s="665">
        <f t="shared" ca="1" si="32"/>
        <v>3.9786169025532163</v>
      </c>
      <c r="I76" s="665">
        <f t="shared" ca="1" si="32"/>
        <v>1.3091737828908145</v>
      </c>
      <c r="J76" s="665">
        <f t="shared" ca="1" si="32"/>
        <v>0</v>
      </c>
      <c r="K76" s="665">
        <f t="shared" ca="1" si="32"/>
        <v>0</v>
      </c>
      <c r="L76" s="665">
        <f t="shared" ca="1" si="32"/>
        <v>0</v>
      </c>
      <c r="M76" s="665">
        <f t="shared" ca="1" si="32"/>
        <v>0</v>
      </c>
      <c r="N76" s="665">
        <f t="shared" ca="1" si="32"/>
        <v>0</v>
      </c>
      <c r="O76" s="665">
        <f t="shared" ca="1" si="32"/>
        <v>0</v>
      </c>
    </row>
    <row r="77" spans="1:15" x14ac:dyDescent="0.25">
      <c r="A77" s="1514"/>
      <c r="E77" s="666"/>
      <c r="F77" s="666"/>
      <c r="G77" s="666"/>
      <c r="H77" s="666"/>
      <c r="I77" s="666"/>
      <c r="J77" s="666"/>
      <c r="K77" s="666"/>
      <c r="L77" s="666"/>
      <c r="M77" s="666"/>
      <c r="N77" s="666"/>
      <c r="O77" s="666"/>
    </row>
    <row r="78" spans="1:15" s="160" customFormat="1" x14ac:dyDescent="0.25">
      <c r="A78" s="1104"/>
      <c r="B78" s="160" t="s">
        <v>808</v>
      </c>
      <c r="E78" s="665">
        <f t="shared" ref="E78:O78" si="33">E50+E74</f>
        <v>487.63170225199997</v>
      </c>
      <c r="F78" s="665">
        <f t="shared" ca="1" si="33"/>
        <v>162.20407744211596</v>
      </c>
      <c r="G78" s="665">
        <f t="shared" ca="1" si="33"/>
        <v>146.15770857823543</v>
      </c>
      <c r="H78" s="665">
        <f t="shared" ca="1" si="33"/>
        <v>118.9707574299957</v>
      </c>
      <c r="I78" s="665">
        <f t="shared" ca="1" si="33"/>
        <v>92.803463575782757</v>
      </c>
      <c r="J78" s="665">
        <f t="shared" ca="1" si="33"/>
        <v>92.823430830592855</v>
      </c>
      <c r="K78" s="665">
        <f t="shared" ca="1" si="33"/>
        <v>92.834928024717257</v>
      </c>
      <c r="L78" s="665">
        <f t="shared" ca="1" si="33"/>
        <v>92.858282359869222</v>
      </c>
      <c r="M78" s="665">
        <f t="shared" ca="1" si="33"/>
        <v>92.880786109422573</v>
      </c>
      <c r="N78" s="665">
        <f t="shared" ca="1" si="33"/>
        <v>92.901196772428847</v>
      </c>
      <c r="O78" s="665">
        <f t="shared" ca="1" si="33"/>
        <v>92.924416804508013</v>
      </c>
    </row>
    <row r="79" spans="1:15" s="383" customFormat="1" x14ac:dyDescent="0.25">
      <c r="B79" s="1520"/>
      <c r="E79" s="1528">
        <f>E78-'4. KQ- BS'!G73</f>
        <v>0</v>
      </c>
      <c r="F79" s="1528">
        <f ca="1">F78-'4. KQ- BS'!H73</f>
        <v>0</v>
      </c>
      <c r="G79" s="1528">
        <f ca="1">G78-'4. KQ- BS'!I73</f>
        <v>0</v>
      </c>
      <c r="H79" s="1528">
        <f ca="1">H78-'4. KQ- BS'!J73</f>
        <v>0</v>
      </c>
      <c r="I79" s="1528">
        <f ca="1">I78-'4. KQ- BS'!K73</f>
        <v>0</v>
      </c>
      <c r="J79" s="1528">
        <f ca="1">J78-'4. KQ- BS'!L73</f>
        <v>0</v>
      </c>
      <c r="K79" s="1528">
        <f ca="1">K78-'4. KQ- BS'!M73</f>
        <v>0</v>
      </c>
      <c r="L79" s="1528">
        <f ca="1">L78-'4. KQ- BS'!N73</f>
        <v>0</v>
      </c>
      <c r="M79" s="1528">
        <f ca="1">M78-'4. KQ- BS'!O73</f>
        <v>0</v>
      </c>
      <c r="N79" s="1528">
        <f ca="1">N78-'4. KQ- BS'!P73</f>
        <v>0</v>
      </c>
      <c r="O79" s="1528">
        <f ca="1">O78-'4. KQ- BS'!Q73</f>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A5458-1C38-49B0-9E5B-218B41541BA2}">
  <sheetPr>
    <tabColor theme="8" tint="0.39997558519241921"/>
  </sheetPr>
  <dimension ref="B2:P72"/>
  <sheetViews>
    <sheetView showGridLines="0" zoomScale="85" zoomScaleNormal="85" workbookViewId="0">
      <pane xSplit="2" ySplit="3" topLeftCell="C46" activePane="bottomRight" state="frozen"/>
      <selection activeCell="G37" sqref="G37"/>
      <selection pane="topRight" activeCell="G37" sqref="G37"/>
      <selection pane="bottomLeft" activeCell="G37" sqref="G37"/>
      <selection pane="bottomRight" activeCell="D72" sqref="D72"/>
    </sheetView>
  </sheetViews>
  <sheetFormatPr defaultColWidth="8.85546875" defaultRowHeight="15" x14ac:dyDescent="0.25"/>
  <cols>
    <col min="1" max="1" width="4.28515625" style="129" customWidth="1"/>
    <col min="2" max="2" width="32.5703125" style="129" bestFit="1" customWidth="1"/>
    <col min="3" max="3" width="9.85546875" style="129" bestFit="1" customWidth="1"/>
    <col min="4" max="4" width="12.42578125" style="129" bestFit="1" customWidth="1"/>
    <col min="5" max="5" width="11.28515625" style="129" bestFit="1" customWidth="1"/>
    <col min="6" max="13" width="8.85546875" style="129"/>
    <col min="14" max="14" width="9.28515625" style="129" bestFit="1" customWidth="1"/>
    <col min="15" max="16384" width="8.85546875" style="129"/>
  </cols>
  <sheetData>
    <row r="2" spans="2:16" x14ac:dyDescent="0.25">
      <c r="B2" s="303" t="s">
        <v>259</v>
      </c>
      <c r="C2" s="303"/>
    </row>
    <row r="3" spans="2:16" x14ac:dyDescent="0.25">
      <c r="D3" s="303">
        <v>2023</v>
      </c>
      <c r="E3" s="303">
        <v>2024</v>
      </c>
      <c r="F3" s="303">
        <v>2025</v>
      </c>
      <c r="G3" s="303">
        <v>2026</v>
      </c>
      <c r="H3" s="303">
        <v>2027</v>
      </c>
      <c r="I3" s="303">
        <v>2028</v>
      </c>
      <c r="J3" s="303">
        <v>2029</v>
      </c>
      <c r="K3" s="303">
        <v>2030</v>
      </c>
      <c r="L3" s="303">
        <v>2031</v>
      </c>
      <c r="M3" s="303">
        <v>2032</v>
      </c>
      <c r="N3" s="303">
        <v>2033</v>
      </c>
    </row>
    <row r="4" spans="2:16" x14ac:dyDescent="0.25">
      <c r="B4" s="1482" t="s">
        <v>1803</v>
      </c>
      <c r="C4" s="1482"/>
      <c r="D4" s="1483"/>
      <c r="E4" s="1483"/>
      <c r="F4" s="1483"/>
      <c r="G4" s="1483"/>
      <c r="H4" s="1483"/>
      <c r="I4" s="1483"/>
      <c r="J4" s="1483"/>
      <c r="K4" s="1483"/>
      <c r="L4" s="1483"/>
      <c r="M4" s="1483"/>
      <c r="N4" s="1483"/>
    </row>
    <row r="5" spans="2:16" x14ac:dyDescent="0.25">
      <c r="B5" s="303" t="s">
        <v>1804</v>
      </c>
      <c r="C5" s="129" t="s">
        <v>272</v>
      </c>
      <c r="D5" s="306">
        <v>2</v>
      </c>
      <c r="E5" s="129" t="s">
        <v>246</v>
      </c>
      <c r="G5" s="1480"/>
      <c r="H5" s="1480"/>
      <c r="I5" s="1480"/>
      <c r="J5" s="1480"/>
      <c r="K5" s="1480"/>
      <c r="L5" s="1480"/>
      <c r="M5" s="1480"/>
      <c r="N5" s="1480"/>
    </row>
    <row r="6" spans="2:16" x14ac:dyDescent="0.25">
      <c r="B6" s="129" t="s">
        <v>260</v>
      </c>
      <c r="D6" s="307"/>
      <c r="E6" s="1480">
        <f>D9</f>
        <v>2.92625</v>
      </c>
      <c r="F6" s="1480">
        <f>E9</f>
        <v>1.3932500000000001</v>
      </c>
      <c r="G6" s="1480">
        <f t="shared" ref="G6:K6" si="0">F9</f>
        <v>0</v>
      </c>
      <c r="H6" s="1480">
        <f t="shared" si="0"/>
        <v>0</v>
      </c>
      <c r="I6" s="1480">
        <f t="shared" si="0"/>
        <v>0</v>
      </c>
      <c r="J6" s="1480">
        <f t="shared" si="0"/>
        <v>0</v>
      </c>
      <c r="K6" s="1480">
        <f t="shared" si="0"/>
        <v>0</v>
      </c>
      <c r="L6" s="1480">
        <f t="shared" ref="L6" si="1">K9</f>
        <v>0</v>
      </c>
      <c r="M6" s="1480">
        <f t="shared" ref="M6" si="2">L9</f>
        <v>0</v>
      </c>
      <c r="N6" s="1480">
        <f t="shared" ref="N6" si="3">M9</f>
        <v>0</v>
      </c>
    </row>
    <row r="7" spans="2:16" x14ac:dyDescent="0.25">
      <c r="B7" s="129" t="s">
        <v>261</v>
      </c>
      <c r="D7" s="307"/>
      <c r="E7" s="1480"/>
      <c r="F7" s="1480"/>
      <c r="G7" s="1480"/>
      <c r="H7" s="1480"/>
      <c r="I7" s="1480"/>
      <c r="J7" s="1480"/>
      <c r="K7" s="1480"/>
      <c r="L7" s="307"/>
      <c r="M7" s="307"/>
      <c r="N7" s="307"/>
    </row>
    <row r="8" spans="2:16" x14ac:dyDescent="0.25">
      <c r="B8" s="129" t="s">
        <v>263</v>
      </c>
      <c r="D8" s="307"/>
      <c r="E8" s="1480">
        <f>127750000*12/10^9</f>
        <v>1.5329999999999999</v>
      </c>
      <c r="F8" s="1480">
        <f>F6</f>
        <v>1.3932500000000001</v>
      </c>
      <c r="G8" s="1480"/>
      <c r="H8" s="1480"/>
      <c r="I8" s="1480"/>
      <c r="J8" s="1480"/>
      <c r="K8" s="1480"/>
      <c r="L8" s="307"/>
      <c r="M8" s="307"/>
      <c r="N8" s="307"/>
    </row>
    <row r="9" spans="2:16" x14ac:dyDescent="0.25">
      <c r="B9" s="129" t="s">
        <v>262</v>
      </c>
      <c r="D9" s="1480">
        <f>2926250000/10^9</f>
        <v>2.92625</v>
      </c>
      <c r="E9" s="1480">
        <f>E6+E7-E8</f>
        <v>1.3932500000000001</v>
      </c>
      <c r="F9" s="1480">
        <f t="shared" ref="F9:M9" si="4">F6+F7-F8</f>
        <v>0</v>
      </c>
      <c r="G9" s="1480">
        <f t="shared" si="4"/>
        <v>0</v>
      </c>
      <c r="H9" s="1480">
        <f>H6+H7-H8</f>
        <v>0</v>
      </c>
      <c r="I9" s="1480">
        <f t="shared" si="4"/>
        <v>0</v>
      </c>
      <c r="J9" s="1480">
        <f t="shared" si="4"/>
        <v>0</v>
      </c>
      <c r="K9" s="1480">
        <f t="shared" si="4"/>
        <v>0</v>
      </c>
      <c r="L9" s="1480">
        <f t="shared" si="4"/>
        <v>0</v>
      </c>
      <c r="M9" s="1480">
        <f t="shared" si="4"/>
        <v>0</v>
      </c>
      <c r="N9" s="1480">
        <f>N6+N7-N8</f>
        <v>0</v>
      </c>
    </row>
    <row r="10" spans="2:16" x14ac:dyDescent="0.25">
      <c r="D10" s="307"/>
      <c r="E10" s="307"/>
      <c r="F10" s="307"/>
      <c r="G10" s="307"/>
      <c r="H10" s="307"/>
      <c r="I10" s="307"/>
      <c r="J10" s="307"/>
      <c r="K10" s="307"/>
      <c r="L10" s="307"/>
      <c r="M10" s="307"/>
      <c r="N10" s="307"/>
    </row>
    <row r="11" spans="2:16" x14ac:dyDescent="0.25">
      <c r="B11" s="303" t="s">
        <v>1804</v>
      </c>
      <c r="C11" s="129" t="s">
        <v>272</v>
      </c>
      <c r="D11" s="306">
        <v>3</v>
      </c>
      <c r="E11" s="129" t="s">
        <v>246</v>
      </c>
      <c r="G11" s="1480"/>
      <c r="H11" s="1480"/>
      <c r="I11" s="1480"/>
      <c r="J11" s="1480"/>
      <c r="K11" s="1480"/>
      <c r="L11" s="1480"/>
      <c r="M11" s="1480"/>
      <c r="N11" s="1480"/>
    </row>
    <row r="12" spans="2:16" x14ac:dyDescent="0.25">
      <c r="B12" s="129" t="s">
        <v>260</v>
      </c>
      <c r="D12" s="307"/>
      <c r="E12" s="1480">
        <f>D15</f>
        <v>3.5983333320000002</v>
      </c>
      <c r="F12" s="1480">
        <f>E15</f>
        <v>2.3988888840000002</v>
      </c>
      <c r="G12" s="1480">
        <f t="shared" ref="G12" si="5">F15</f>
        <v>1.1994444360000003</v>
      </c>
      <c r="H12" s="1480">
        <f t="shared" ref="H12" si="6">G15</f>
        <v>0</v>
      </c>
      <c r="I12" s="1480">
        <f t="shared" ref="I12" si="7">H15</f>
        <v>0</v>
      </c>
      <c r="J12" s="1480">
        <f t="shared" ref="J12" si="8">I15</f>
        <v>0</v>
      </c>
      <c r="K12" s="1480">
        <f t="shared" ref="K12" si="9">J15</f>
        <v>0</v>
      </c>
      <c r="L12" s="1480">
        <f t="shared" ref="L12" si="10">K15</f>
        <v>0</v>
      </c>
      <c r="M12" s="1480">
        <f t="shared" ref="M12" si="11">L15</f>
        <v>0</v>
      </c>
      <c r="N12" s="1480">
        <f t="shared" ref="N12" si="12">M15</f>
        <v>0</v>
      </c>
    </row>
    <row r="13" spans="2:16" x14ac:dyDescent="0.25">
      <c r="B13" s="129" t="s">
        <v>261</v>
      </c>
      <c r="D13" s="307"/>
      <c r="E13" s="1480"/>
      <c r="F13" s="1480"/>
      <c r="G13" s="1480"/>
      <c r="H13" s="1480"/>
      <c r="I13" s="1480"/>
      <c r="J13" s="1480"/>
      <c r="K13" s="1480"/>
      <c r="L13" s="307"/>
      <c r="M13" s="307"/>
      <c r="N13" s="307"/>
    </row>
    <row r="14" spans="2:16" x14ac:dyDescent="0.25">
      <c r="B14" s="129" t="s">
        <v>263</v>
      </c>
      <c r="D14" s="307"/>
      <c r="E14" s="1480">
        <f>99953704*12/10^9</f>
        <v>1.1994444479999999</v>
      </c>
      <c r="F14" s="1480">
        <f>E14</f>
        <v>1.1994444479999999</v>
      </c>
      <c r="G14" s="1480">
        <f>G12</f>
        <v>1.1994444360000003</v>
      </c>
      <c r="H14" s="1480"/>
      <c r="I14" s="1480"/>
      <c r="J14" s="1480"/>
      <c r="K14" s="1480"/>
      <c r="L14" s="307"/>
      <c r="M14" s="307"/>
      <c r="N14" s="307"/>
      <c r="P14" s="1484"/>
    </row>
    <row r="15" spans="2:16" x14ac:dyDescent="0.25">
      <c r="B15" s="129" t="s">
        <v>262</v>
      </c>
      <c r="D15" s="1480">
        <f>3598333332/10^9</f>
        <v>3.5983333320000002</v>
      </c>
      <c r="E15" s="1480">
        <f>E12+E13-E14</f>
        <v>2.3988888840000002</v>
      </c>
      <c r="F15" s="1480">
        <f t="shared" ref="F15:N15" si="13">F12+F13-F14</f>
        <v>1.1994444360000003</v>
      </c>
      <c r="G15" s="1480">
        <f t="shared" si="13"/>
        <v>0</v>
      </c>
      <c r="H15" s="1480">
        <f t="shared" si="13"/>
        <v>0</v>
      </c>
      <c r="I15" s="1480">
        <f t="shared" si="13"/>
        <v>0</v>
      </c>
      <c r="J15" s="1480">
        <f t="shared" si="13"/>
        <v>0</v>
      </c>
      <c r="K15" s="1480">
        <f t="shared" si="13"/>
        <v>0</v>
      </c>
      <c r="L15" s="1480">
        <f t="shared" si="13"/>
        <v>0</v>
      </c>
      <c r="M15" s="1480">
        <f t="shared" si="13"/>
        <v>0</v>
      </c>
      <c r="N15" s="1480">
        <f t="shared" si="13"/>
        <v>0</v>
      </c>
      <c r="O15" s="1480"/>
    </row>
    <row r="17" spans="2:14" x14ac:dyDescent="0.25">
      <c r="B17" s="303" t="s">
        <v>1804</v>
      </c>
      <c r="C17" s="129" t="s">
        <v>272</v>
      </c>
      <c r="D17" s="306">
        <v>3</v>
      </c>
      <c r="E17" s="129" t="s">
        <v>246</v>
      </c>
      <c r="G17" s="1480"/>
      <c r="H17" s="1480"/>
      <c r="I17" s="1480"/>
      <c r="J17" s="1480"/>
      <c r="K17" s="1480"/>
      <c r="L17" s="1480"/>
      <c r="M17" s="1480"/>
      <c r="N17" s="1480"/>
    </row>
    <row r="18" spans="2:14" x14ac:dyDescent="0.25">
      <c r="B18" s="129" t="s">
        <v>260</v>
      </c>
      <c r="D18" s="307"/>
      <c r="E18" s="1480">
        <f>D21</f>
        <v>2.1666666700000001</v>
      </c>
      <c r="F18" s="1480">
        <f>E21</f>
        <v>1.1666666620000001</v>
      </c>
      <c r="G18" s="1480">
        <f t="shared" ref="G18" si="14">F21</f>
        <v>0.16666665400000014</v>
      </c>
      <c r="H18" s="1480">
        <f t="shared" ref="H18" si="15">G21</f>
        <v>0</v>
      </c>
      <c r="I18" s="1480">
        <f t="shared" ref="I18" si="16">H21</f>
        <v>0</v>
      </c>
      <c r="J18" s="1480">
        <f t="shared" ref="J18" si="17">I21</f>
        <v>0</v>
      </c>
      <c r="K18" s="1480">
        <f t="shared" ref="K18" si="18">J21</f>
        <v>0</v>
      </c>
      <c r="L18" s="1480">
        <f t="shared" ref="L18" si="19">K21</f>
        <v>0</v>
      </c>
      <c r="M18" s="1480">
        <f t="shared" ref="M18" si="20">L21</f>
        <v>0</v>
      </c>
      <c r="N18" s="1480">
        <f t="shared" ref="N18" si="21">M21</f>
        <v>0</v>
      </c>
    </row>
    <row r="19" spans="2:14" x14ac:dyDescent="0.25">
      <c r="B19" s="129" t="s">
        <v>261</v>
      </c>
      <c r="D19" s="307"/>
      <c r="E19" s="1480"/>
      <c r="F19" s="1480"/>
      <c r="G19" s="1480"/>
      <c r="H19" s="1480"/>
      <c r="I19" s="1480"/>
      <c r="J19" s="1480"/>
      <c r="K19" s="1480"/>
      <c r="L19" s="1480"/>
      <c r="M19" s="1480"/>
      <c r="N19" s="1480"/>
    </row>
    <row r="20" spans="2:14" x14ac:dyDescent="0.25">
      <c r="B20" s="129" t="s">
        <v>263</v>
      </c>
      <c r="D20" s="307"/>
      <c r="E20" s="1480">
        <f>83333334*12/10^9</f>
        <v>1.000000008</v>
      </c>
      <c r="F20" s="1480">
        <f>E20</f>
        <v>1.000000008</v>
      </c>
      <c r="G20" s="1480">
        <f>G18</f>
        <v>0.16666665400000014</v>
      </c>
      <c r="H20" s="1480"/>
      <c r="I20" s="1480"/>
      <c r="J20" s="1480"/>
      <c r="K20" s="1480"/>
      <c r="L20" s="1480"/>
      <c r="M20" s="1480"/>
      <c r="N20" s="1480"/>
    </row>
    <row r="21" spans="2:14" x14ac:dyDescent="0.25">
      <c r="B21" s="129" t="s">
        <v>262</v>
      </c>
      <c r="D21" s="1480">
        <f>2166666670/10^9</f>
        <v>2.1666666700000001</v>
      </c>
      <c r="E21" s="1480">
        <f>E18+E19-E20</f>
        <v>1.1666666620000001</v>
      </c>
      <c r="F21" s="1480">
        <f t="shared" ref="F21:G21" si="22">F18+F19-F20</f>
        <v>0.16666665400000014</v>
      </c>
      <c r="G21" s="1480">
        <f t="shared" si="22"/>
        <v>0</v>
      </c>
      <c r="H21" s="1480">
        <f>H18+H19-H20</f>
        <v>0</v>
      </c>
      <c r="I21" s="1480">
        <f t="shared" ref="I21:K21" si="23">I18+I19-I20</f>
        <v>0</v>
      </c>
      <c r="J21" s="1480">
        <f t="shared" si="23"/>
        <v>0</v>
      </c>
      <c r="K21" s="1480">
        <f t="shared" si="23"/>
        <v>0</v>
      </c>
      <c r="L21" s="1480">
        <f>L18+L19-L20</f>
        <v>0</v>
      </c>
      <c r="M21" s="1480">
        <f t="shared" ref="M21:N21" si="24">M18+M19-M20</f>
        <v>0</v>
      </c>
      <c r="N21" s="1480">
        <f t="shared" si="24"/>
        <v>0</v>
      </c>
    </row>
    <row r="23" spans="2:14" x14ac:dyDescent="0.25">
      <c r="B23" s="1482" t="s">
        <v>1805</v>
      </c>
      <c r="C23" s="1482"/>
      <c r="D23" s="1483"/>
      <c r="E23" s="1483"/>
      <c r="F23" s="1483"/>
      <c r="G23" s="1483"/>
      <c r="H23" s="1483"/>
      <c r="I23" s="1483"/>
      <c r="J23" s="1483"/>
      <c r="K23" s="1483"/>
      <c r="L23" s="1483"/>
      <c r="M23" s="1483"/>
      <c r="N23" s="1483"/>
    </row>
    <row r="24" spans="2:14" x14ac:dyDescent="0.25">
      <c r="B24" s="303" t="s">
        <v>1804</v>
      </c>
      <c r="C24" s="129" t="s">
        <v>272</v>
      </c>
      <c r="D24" s="306">
        <v>4</v>
      </c>
      <c r="E24" s="129" t="s">
        <v>246</v>
      </c>
      <c r="G24" s="1480"/>
      <c r="H24" s="1480"/>
      <c r="I24" s="1480"/>
      <c r="J24" s="1480"/>
      <c r="K24" s="1480"/>
      <c r="L24" s="1480"/>
      <c r="M24" s="1480"/>
      <c r="N24" s="1480"/>
    </row>
    <row r="25" spans="2:14" x14ac:dyDescent="0.25">
      <c r="B25" s="129" t="s">
        <v>260</v>
      </c>
      <c r="D25" s="307"/>
      <c r="E25" s="1480">
        <f>D28</f>
        <v>3.5015000019999998</v>
      </c>
      <c r="F25" s="1480">
        <f>E28</f>
        <v>2.5615000019999998</v>
      </c>
      <c r="G25" s="1480">
        <f t="shared" ref="G25" si="25">F28</f>
        <v>1.6215000019999999</v>
      </c>
      <c r="H25" s="1480">
        <f t="shared" ref="H25" si="26">G28</f>
        <v>0.68150000199999994</v>
      </c>
      <c r="I25" s="1480">
        <f t="shared" ref="I25" si="27">H28</f>
        <v>0</v>
      </c>
      <c r="J25" s="1480">
        <f t="shared" ref="J25" si="28">I28</f>
        <v>0</v>
      </c>
      <c r="K25" s="1480">
        <f t="shared" ref="K25" si="29">J28</f>
        <v>0</v>
      </c>
      <c r="L25" s="1480">
        <f t="shared" ref="L25" si="30">K28</f>
        <v>0</v>
      </c>
      <c r="M25" s="1480">
        <f t="shared" ref="M25" si="31">L28</f>
        <v>0</v>
      </c>
      <c r="N25" s="1480">
        <f t="shared" ref="N25" si="32">M28</f>
        <v>0</v>
      </c>
    </row>
    <row r="26" spans="2:14" x14ac:dyDescent="0.25">
      <c r="B26" s="129" t="s">
        <v>261</v>
      </c>
      <c r="D26" s="307"/>
      <c r="E26" s="1480"/>
      <c r="F26" s="1480"/>
      <c r="G26" s="1480"/>
      <c r="H26" s="1480"/>
      <c r="I26" s="1480"/>
      <c r="J26" s="1480"/>
      <c r="K26" s="1480"/>
      <c r="L26" s="307"/>
      <c r="M26" s="307"/>
      <c r="N26" s="307"/>
    </row>
    <row r="27" spans="2:14" x14ac:dyDescent="0.25">
      <c r="B27" s="129" t="s">
        <v>263</v>
      </c>
      <c r="D27" s="307"/>
      <c r="E27" s="1480">
        <f>940000000/10^9</f>
        <v>0.94</v>
      </c>
      <c r="F27" s="1480">
        <f t="shared" ref="F27:G27" si="33">940000000/10^9</f>
        <v>0.94</v>
      </c>
      <c r="G27" s="1480">
        <f t="shared" si="33"/>
        <v>0.94</v>
      </c>
      <c r="H27" s="1480">
        <f>H25</f>
        <v>0.68150000199999994</v>
      </c>
      <c r="I27" s="1480"/>
      <c r="J27" s="1480"/>
      <c r="K27" s="1480"/>
      <c r="L27" s="307"/>
      <c r="M27" s="307"/>
      <c r="N27" s="307"/>
    </row>
    <row r="28" spans="2:14" x14ac:dyDescent="0.25">
      <c r="B28" s="129" t="s">
        <v>262</v>
      </c>
      <c r="D28" s="1480">
        <f>3501500002/10^9</f>
        <v>3.5015000019999998</v>
      </c>
      <c r="E28" s="1480">
        <f>E25+E26-E27</f>
        <v>2.5615000019999998</v>
      </c>
      <c r="F28" s="1480">
        <f t="shared" ref="F28:G28" si="34">F25+F26-F27</f>
        <v>1.6215000019999999</v>
      </c>
      <c r="G28" s="1480">
        <f t="shared" si="34"/>
        <v>0.68150000199999994</v>
      </c>
      <c r="H28" s="1480">
        <f>H25+H26-H27</f>
        <v>0</v>
      </c>
      <c r="I28" s="1480">
        <f t="shared" ref="I28:M28" si="35">I25+I26-I27</f>
        <v>0</v>
      </c>
      <c r="J28" s="1480">
        <f t="shared" si="35"/>
        <v>0</v>
      </c>
      <c r="K28" s="1480">
        <f t="shared" si="35"/>
        <v>0</v>
      </c>
      <c r="L28" s="1480">
        <f t="shared" si="35"/>
        <v>0</v>
      </c>
      <c r="M28" s="1480">
        <f t="shared" si="35"/>
        <v>0</v>
      </c>
      <c r="N28" s="1480">
        <f>N25+N26-N27</f>
        <v>0</v>
      </c>
    </row>
    <row r="29" spans="2:14" x14ac:dyDescent="0.25">
      <c r="D29" s="307"/>
      <c r="E29" s="307"/>
      <c r="F29" s="307"/>
      <c r="G29" s="307"/>
      <c r="H29" s="307"/>
      <c r="I29" s="307"/>
      <c r="J29" s="307"/>
      <c r="K29" s="307"/>
      <c r="L29" s="307"/>
      <c r="M29" s="307"/>
      <c r="N29" s="307"/>
    </row>
    <row r="30" spans="2:14" x14ac:dyDescent="0.25">
      <c r="B30" s="303" t="s">
        <v>1804</v>
      </c>
      <c r="C30" s="129" t="s">
        <v>272</v>
      </c>
      <c r="D30" s="306">
        <v>4</v>
      </c>
      <c r="E30" s="129" t="s">
        <v>246</v>
      </c>
      <c r="G30" s="1480"/>
      <c r="H30" s="1480"/>
      <c r="I30" s="1480"/>
      <c r="J30" s="1480"/>
      <c r="K30" s="1480"/>
      <c r="L30" s="1480"/>
      <c r="M30" s="1480"/>
      <c r="N30" s="1480"/>
    </row>
    <row r="31" spans="2:14" x14ac:dyDescent="0.25">
      <c r="B31" s="129" t="s">
        <v>260</v>
      </c>
      <c r="D31" s="307"/>
      <c r="E31" s="1480">
        <f>D34</f>
        <v>0.70087500000000003</v>
      </c>
      <c r="F31" s="1480">
        <f>E34</f>
        <v>0.504</v>
      </c>
      <c r="G31" s="1480">
        <f t="shared" ref="G31" si="36">F34</f>
        <v>0.30712499999999998</v>
      </c>
      <c r="H31" s="1480">
        <f t="shared" ref="H31" si="37">G34</f>
        <v>0.11024999999999999</v>
      </c>
      <c r="I31" s="1480">
        <f t="shared" ref="I31" si="38">H34</f>
        <v>0</v>
      </c>
      <c r="J31" s="1480">
        <f t="shared" ref="J31" si="39">I34</f>
        <v>0</v>
      </c>
      <c r="K31" s="1480">
        <f t="shared" ref="K31" si="40">J34</f>
        <v>0</v>
      </c>
      <c r="L31" s="1480">
        <f t="shared" ref="L31" si="41">K34</f>
        <v>0</v>
      </c>
      <c r="M31" s="1480">
        <f t="shared" ref="M31" si="42">L34</f>
        <v>0</v>
      </c>
      <c r="N31" s="1480">
        <f t="shared" ref="N31" si="43">M34</f>
        <v>0</v>
      </c>
    </row>
    <row r="32" spans="2:14" x14ac:dyDescent="0.25">
      <c r="B32" s="129" t="s">
        <v>261</v>
      </c>
      <c r="D32" s="307"/>
      <c r="E32" s="1480"/>
      <c r="F32" s="1480"/>
      <c r="G32" s="1480"/>
      <c r="H32" s="1480"/>
      <c r="I32" s="1480"/>
      <c r="J32" s="1480"/>
      <c r="K32" s="1480"/>
      <c r="L32" s="307"/>
      <c r="M32" s="307"/>
      <c r="N32" s="307"/>
    </row>
    <row r="33" spans="2:15" x14ac:dyDescent="0.25">
      <c r="B33" s="129" t="s">
        <v>263</v>
      </c>
      <c r="D33" s="307"/>
      <c r="E33" s="1480">
        <f>196875000/10^9</f>
        <v>0.19687499999999999</v>
      </c>
      <c r="F33" s="1480">
        <f t="shared" ref="F33:G33" si="44">196875000/10^9</f>
        <v>0.19687499999999999</v>
      </c>
      <c r="G33" s="1480">
        <f t="shared" si="44"/>
        <v>0.19687499999999999</v>
      </c>
      <c r="H33" s="1480">
        <f>H31</f>
        <v>0.11024999999999999</v>
      </c>
      <c r="I33" s="1480"/>
      <c r="J33" s="1480"/>
      <c r="K33" s="1480"/>
      <c r="L33" s="307"/>
      <c r="M33" s="307"/>
      <c r="N33" s="307"/>
    </row>
    <row r="34" spans="2:15" x14ac:dyDescent="0.25">
      <c r="B34" s="129" t="s">
        <v>262</v>
      </c>
      <c r="D34" s="1480">
        <f>700875000/10^9</f>
        <v>0.70087500000000003</v>
      </c>
      <c r="E34" s="1480">
        <f>E31+E32-E33</f>
        <v>0.504</v>
      </c>
      <c r="F34" s="1480">
        <f t="shared" ref="F34:N34" si="45">F31+F32-F33</f>
        <v>0.30712499999999998</v>
      </c>
      <c r="G34" s="1480">
        <f t="shared" si="45"/>
        <v>0.11024999999999999</v>
      </c>
      <c r="H34" s="1480">
        <f t="shared" si="45"/>
        <v>0</v>
      </c>
      <c r="I34" s="1480">
        <f t="shared" si="45"/>
        <v>0</v>
      </c>
      <c r="J34" s="1480">
        <f t="shared" si="45"/>
        <v>0</v>
      </c>
      <c r="K34" s="1480">
        <f t="shared" si="45"/>
        <v>0</v>
      </c>
      <c r="L34" s="1480">
        <f t="shared" si="45"/>
        <v>0</v>
      </c>
      <c r="M34" s="1480">
        <f t="shared" si="45"/>
        <v>0</v>
      </c>
      <c r="N34" s="1480">
        <f t="shared" si="45"/>
        <v>0</v>
      </c>
      <c r="O34" s="1480"/>
    </row>
    <row r="36" spans="2:15" x14ac:dyDescent="0.25">
      <c r="B36" s="303" t="s">
        <v>1804</v>
      </c>
      <c r="C36" s="129" t="s">
        <v>272</v>
      </c>
      <c r="D36" s="306">
        <v>2</v>
      </c>
      <c r="E36" s="129" t="s">
        <v>246</v>
      </c>
      <c r="G36" s="1480"/>
      <c r="H36" s="1480"/>
      <c r="I36" s="1480"/>
      <c r="J36" s="1480"/>
      <c r="K36" s="1480"/>
      <c r="L36" s="1480"/>
      <c r="M36" s="1480"/>
      <c r="N36" s="1480"/>
    </row>
    <row r="37" spans="2:15" x14ac:dyDescent="0.25">
      <c r="B37" s="129" t="s">
        <v>260</v>
      </c>
      <c r="D37" s="307"/>
      <c r="E37" s="1480">
        <f>D40</f>
        <v>2.0882863949999999</v>
      </c>
      <c r="F37" s="1480">
        <f>E40</f>
        <v>0.51590539499999988</v>
      </c>
      <c r="G37" s="1480">
        <f t="shared" ref="G37" si="46">F40</f>
        <v>0</v>
      </c>
      <c r="H37" s="1480">
        <f t="shared" ref="H37" si="47">G40</f>
        <v>0</v>
      </c>
      <c r="I37" s="1480">
        <f t="shared" ref="I37" si="48">H40</f>
        <v>0</v>
      </c>
      <c r="J37" s="1480">
        <f t="shared" ref="J37" si="49">I40</f>
        <v>0</v>
      </c>
      <c r="K37" s="1480">
        <f t="shared" ref="K37" si="50">J40</f>
        <v>0</v>
      </c>
      <c r="L37" s="1480">
        <f t="shared" ref="L37" si="51">K40</f>
        <v>0</v>
      </c>
      <c r="M37" s="1480">
        <f t="shared" ref="M37" si="52">L40</f>
        <v>0</v>
      </c>
      <c r="N37" s="1480">
        <f t="shared" ref="N37" si="53">M40</f>
        <v>0</v>
      </c>
    </row>
    <row r="38" spans="2:15" x14ac:dyDescent="0.25">
      <c r="B38" s="129" t="s">
        <v>261</v>
      </c>
      <c r="D38" s="307"/>
      <c r="E38" s="1480"/>
      <c r="F38" s="1480"/>
      <c r="G38" s="1480"/>
      <c r="H38" s="1480"/>
      <c r="I38" s="1480"/>
      <c r="J38" s="1480"/>
      <c r="K38" s="1480"/>
      <c r="L38" s="1480"/>
      <c r="M38" s="1480"/>
      <c r="N38" s="1480"/>
    </row>
    <row r="39" spans="2:15" x14ac:dyDescent="0.25">
      <c r="B39" s="129" t="s">
        <v>263</v>
      </c>
      <c r="D39" s="307"/>
      <c r="E39" s="1480">
        <f>1572381000/10^9</f>
        <v>1.572381</v>
      </c>
      <c r="F39" s="1480">
        <f>F37</f>
        <v>0.51590539499999988</v>
      </c>
      <c r="G39" s="1480">
        <f>G37</f>
        <v>0</v>
      </c>
      <c r="H39" s="1480"/>
      <c r="I39" s="1480"/>
      <c r="J39" s="1480"/>
      <c r="K39" s="1480"/>
      <c r="L39" s="1480"/>
      <c r="M39" s="1480"/>
      <c r="N39" s="1480"/>
    </row>
    <row r="40" spans="2:15" x14ac:dyDescent="0.25">
      <c r="B40" s="129" t="s">
        <v>262</v>
      </c>
      <c r="D40" s="1480">
        <f>2088286395/10^9</f>
        <v>2.0882863949999999</v>
      </c>
      <c r="E40" s="1480">
        <f>E37+E38-E39</f>
        <v>0.51590539499999988</v>
      </c>
      <c r="F40" s="1480">
        <f t="shared" ref="F40:G40" si="54">F37+F38-F39</f>
        <v>0</v>
      </c>
      <c r="G40" s="1480">
        <f t="shared" si="54"/>
        <v>0</v>
      </c>
      <c r="H40" s="1480">
        <f>H37+H38-H39</f>
        <v>0</v>
      </c>
      <c r="I40" s="1480">
        <f t="shared" ref="I40:K40" si="55">I37+I38-I39</f>
        <v>0</v>
      </c>
      <c r="J40" s="1480">
        <f t="shared" si="55"/>
        <v>0</v>
      </c>
      <c r="K40" s="1480">
        <f t="shared" si="55"/>
        <v>0</v>
      </c>
      <c r="L40" s="1480">
        <f>L37+L38-L39</f>
        <v>0</v>
      </c>
      <c r="M40" s="1480">
        <f t="shared" ref="M40:N40" si="56">M37+M38-M39</f>
        <v>0</v>
      </c>
      <c r="N40" s="1480">
        <f t="shared" si="56"/>
        <v>0</v>
      </c>
    </row>
    <row r="42" spans="2:15" x14ac:dyDescent="0.25">
      <c r="B42" s="303" t="s">
        <v>1804</v>
      </c>
      <c r="C42" s="129" t="s">
        <v>272</v>
      </c>
      <c r="D42" s="306">
        <v>2</v>
      </c>
      <c r="E42" s="129" t="s">
        <v>246</v>
      </c>
      <c r="G42" s="1480"/>
      <c r="H42" s="1480"/>
      <c r="I42" s="1480"/>
      <c r="J42" s="1480"/>
      <c r="K42" s="1480"/>
      <c r="L42" s="1480"/>
      <c r="M42" s="1480"/>
      <c r="N42" s="1480"/>
    </row>
    <row r="43" spans="2:15" x14ac:dyDescent="0.25">
      <c r="B43" s="129" t="s">
        <v>260</v>
      </c>
      <c r="D43" s="307"/>
      <c r="E43" s="1480">
        <f>D46</f>
        <v>0.82042387000000006</v>
      </c>
      <c r="F43" s="1480">
        <f>E46</f>
        <v>0.23153887000000006</v>
      </c>
      <c r="G43" s="1480">
        <f t="shared" ref="G43" si="57">F46</f>
        <v>0</v>
      </c>
      <c r="H43" s="1480">
        <f t="shared" ref="H43" si="58">G46</f>
        <v>0</v>
      </c>
      <c r="I43" s="1480">
        <f t="shared" ref="I43" si="59">H46</f>
        <v>0</v>
      </c>
      <c r="J43" s="1480">
        <f t="shared" ref="J43" si="60">I46</f>
        <v>0</v>
      </c>
      <c r="K43" s="1480">
        <f t="shared" ref="K43" si="61">J46</f>
        <v>0</v>
      </c>
      <c r="L43" s="1480">
        <f t="shared" ref="L43" si="62">K46</f>
        <v>0</v>
      </c>
      <c r="M43" s="1480">
        <f t="shared" ref="M43" si="63">L46</f>
        <v>0</v>
      </c>
      <c r="N43" s="1480">
        <f t="shared" ref="N43" si="64">M46</f>
        <v>0</v>
      </c>
    </row>
    <row r="44" spans="2:15" x14ac:dyDescent="0.25">
      <c r="B44" s="129" t="s">
        <v>261</v>
      </c>
      <c r="D44" s="307"/>
      <c r="E44" s="1480"/>
      <c r="F44" s="1480"/>
      <c r="G44" s="1480"/>
      <c r="H44" s="1480"/>
      <c r="I44" s="1480"/>
      <c r="J44" s="1480"/>
      <c r="K44" s="1480"/>
      <c r="L44" s="1480"/>
      <c r="M44" s="1480"/>
      <c r="N44" s="1480"/>
    </row>
    <row r="45" spans="2:15" x14ac:dyDescent="0.25">
      <c r="B45" s="129" t="s">
        <v>263</v>
      </c>
      <c r="D45" s="307"/>
      <c r="E45" s="1480">
        <f>588885000/10^9</f>
        <v>0.58888499999999999</v>
      </c>
      <c r="F45" s="1480">
        <f>F43</f>
        <v>0.23153887000000006</v>
      </c>
      <c r="G45" s="1480">
        <f>G43</f>
        <v>0</v>
      </c>
      <c r="H45" s="1480"/>
      <c r="I45" s="1480"/>
      <c r="J45" s="1480"/>
      <c r="K45" s="1480"/>
      <c r="L45" s="1480"/>
      <c r="M45" s="1480"/>
      <c r="N45" s="1480"/>
    </row>
    <row r="46" spans="2:15" x14ac:dyDescent="0.25">
      <c r="B46" s="129" t="s">
        <v>262</v>
      </c>
      <c r="D46" s="1480">
        <f>820423870/10^9</f>
        <v>0.82042387000000006</v>
      </c>
      <c r="E46" s="1480">
        <f>E43+E44-E45</f>
        <v>0.23153887000000006</v>
      </c>
      <c r="F46" s="1480">
        <f t="shared" ref="F46:G46" si="65">F43+F44-F45</f>
        <v>0</v>
      </c>
      <c r="G46" s="1480">
        <f t="shared" si="65"/>
        <v>0</v>
      </c>
      <c r="H46" s="1480">
        <f>H43+H44-H45</f>
        <v>0</v>
      </c>
      <c r="I46" s="1480">
        <f t="shared" ref="I46:K46" si="66">I43+I44-I45</f>
        <v>0</v>
      </c>
      <c r="J46" s="1480">
        <f t="shared" si="66"/>
        <v>0</v>
      </c>
      <c r="K46" s="1480">
        <f t="shared" si="66"/>
        <v>0</v>
      </c>
      <c r="L46" s="1480">
        <f>L43+L44-L45</f>
        <v>0</v>
      </c>
      <c r="M46" s="1480">
        <f t="shared" ref="M46:N46" si="67">M43+M44-M45</f>
        <v>0</v>
      </c>
      <c r="N46" s="1480">
        <f t="shared" si="67"/>
        <v>0</v>
      </c>
    </row>
    <row r="48" spans="2:15" x14ac:dyDescent="0.25">
      <c r="B48" s="303" t="s">
        <v>1804</v>
      </c>
      <c r="C48" s="129" t="s">
        <v>272</v>
      </c>
      <c r="D48" s="306">
        <v>3</v>
      </c>
      <c r="E48" s="129" t="s">
        <v>246</v>
      </c>
      <c r="G48" s="1480"/>
      <c r="H48" s="1480"/>
      <c r="I48" s="1480"/>
      <c r="J48" s="1480"/>
      <c r="K48" s="1480"/>
      <c r="L48" s="1480"/>
      <c r="M48" s="1480"/>
      <c r="N48" s="1480"/>
    </row>
    <row r="49" spans="2:14" x14ac:dyDescent="0.25">
      <c r="B49" s="129" t="s">
        <v>260</v>
      </c>
      <c r="D49" s="307"/>
      <c r="E49" s="1480">
        <f>D52</f>
        <v>1.195071429</v>
      </c>
      <c r="F49" s="1480">
        <f>E52</f>
        <v>0.73877142900000004</v>
      </c>
      <c r="G49" s="1480">
        <f t="shared" ref="G49" si="68">F52</f>
        <v>0.28247142900000005</v>
      </c>
      <c r="H49" s="1480">
        <f t="shared" ref="H49" si="69">G52</f>
        <v>0</v>
      </c>
      <c r="I49" s="1480">
        <f t="shared" ref="I49" si="70">H52</f>
        <v>0</v>
      </c>
      <c r="J49" s="1480">
        <f t="shared" ref="J49" si="71">I52</f>
        <v>0</v>
      </c>
      <c r="K49" s="1480">
        <f t="shared" ref="K49" si="72">J52</f>
        <v>0</v>
      </c>
      <c r="L49" s="1480">
        <f t="shared" ref="L49" si="73">K52</f>
        <v>0</v>
      </c>
      <c r="M49" s="1480">
        <f t="shared" ref="M49" si="74">L52</f>
        <v>0</v>
      </c>
      <c r="N49" s="1480">
        <f t="shared" ref="N49" si="75">M52</f>
        <v>0</v>
      </c>
    </row>
    <row r="50" spans="2:14" x14ac:dyDescent="0.25">
      <c r="B50" s="129" t="s">
        <v>261</v>
      </c>
      <c r="D50" s="307"/>
      <c r="E50" s="1480"/>
      <c r="F50" s="1480"/>
      <c r="G50" s="1480"/>
      <c r="H50" s="1480"/>
      <c r="I50" s="1480"/>
      <c r="J50" s="1480"/>
      <c r="K50" s="1480"/>
      <c r="L50" s="1480"/>
      <c r="M50" s="1480"/>
      <c r="N50" s="1480"/>
    </row>
    <row r="51" spans="2:14" x14ac:dyDescent="0.25">
      <c r="B51" s="129" t="s">
        <v>263</v>
      </c>
      <c r="D51" s="307"/>
      <c r="E51" s="1480">
        <f>456300000/10^9</f>
        <v>0.45629999999999998</v>
      </c>
      <c r="F51" s="1480">
        <f t="shared" ref="F51" si="76">456300000/10^9</f>
        <v>0.45629999999999998</v>
      </c>
      <c r="G51" s="1480">
        <f>G49</f>
        <v>0.28247142900000005</v>
      </c>
      <c r="H51" s="1480"/>
      <c r="I51" s="1480"/>
      <c r="J51" s="1480"/>
      <c r="K51" s="1480"/>
      <c r="L51" s="1480"/>
      <c r="M51" s="1480"/>
      <c r="N51" s="1480"/>
    </row>
    <row r="52" spans="2:14" x14ac:dyDescent="0.25">
      <c r="B52" s="129" t="s">
        <v>262</v>
      </c>
      <c r="D52" s="1480">
        <f>1195071429/10^9</f>
        <v>1.195071429</v>
      </c>
      <c r="E52" s="1480">
        <f>E49+E50-E51</f>
        <v>0.73877142900000004</v>
      </c>
      <c r="F52" s="1480">
        <f t="shared" ref="F52:G52" si="77">F49+F50-F51</f>
        <v>0.28247142900000005</v>
      </c>
      <c r="G52" s="1480">
        <f t="shared" si="77"/>
        <v>0</v>
      </c>
      <c r="H52" s="1480">
        <f>H49+H50-H51</f>
        <v>0</v>
      </c>
      <c r="I52" s="1480">
        <f t="shared" ref="I52:K52" si="78">I49+I50-I51</f>
        <v>0</v>
      </c>
      <c r="J52" s="1480">
        <f t="shared" si="78"/>
        <v>0</v>
      </c>
      <c r="K52" s="1480">
        <f t="shared" si="78"/>
        <v>0</v>
      </c>
      <c r="L52" s="1480">
        <f>L49+L50-L51</f>
        <v>0</v>
      </c>
      <c r="M52" s="1480">
        <f t="shared" ref="M52:N52" si="79">M49+M50-M51</f>
        <v>0</v>
      </c>
      <c r="N52" s="1480">
        <f t="shared" si="79"/>
        <v>0</v>
      </c>
    </row>
    <row r="54" spans="2:14" x14ac:dyDescent="0.25">
      <c r="B54" s="303" t="s">
        <v>1806</v>
      </c>
      <c r="C54" s="129" t="s">
        <v>272</v>
      </c>
      <c r="D54" s="306">
        <v>4</v>
      </c>
      <c r="E54" s="129" t="s">
        <v>246</v>
      </c>
      <c r="G54" s="1480"/>
      <c r="H54" s="1480"/>
      <c r="I54" s="1480"/>
      <c r="J54" s="1480"/>
      <c r="K54" s="1480"/>
      <c r="L54" s="1480"/>
      <c r="M54" s="1480"/>
      <c r="N54" s="1480"/>
    </row>
    <row r="55" spans="2:14" x14ac:dyDescent="0.25">
      <c r="B55" s="129" t="s">
        <v>260</v>
      </c>
      <c r="D55" s="307"/>
      <c r="E55" s="1480">
        <f>D58</f>
        <v>12.688000000000001</v>
      </c>
      <c r="F55" s="1480">
        <f>E58</f>
        <v>8.9863999999999997</v>
      </c>
      <c r="G55" s="1480">
        <f t="shared" ref="G55" si="80">F58</f>
        <v>5.2847999999999997</v>
      </c>
      <c r="H55" s="1480">
        <f t="shared" ref="H55" si="81">G58</f>
        <v>1.5831999999999997</v>
      </c>
      <c r="I55" s="1480">
        <f t="shared" ref="I55" si="82">H58</f>
        <v>0</v>
      </c>
      <c r="J55" s="1480">
        <f t="shared" ref="J55" si="83">I58</f>
        <v>0</v>
      </c>
      <c r="K55" s="1480">
        <f t="shared" ref="K55" si="84">J58</f>
        <v>0</v>
      </c>
      <c r="L55" s="1480">
        <f t="shared" ref="L55" si="85">K58</f>
        <v>0</v>
      </c>
      <c r="M55" s="1480">
        <f t="shared" ref="M55" si="86">L58</f>
        <v>0</v>
      </c>
      <c r="N55" s="1480">
        <f t="shared" ref="N55" si="87">M58</f>
        <v>0</v>
      </c>
    </row>
    <row r="56" spans="2:14" x14ac:dyDescent="0.25">
      <c r="B56" s="129" t="s">
        <v>261</v>
      </c>
      <c r="D56" s="307"/>
      <c r="E56" s="1480"/>
      <c r="F56" s="1480"/>
      <c r="G56" s="1480"/>
      <c r="H56" s="1480"/>
      <c r="I56" s="1480"/>
      <c r="J56" s="1480"/>
      <c r="K56" s="1480"/>
      <c r="L56" s="1480"/>
      <c r="M56" s="1480"/>
      <c r="N56" s="1480"/>
    </row>
    <row r="57" spans="2:14" x14ac:dyDescent="0.25">
      <c r="B57" s="129" t="s">
        <v>263</v>
      </c>
      <c r="D57" s="307"/>
      <c r="E57" s="1480">
        <f>3701600000/10^9</f>
        <v>3.7016</v>
      </c>
      <c r="F57" s="1480">
        <f t="shared" ref="F57:G57" si="88">3701600000/10^9</f>
        <v>3.7016</v>
      </c>
      <c r="G57" s="1480">
        <f t="shared" si="88"/>
        <v>3.7016</v>
      </c>
      <c r="H57" s="1480">
        <f>H55</f>
        <v>1.5831999999999997</v>
      </c>
      <c r="I57" s="1480"/>
      <c r="J57" s="1480"/>
      <c r="K57" s="1480"/>
      <c r="L57" s="1480"/>
      <c r="M57" s="1480"/>
      <c r="N57" s="1480"/>
    </row>
    <row r="58" spans="2:14" x14ac:dyDescent="0.25">
      <c r="B58" s="129" t="s">
        <v>262</v>
      </c>
      <c r="D58" s="1480">
        <f>12688000000/10^9</f>
        <v>12.688000000000001</v>
      </c>
      <c r="E58" s="1480">
        <f>E55+E56-E57</f>
        <v>8.9863999999999997</v>
      </c>
      <c r="F58" s="1480">
        <f t="shared" ref="F58:G58" si="89">F55+F56-F57</f>
        <v>5.2847999999999997</v>
      </c>
      <c r="G58" s="1480">
        <f t="shared" si="89"/>
        <v>1.5831999999999997</v>
      </c>
      <c r="H58" s="1480">
        <f>H55+H56-H57</f>
        <v>0</v>
      </c>
      <c r="I58" s="1480">
        <f t="shared" ref="I58:K58" si="90">I55+I56-I57</f>
        <v>0</v>
      </c>
      <c r="J58" s="1480">
        <f t="shared" si="90"/>
        <v>0</v>
      </c>
      <c r="K58" s="1480">
        <f t="shared" si="90"/>
        <v>0</v>
      </c>
      <c r="L58" s="1480">
        <f>L55+L56-L57</f>
        <v>0</v>
      </c>
      <c r="M58" s="1480">
        <f t="shared" ref="M58:N58" si="91">M55+M56-M57</f>
        <v>0</v>
      </c>
      <c r="N58" s="1480">
        <f t="shared" si="91"/>
        <v>0</v>
      </c>
    </row>
    <row r="60" spans="2:14" x14ac:dyDescent="0.25">
      <c r="B60" s="1482" t="s">
        <v>984</v>
      </c>
      <c r="C60" s="1482"/>
      <c r="D60" s="1483"/>
      <c r="E60" s="1483"/>
      <c r="F60" s="1483"/>
      <c r="G60" s="1483"/>
      <c r="H60" s="1483"/>
      <c r="I60" s="1483"/>
      <c r="J60" s="1483"/>
      <c r="K60" s="1483"/>
      <c r="L60" s="1483"/>
      <c r="M60" s="1483"/>
      <c r="N60" s="1483"/>
    </row>
    <row r="61" spans="2:14" x14ac:dyDescent="0.25">
      <c r="B61" s="303" t="s">
        <v>1806</v>
      </c>
      <c r="C61" s="129" t="s">
        <v>272</v>
      </c>
      <c r="D61" s="306">
        <v>2</v>
      </c>
      <c r="E61" s="129" t="s">
        <v>246</v>
      </c>
      <c r="G61" s="1480"/>
      <c r="H61" s="1480"/>
      <c r="I61" s="1480"/>
      <c r="J61" s="1480"/>
      <c r="K61" s="1480"/>
      <c r="L61" s="1480"/>
      <c r="M61" s="1480"/>
      <c r="N61" s="1480"/>
    </row>
    <row r="62" spans="2:14" x14ac:dyDescent="0.25">
      <c r="B62" s="129" t="s">
        <v>260</v>
      </c>
      <c r="D62" s="307"/>
      <c r="E62" s="1480">
        <f>D65</f>
        <v>2.2400000000000002</v>
      </c>
      <c r="F62" s="1480">
        <f>E65</f>
        <v>0.56000000000000028</v>
      </c>
      <c r="G62" s="1480">
        <f t="shared" ref="G62" si="92">F65</f>
        <v>0</v>
      </c>
      <c r="H62" s="1480">
        <f t="shared" ref="H62" si="93">G65</f>
        <v>0</v>
      </c>
      <c r="I62" s="1480">
        <f t="shared" ref="I62" si="94">H65</f>
        <v>0</v>
      </c>
      <c r="J62" s="1480">
        <f t="shared" ref="J62" si="95">I65</f>
        <v>0</v>
      </c>
      <c r="K62" s="1480">
        <f t="shared" ref="K62" si="96">J65</f>
        <v>0</v>
      </c>
      <c r="L62" s="1480">
        <f t="shared" ref="L62" si="97">K65</f>
        <v>0</v>
      </c>
      <c r="M62" s="1480">
        <f t="shared" ref="M62" si="98">L65</f>
        <v>0</v>
      </c>
      <c r="N62" s="1480">
        <f t="shared" ref="N62" si="99">M65</f>
        <v>0</v>
      </c>
    </row>
    <row r="63" spans="2:14" x14ac:dyDescent="0.25">
      <c r="B63" s="129" t="s">
        <v>261</v>
      </c>
      <c r="D63" s="307"/>
      <c r="E63" s="1480"/>
      <c r="F63" s="1480"/>
      <c r="G63" s="1480"/>
      <c r="H63" s="1480"/>
      <c r="I63" s="1480"/>
      <c r="J63" s="1480"/>
      <c r="K63" s="1480"/>
      <c r="L63" s="307"/>
      <c r="M63" s="307"/>
      <c r="N63" s="307"/>
    </row>
    <row r="64" spans="2:14" x14ac:dyDescent="0.25">
      <c r="B64" s="129" t="s">
        <v>263</v>
      </c>
      <c r="D64" s="307"/>
      <c r="E64" s="1480">
        <f>1680000000/10^9</f>
        <v>1.68</v>
      </c>
      <c r="F64" s="1480">
        <f>F62</f>
        <v>0.56000000000000028</v>
      </c>
      <c r="G64" s="1480"/>
      <c r="H64" s="1480"/>
      <c r="I64" s="1480"/>
      <c r="J64" s="1480"/>
      <c r="K64" s="1480"/>
      <c r="L64" s="307"/>
      <c r="M64" s="307"/>
      <c r="N64" s="307"/>
    </row>
    <row r="65" spans="2:14" x14ac:dyDescent="0.25">
      <c r="B65" s="129" t="s">
        <v>262</v>
      </c>
      <c r="D65" s="1480">
        <f>2240000000/10^9</f>
        <v>2.2400000000000002</v>
      </c>
      <c r="E65" s="1480">
        <f>E62+E63-E64</f>
        <v>0.56000000000000028</v>
      </c>
      <c r="F65" s="1480">
        <f t="shared" ref="F65:G65" si="100">F62+F63-F64</f>
        <v>0</v>
      </c>
      <c r="G65" s="1480">
        <f t="shared" si="100"/>
        <v>0</v>
      </c>
      <c r="H65" s="1480">
        <f>H62+H63-H64</f>
        <v>0</v>
      </c>
      <c r="I65" s="1480">
        <f t="shared" ref="I65:M65" si="101">I62+I63-I64</f>
        <v>0</v>
      </c>
      <c r="J65" s="1480">
        <f t="shared" si="101"/>
        <v>0</v>
      </c>
      <c r="K65" s="1480">
        <f t="shared" si="101"/>
        <v>0</v>
      </c>
      <c r="L65" s="1480">
        <f t="shared" si="101"/>
        <v>0</v>
      </c>
      <c r="M65" s="1480">
        <f t="shared" si="101"/>
        <v>0</v>
      </c>
      <c r="N65" s="1480">
        <f>N62+N63-N64</f>
        <v>0</v>
      </c>
    </row>
    <row r="67" spans="2:14" x14ac:dyDescent="0.25">
      <c r="B67" s="1482" t="s">
        <v>694</v>
      </c>
      <c r="C67" s="1482"/>
      <c r="D67" s="1483"/>
      <c r="E67" s="1483"/>
      <c r="F67" s="1483"/>
      <c r="G67" s="1483"/>
      <c r="H67" s="1483"/>
      <c r="I67" s="1483"/>
      <c r="J67" s="1483"/>
      <c r="K67" s="1483"/>
      <c r="L67" s="1483"/>
      <c r="M67" s="1483"/>
      <c r="N67" s="1483"/>
    </row>
    <row r="68" spans="2:14" x14ac:dyDescent="0.25">
      <c r="B68" s="303" t="s">
        <v>1806</v>
      </c>
      <c r="C68" s="129" t="s">
        <v>272</v>
      </c>
      <c r="D68" s="306">
        <v>2</v>
      </c>
      <c r="E68" s="129" t="s">
        <v>246</v>
      </c>
      <c r="G68" s="1480"/>
      <c r="H68" s="1480"/>
      <c r="I68" s="1480"/>
      <c r="J68" s="1480"/>
      <c r="K68" s="1480"/>
      <c r="L68" s="1480"/>
      <c r="M68" s="1480"/>
      <c r="N68" s="1480"/>
    </row>
    <row r="69" spans="2:14" x14ac:dyDescent="0.25">
      <c r="B69" s="129" t="s">
        <v>260</v>
      </c>
      <c r="D69" s="307"/>
      <c r="E69" s="1480">
        <f>E62+E55+E49+E43+E37+E31+E25+E18+E12+E6</f>
        <v>31.925406698</v>
      </c>
      <c r="F69" s="1480">
        <f t="shared" ref="F69:M69" si="102">F62+F55+F49+F43+F37+F31+F25+F18+F12+F6</f>
        <v>19.056921242000001</v>
      </c>
      <c r="G69" s="1480">
        <f t="shared" si="102"/>
        <v>8.8620075210000007</v>
      </c>
      <c r="H69" s="1480">
        <f t="shared" si="102"/>
        <v>2.3749500019999994</v>
      </c>
      <c r="I69" s="1480">
        <f t="shared" si="102"/>
        <v>0</v>
      </c>
      <c r="J69" s="1480">
        <f t="shared" si="102"/>
        <v>0</v>
      </c>
      <c r="K69" s="1480">
        <f t="shared" si="102"/>
        <v>0</v>
      </c>
      <c r="L69" s="1480">
        <f t="shared" si="102"/>
        <v>0</v>
      </c>
      <c r="M69" s="1480">
        <f t="shared" si="102"/>
        <v>0</v>
      </c>
      <c r="N69" s="1480">
        <f>N62+N55+N49+N43+N37+N31+N25+N18+N12+N6</f>
        <v>0</v>
      </c>
    </row>
    <row r="70" spans="2:14" x14ac:dyDescent="0.25">
      <c r="B70" s="129" t="s">
        <v>261</v>
      </c>
      <c r="D70" s="307"/>
      <c r="E70" s="1480">
        <f t="shared" ref="E70:M72" si="103">E63+E56+E50+E44+E38+E32+E26+E19+E13+E7</f>
        <v>0</v>
      </c>
      <c r="F70" s="1480">
        <f t="shared" si="103"/>
        <v>0</v>
      </c>
      <c r="G70" s="1480">
        <f t="shared" si="103"/>
        <v>0</v>
      </c>
      <c r="H70" s="1480">
        <f t="shared" si="103"/>
        <v>0</v>
      </c>
      <c r="I70" s="1480">
        <f t="shared" si="103"/>
        <v>0</v>
      </c>
      <c r="J70" s="1480">
        <f t="shared" si="103"/>
        <v>0</v>
      </c>
      <c r="K70" s="1480">
        <f t="shared" si="103"/>
        <v>0</v>
      </c>
      <c r="L70" s="1480">
        <f t="shared" si="103"/>
        <v>0</v>
      </c>
      <c r="M70" s="1480">
        <f t="shared" si="103"/>
        <v>0</v>
      </c>
      <c r="N70" s="1480">
        <f t="shared" ref="N70" si="104">N63+N56+N50+N44+N38+N32+N26+N19+N13+N7</f>
        <v>0</v>
      </c>
    </row>
    <row r="71" spans="2:14" x14ac:dyDescent="0.25">
      <c r="B71" s="129" t="s">
        <v>263</v>
      </c>
      <c r="D71" s="307"/>
      <c r="E71" s="1480">
        <f t="shared" si="103"/>
        <v>12.868485455999998</v>
      </c>
      <c r="F71" s="1480">
        <f t="shared" si="103"/>
        <v>10.194913721000001</v>
      </c>
      <c r="G71" s="1480">
        <f t="shared" si="103"/>
        <v>6.4870575190000004</v>
      </c>
      <c r="H71" s="1480">
        <f t="shared" si="103"/>
        <v>2.3749500019999994</v>
      </c>
      <c r="I71" s="1480">
        <f t="shared" si="103"/>
        <v>0</v>
      </c>
      <c r="J71" s="1480">
        <f t="shared" si="103"/>
        <v>0</v>
      </c>
      <c r="K71" s="1480">
        <f t="shared" si="103"/>
        <v>0</v>
      </c>
      <c r="L71" s="1480">
        <f t="shared" si="103"/>
        <v>0</v>
      </c>
      <c r="M71" s="1480">
        <f t="shared" si="103"/>
        <v>0</v>
      </c>
      <c r="N71" s="1480">
        <f t="shared" ref="N71" si="105">N64+N57+N51+N45+N39+N33+N27+N20+N14+N8</f>
        <v>0</v>
      </c>
    </row>
    <row r="72" spans="2:14" x14ac:dyDescent="0.25">
      <c r="B72" s="129" t="s">
        <v>262</v>
      </c>
      <c r="D72" s="1480">
        <f>2240000000/10^9</f>
        <v>2.2400000000000002</v>
      </c>
      <c r="E72" s="1480">
        <f t="shared" si="103"/>
        <v>19.056921242000001</v>
      </c>
      <c r="F72" s="1480">
        <f t="shared" si="103"/>
        <v>8.8620075210000007</v>
      </c>
      <c r="G72" s="1480">
        <f t="shared" si="103"/>
        <v>2.3749500019999994</v>
      </c>
      <c r="H72" s="1480">
        <f t="shared" si="103"/>
        <v>0</v>
      </c>
      <c r="I72" s="1480">
        <f t="shared" si="103"/>
        <v>0</v>
      </c>
      <c r="J72" s="1480">
        <f t="shared" si="103"/>
        <v>0</v>
      </c>
      <c r="K72" s="1480">
        <f t="shared" si="103"/>
        <v>0</v>
      </c>
      <c r="L72" s="1480">
        <f t="shared" si="103"/>
        <v>0</v>
      </c>
      <c r="M72" s="1480">
        <f t="shared" si="103"/>
        <v>0</v>
      </c>
      <c r="N72" s="1480">
        <f t="shared" ref="N72" si="106">N65+N58+N52+N46+N40+N34+N28+N21+N15+N9</f>
        <v>0</v>
      </c>
    </row>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683CD-74BD-4987-92E9-85A917DC220C}">
  <sheetPr codeName="Sheet33">
    <tabColor theme="8" tint="0.39997558519241921"/>
  </sheetPr>
  <dimension ref="B2:O91"/>
  <sheetViews>
    <sheetView showGridLines="0" zoomScale="85" zoomScaleNormal="85" workbookViewId="0">
      <pane xSplit="4" ySplit="7" topLeftCell="E8" activePane="bottomRight" state="frozen"/>
      <selection activeCell="G37" sqref="G37"/>
      <selection pane="topRight" activeCell="G37" sqref="G37"/>
      <selection pane="bottomLeft" activeCell="G37" sqref="G37"/>
      <selection pane="bottomRight" activeCell="D45" sqref="D45"/>
    </sheetView>
  </sheetViews>
  <sheetFormatPr defaultColWidth="9.140625" defaultRowHeight="15" x14ac:dyDescent="0.25"/>
  <cols>
    <col min="1" max="1" width="6.140625" customWidth="1"/>
    <col min="2" max="2" width="33.7109375" customWidth="1"/>
    <col min="3" max="3" width="12.140625" bestFit="1" customWidth="1"/>
    <col min="4" max="4" width="11" style="16" customWidth="1"/>
    <col min="5" max="5" width="16" bestFit="1" customWidth="1"/>
    <col min="6" max="6" width="11.42578125" bestFit="1" customWidth="1"/>
    <col min="7" max="14" width="11.7109375" bestFit="1" customWidth="1"/>
  </cols>
  <sheetData>
    <row r="2" spans="2:15" x14ac:dyDescent="0.25">
      <c r="B2" s="1" t="s">
        <v>920</v>
      </c>
    </row>
    <row r="4" spans="2:15" s="120" customFormat="1" x14ac:dyDescent="0.25">
      <c r="B4" s="1" t="s">
        <v>246</v>
      </c>
      <c r="D4" s="1350"/>
      <c r="E4" s="120">
        <f>'[29]PL2. Kịch bản SX'!G4</f>
        <v>2024</v>
      </c>
      <c r="F4" s="120">
        <f>'[29]PL2. Kịch bản SX'!H4</f>
        <v>2025</v>
      </c>
      <c r="G4" s="120">
        <f>'[29]PL2. Kịch bản SX'!I4</f>
        <v>2026</v>
      </c>
      <c r="H4" s="120">
        <f>'[29]PL2. Kịch bản SX'!J4</f>
        <v>2027</v>
      </c>
      <c r="I4" s="120">
        <f>'[29]PL2. Kịch bản SX'!K4</f>
        <v>2028</v>
      </c>
      <c r="J4" s="120">
        <f>'[29]PL2. Kịch bản SX'!L4</f>
        <v>2029</v>
      </c>
      <c r="K4" s="120">
        <f>'[29]PL2. Kịch bản SX'!M4</f>
        <v>2030</v>
      </c>
      <c r="L4" s="120">
        <f>'[29]PL2. Kịch bản SX'!N4</f>
        <v>2031</v>
      </c>
      <c r="M4" s="120">
        <f>'[29]PL2. Kịch bản SX'!O4</f>
        <v>2032</v>
      </c>
      <c r="N4" s="120">
        <f>'[29]PL2. Kịch bản SX'!P4</f>
        <v>2033</v>
      </c>
    </row>
    <row r="5" spans="2:15" x14ac:dyDescent="0.25">
      <c r="B5" s="9" t="s">
        <v>759</v>
      </c>
      <c r="D5" s="1351"/>
      <c r="E5" s="492">
        <v>1</v>
      </c>
      <c r="F5" s="492">
        <f t="shared" ref="F5:N5" si="0">E5+1</f>
        <v>2</v>
      </c>
      <c r="G5" s="492">
        <f t="shared" si="0"/>
        <v>3</v>
      </c>
      <c r="H5" s="492">
        <f t="shared" si="0"/>
        <v>4</v>
      </c>
      <c r="I5" s="492">
        <f t="shared" si="0"/>
        <v>5</v>
      </c>
      <c r="J5" s="492">
        <f t="shared" si="0"/>
        <v>6</v>
      </c>
      <c r="K5" s="492">
        <f t="shared" si="0"/>
        <v>7</v>
      </c>
      <c r="L5" s="492">
        <f t="shared" si="0"/>
        <v>8</v>
      </c>
      <c r="M5" s="492">
        <f t="shared" si="0"/>
        <v>9</v>
      </c>
      <c r="N5" s="492">
        <f t="shared" si="0"/>
        <v>10</v>
      </c>
      <c r="O5" s="492"/>
    </row>
    <row r="6" spans="2:15" x14ac:dyDescent="0.25">
      <c r="B6" s="158" t="str">
        <f>'3. CP-Luong'!B6</f>
        <v>Tỷ lệ vận hành bê tông</v>
      </c>
      <c r="D6" s="1351"/>
      <c r="E6" s="1805">
        <f>'3. CP-Luong'!D6</f>
        <v>0.15</v>
      </c>
      <c r="F6" s="1805">
        <f>'3. CP-Luong'!E6</f>
        <v>0.15</v>
      </c>
      <c r="G6" s="1805">
        <f>'3. CP-Luong'!F6</f>
        <v>0.15</v>
      </c>
      <c r="H6" s="1805">
        <f>'3. CP-Luong'!G6</f>
        <v>0.15</v>
      </c>
      <c r="I6" s="1805">
        <f>'3. CP-Luong'!H6</f>
        <v>0.15</v>
      </c>
      <c r="J6" s="1805">
        <f>'3. CP-Luong'!I6</f>
        <v>0.15</v>
      </c>
      <c r="K6" s="1805">
        <f>'3. CP-Luong'!J6</f>
        <v>0.15</v>
      </c>
      <c r="L6" s="1805">
        <f>'3. CP-Luong'!K6</f>
        <v>0.15</v>
      </c>
      <c r="M6" s="1805">
        <f>'3. CP-Luong'!L6</f>
        <v>0.15</v>
      </c>
      <c r="N6" s="1805">
        <f>'3. CP-Luong'!M6</f>
        <v>0.15</v>
      </c>
      <c r="O6" s="492"/>
    </row>
    <row r="7" spans="2:15" x14ac:dyDescent="0.25">
      <c r="B7" s="158" t="str">
        <f>'3. CP-Luong'!B7</f>
        <v>Tỷ lệ vận hành gạch</v>
      </c>
      <c r="E7" s="1805">
        <f>'3. CP-Luong'!D7</f>
        <v>0.4</v>
      </c>
      <c r="F7" s="1805">
        <f>'3. CP-Luong'!E7</f>
        <v>0.4</v>
      </c>
      <c r="G7" s="1805">
        <f>'3. CP-Luong'!F7</f>
        <v>0.4</v>
      </c>
      <c r="H7" s="1805">
        <f>'3. CP-Luong'!G7</f>
        <v>0.4</v>
      </c>
      <c r="I7" s="1805">
        <f>'3. CP-Luong'!H7</f>
        <v>0.4</v>
      </c>
      <c r="J7" s="1805">
        <f>'3. CP-Luong'!I7</f>
        <v>0.4</v>
      </c>
      <c r="K7" s="1805">
        <f>'3. CP-Luong'!J7</f>
        <v>0.4</v>
      </c>
      <c r="L7" s="1805">
        <f>'3. CP-Luong'!K7</f>
        <v>0.4</v>
      </c>
      <c r="M7" s="1805">
        <f>'3. CP-Luong'!L7</f>
        <v>0.4</v>
      </c>
      <c r="N7" s="1805">
        <f>'3. CP-Luong'!M7</f>
        <v>0.4</v>
      </c>
      <c r="O7" s="37"/>
    </row>
    <row r="8" spans="2:15" x14ac:dyDescent="0.25">
      <c r="B8" s="509"/>
      <c r="C8" s="509"/>
      <c r="D8" s="1352"/>
      <c r="E8" s="503"/>
      <c r="F8" s="503"/>
      <c r="G8" s="503"/>
      <c r="H8" s="503"/>
      <c r="I8" s="503"/>
      <c r="J8" s="503"/>
      <c r="K8" s="503"/>
      <c r="L8" s="503"/>
      <c r="M8" s="503"/>
      <c r="N8" s="503"/>
    </row>
    <row r="9" spans="2:15" s="1" customFormat="1" x14ac:dyDescent="0.25">
      <c r="B9" s="1" t="s">
        <v>1786</v>
      </c>
      <c r="D9" s="1350" t="s">
        <v>1407</v>
      </c>
      <c r="E9" s="475"/>
      <c r="F9" s="475"/>
      <c r="G9" s="475"/>
      <c r="H9" s="475"/>
      <c r="I9" s="475"/>
      <c r="J9" s="475"/>
      <c r="K9" s="475"/>
      <c r="L9" s="475"/>
      <c r="M9" s="475"/>
      <c r="N9" s="475"/>
    </row>
    <row r="10" spans="2:15" x14ac:dyDescent="0.25">
      <c r="B10" s="1" t="s">
        <v>1788</v>
      </c>
    </row>
    <row r="11" spans="2:15" x14ac:dyDescent="0.25">
      <c r="B11" t="s">
        <v>809</v>
      </c>
      <c r="D11" s="1353">
        <f>'2. Input'!C38</f>
        <v>0.06</v>
      </c>
      <c r="E11" s="2">
        <f>$D$11*'4. KQ-PL'!I6</f>
        <v>16.111328484200996</v>
      </c>
      <c r="F11" s="2">
        <f>$D$11*'4. KQ-PL'!J6</f>
        <v>16.272441769043006</v>
      </c>
      <c r="G11" s="2">
        <f>$D$11*'4. KQ-PL'!K6</f>
        <v>16.43516618673344</v>
      </c>
      <c r="H11" s="2">
        <f>$D$11*'4. KQ-PL'!L6</f>
        <v>16.599517848600776</v>
      </c>
      <c r="I11" s="2">
        <f>$D$11*'4. KQ-PL'!M6</f>
        <v>16.765513027086783</v>
      </c>
      <c r="J11" s="2">
        <f>$D$11*'4. KQ-PL'!N6</f>
        <v>16.933168157357649</v>
      </c>
      <c r="K11" s="2">
        <f>$D$11*'4. KQ-PL'!O6</f>
        <v>17.10249983893123</v>
      </c>
      <c r="L11" s="2">
        <f>$D$11*'4. KQ-PL'!P6</f>
        <v>17.27352483732054</v>
      </c>
      <c r="M11" s="2">
        <f>$D$11*'4. KQ-PL'!Q6</f>
        <v>17.446260085693748</v>
      </c>
      <c r="N11" s="2">
        <f>$D$11*'4. KQ-PL'!R6</f>
        <v>17.620722686550685</v>
      </c>
    </row>
    <row r="12" spans="2:15" x14ac:dyDescent="0.25">
      <c r="B12" t="s">
        <v>814</v>
      </c>
      <c r="D12" s="1353">
        <f>'2. Input'!C39</f>
        <v>0.06</v>
      </c>
      <c r="E12" s="2">
        <f>$D$12*'4. KQ-PL'!I7</f>
        <v>0.69832121578905615</v>
      </c>
      <c r="F12" s="2">
        <f>$D$12*'4. KQ-PL'!J7</f>
        <v>0.70530442794694659</v>
      </c>
      <c r="G12" s="2">
        <f>$D$12*'4. KQ-PL'!K7</f>
        <v>0.71235747222641621</v>
      </c>
      <c r="H12" s="2">
        <f>$D$12*'4. KQ-PL'!L7</f>
        <v>0.71948104694868031</v>
      </c>
      <c r="I12" s="2">
        <f>$D$12*'4. KQ-PL'!M7</f>
        <v>0.7266758574181672</v>
      </c>
      <c r="J12" s="2">
        <f>$D$12*'4. KQ-PL'!N7</f>
        <v>0.73394261599234878</v>
      </c>
      <c r="K12" s="2">
        <f>$D$12*'4. KQ-PL'!O7</f>
        <v>0.74128204215227234</v>
      </c>
      <c r="L12" s="2">
        <f>$D$12*'4. KQ-PL'!P7</f>
        <v>0.74869486257379514</v>
      </c>
      <c r="M12" s="2">
        <f>$D$12*'4. KQ-PL'!Q7</f>
        <v>0.75618181119953298</v>
      </c>
      <c r="N12" s="2">
        <f>$D$12*'4. KQ-PL'!R7</f>
        <v>0.76374362931152839</v>
      </c>
    </row>
    <row r="13" spans="2:15" x14ac:dyDescent="0.25">
      <c r="B13" s="1"/>
    </row>
    <row r="14" spans="2:15" x14ac:dyDescent="0.25">
      <c r="B14" s="510" t="s">
        <v>1787</v>
      </c>
      <c r="C14" s="510" t="str">
        <f>'[29]PL1. Input'!$D$29</f>
        <v>(tỷ VNĐ)</v>
      </c>
      <c r="D14" s="1354"/>
      <c r="E14" s="511">
        <f>E12+E11</f>
        <v>16.809649699990054</v>
      </c>
      <c r="F14" s="511">
        <f t="shared" ref="F14:N14" si="1">F12+F11</f>
        <v>16.977746196989951</v>
      </c>
      <c r="G14" s="511">
        <f t="shared" si="1"/>
        <v>17.147523658959855</v>
      </c>
      <c r="H14" s="511">
        <f t="shared" si="1"/>
        <v>17.318998895549456</v>
      </c>
      <c r="I14" s="511">
        <f t="shared" si="1"/>
        <v>17.492188884504952</v>
      </c>
      <c r="J14" s="511">
        <f t="shared" si="1"/>
        <v>17.667110773349997</v>
      </c>
      <c r="K14" s="511">
        <f t="shared" si="1"/>
        <v>17.843781881083501</v>
      </c>
      <c r="L14" s="511">
        <f t="shared" si="1"/>
        <v>18.022219699894336</v>
      </c>
      <c r="M14" s="511">
        <f t="shared" si="1"/>
        <v>18.20244189689328</v>
      </c>
      <c r="N14" s="511">
        <f t="shared" si="1"/>
        <v>18.384466315862213</v>
      </c>
    </row>
    <row r="16" spans="2:15" x14ac:dyDescent="0.25">
      <c r="B16" s="1" t="s">
        <v>1365</v>
      </c>
      <c r="C16" s="315"/>
      <c r="D16" s="1352" t="s">
        <v>1407</v>
      </c>
      <c r="E16" s="315"/>
      <c r="F16" s="315"/>
      <c r="G16" s="315"/>
      <c r="H16" s="315"/>
      <c r="I16" s="315"/>
      <c r="J16" s="315"/>
      <c r="K16" s="315"/>
      <c r="L16" s="315"/>
      <c r="M16" s="315"/>
      <c r="N16" s="315"/>
    </row>
    <row r="17" spans="2:14" x14ac:dyDescent="0.25">
      <c r="B17" t="s">
        <v>809</v>
      </c>
      <c r="C17" s="315"/>
      <c r="D17" s="1353">
        <f>'2. Input'!C41</f>
        <v>0.03</v>
      </c>
      <c r="E17" s="315">
        <f>$D$17*'4. KQ-PL'!I6</f>
        <v>8.055664242100498</v>
      </c>
      <c r="F17" s="315">
        <f>$D$17*'4. KQ-PL'!J6</f>
        <v>8.1362208845215029</v>
      </c>
      <c r="G17" s="315">
        <f>$D$17*'4. KQ-PL'!K6</f>
        <v>8.21758309336672</v>
      </c>
      <c r="H17" s="315">
        <f>$D$17*'4. KQ-PL'!L6</f>
        <v>8.299758924300388</v>
      </c>
      <c r="I17" s="315">
        <f>$D$17*'4. KQ-PL'!M6</f>
        <v>8.3827565135433915</v>
      </c>
      <c r="J17" s="315">
        <f>$D$17*'4. KQ-PL'!N6</f>
        <v>8.4665840786788245</v>
      </c>
      <c r="K17" s="315">
        <f>$D$17*'4. KQ-PL'!O6</f>
        <v>8.5512499194656151</v>
      </c>
      <c r="L17" s="315">
        <f>$D$17*'4. KQ-PL'!P6</f>
        <v>8.6367624186602701</v>
      </c>
      <c r="M17" s="315">
        <f>$D$17*'4. KQ-PL'!Q6</f>
        <v>8.7231300428468739</v>
      </c>
      <c r="N17" s="315">
        <f>$D$17*'4. KQ-PL'!R6</f>
        <v>8.8103613432753427</v>
      </c>
    </row>
    <row r="18" spans="2:14" x14ac:dyDescent="0.25">
      <c r="B18" t="s">
        <v>814</v>
      </c>
      <c r="C18" s="315"/>
      <c r="D18" s="1353">
        <f>'2. Input'!C42</f>
        <v>0.03</v>
      </c>
      <c r="E18" s="315">
        <f>$D18*'4. KQ-PL'!I7</f>
        <v>0.34916060789452807</v>
      </c>
      <c r="F18" s="315">
        <f>$D18*'4. KQ-PL'!J7</f>
        <v>0.35265221397347329</v>
      </c>
      <c r="G18" s="315">
        <f>$D18*'4. KQ-PL'!K7</f>
        <v>0.35617873611320811</v>
      </c>
      <c r="H18" s="315">
        <f>$D18*'4. KQ-PL'!L7</f>
        <v>0.35974052347434016</v>
      </c>
      <c r="I18" s="315">
        <f>$D18*'4. KQ-PL'!M7</f>
        <v>0.3633379287090836</v>
      </c>
      <c r="J18" s="315">
        <f>$D18*'4. KQ-PL'!N7</f>
        <v>0.36697130799617439</v>
      </c>
      <c r="K18" s="315">
        <f>$D18*'4. KQ-PL'!O7</f>
        <v>0.37064102107613617</v>
      </c>
      <c r="L18" s="315">
        <f>$D18*'4. KQ-PL'!P7</f>
        <v>0.37434743128689757</v>
      </c>
      <c r="M18" s="315">
        <f>$D18*'4. KQ-PL'!Q7</f>
        <v>0.37809090559976649</v>
      </c>
      <c r="N18" s="315">
        <f>$D18*'4. KQ-PL'!R7</f>
        <v>0.3818718146557642</v>
      </c>
    </row>
    <row r="19" spans="2:14" x14ac:dyDescent="0.25">
      <c r="B19" t="s">
        <v>654</v>
      </c>
      <c r="C19" s="315"/>
      <c r="D19" s="1353">
        <f>'2. Input'!C43</f>
        <v>0.03</v>
      </c>
      <c r="E19" s="315">
        <f>$D19*'4. KQ-PL'!I8</f>
        <v>2.706636364468106</v>
      </c>
      <c r="F19" s="315">
        <f>$D19*'4. KQ-PL'!J8</f>
        <v>2.7337027281127875</v>
      </c>
      <c r="G19" s="315">
        <f>$D19*'4. KQ-PL'!K8</f>
        <v>2.7610397553939152</v>
      </c>
      <c r="H19" s="315">
        <f>$D19*'4. KQ-PL'!L8</f>
        <v>2.7886501529478545</v>
      </c>
      <c r="I19" s="315">
        <f>$D19*'4. KQ-PL'!M8</f>
        <v>2.8165366544773334</v>
      </c>
      <c r="J19" s="315">
        <f>$D19*'4. KQ-PL'!N8</f>
        <v>2.8447020210221066</v>
      </c>
      <c r="K19" s="315">
        <f>$D19*'4. KQ-PL'!O8</f>
        <v>2.8731490412323279</v>
      </c>
      <c r="L19" s="315">
        <f>$D19*'4. KQ-PL'!P8</f>
        <v>2.9018805316446508</v>
      </c>
      <c r="M19" s="315">
        <f>$D19*'4. KQ-PL'!Q8</f>
        <v>2.9308993369610974</v>
      </c>
      <c r="N19" s="315">
        <f>$D19*'4. KQ-PL'!R8</f>
        <v>2.9602083303307096</v>
      </c>
    </row>
    <row r="20" spans="2:14" x14ac:dyDescent="0.25">
      <c r="B20" t="s">
        <v>865</v>
      </c>
      <c r="C20" s="315"/>
      <c r="D20" s="1353">
        <f>'2. Input'!C44</f>
        <v>0.03</v>
      </c>
      <c r="E20" s="315">
        <f>$D20*'4. KQ-PL'!I9</f>
        <v>2.762610983850081</v>
      </c>
      <c r="F20" s="315">
        <f>$D20*'4. KQ-PL'!J9</f>
        <v>2.7902370936885816</v>
      </c>
      <c r="G20" s="315">
        <f>$D20*'4. KQ-PL'!K9</f>
        <v>2.8181394646254674</v>
      </c>
      <c r="H20" s="315">
        <f>$D20*'4. KQ-PL'!L9</f>
        <v>2.8463208592717231</v>
      </c>
      <c r="I20" s="315">
        <f>$D20*'4. KQ-PL'!M9</f>
        <v>2.8747840678644403</v>
      </c>
      <c r="J20" s="315">
        <f>$D20*'4. KQ-PL'!N9</f>
        <v>2.9035319085430848</v>
      </c>
      <c r="K20" s="315">
        <f>$D20*'4. KQ-PL'!O9</f>
        <v>2.9325672276285153</v>
      </c>
      <c r="L20" s="315">
        <f>$D20*'4. KQ-PL'!P9</f>
        <v>2.9618928999048011</v>
      </c>
      <c r="M20" s="315">
        <f>$D20*'4. KQ-PL'!Q9</f>
        <v>2.9915118289038487</v>
      </c>
      <c r="N20" s="315">
        <f>$D20*'4. KQ-PL'!R9</f>
        <v>3.0214269471928881</v>
      </c>
    </row>
    <row r="21" spans="2:14" x14ac:dyDescent="0.25">
      <c r="B21" t="s">
        <v>1353</v>
      </c>
      <c r="C21" s="315"/>
      <c r="D21" s="1353">
        <f>'2. Input'!C45</f>
        <v>0.03</v>
      </c>
      <c r="E21" s="315">
        <f>$D21*'4. KQ-PL'!I10</f>
        <v>0.30676091898017438</v>
      </c>
      <c r="F21" s="315">
        <f>$D21*'4. KQ-PL'!J10</f>
        <v>0.31292681345167589</v>
      </c>
      <c r="G21" s="315">
        <f>$D21*'4. KQ-PL'!K10</f>
        <v>0.31921664240205466</v>
      </c>
      <c r="H21" s="315">
        <f>$D21*'4. KQ-PL'!L10</f>
        <v>0.32563289691433583</v>
      </c>
      <c r="I21" s="315">
        <f>$D21*'4. KQ-PL'!M10</f>
        <v>0.33217811814231402</v>
      </c>
      <c r="J21" s="315">
        <f>$D21*'4. KQ-PL'!N10</f>
        <v>0.33885489831697457</v>
      </c>
      <c r="K21" s="315">
        <f>$D21*'4. KQ-PL'!O10</f>
        <v>0.34566588177314583</v>
      </c>
      <c r="L21" s="315">
        <f>$D21*'4. KQ-PL'!P10</f>
        <v>0.35261376599678596</v>
      </c>
      <c r="M21" s="315">
        <f>$D21*'4. KQ-PL'!Q10</f>
        <v>0.3597013026933214</v>
      </c>
      <c r="N21" s="315">
        <f>$D21*'4. KQ-PL'!R10</f>
        <v>0.36693129887745712</v>
      </c>
    </row>
    <row r="22" spans="2:14" x14ac:dyDescent="0.25">
      <c r="B22" s="1"/>
      <c r="C22" s="315"/>
      <c r="D22" s="1361"/>
      <c r="E22" s="315"/>
      <c r="F22" s="315"/>
      <c r="G22" s="315"/>
      <c r="H22" s="315"/>
      <c r="I22" s="315"/>
      <c r="J22" s="315"/>
      <c r="K22" s="315"/>
      <c r="L22" s="315"/>
      <c r="M22" s="315"/>
      <c r="N22" s="315"/>
    </row>
    <row r="23" spans="2:14" x14ac:dyDescent="0.25">
      <c r="B23" s="510" t="s">
        <v>1409</v>
      </c>
      <c r="C23" s="510" t="str">
        <f>'[29]PL1. Input'!$D$29</f>
        <v>(tỷ VNĐ)</v>
      </c>
      <c r="E23" s="511">
        <f>SUM(E17:E21)</f>
        <v>14.180833117293389</v>
      </c>
      <c r="F23" s="511">
        <f t="shared" ref="F23:N23" si="2">SUM(F17:F21)</f>
        <v>14.325739733748021</v>
      </c>
      <c r="G23" s="511">
        <f t="shared" si="2"/>
        <v>14.472157691901364</v>
      </c>
      <c r="H23" s="511">
        <f t="shared" si="2"/>
        <v>14.62010335690864</v>
      </c>
      <c r="I23" s="511">
        <f t="shared" si="2"/>
        <v>14.769593282736563</v>
      </c>
      <c r="J23" s="511">
        <f t="shared" si="2"/>
        <v>14.920644214557164</v>
      </c>
      <c r="K23" s="511">
        <f t="shared" si="2"/>
        <v>15.073273091175739</v>
      </c>
      <c r="L23" s="511">
        <f t="shared" si="2"/>
        <v>15.227497047493404</v>
      </c>
      <c r="M23" s="511">
        <f t="shared" si="2"/>
        <v>15.383333417004907</v>
      </c>
      <c r="N23" s="511">
        <f t="shared" si="2"/>
        <v>15.540799734332161</v>
      </c>
    </row>
    <row r="24" spans="2:14" x14ac:dyDescent="0.25">
      <c r="B24" s="1"/>
      <c r="C24" s="315"/>
      <c r="D24" s="1355"/>
      <c r="E24" s="315"/>
      <c r="F24" s="315"/>
      <c r="G24" s="315"/>
      <c r="H24" s="315"/>
      <c r="I24" s="315"/>
      <c r="J24" s="315"/>
      <c r="K24" s="315"/>
      <c r="L24" s="315"/>
      <c r="M24" s="315"/>
      <c r="N24" s="315"/>
    </row>
    <row r="25" spans="2:14" x14ac:dyDescent="0.25">
      <c r="B25" s="1" t="s">
        <v>1366</v>
      </c>
      <c r="D25" s="1352" t="s">
        <v>1407</v>
      </c>
    </row>
    <row r="26" spans="2:14" x14ac:dyDescent="0.25">
      <c r="B26" t="s">
        <v>809</v>
      </c>
      <c r="D26" s="1353">
        <f>'2. Input'!C47</f>
        <v>0</v>
      </c>
      <c r="E26" s="5">
        <f>$D26*'4. KQ-PL'!I6</f>
        <v>0</v>
      </c>
      <c r="F26" s="5">
        <f>$D26*'4. KQ-PL'!J6</f>
        <v>0</v>
      </c>
      <c r="G26" s="5">
        <f>$D26*'4. KQ-PL'!K6</f>
        <v>0</v>
      </c>
      <c r="H26" s="5">
        <f>$D26*'4. KQ-PL'!L6</f>
        <v>0</v>
      </c>
      <c r="I26" s="5">
        <f>$D26*'4. KQ-PL'!M6</f>
        <v>0</v>
      </c>
      <c r="J26" s="5">
        <f>$D26*'4. KQ-PL'!N6</f>
        <v>0</v>
      </c>
      <c r="K26" s="5">
        <f>$D26*'4. KQ-PL'!O6</f>
        <v>0</v>
      </c>
      <c r="L26" s="5">
        <f>$D26*'4. KQ-PL'!P6</f>
        <v>0</v>
      </c>
      <c r="M26" s="5">
        <f>$D26*'4. KQ-PL'!Q6</f>
        <v>0</v>
      </c>
      <c r="N26" s="5">
        <f>$D26*'4. KQ-PL'!R6</f>
        <v>0</v>
      </c>
    </row>
    <row r="27" spans="2:14" x14ac:dyDescent="0.25">
      <c r="B27" t="s">
        <v>814</v>
      </c>
      <c r="D27" s="1353">
        <f>'2. Input'!C48</f>
        <v>0</v>
      </c>
      <c r="E27" s="5">
        <f>$D27*'4. KQ-PL'!I7</f>
        <v>0</v>
      </c>
      <c r="F27" s="5">
        <f>$D27*'4. KQ-PL'!J7</f>
        <v>0</v>
      </c>
      <c r="G27" s="5">
        <f>$D27*'4. KQ-PL'!K7</f>
        <v>0</v>
      </c>
      <c r="H27" s="5">
        <f>$D27*'4. KQ-PL'!L7</f>
        <v>0</v>
      </c>
      <c r="I27" s="5">
        <f>$D27*'4. KQ-PL'!M7</f>
        <v>0</v>
      </c>
      <c r="J27" s="5">
        <f>$D27*'4. KQ-PL'!N7</f>
        <v>0</v>
      </c>
      <c r="K27" s="5">
        <f>$D27*'4. KQ-PL'!O7</f>
        <v>0</v>
      </c>
      <c r="L27" s="5">
        <f>$D27*'4. KQ-PL'!P7</f>
        <v>0</v>
      </c>
      <c r="M27" s="5">
        <f>$D27*'4. KQ-PL'!Q7</f>
        <v>0</v>
      </c>
      <c r="N27" s="5">
        <f>$D27*'4. KQ-PL'!R7</f>
        <v>0</v>
      </c>
    </row>
    <row r="28" spans="2:14" x14ac:dyDescent="0.25">
      <c r="B28" t="s">
        <v>654</v>
      </c>
      <c r="D28" s="1353">
        <f>'2. Input'!C49</f>
        <v>0</v>
      </c>
      <c r="E28" s="5">
        <f>$D28*'4. KQ-PL'!I8</f>
        <v>0</v>
      </c>
      <c r="F28" s="5">
        <f>$D28*'4. KQ-PL'!J8</f>
        <v>0</v>
      </c>
      <c r="G28" s="5">
        <f>$D28*'4. KQ-PL'!K8</f>
        <v>0</v>
      </c>
      <c r="H28" s="5">
        <f>$D28*'4. KQ-PL'!L8</f>
        <v>0</v>
      </c>
      <c r="I28" s="5">
        <f>$D28*'4. KQ-PL'!M8</f>
        <v>0</v>
      </c>
      <c r="J28" s="5">
        <f>$D28*'4. KQ-PL'!N8</f>
        <v>0</v>
      </c>
      <c r="K28" s="5">
        <f>$D28*'4. KQ-PL'!O8</f>
        <v>0</v>
      </c>
      <c r="L28" s="5">
        <f>$D28*'4. KQ-PL'!P8</f>
        <v>0</v>
      </c>
      <c r="M28" s="5">
        <f>$D28*'4. KQ-PL'!Q8</f>
        <v>0</v>
      </c>
      <c r="N28" s="5">
        <f>$D28*'4. KQ-PL'!R8</f>
        <v>0</v>
      </c>
    </row>
    <row r="29" spans="2:14" x14ac:dyDescent="0.25">
      <c r="B29" t="s">
        <v>865</v>
      </c>
      <c r="D29" s="1353">
        <f>'2. Input'!C50</f>
        <v>0</v>
      </c>
      <c r="E29" s="5">
        <f>$D29*'4. KQ-PL'!I9</f>
        <v>0</v>
      </c>
      <c r="F29" s="5">
        <f>$D29*'4. KQ-PL'!J9</f>
        <v>0</v>
      </c>
      <c r="G29" s="5">
        <f>$D29*'4. KQ-PL'!K9</f>
        <v>0</v>
      </c>
      <c r="H29" s="5">
        <f>$D29*'4. KQ-PL'!L9</f>
        <v>0</v>
      </c>
      <c r="I29" s="5">
        <f>$D29*'4. KQ-PL'!M9</f>
        <v>0</v>
      </c>
      <c r="J29" s="5">
        <f>$D29*'4. KQ-PL'!N9</f>
        <v>0</v>
      </c>
      <c r="K29" s="5">
        <f>$D29*'4. KQ-PL'!O9</f>
        <v>0</v>
      </c>
      <c r="L29" s="5">
        <f>$D29*'4. KQ-PL'!P9</f>
        <v>0</v>
      </c>
      <c r="M29" s="5">
        <f>$D29*'4. KQ-PL'!Q9</f>
        <v>0</v>
      </c>
      <c r="N29" s="5">
        <f>$D29*'4. KQ-PL'!R9</f>
        <v>0</v>
      </c>
    </row>
    <row r="30" spans="2:14" x14ac:dyDescent="0.25">
      <c r="B30" t="s">
        <v>1353</v>
      </c>
      <c r="D30" s="1353">
        <f>'2. Input'!C51</f>
        <v>0</v>
      </c>
      <c r="E30" s="5">
        <f>$D30*'4. KQ-PL'!I10</f>
        <v>0</v>
      </c>
      <c r="F30" s="5">
        <f>$D30*'4. KQ-PL'!J10</f>
        <v>0</v>
      </c>
      <c r="G30" s="5">
        <f>$D30*'4. KQ-PL'!K10</f>
        <v>0</v>
      </c>
      <c r="H30" s="5">
        <f>$D30*'4. KQ-PL'!L10</f>
        <v>0</v>
      </c>
      <c r="I30" s="5">
        <f>$D30*'4. KQ-PL'!M10</f>
        <v>0</v>
      </c>
      <c r="J30" s="5">
        <f>$D30*'4. KQ-PL'!N10</f>
        <v>0</v>
      </c>
      <c r="K30" s="5">
        <f>$D30*'4. KQ-PL'!O10</f>
        <v>0</v>
      </c>
      <c r="L30" s="5">
        <f>$D30*'4. KQ-PL'!P10</f>
        <v>0</v>
      </c>
      <c r="M30" s="5">
        <f>$D30*'4. KQ-PL'!Q10</f>
        <v>0</v>
      </c>
      <c r="N30" s="5">
        <f>$D30*'4. KQ-PL'!R10</f>
        <v>0</v>
      </c>
    </row>
    <row r="31" spans="2:14" x14ac:dyDescent="0.25">
      <c r="B31" s="510" t="s">
        <v>1368</v>
      </c>
      <c r="C31" s="510" t="str">
        <f>'[29]PL1. Input'!$D$29</f>
        <v>(tỷ VNĐ)</v>
      </c>
      <c r="D31" s="1354"/>
      <c r="E31" s="511">
        <f>SUM(E26:E30)</f>
        <v>0</v>
      </c>
      <c r="F31" s="511">
        <f t="shared" ref="F31:N31" si="3">SUM(F26:F30)</f>
        <v>0</v>
      </c>
      <c r="G31" s="511">
        <f t="shared" si="3"/>
        <v>0</v>
      </c>
      <c r="H31" s="511">
        <f t="shared" si="3"/>
        <v>0</v>
      </c>
      <c r="I31" s="511">
        <f t="shared" si="3"/>
        <v>0</v>
      </c>
      <c r="J31" s="511">
        <f t="shared" si="3"/>
        <v>0</v>
      </c>
      <c r="K31" s="511">
        <f t="shared" si="3"/>
        <v>0</v>
      </c>
      <c r="L31" s="511">
        <f t="shared" si="3"/>
        <v>0</v>
      </c>
      <c r="M31" s="511">
        <f t="shared" si="3"/>
        <v>0</v>
      </c>
      <c r="N31" s="511">
        <f t="shared" si="3"/>
        <v>0</v>
      </c>
    </row>
    <row r="33" spans="2:14" x14ac:dyDescent="0.25">
      <c r="B33" s="1" t="s">
        <v>1367</v>
      </c>
      <c r="D33" s="1352" t="s">
        <v>1407</v>
      </c>
    </row>
    <row r="34" spans="2:14" x14ac:dyDescent="0.25">
      <c r="B34" t="s">
        <v>809</v>
      </c>
      <c r="D34" s="1353">
        <f>'2. Input'!C53</f>
        <v>0.05</v>
      </c>
      <c r="E34" s="2">
        <f>$D34*'4. KQ-PL'!I6</f>
        <v>13.426107070167498</v>
      </c>
      <c r="F34" s="2">
        <f>$D34*'4. KQ-PL'!J6</f>
        <v>13.560368140869173</v>
      </c>
      <c r="G34" s="2">
        <f>$D34*'4. KQ-PL'!K6</f>
        <v>13.695971822277867</v>
      </c>
      <c r="H34" s="2">
        <f>$D34*'4. KQ-PL'!L6</f>
        <v>13.832931540500647</v>
      </c>
      <c r="I34" s="2">
        <f>$D34*'4. KQ-PL'!M6</f>
        <v>13.971260855905653</v>
      </c>
      <c r="J34" s="2">
        <f>$D34*'4. KQ-PL'!N6</f>
        <v>14.11097346446471</v>
      </c>
      <c r="K34" s="2">
        <f>$D34*'4. KQ-PL'!O6</f>
        <v>14.252083199109359</v>
      </c>
      <c r="L34" s="2">
        <f>$D34*'4. KQ-PL'!P6</f>
        <v>14.394604031100451</v>
      </c>
      <c r="M34" s="2">
        <f>$D34*'4. KQ-PL'!Q6</f>
        <v>14.538550071411457</v>
      </c>
      <c r="N34" s="2">
        <f>$D34*'4. KQ-PL'!R6</f>
        <v>14.683935572125572</v>
      </c>
    </row>
    <row r="35" spans="2:14" x14ac:dyDescent="0.25">
      <c r="B35" t="s">
        <v>814</v>
      </c>
      <c r="D35" s="1353">
        <f>'2. Input'!C54</f>
        <v>0.05</v>
      </c>
      <c r="E35" s="2">
        <f>$D35*'4. KQ-PL'!I7</f>
        <v>0.58193434649088016</v>
      </c>
      <c r="F35" s="2">
        <f>$D35*'4. KQ-PL'!J7</f>
        <v>0.58775368995578892</v>
      </c>
      <c r="G35" s="2">
        <f>$D35*'4. KQ-PL'!K7</f>
        <v>0.59363122685534686</v>
      </c>
      <c r="H35" s="2">
        <f>$D35*'4. KQ-PL'!L7</f>
        <v>0.59956753912390026</v>
      </c>
      <c r="I35" s="2">
        <f>$D35*'4. KQ-PL'!M7</f>
        <v>0.60556321451513939</v>
      </c>
      <c r="J35" s="2">
        <f>$D35*'4. KQ-PL'!N7</f>
        <v>0.61161884666029076</v>
      </c>
      <c r="K35" s="2">
        <f>$D35*'4. KQ-PL'!O7</f>
        <v>0.61773503512689365</v>
      </c>
      <c r="L35" s="2">
        <f>$D35*'4. KQ-PL'!P7</f>
        <v>0.62391238547816263</v>
      </c>
      <c r="M35" s="2">
        <f>$D35*'4. KQ-PL'!Q7</f>
        <v>0.63015150933294428</v>
      </c>
      <c r="N35" s="2">
        <f>$D35*'4. KQ-PL'!R7</f>
        <v>0.63645302442627372</v>
      </c>
    </row>
    <row r="36" spans="2:14" x14ac:dyDescent="0.25">
      <c r="B36" t="s">
        <v>654</v>
      </c>
      <c r="D36" s="1353">
        <f>'2. Input'!C55</f>
        <v>0.05</v>
      </c>
      <c r="E36" s="2">
        <f>$D36*'4. KQ-PL'!I8</f>
        <v>4.5110606074468436</v>
      </c>
      <c r="F36" s="2">
        <f>$D36*'4. KQ-PL'!J8</f>
        <v>4.5561712135213126</v>
      </c>
      <c r="G36" s="2">
        <f>$D36*'4. KQ-PL'!K8</f>
        <v>4.6017329256565258</v>
      </c>
      <c r="H36" s="2">
        <f>$D36*'4. KQ-PL'!L8</f>
        <v>4.6477502549130909</v>
      </c>
      <c r="I36" s="2">
        <f>$D36*'4. KQ-PL'!M8</f>
        <v>4.6942277574622224</v>
      </c>
      <c r="J36" s="2">
        <f>$D36*'4. KQ-PL'!N8</f>
        <v>4.741170035036844</v>
      </c>
      <c r="K36" s="2">
        <f>$D36*'4. KQ-PL'!O8</f>
        <v>4.788581735387214</v>
      </c>
      <c r="L36" s="2">
        <f>$D36*'4. KQ-PL'!P8</f>
        <v>4.8364675527410848</v>
      </c>
      <c r="M36" s="2">
        <f>$D36*'4. KQ-PL'!Q8</f>
        <v>4.8848322282684968</v>
      </c>
      <c r="N36" s="2">
        <f>$D36*'4. KQ-PL'!R8</f>
        <v>4.9336805505511832</v>
      </c>
    </row>
    <row r="37" spans="2:14" x14ac:dyDescent="0.25">
      <c r="B37" t="s">
        <v>865</v>
      </c>
      <c r="D37" s="1353">
        <f>'2. Input'!C56</f>
        <v>0.05</v>
      </c>
      <c r="E37" s="2">
        <f>$D37*'4. KQ-PL'!I9</f>
        <v>4.604351639750135</v>
      </c>
      <c r="F37" s="2">
        <f>$D37*'4. KQ-PL'!J9</f>
        <v>4.6503951561476367</v>
      </c>
      <c r="G37" s="2">
        <f>$D37*'4. KQ-PL'!K9</f>
        <v>4.6968991077091129</v>
      </c>
      <c r="H37" s="2">
        <f>$D37*'4. KQ-PL'!L9</f>
        <v>4.743868098786205</v>
      </c>
      <c r="I37" s="2">
        <f>$D37*'4. KQ-PL'!M9</f>
        <v>4.7913067797740672</v>
      </c>
      <c r="J37" s="2">
        <f>$D37*'4. KQ-PL'!N9</f>
        <v>4.8392198475718082</v>
      </c>
      <c r="K37" s="2">
        <f>$D37*'4. KQ-PL'!O9</f>
        <v>4.8876120460475256</v>
      </c>
      <c r="L37" s="2">
        <f>$D37*'4. KQ-PL'!P9</f>
        <v>4.9364881665080027</v>
      </c>
      <c r="M37" s="2">
        <f>$D37*'4. KQ-PL'!Q9</f>
        <v>4.9858530481730821</v>
      </c>
      <c r="N37" s="2">
        <f>$D37*'4. KQ-PL'!R9</f>
        <v>5.0357115786548139</v>
      </c>
    </row>
    <row r="38" spans="2:14" x14ac:dyDescent="0.25">
      <c r="B38" t="s">
        <v>1353</v>
      </c>
      <c r="D38" s="1353">
        <f>'2. Input'!C57</f>
        <v>0.05</v>
      </c>
      <c r="E38" s="2">
        <f>$D38*'4. KQ-PL'!I10</f>
        <v>0.51126819830029069</v>
      </c>
      <c r="F38" s="2">
        <f>$D38*'4. KQ-PL'!J10</f>
        <v>0.5215446890861265</v>
      </c>
      <c r="G38" s="2">
        <f>$D38*'4. KQ-PL'!K10</f>
        <v>0.53202773733675779</v>
      </c>
      <c r="H38" s="2">
        <f>$D38*'4. KQ-PL'!L10</f>
        <v>0.54272149485722643</v>
      </c>
      <c r="I38" s="2">
        <f>$D38*'4. KQ-PL'!M10</f>
        <v>0.55363019690385673</v>
      </c>
      <c r="J38" s="2">
        <f>$D38*'4. KQ-PL'!N10</f>
        <v>0.56475816386162436</v>
      </c>
      <c r="K38" s="2">
        <f>$D38*'4. KQ-PL'!O10</f>
        <v>0.57610980295524306</v>
      </c>
      <c r="L38" s="2">
        <f>$D38*'4. KQ-PL'!P10</f>
        <v>0.58768960999464326</v>
      </c>
      <c r="M38" s="2">
        <f>$D38*'4. KQ-PL'!Q10</f>
        <v>0.59950217115553572</v>
      </c>
      <c r="N38" s="2">
        <f>$D38*'4. KQ-PL'!R10</f>
        <v>0.61155216479576202</v>
      </c>
    </row>
    <row r="39" spans="2:14" x14ac:dyDescent="0.25">
      <c r="B39" s="510" t="s">
        <v>1369</v>
      </c>
      <c r="C39" s="510" t="str">
        <f>'[29]PL1. Input'!$D$29</f>
        <v>(tỷ VNĐ)</v>
      </c>
      <c r="D39" s="1354"/>
      <c r="E39" s="511">
        <f>SUM(E34:E38)</f>
        <v>23.634721862155647</v>
      </c>
      <c r="F39" s="511">
        <f t="shared" ref="F39" si="4">SUM(F34:F38)</f>
        <v>23.876232889580038</v>
      </c>
      <c r="G39" s="511">
        <f t="shared" ref="G39" si="5">SUM(G34:G38)</f>
        <v>24.120262819835613</v>
      </c>
      <c r="H39" s="511">
        <f t="shared" ref="H39" si="6">SUM(H34:H38)</f>
        <v>24.366838928181068</v>
      </c>
      <c r="I39" s="511">
        <f t="shared" ref="I39" si="7">SUM(I34:I38)</f>
        <v>24.615988804560939</v>
      </c>
      <c r="J39" s="511">
        <f t="shared" ref="J39" si="8">SUM(J34:J38)</f>
        <v>24.867740357595277</v>
      </c>
      <c r="K39" s="511">
        <f t="shared" ref="K39" si="9">SUM(K34:K38)</f>
        <v>25.122121818626237</v>
      </c>
      <c r="L39" s="511">
        <f t="shared" ref="L39" si="10">SUM(L34:L38)</f>
        <v>25.379161745822344</v>
      </c>
      <c r="M39" s="511">
        <f t="shared" ref="M39" si="11">SUM(M34:M38)</f>
        <v>25.638889028341517</v>
      </c>
      <c r="N39" s="511">
        <f t="shared" ref="N39" si="12">SUM(N34:N38)</f>
        <v>25.901332890553604</v>
      </c>
    </row>
    <row r="40" spans="2:14" x14ac:dyDescent="0.25">
      <c r="D40" s="1356"/>
      <c r="E40" s="512"/>
      <c r="F40" s="385"/>
    </row>
    <row r="41" spans="2:14" s="1" customFormat="1" x14ac:dyDescent="0.25">
      <c r="B41" s="1" t="s">
        <v>1370</v>
      </c>
      <c r="C41" s="7"/>
      <c r="D41" s="1352" t="s">
        <v>20</v>
      </c>
      <c r="E41" s="7"/>
      <c r="F41" s="7"/>
      <c r="G41" s="7"/>
      <c r="H41" s="7"/>
      <c r="I41" s="7"/>
      <c r="J41" s="7"/>
      <c r="K41" s="7"/>
      <c r="L41" s="7"/>
      <c r="M41" s="7"/>
      <c r="N41" s="7"/>
    </row>
    <row r="42" spans="2:14" x14ac:dyDescent="0.25">
      <c r="B42" s="133" t="s">
        <v>755</v>
      </c>
      <c r="C42" s="133"/>
      <c r="D42" s="1357">
        <f>'2. Input'!C58</f>
        <v>0.02</v>
      </c>
      <c r="E42" s="1471">
        <f>$D$42*'4. KQ-PL'!I5</f>
        <v>9.4538887448622599</v>
      </c>
      <c r="F42" s="1471">
        <f>$D$42*'4. KQ-PL'!J5</f>
        <v>9.5504931558320152</v>
      </c>
      <c r="G42" s="1471">
        <f>$D$42*'4. KQ-PL'!K5</f>
        <v>9.6481051279342438</v>
      </c>
      <c r="H42" s="1471">
        <f>$D$42*'4. KQ-PL'!L5</f>
        <v>9.7467355712724277</v>
      </c>
      <c r="I42" s="1471">
        <f>$D$42*'4. KQ-PL'!M5</f>
        <v>9.8463955218243751</v>
      </c>
      <c r="J42" s="1471">
        <f>$D$42*'4. KQ-PL'!N5</f>
        <v>9.9470961430381095</v>
      </c>
      <c r="K42" s="1471">
        <f>$D$42*'4. KQ-PL'!O5</f>
        <v>10.048848727450494</v>
      </c>
      <c r="L42" s="1471">
        <f>$D$42*'4. KQ-PL'!P5</f>
        <v>10.151664698328938</v>
      </c>
      <c r="M42" s="1471">
        <f>$D$42*'4. KQ-PL'!Q5</f>
        <v>10.255555611336606</v>
      </c>
      <c r="N42" s="1471">
        <f>$D$42*'4. KQ-PL'!R5</f>
        <v>10.360533156221441</v>
      </c>
    </row>
    <row r="43" spans="2:14" x14ac:dyDescent="0.25">
      <c r="B43" s="1" t="s">
        <v>755</v>
      </c>
      <c r="C43" s="510" t="str">
        <f>'[29]PL1. Input'!$D$29</f>
        <v>(tỷ VNĐ)</v>
      </c>
      <c r="E43" s="5">
        <f>E42</f>
        <v>9.4538887448622599</v>
      </c>
      <c r="F43" s="5">
        <f t="shared" ref="F43:N43" si="13">F42</f>
        <v>9.5504931558320152</v>
      </c>
      <c r="G43" s="5">
        <f t="shared" si="13"/>
        <v>9.6481051279342438</v>
      </c>
      <c r="H43" s="5">
        <f t="shared" si="13"/>
        <v>9.7467355712724277</v>
      </c>
      <c r="I43" s="5">
        <f t="shared" si="13"/>
        <v>9.8463955218243751</v>
      </c>
      <c r="J43" s="5">
        <f t="shared" si="13"/>
        <v>9.9470961430381095</v>
      </c>
      <c r="K43" s="5">
        <f t="shared" si="13"/>
        <v>10.048848727450494</v>
      </c>
      <c r="L43" s="5">
        <f t="shared" si="13"/>
        <v>10.151664698328938</v>
      </c>
      <c r="M43" s="5">
        <f t="shared" si="13"/>
        <v>10.255555611336606</v>
      </c>
      <c r="N43" s="5">
        <f t="shared" si="13"/>
        <v>10.360533156221441</v>
      </c>
    </row>
    <row r="45" spans="2:14" x14ac:dyDescent="0.25">
      <c r="B45" s="1" t="s">
        <v>1406</v>
      </c>
    </row>
    <row r="46" spans="2:14" x14ac:dyDescent="0.25">
      <c r="B46" t="s">
        <v>654</v>
      </c>
      <c r="D46" s="1352"/>
      <c r="E46" s="25">
        <f>'2. Input'!C33</f>
        <v>0.13</v>
      </c>
      <c r="F46" s="25">
        <f>E46</f>
        <v>0.13</v>
      </c>
      <c r="G46" s="25">
        <f t="shared" ref="G46:N46" si="14">F46</f>
        <v>0.13</v>
      </c>
      <c r="H46" s="25">
        <f t="shared" si="14"/>
        <v>0.13</v>
      </c>
      <c r="I46" s="25">
        <f t="shared" si="14"/>
        <v>0.13</v>
      </c>
      <c r="J46" s="25">
        <f t="shared" si="14"/>
        <v>0.13</v>
      </c>
      <c r="K46" s="25">
        <f t="shared" si="14"/>
        <v>0.13</v>
      </c>
      <c r="L46" s="25">
        <f t="shared" si="14"/>
        <v>0.13</v>
      </c>
      <c r="M46" s="25">
        <f t="shared" si="14"/>
        <v>0.13</v>
      </c>
      <c r="N46" s="25">
        <f t="shared" si="14"/>
        <v>0.13</v>
      </c>
    </row>
    <row r="47" spans="2:14" x14ac:dyDescent="0.25">
      <c r="B47" t="s">
        <v>865</v>
      </c>
      <c r="E47" s="25">
        <f>'2. Input'!C34</f>
        <v>0.01</v>
      </c>
      <c r="F47" s="25">
        <f>E47</f>
        <v>0.01</v>
      </c>
      <c r="G47" s="25">
        <f t="shared" ref="G47:N47" si="15">F47</f>
        <v>0.01</v>
      </c>
      <c r="H47" s="25">
        <f t="shared" si="15"/>
        <v>0.01</v>
      </c>
      <c r="I47" s="25">
        <f t="shared" si="15"/>
        <v>0.01</v>
      </c>
      <c r="J47" s="25">
        <f t="shared" si="15"/>
        <v>0.01</v>
      </c>
      <c r="K47" s="25">
        <f t="shared" si="15"/>
        <v>0.01</v>
      </c>
      <c r="L47" s="25">
        <f t="shared" si="15"/>
        <v>0.01</v>
      </c>
      <c r="M47" s="25">
        <f t="shared" si="15"/>
        <v>0.01</v>
      </c>
      <c r="N47" s="25">
        <f t="shared" si="15"/>
        <v>0.01</v>
      </c>
    </row>
    <row r="48" spans="2:14" x14ac:dyDescent="0.25">
      <c r="B48" t="s">
        <v>1353</v>
      </c>
      <c r="E48" s="25">
        <f>'2. Input'!C35</f>
        <v>0.05</v>
      </c>
      <c r="F48" s="117">
        <f>E48</f>
        <v>0.05</v>
      </c>
      <c r="G48" s="117">
        <f t="shared" ref="G48:N48" si="16">F48</f>
        <v>0.05</v>
      </c>
      <c r="H48" s="117">
        <f t="shared" si="16"/>
        <v>0.05</v>
      </c>
      <c r="I48" s="117">
        <f t="shared" si="16"/>
        <v>0.05</v>
      </c>
      <c r="J48" s="117">
        <f t="shared" si="16"/>
        <v>0.05</v>
      </c>
      <c r="K48" s="117">
        <f t="shared" si="16"/>
        <v>0.05</v>
      </c>
      <c r="L48" s="117">
        <f t="shared" si="16"/>
        <v>0.05</v>
      </c>
      <c r="M48" s="117">
        <f t="shared" si="16"/>
        <v>0.05</v>
      </c>
      <c r="N48" s="117">
        <f t="shared" si="16"/>
        <v>0.05</v>
      </c>
    </row>
    <row r="81" spans="4:4" s="1" customFormat="1" x14ac:dyDescent="0.25">
      <c r="D81" s="1350"/>
    </row>
    <row r="82" spans="4:4" s="513" customFormat="1" x14ac:dyDescent="0.25">
      <c r="D82" s="1358"/>
    </row>
    <row r="84" spans="4:4" s="1" customFormat="1" x14ac:dyDescent="0.25">
      <c r="D84" s="1350"/>
    </row>
    <row r="85" spans="4:4" s="514" customFormat="1" x14ac:dyDescent="0.25">
      <c r="D85" s="1359"/>
    </row>
    <row r="86" spans="4:4" s="9" customFormat="1" x14ac:dyDescent="0.25">
      <c r="D86" s="1360"/>
    </row>
    <row r="91" spans="4:4" s="120" customFormat="1" x14ac:dyDescent="0.25">
      <c r="D91" s="1350"/>
    </row>
  </sheetData>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ECD6C-4BB3-4EEE-82CB-58D333EFDBFD}">
  <sheetPr codeName="Sheet35">
    <tabColor theme="7" tint="-0.249977111117893"/>
  </sheetPr>
  <dimension ref="A1:T360"/>
  <sheetViews>
    <sheetView showGridLines="0" zoomScale="70" zoomScaleNormal="70" workbookViewId="0">
      <pane xSplit="3" ySplit="4" topLeftCell="D5" activePane="bottomRight" state="frozen"/>
      <selection activeCell="AH60" sqref="AH60:AL70"/>
      <selection pane="topRight" activeCell="AH60" sqref="AH60:AL70"/>
      <selection pane="bottomLeft" activeCell="AH60" sqref="AH60:AL70"/>
      <selection pane="bottomRight" activeCell="C22" sqref="C22"/>
    </sheetView>
  </sheetViews>
  <sheetFormatPr defaultColWidth="9.140625" defaultRowHeight="15" outlineLevelRow="1" x14ac:dyDescent="0.25"/>
  <cols>
    <col min="1" max="1" width="4.7109375" style="1275" bestFit="1" customWidth="1"/>
    <col min="2" max="2" width="8.85546875" style="1325" bestFit="1" customWidth="1"/>
    <col min="3" max="3" width="46" style="60" bestFit="1" customWidth="1"/>
    <col min="4" max="4" width="9.42578125" style="60" bestFit="1" customWidth="1"/>
    <col min="5" max="5" width="10.5703125" style="666" hidden="1" customWidth="1"/>
    <col min="6" max="8" width="8.28515625" style="60" bestFit="1" customWidth="1"/>
    <col min="9" max="9" width="9" style="60" bestFit="1" customWidth="1"/>
    <col min="10" max="11" width="10.42578125" style="60" bestFit="1" customWidth="1"/>
    <col min="12" max="14" width="10.7109375" style="60" bestFit="1" customWidth="1"/>
    <col min="15" max="15" width="10.5703125" style="60" customWidth="1"/>
    <col min="16" max="18" width="10.42578125" style="60" bestFit="1" customWidth="1"/>
    <col min="19" max="35" width="8.7109375" style="60" customWidth="1"/>
    <col min="36" max="16384" width="9.140625" style="60"/>
  </cols>
  <sheetData>
    <row r="1" spans="1:20" x14ac:dyDescent="0.25">
      <c r="B1" s="1325">
        <v>1000000</v>
      </c>
      <c r="C1" s="47">
        <v>1000000000</v>
      </c>
    </row>
    <row r="2" spans="1:20" x14ac:dyDescent="0.25">
      <c r="C2" s="1309" t="s">
        <v>1386</v>
      </c>
      <c r="F2" s="671"/>
      <c r="G2" s="671"/>
      <c r="H2" s="671"/>
      <c r="I2" s="671"/>
      <c r="J2" s="671"/>
      <c r="K2" s="671"/>
      <c r="L2" s="671"/>
      <c r="M2" s="671"/>
      <c r="N2" s="671"/>
      <c r="O2" s="671"/>
      <c r="P2" s="671"/>
      <c r="Q2" s="671"/>
      <c r="R2" s="671"/>
      <c r="S2" s="671"/>
      <c r="T2" s="671"/>
    </row>
    <row r="3" spans="1:20" s="67" customFormat="1" x14ac:dyDescent="0.25">
      <c r="A3" s="1100"/>
      <c r="B3" s="1326"/>
      <c r="E3" s="1158"/>
    </row>
    <row r="4" spans="1:20" ht="30" x14ac:dyDescent="0.25">
      <c r="C4" s="663" t="s">
        <v>3</v>
      </c>
      <c r="D4" s="663" t="s">
        <v>693</v>
      </c>
      <c r="E4" s="1303" t="s">
        <v>919</v>
      </c>
      <c r="F4" s="1278">
        <v>2021</v>
      </c>
      <c r="G4" s="1278">
        <v>2022</v>
      </c>
      <c r="H4" s="1278">
        <v>2023</v>
      </c>
      <c r="I4" s="1278">
        <v>2024</v>
      </c>
      <c r="J4" s="1278">
        <v>2025</v>
      </c>
      <c r="K4" s="1278">
        <v>2026</v>
      </c>
      <c r="L4" s="1278">
        <v>2027</v>
      </c>
      <c r="M4" s="1278">
        <v>2028</v>
      </c>
      <c r="N4" s="1278">
        <v>2029</v>
      </c>
      <c r="O4" s="1278">
        <v>2030</v>
      </c>
      <c r="P4" s="1278">
        <v>2031</v>
      </c>
      <c r="Q4" s="1278">
        <v>2032</v>
      </c>
      <c r="R4" s="1278">
        <v>2033</v>
      </c>
    </row>
    <row r="5" spans="1:20" x14ac:dyDescent="0.25">
      <c r="B5" s="1336">
        <v>1</v>
      </c>
      <c r="C5" s="1337" t="s">
        <v>890</v>
      </c>
      <c r="D5" s="1337" t="s">
        <v>785</v>
      </c>
      <c r="E5" s="1338">
        <f t="shared" ref="E5:E11" si="0">SUM(I5:R5)</f>
        <v>4950.4658229050465</v>
      </c>
      <c r="F5" s="1282">
        <f>'1.BC_Muc tieu (ty) '!K7</f>
        <v>501.60306679300004</v>
      </c>
      <c r="G5" s="1282">
        <f>'1.BC_Muc tieu (ty) '!R7</f>
        <v>505.49590928699996</v>
      </c>
      <c r="H5" s="1282">
        <f>'1.BC_Muc tieu (ty) '!Y7</f>
        <v>531.99834997300002</v>
      </c>
      <c r="I5" s="1282">
        <f>SUM(I6:I10)</f>
        <v>472.69443724311299</v>
      </c>
      <c r="J5" s="1282">
        <f t="shared" ref="J5:R5" si="1">SUM(J6:J10)</f>
        <v>477.52465779160076</v>
      </c>
      <c r="K5" s="1282">
        <f t="shared" si="1"/>
        <v>482.40525639671222</v>
      </c>
      <c r="L5" s="1282">
        <f t="shared" si="1"/>
        <v>487.33677856362141</v>
      </c>
      <c r="M5" s="1282">
        <f t="shared" si="1"/>
        <v>492.31977609121873</v>
      </c>
      <c r="N5" s="1282">
        <f t="shared" si="1"/>
        <v>497.3548071519055</v>
      </c>
      <c r="O5" s="1282">
        <f t="shared" si="1"/>
        <v>502.4424363725247</v>
      </c>
      <c r="P5" s="1282">
        <f t="shared" si="1"/>
        <v>507.58323491644688</v>
      </c>
      <c r="Q5" s="1282">
        <f t="shared" si="1"/>
        <v>512.7777805668303</v>
      </c>
      <c r="R5" s="1282">
        <f t="shared" si="1"/>
        <v>518.02665781107203</v>
      </c>
    </row>
    <row r="6" spans="1:20" s="474" customFormat="1" x14ac:dyDescent="0.25">
      <c r="A6" s="1288"/>
      <c r="B6" s="1327"/>
      <c r="C6" s="689" t="s">
        <v>921</v>
      </c>
      <c r="D6" s="1277" t="s">
        <v>951</v>
      </c>
      <c r="E6" s="1304">
        <f t="shared" si="0"/>
        <v>2809.335715358648</v>
      </c>
      <c r="F6" s="1284"/>
      <c r="G6" s="1284"/>
      <c r="H6" s="1284"/>
      <c r="I6" s="667">
        <f>I67</f>
        <v>268.52214140334996</v>
      </c>
      <c r="J6" s="667">
        <f t="shared" ref="J6:R6" si="2">J67</f>
        <v>271.20736281738345</v>
      </c>
      <c r="K6" s="667">
        <f t="shared" si="2"/>
        <v>273.91943644555732</v>
      </c>
      <c r="L6" s="667">
        <f t="shared" si="2"/>
        <v>276.65863081001294</v>
      </c>
      <c r="M6" s="667">
        <f t="shared" si="2"/>
        <v>279.42521711811304</v>
      </c>
      <c r="N6" s="667">
        <f t="shared" si="2"/>
        <v>282.21946928929418</v>
      </c>
      <c r="O6" s="667">
        <f t="shared" si="2"/>
        <v>285.04166398218717</v>
      </c>
      <c r="P6" s="667">
        <f t="shared" si="2"/>
        <v>287.89208062200902</v>
      </c>
      <c r="Q6" s="667">
        <f t="shared" si="2"/>
        <v>290.77100142822911</v>
      </c>
      <c r="R6" s="667">
        <f t="shared" si="2"/>
        <v>293.67871144251143</v>
      </c>
    </row>
    <row r="7" spans="1:20" s="474" customFormat="1" x14ac:dyDescent="0.25">
      <c r="A7" s="1288"/>
      <c r="B7" s="1327"/>
      <c r="C7" s="689" t="s">
        <v>922</v>
      </c>
      <c r="D7" s="1277" t="s">
        <v>952</v>
      </c>
      <c r="E7" s="1304">
        <f t="shared" si="0"/>
        <v>121.7664163593124</v>
      </c>
      <c r="F7" s="1284"/>
      <c r="G7" s="1284"/>
      <c r="H7" s="1284"/>
      <c r="I7" s="667">
        <f t="shared" ref="I7:R7" si="3">I68</f>
        <v>11.638686929817602</v>
      </c>
      <c r="J7" s="667">
        <f t="shared" si="3"/>
        <v>11.755073799115777</v>
      </c>
      <c r="K7" s="667">
        <f t="shared" si="3"/>
        <v>11.872624537106937</v>
      </c>
      <c r="L7" s="667">
        <f t="shared" si="3"/>
        <v>11.991350782478005</v>
      </c>
      <c r="M7" s="667">
        <f t="shared" si="3"/>
        <v>12.111264290302787</v>
      </c>
      <c r="N7" s="667">
        <f t="shared" si="3"/>
        <v>12.232376933205813</v>
      </c>
      <c r="O7" s="667">
        <f t="shared" si="3"/>
        <v>12.354700702537873</v>
      </c>
      <c r="P7" s="667">
        <f t="shared" si="3"/>
        <v>12.478247709563252</v>
      </c>
      <c r="Q7" s="667">
        <f t="shared" si="3"/>
        <v>12.603030186658884</v>
      </c>
      <c r="R7" s="667">
        <f t="shared" si="3"/>
        <v>12.729060488525473</v>
      </c>
    </row>
    <row r="8" spans="1:20" s="474" customFormat="1" x14ac:dyDescent="0.25">
      <c r="A8" s="1288"/>
      <c r="B8" s="1327"/>
      <c r="C8" s="689" t="s">
        <v>923</v>
      </c>
      <c r="D8" s="1277" t="s">
        <v>953</v>
      </c>
      <c r="E8" s="1304">
        <f t="shared" si="0"/>
        <v>943.91349721969641</v>
      </c>
      <c r="F8" s="1284"/>
      <c r="G8" s="1284"/>
      <c r="H8" s="1284"/>
      <c r="I8" s="667">
        <f t="shared" ref="I8:R8" si="4">I69</f>
        <v>90.221212148936871</v>
      </c>
      <c r="J8" s="667">
        <f t="shared" si="4"/>
        <v>91.123424270426256</v>
      </c>
      <c r="K8" s="667">
        <f t="shared" si="4"/>
        <v>92.034658513130509</v>
      </c>
      <c r="L8" s="667">
        <f t="shared" si="4"/>
        <v>92.955005098261822</v>
      </c>
      <c r="M8" s="667">
        <f t="shared" si="4"/>
        <v>93.884555149244449</v>
      </c>
      <c r="N8" s="667">
        <f t="shared" si="4"/>
        <v>94.823400700736883</v>
      </c>
      <c r="O8" s="667">
        <f t="shared" si="4"/>
        <v>95.771634707744269</v>
      </c>
      <c r="P8" s="667">
        <f t="shared" si="4"/>
        <v>96.729351054821691</v>
      </c>
      <c r="Q8" s="667">
        <f t="shared" si="4"/>
        <v>97.696644565369922</v>
      </c>
      <c r="R8" s="667">
        <f t="shared" si="4"/>
        <v>98.673611011023652</v>
      </c>
    </row>
    <row r="9" spans="1:20" s="474" customFormat="1" x14ac:dyDescent="0.25">
      <c r="A9" s="1288"/>
      <c r="B9" s="1327"/>
      <c r="C9" s="689" t="s">
        <v>924</v>
      </c>
      <c r="D9" s="1277" t="s">
        <v>955</v>
      </c>
      <c r="E9" s="1304">
        <f t="shared" si="0"/>
        <v>963.43410938244779</v>
      </c>
      <c r="F9" s="1284"/>
      <c r="G9" s="1284"/>
      <c r="H9" s="1284"/>
      <c r="I9" s="667">
        <f t="shared" ref="I9:R9" si="5">I70</f>
        <v>92.087032795002699</v>
      </c>
      <c r="J9" s="667">
        <f t="shared" si="5"/>
        <v>93.007903122952726</v>
      </c>
      <c r="K9" s="667">
        <f t="shared" si="5"/>
        <v>93.937982154182251</v>
      </c>
      <c r="L9" s="667">
        <f t="shared" si="5"/>
        <v>94.877361975724099</v>
      </c>
      <c r="M9" s="667">
        <f t="shared" si="5"/>
        <v>95.826135595481347</v>
      </c>
      <c r="N9" s="667">
        <f t="shared" si="5"/>
        <v>96.784396951436165</v>
      </c>
      <c r="O9" s="667">
        <f t="shared" si="5"/>
        <v>97.752240920950513</v>
      </c>
      <c r="P9" s="667">
        <f t="shared" si="5"/>
        <v>98.72976333016004</v>
      </c>
      <c r="Q9" s="667">
        <f t="shared" si="5"/>
        <v>99.717060963461634</v>
      </c>
      <c r="R9" s="667">
        <f t="shared" si="5"/>
        <v>100.71423157309627</v>
      </c>
    </row>
    <row r="10" spans="1:20" s="474" customFormat="1" x14ac:dyDescent="0.25">
      <c r="A10" s="1288"/>
      <c r="B10" s="1327"/>
      <c r="C10" s="689" t="s">
        <v>925</v>
      </c>
      <c r="D10" s="1277" t="s">
        <v>954</v>
      </c>
      <c r="E10" s="1304">
        <f t="shared" si="0"/>
        <v>112.01608458494134</v>
      </c>
      <c r="F10" s="1284"/>
      <c r="G10" s="1284"/>
      <c r="H10" s="1284"/>
      <c r="I10" s="667">
        <f t="shared" ref="I10:R10" si="6">I71</f>
        <v>10.225363966005814</v>
      </c>
      <c r="J10" s="667">
        <f t="shared" si="6"/>
        <v>10.43089378172253</v>
      </c>
      <c r="K10" s="667">
        <f t="shared" si="6"/>
        <v>10.640554746735155</v>
      </c>
      <c r="L10" s="667">
        <f t="shared" si="6"/>
        <v>10.854429897144529</v>
      </c>
      <c r="M10" s="667">
        <f t="shared" si="6"/>
        <v>11.072603938077135</v>
      </c>
      <c r="N10" s="667">
        <f t="shared" si="6"/>
        <v>11.295163277232486</v>
      </c>
      <c r="O10" s="667">
        <f t="shared" si="6"/>
        <v>11.522196059104861</v>
      </c>
      <c r="P10" s="667">
        <f t="shared" si="6"/>
        <v>11.753792199892866</v>
      </c>
      <c r="Q10" s="667">
        <f t="shared" si="6"/>
        <v>11.990043423110714</v>
      </c>
      <c r="R10" s="667">
        <f t="shared" si="6"/>
        <v>12.231043295915239</v>
      </c>
    </row>
    <row r="11" spans="1:20" s="160" customFormat="1" x14ac:dyDescent="0.25">
      <c r="A11" s="679"/>
      <c r="B11" s="1336">
        <v>2</v>
      </c>
      <c r="C11" s="1337" t="s">
        <v>266</v>
      </c>
      <c r="D11" s="1337" t="s">
        <v>785</v>
      </c>
      <c r="E11" s="1338">
        <f t="shared" si="0"/>
        <v>0</v>
      </c>
      <c r="F11" s="1282">
        <f>'1.BC_Muc tieu (ty) '!K8</f>
        <v>0</v>
      </c>
      <c r="G11" s="1282">
        <f>'1.BC_Muc tieu (ty) '!R8</f>
        <v>0.31180042600000002</v>
      </c>
      <c r="H11" s="1282">
        <f>'1.BC_Muc tieu (ty) '!Y8</f>
        <v>0</v>
      </c>
      <c r="I11" s="1282">
        <f>SUM(I12:I16)</f>
        <v>0</v>
      </c>
      <c r="J11" s="1282">
        <f t="shared" ref="J11:R11" si="7">SUM(J12:J16)</f>
        <v>0</v>
      </c>
      <c r="K11" s="1282">
        <f t="shared" si="7"/>
        <v>0</v>
      </c>
      <c r="L11" s="1282">
        <f t="shared" si="7"/>
        <v>0</v>
      </c>
      <c r="M11" s="1282">
        <f t="shared" si="7"/>
        <v>0</v>
      </c>
      <c r="N11" s="1282">
        <f t="shared" si="7"/>
        <v>0</v>
      </c>
      <c r="O11" s="1282">
        <f t="shared" si="7"/>
        <v>0</v>
      </c>
      <c r="P11" s="1282">
        <f t="shared" si="7"/>
        <v>0</v>
      </c>
      <c r="Q11" s="1282">
        <f t="shared" si="7"/>
        <v>0</v>
      </c>
      <c r="R11" s="1282">
        <f t="shared" si="7"/>
        <v>0</v>
      </c>
    </row>
    <row r="12" spans="1:20" s="474" customFormat="1" hidden="1" outlineLevel="1" x14ac:dyDescent="0.25">
      <c r="A12" s="1288"/>
      <c r="B12" s="1327"/>
      <c r="C12" s="689" t="s">
        <v>946</v>
      </c>
      <c r="D12" s="493"/>
      <c r="E12" s="1304"/>
      <c r="F12" s="667"/>
      <c r="G12" s="667"/>
      <c r="H12" s="667"/>
      <c r="I12" s="667">
        <v>0</v>
      </c>
      <c r="J12" s="667">
        <v>0</v>
      </c>
      <c r="K12" s="667">
        <v>0</v>
      </c>
      <c r="L12" s="667">
        <v>0</v>
      </c>
      <c r="M12" s="667">
        <v>0</v>
      </c>
      <c r="N12" s="667">
        <v>0</v>
      </c>
      <c r="O12" s="667">
        <v>0</v>
      </c>
      <c r="P12" s="667">
        <v>0</v>
      </c>
      <c r="Q12" s="667">
        <v>0</v>
      </c>
      <c r="R12" s="667">
        <v>0</v>
      </c>
    </row>
    <row r="13" spans="1:20" s="474" customFormat="1" hidden="1" outlineLevel="1" x14ac:dyDescent="0.25">
      <c r="A13" s="1288"/>
      <c r="B13" s="1327"/>
      <c r="C13" s="689" t="s">
        <v>947</v>
      </c>
      <c r="D13" s="493"/>
      <c r="E13" s="1304"/>
      <c r="F13" s="667"/>
      <c r="G13" s="667"/>
      <c r="H13" s="667"/>
      <c r="I13" s="667">
        <v>0</v>
      </c>
      <c r="J13" s="667">
        <v>0</v>
      </c>
      <c r="K13" s="667">
        <v>0</v>
      </c>
      <c r="L13" s="667">
        <v>0</v>
      </c>
      <c r="M13" s="667">
        <v>0</v>
      </c>
      <c r="N13" s="667">
        <v>0</v>
      </c>
      <c r="O13" s="667">
        <v>0</v>
      </c>
      <c r="P13" s="667">
        <v>0</v>
      </c>
      <c r="Q13" s="667">
        <v>0</v>
      </c>
      <c r="R13" s="667">
        <v>0</v>
      </c>
    </row>
    <row r="14" spans="1:20" s="474" customFormat="1" hidden="1" outlineLevel="1" x14ac:dyDescent="0.25">
      <c r="A14" s="1288"/>
      <c r="B14" s="1327"/>
      <c r="C14" s="689" t="s">
        <v>948</v>
      </c>
      <c r="D14" s="493"/>
      <c r="E14" s="1304"/>
      <c r="F14" s="667"/>
      <c r="G14" s="667"/>
      <c r="H14" s="667"/>
      <c r="I14" s="667">
        <v>0</v>
      </c>
      <c r="J14" s="667">
        <v>0</v>
      </c>
      <c r="K14" s="667">
        <v>0</v>
      </c>
      <c r="L14" s="667">
        <v>0</v>
      </c>
      <c r="M14" s="667">
        <v>0</v>
      </c>
      <c r="N14" s="667">
        <v>0</v>
      </c>
      <c r="O14" s="667">
        <v>0</v>
      </c>
      <c r="P14" s="667">
        <v>0</v>
      </c>
      <c r="Q14" s="667">
        <v>0</v>
      </c>
      <c r="R14" s="667">
        <v>0</v>
      </c>
    </row>
    <row r="15" spans="1:20" s="474" customFormat="1" hidden="1" outlineLevel="1" x14ac:dyDescent="0.25">
      <c r="A15" s="1288"/>
      <c r="B15" s="1327"/>
      <c r="C15" s="689" t="s">
        <v>949</v>
      </c>
      <c r="D15" s="493"/>
      <c r="E15" s="1304"/>
      <c r="F15" s="667"/>
      <c r="G15" s="667"/>
      <c r="H15" s="667"/>
      <c r="I15" s="667">
        <v>0</v>
      </c>
      <c r="J15" s="667">
        <v>0</v>
      </c>
      <c r="K15" s="667">
        <v>0</v>
      </c>
      <c r="L15" s="667">
        <v>0</v>
      </c>
      <c r="M15" s="667">
        <v>0</v>
      </c>
      <c r="N15" s="667">
        <v>0</v>
      </c>
      <c r="O15" s="667">
        <v>0</v>
      </c>
      <c r="P15" s="667">
        <v>0</v>
      </c>
      <c r="Q15" s="667">
        <v>0</v>
      </c>
      <c r="R15" s="667">
        <v>0</v>
      </c>
    </row>
    <row r="16" spans="1:20" s="474" customFormat="1" hidden="1" outlineLevel="1" x14ac:dyDescent="0.25">
      <c r="A16" s="1288"/>
      <c r="B16" s="1327"/>
      <c r="C16" s="689" t="s">
        <v>950</v>
      </c>
      <c r="D16" s="493"/>
      <c r="E16" s="1304"/>
      <c r="F16" s="667"/>
      <c r="G16" s="667"/>
      <c r="H16" s="667"/>
      <c r="I16" s="667">
        <v>0</v>
      </c>
      <c r="J16" s="667">
        <v>0</v>
      </c>
      <c r="K16" s="667">
        <v>0</v>
      </c>
      <c r="L16" s="667">
        <v>0</v>
      </c>
      <c r="M16" s="667">
        <v>0</v>
      </c>
      <c r="N16" s="667">
        <v>0</v>
      </c>
      <c r="O16" s="667">
        <v>0</v>
      </c>
      <c r="P16" s="667">
        <v>0</v>
      </c>
      <c r="Q16" s="667">
        <v>0</v>
      </c>
      <c r="R16" s="667">
        <v>0</v>
      </c>
    </row>
    <row r="17" spans="1:18" collapsed="1" x14ac:dyDescent="0.25">
      <c r="B17" s="1336">
        <v>3</v>
      </c>
      <c r="C17" s="1337" t="s">
        <v>891</v>
      </c>
      <c r="D17" s="1337" t="s">
        <v>785</v>
      </c>
      <c r="E17" s="1338">
        <f>SUM(I17:R17)</f>
        <v>4950.4658229050465</v>
      </c>
      <c r="F17" s="1282">
        <f>F5-F11</f>
        <v>501.60306679300004</v>
      </c>
      <c r="G17" s="1282">
        <f t="shared" ref="G17:H17" si="8">G5-G11</f>
        <v>505.18410886099997</v>
      </c>
      <c r="H17" s="1282">
        <f t="shared" si="8"/>
        <v>531.99834997300002</v>
      </c>
      <c r="I17" s="1282">
        <f>SUM(I18:I22)</f>
        <v>472.69443724311299</v>
      </c>
      <c r="J17" s="1282">
        <f t="shared" ref="J17:R17" si="9">SUM(J18:J22)</f>
        <v>477.52465779160076</v>
      </c>
      <c r="K17" s="1282">
        <f t="shared" si="9"/>
        <v>482.40525639671222</v>
      </c>
      <c r="L17" s="1282">
        <f t="shared" si="9"/>
        <v>487.33677856362141</v>
      </c>
      <c r="M17" s="1282">
        <f t="shared" si="9"/>
        <v>492.31977609121873</v>
      </c>
      <c r="N17" s="1282">
        <f t="shared" si="9"/>
        <v>497.3548071519055</v>
      </c>
      <c r="O17" s="1282">
        <f t="shared" si="9"/>
        <v>502.4424363725247</v>
      </c>
      <c r="P17" s="1282">
        <f t="shared" si="9"/>
        <v>507.58323491644688</v>
      </c>
      <c r="Q17" s="1282">
        <f t="shared" si="9"/>
        <v>512.7777805668303</v>
      </c>
      <c r="R17" s="1282">
        <f t="shared" si="9"/>
        <v>518.02665781107203</v>
      </c>
    </row>
    <row r="18" spans="1:18" s="474" customFormat="1" x14ac:dyDescent="0.25">
      <c r="A18" s="1288"/>
      <c r="B18" s="1327"/>
      <c r="C18" s="689" t="s">
        <v>926</v>
      </c>
      <c r="D18" s="493"/>
      <c r="E18" s="1304">
        <f t="shared" ref="E18:E22" si="10">SUM(I18:R18)</f>
        <v>2809.335715358648</v>
      </c>
      <c r="F18" s="667"/>
      <c r="G18" s="667"/>
      <c r="H18" s="667"/>
      <c r="I18" s="667">
        <f>I6-I12</f>
        <v>268.52214140334996</v>
      </c>
      <c r="J18" s="667">
        <f t="shared" ref="J18:R18" si="11">J6-J12</f>
        <v>271.20736281738345</v>
      </c>
      <c r="K18" s="667">
        <f t="shared" si="11"/>
        <v>273.91943644555732</v>
      </c>
      <c r="L18" s="667">
        <f t="shared" si="11"/>
        <v>276.65863081001294</v>
      </c>
      <c r="M18" s="667">
        <f t="shared" si="11"/>
        <v>279.42521711811304</v>
      </c>
      <c r="N18" s="667">
        <f t="shared" si="11"/>
        <v>282.21946928929418</v>
      </c>
      <c r="O18" s="667">
        <f t="shared" si="11"/>
        <v>285.04166398218717</v>
      </c>
      <c r="P18" s="667">
        <f t="shared" si="11"/>
        <v>287.89208062200902</v>
      </c>
      <c r="Q18" s="667">
        <f t="shared" si="11"/>
        <v>290.77100142822911</v>
      </c>
      <c r="R18" s="667">
        <f t="shared" si="11"/>
        <v>293.67871144251143</v>
      </c>
    </row>
    <row r="19" spans="1:18" s="474" customFormat="1" x14ac:dyDescent="0.25">
      <c r="A19" s="1288"/>
      <c r="B19" s="1327"/>
      <c r="C19" s="689" t="s">
        <v>927</v>
      </c>
      <c r="D19" s="493"/>
      <c r="E19" s="1304">
        <f t="shared" si="10"/>
        <v>121.7664163593124</v>
      </c>
      <c r="F19" s="667"/>
      <c r="G19" s="667"/>
      <c r="H19" s="667"/>
      <c r="I19" s="667">
        <f t="shared" ref="I19:R22" si="12">I7-I13</f>
        <v>11.638686929817602</v>
      </c>
      <c r="J19" s="667">
        <f t="shared" si="12"/>
        <v>11.755073799115777</v>
      </c>
      <c r="K19" s="667">
        <f t="shared" si="12"/>
        <v>11.872624537106937</v>
      </c>
      <c r="L19" s="667">
        <f t="shared" si="12"/>
        <v>11.991350782478005</v>
      </c>
      <c r="M19" s="667">
        <f t="shared" si="12"/>
        <v>12.111264290302787</v>
      </c>
      <c r="N19" s="667">
        <f t="shared" si="12"/>
        <v>12.232376933205813</v>
      </c>
      <c r="O19" s="667">
        <f t="shared" si="12"/>
        <v>12.354700702537873</v>
      </c>
      <c r="P19" s="667">
        <f t="shared" si="12"/>
        <v>12.478247709563252</v>
      </c>
      <c r="Q19" s="667">
        <f t="shared" si="12"/>
        <v>12.603030186658884</v>
      </c>
      <c r="R19" s="667">
        <f t="shared" si="12"/>
        <v>12.729060488525473</v>
      </c>
    </row>
    <row r="20" spans="1:18" s="474" customFormat="1" x14ac:dyDescent="0.25">
      <c r="A20" s="1288"/>
      <c r="B20" s="1327"/>
      <c r="C20" s="689" t="s">
        <v>928</v>
      </c>
      <c r="D20" s="493"/>
      <c r="E20" s="1304">
        <f t="shared" si="10"/>
        <v>943.91349721969641</v>
      </c>
      <c r="F20" s="667"/>
      <c r="G20" s="667"/>
      <c r="H20" s="667"/>
      <c r="I20" s="667">
        <f t="shared" si="12"/>
        <v>90.221212148936871</v>
      </c>
      <c r="J20" s="667">
        <f t="shared" si="12"/>
        <v>91.123424270426256</v>
      </c>
      <c r="K20" s="667">
        <f t="shared" si="12"/>
        <v>92.034658513130509</v>
      </c>
      <c r="L20" s="667">
        <f t="shared" si="12"/>
        <v>92.955005098261822</v>
      </c>
      <c r="M20" s="667">
        <f t="shared" si="12"/>
        <v>93.884555149244449</v>
      </c>
      <c r="N20" s="667">
        <f t="shared" si="12"/>
        <v>94.823400700736883</v>
      </c>
      <c r="O20" s="667">
        <f t="shared" si="12"/>
        <v>95.771634707744269</v>
      </c>
      <c r="P20" s="667">
        <f t="shared" si="12"/>
        <v>96.729351054821691</v>
      </c>
      <c r="Q20" s="667">
        <f t="shared" si="12"/>
        <v>97.696644565369922</v>
      </c>
      <c r="R20" s="667">
        <f t="shared" si="12"/>
        <v>98.673611011023652</v>
      </c>
    </row>
    <row r="21" spans="1:18" s="474" customFormat="1" x14ac:dyDescent="0.25">
      <c r="A21" s="1288"/>
      <c r="B21" s="1327"/>
      <c r="C21" s="689" t="s">
        <v>929</v>
      </c>
      <c r="D21" s="493"/>
      <c r="E21" s="1304">
        <f t="shared" si="10"/>
        <v>963.43410938244779</v>
      </c>
      <c r="F21" s="667"/>
      <c r="G21" s="667"/>
      <c r="H21" s="667"/>
      <c r="I21" s="667">
        <f t="shared" si="12"/>
        <v>92.087032795002699</v>
      </c>
      <c r="J21" s="667">
        <f t="shared" si="12"/>
        <v>93.007903122952726</v>
      </c>
      <c r="K21" s="667">
        <f t="shared" si="12"/>
        <v>93.937982154182251</v>
      </c>
      <c r="L21" s="667">
        <f t="shared" si="12"/>
        <v>94.877361975724099</v>
      </c>
      <c r="M21" s="667">
        <f t="shared" si="12"/>
        <v>95.826135595481347</v>
      </c>
      <c r="N21" s="667">
        <f t="shared" si="12"/>
        <v>96.784396951436165</v>
      </c>
      <c r="O21" s="667">
        <f t="shared" si="12"/>
        <v>97.752240920950513</v>
      </c>
      <c r="P21" s="667">
        <f t="shared" si="12"/>
        <v>98.72976333016004</v>
      </c>
      <c r="Q21" s="667">
        <f t="shared" si="12"/>
        <v>99.717060963461634</v>
      </c>
      <c r="R21" s="667">
        <f t="shared" si="12"/>
        <v>100.71423157309627</v>
      </c>
    </row>
    <row r="22" spans="1:18" s="474" customFormat="1" x14ac:dyDescent="0.25">
      <c r="A22" s="1288"/>
      <c r="B22" s="1327"/>
      <c r="C22" s="689" t="s">
        <v>930</v>
      </c>
      <c r="D22" s="493"/>
      <c r="E22" s="1304">
        <f t="shared" si="10"/>
        <v>112.01608458494134</v>
      </c>
      <c r="F22" s="667"/>
      <c r="G22" s="667"/>
      <c r="H22" s="667"/>
      <c r="I22" s="667">
        <f t="shared" si="12"/>
        <v>10.225363966005814</v>
      </c>
      <c r="J22" s="667">
        <f t="shared" si="12"/>
        <v>10.43089378172253</v>
      </c>
      <c r="K22" s="667">
        <f t="shared" si="12"/>
        <v>10.640554746735155</v>
      </c>
      <c r="L22" s="667">
        <f t="shared" si="12"/>
        <v>10.854429897144529</v>
      </c>
      <c r="M22" s="667">
        <f t="shared" si="12"/>
        <v>11.072603938077135</v>
      </c>
      <c r="N22" s="667">
        <f t="shared" si="12"/>
        <v>11.295163277232486</v>
      </c>
      <c r="O22" s="667">
        <f t="shared" si="12"/>
        <v>11.522196059104861</v>
      </c>
      <c r="P22" s="667">
        <f t="shared" si="12"/>
        <v>11.753792199892866</v>
      </c>
      <c r="Q22" s="667">
        <f t="shared" si="12"/>
        <v>11.990043423110714</v>
      </c>
      <c r="R22" s="667">
        <f t="shared" si="12"/>
        <v>12.231043295915239</v>
      </c>
    </row>
    <row r="23" spans="1:18" x14ac:dyDescent="0.25">
      <c r="B23" s="1336">
        <v>4</v>
      </c>
      <c r="C23" s="1337" t="s">
        <v>267</v>
      </c>
      <c r="D23" s="1337" t="s">
        <v>785</v>
      </c>
      <c r="E23" s="1338">
        <f ca="1">SUM(I23:R23)</f>
        <v>4131.6445270991089</v>
      </c>
      <c r="F23" s="1282">
        <f>'1.BC_Muc tieu (ty) '!K10</f>
        <v>472.97647645400002</v>
      </c>
      <c r="G23" s="1282">
        <f>'1.BC_Muc tieu (ty) '!R10</f>
        <v>490.51324549700001</v>
      </c>
      <c r="H23" s="1282">
        <f>'1.BC_Muc tieu (ty) '!Y10</f>
        <v>465.52350503299999</v>
      </c>
      <c r="I23" s="1282">
        <f ca="1">SUM(I24:I28)</f>
        <v>397.32724307107969</v>
      </c>
      <c r="J23" s="1282">
        <f t="shared" ref="J23:R23" ca="1" si="13">SUM(J24:J28)</f>
        <v>401.66380727774634</v>
      </c>
      <c r="K23" s="1282">
        <f t="shared" ca="1" si="13"/>
        <v>404.98221297230845</v>
      </c>
      <c r="L23" s="1282">
        <f t="shared" ca="1" si="13"/>
        <v>407.89493762091143</v>
      </c>
      <c r="M23" s="1282">
        <f t="shared" ca="1" si="13"/>
        <v>411.48904348672841</v>
      </c>
      <c r="N23" s="1282">
        <f t="shared" ca="1" si="13"/>
        <v>413.55853842912131</v>
      </c>
      <c r="O23" s="1282">
        <f t="shared" ca="1" si="13"/>
        <v>417.76231875647477</v>
      </c>
      <c r="P23" s="1282">
        <f t="shared" ca="1" si="13"/>
        <v>421.81299367607755</v>
      </c>
      <c r="Q23" s="1282">
        <f t="shared" ca="1" si="13"/>
        <v>425.48691301720635</v>
      </c>
      <c r="R23" s="1282">
        <f t="shared" ca="1" si="13"/>
        <v>429.66651879145491</v>
      </c>
    </row>
    <row r="24" spans="1:18" s="474" customFormat="1" x14ac:dyDescent="0.25">
      <c r="A24" s="1288"/>
      <c r="B24" s="1327"/>
      <c r="C24" s="689" t="s">
        <v>931</v>
      </c>
      <c r="D24" s="493"/>
      <c r="E24" s="1304">
        <f t="shared" ref="E24:E28" ca="1" si="14">SUM(I24:R24)</f>
        <v>1963.0274145546625</v>
      </c>
      <c r="F24" s="667"/>
      <c r="G24" s="667"/>
      <c r="H24" s="667"/>
      <c r="I24" s="667">
        <f ca="1">I80+I86+I92+I111+I117+I123</f>
        <v>190.11549425790852</v>
      </c>
      <c r="J24" s="667">
        <f t="shared" ref="J24:R24" ca="1" si="15">J80+J86+J92+J111+J117+J123</f>
        <v>191.86369681259899</v>
      </c>
      <c r="K24" s="667">
        <f t="shared" ca="1" si="15"/>
        <v>192.89786129297096</v>
      </c>
      <c r="L24" s="667">
        <f t="shared" ca="1" si="15"/>
        <v>193.49044626730614</v>
      </c>
      <c r="M24" s="667">
        <f t="shared" ca="1" si="15"/>
        <v>194.84285781222354</v>
      </c>
      <c r="N24" s="667">
        <f t="shared" ca="1" si="15"/>
        <v>196.09607960793153</v>
      </c>
      <c r="O24" s="667">
        <f t="shared" ca="1" si="15"/>
        <v>198.01344620769802</v>
      </c>
      <c r="P24" s="667">
        <f t="shared" ca="1" si="15"/>
        <v>199.94998647346222</v>
      </c>
      <c r="Q24" s="667">
        <f t="shared" ca="1" si="15"/>
        <v>201.90589214188398</v>
      </c>
      <c r="R24" s="667">
        <f t="shared" ca="1" si="15"/>
        <v>203.85165368067879</v>
      </c>
    </row>
    <row r="25" spans="1:18" s="474" customFormat="1" x14ac:dyDescent="0.25">
      <c r="A25" s="1288"/>
      <c r="B25" s="1327"/>
      <c r="C25" s="689" t="s">
        <v>932</v>
      </c>
      <c r="D25" s="493"/>
      <c r="E25" s="1304">
        <f t="shared" ca="1" si="14"/>
        <v>222.54790876539209</v>
      </c>
      <c r="F25" s="667"/>
      <c r="G25" s="667"/>
      <c r="H25" s="667"/>
      <c r="I25" s="667">
        <f t="shared" ref="I25:R28" ca="1" si="16">I81+I87+I93+I112+I118+I124</f>
        <v>21.015046483210359</v>
      </c>
      <c r="J25" s="667">
        <f t="shared" ca="1" si="16"/>
        <v>21.959885769278571</v>
      </c>
      <c r="K25" s="667">
        <f t="shared" ca="1" si="16"/>
        <v>22.297215155234152</v>
      </c>
      <c r="L25" s="667">
        <f t="shared" ca="1" si="16"/>
        <v>23.062914278423555</v>
      </c>
      <c r="M25" s="667">
        <f t="shared" ca="1" si="16"/>
        <v>23.3361757312171</v>
      </c>
      <c r="N25" s="667">
        <f t="shared" ca="1" si="16"/>
        <v>22.111953146112672</v>
      </c>
      <c r="O25" s="667">
        <f t="shared" ca="1" si="16"/>
        <v>22.335263292253465</v>
      </c>
      <c r="P25" s="667">
        <f t="shared" ca="1" si="16"/>
        <v>22.363416158356426</v>
      </c>
      <c r="Q25" s="667">
        <f t="shared" ca="1" si="16"/>
        <v>21.972295886848922</v>
      </c>
      <c r="R25" s="667">
        <f t="shared" ca="1" si="16"/>
        <v>22.0937428644569</v>
      </c>
    </row>
    <row r="26" spans="1:18" s="474" customFormat="1" x14ac:dyDescent="0.25">
      <c r="A26" s="1288"/>
      <c r="B26" s="1327"/>
      <c r="C26" s="689" t="s">
        <v>933</v>
      </c>
      <c r="D26" s="493"/>
      <c r="E26" s="1304">
        <f t="shared" si="14"/>
        <v>851.53557901181944</v>
      </c>
      <c r="F26" s="667"/>
      <c r="G26" s="667"/>
      <c r="H26" s="667"/>
      <c r="I26" s="667">
        <f t="shared" si="16"/>
        <v>81.71771881872769</v>
      </c>
      <c r="J26" s="667">
        <f t="shared" si="16"/>
        <v>82.376704096613082</v>
      </c>
      <c r="K26" s="667">
        <f t="shared" si="16"/>
        <v>83.183281183397867</v>
      </c>
      <c r="L26" s="667">
        <f t="shared" si="16"/>
        <v>83.793034837785257</v>
      </c>
      <c r="M26" s="667">
        <f t="shared" si="16"/>
        <v>84.605023405897441</v>
      </c>
      <c r="N26" s="667">
        <f t="shared" si="16"/>
        <v>85.449984402240631</v>
      </c>
      <c r="O26" s="667">
        <f t="shared" si="16"/>
        <v>86.30339500854727</v>
      </c>
      <c r="P26" s="667">
        <f t="shared" si="16"/>
        <v>87.165339720916961</v>
      </c>
      <c r="Q26" s="667">
        <f t="shared" si="16"/>
        <v>88.035903880410359</v>
      </c>
      <c r="R26" s="667">
        <f t="shared" si="16"/>
        <v>88.90519365728295</v>
      </c>
    </row>
    <row r="27" spans="1:18" s="474" customFormat="1" x14ac:dyDescent="0.25">
      <c r="A27" s="1288"/>
      <c r="B27" s="1327"/>
      <c r="C27" s="689" t="s">
        <v>934</v>
      </c>
      <c r="D27" s="493"/>
      <c r="E27" s="1304">
        <f t="shared" si="14"/>
        <v>984.75786187399228</v>
      </c>
      <c r="F27" s="667"/>
      <c r="G27" s="667"/>
      <c r="H27" s="667"/>
      <c r="I27" s="667">
        <f t="shared" si="16"/>
        <v>94.458126824547364</v>
      </c>
      <c r="J27" s="667">
        <f t="shared" si="16"/>
        <v>95.241244693167602</v>
      </c>
      <c r="K27" s="667">
        <f t="shared" si="16"/>
        <v>96.176111688905081</v>
      </c>
      <c r="L27" s="667">
        <f t="shared" si="16"/>
        <v>96.911200938194867</v>
      </c>
      <c r="M27" s="667">
        <f t="shared" si="16"/>
        <v>97.853834678074719</v>
      </c>
      <c r="N27" s="667">
        <f t="shared" si="16"/>
        <v>98.83126126114864</v>
      </c>
      <c r="O27" s="667">
        <f t="shared" si="16"/>
        <v>99.818462110053261</v>
      </c>
      <c r="P27" s="667">
        <f t="shared" si="16"/>
        <v>100.81553496744698</v>
      </c>
      <c r="Q27" s="667">
        <f t="shared" si="16"/>
        <v>101.82257855341462</v>
      </c>
      <c r="R27" s="667">
        <f t="shared" si="16"/>
        <v>102.82950615903933</v>
      </c>
    </row>
    <row r="28" spans="1:18" s="474" customFormat="1" x14ac:dyDescent="0.25">
      <c r="A28" s="1288"/>
      <c r="B28" s="1327"/>
      <c r="C28" s="689" t="s">
        <v>935</v>
      </c>
      <c r="D28" s="493"/>
      <c r="E28" s="1304">
        <f t="shared" si="14"/>
        <v>109.7757628932425</v>
      </c>
      <c r="F28" s="667"/>
      <c r="G28" s="667"/>
      <c r="H28" s="667"/>
      <c r="I28" s="667">
        <f t="shared" si="16"/>
        <v>10.020856686685697</v>
      </c>
      <c r="J28" s="667">
        <f t="shared" si="16"/>
        <v>10.222275906088079</v>
      </c>
      <c r="K28" s="667">
        <f t="shared" si="16"/>
        <v>10.427743651800451</v>
      </c>
      <c r="L28" s="667">
        <f t="shared" si="16"/>
        <v>10.637341299201637</v>
      </c>
      <c r="M28" s="667">
        <f t="shared" si="16"/>
        <v>10.851151859315593</v>
      </c>
      <c r="N28" s="667">
        <f t="shared" si="16"/>
        <v>11.069260011687836</v>
      </c>
      <c r="O28" s="667">
        <f t="shared" si="16"/>
        <v>11.291752137922762</v>
      </c>
      <c r="P28" s="667">
        <f t="shared" si="16"/>
        <v>11.518716355895007</v>
      </c>
      <c r="Q28" s="667">
        <f t="shared" si="16"/>
        <v>11.7502425546485</v>
      </c>
      <c r="R28" s="667">
        <f t="shared" si="16"/>
        <v>11.986422429996933</v>
      </c>
    </row>
    <row r="29" spans="1:18" x14ac:dyDescent="0.25">
      <c r="B29" s="1336">
        <v>5</v>
      </c>
      <c r="C29" s="1337" t="s">
        <v>892</v>
      </c>
      <c r="D29" s="1337" t="s">
        <v>785</v>
      </c>
      <c r="E29" s="1338">
        <f ca="1">SUM(I29:R29)</f>
        <v>818.8212958059363</v>
      </c>
      <c r="F29" s="1282">
        <f>F17-F23</f>
        <v>28.626590339000018</v>
      </c>
      <c r="G29" s="1282">
        <f t="shared" ref="G29:H29" si="17">G17-G23</f>
        <v>14.670863363999956</v>
      </c>
      <c r="H29" s="1282">
        <f t="shared" si="17"/>
        <v>66.474844940000025</v>
      </c>
      <c r="I29" s="1345">
        <f t="shared" ref="I29:R29" ca="1" si="18">I17-I23</f>
        <v>75.367194172033294</v>
      </c>
      <c r="J29" s="1345">
        <f t="shared" ca="1" si="18"/>
        <v>75.860850513854416</v>
      </c>
      <c r="K29" s="1345">
        <f t="shared" ca="1" si="18"/>
        <v>77.423043424403772</v>
      </c>
      <c r="L29" s="1345">
        <f t="shared" ca="1" si="18"/>
        <v>79.441840942709973</v>
      </c>
      <c r="M29" s="1345">
        <f t="shared" ca="1" si="18"/>
        <v>80.830732604490322</v>
      </c>
      <c r="N29" s="1345">
        <f t="shared" ca="1" si="18"/>
        <v>83.796268722784191</v>
      </c>
      <c r="O29" s="1345">
        <f t="shared" ca="1" si="18"/>
        <v>84.680117616049927</v>
      </c>
      <c r="P29" s="1345">
        <f t="shared" ca="1" si="18"/>
        <v>85.77024124036933</v>
      </c>
      <c r="Q29" s="1345">
        <f t="shared" ca="1" si="18"/>
        <v>87.290867549623954</v>
      </c>
      <c r="R29" s="1345">
        <f t="shared" ca="1" si="18"/>
        <v>88.360139019617122</v>
      </c>
    </row>
    <row r="30" spans="1:18" x14ac:dyDescent="0.25">
      <c r="C30" s="689" t="s">
        <v>936</v>
      </c>
      <c r="D30" s="464"/>
      <c r="E30" s="1304">
        <f t="shared" ref="E30:E35" ca="1" si="19">SUM(I30:R30)</f>
        <v>846.30830080398493</v>
      </c>
      <c r="F30" s="664"/>
      <c r="G30" s="664"/>
      <c r="H30" s="664"/>
      <c r="I30" s="675">
        <f ca="1">I18-I24</f>
        <v>78.40664714544144</v>
      </c>
      <c r="J30" s="675">
        <f t="shared" ref="J30:R30" ca="1" si="20">J18-J24</f>
        <v>79.343666004784467</v>
      </c>
      <c r="K30" s="675">
        <f t="shared" ca="1" si="20"/>
        <v>81.021575152586365</v>
      </c>
      <c r="L30" s="675">
        <f t="shared" ca="1" si="20"/>
        <v>83.168184542706797</v>
      </c>
      <c r="M30" s="675">
        <f t="shared" ca="1" si="20"/>
        <v>84.582359305889497</v>
      </c>
      <c r="N30" s="675">
        <f t="shared" ca="1" si="20"/>
        <v>86.123389681362653</v>
      </c>
      <c r="O30" s="675">
        <f t="shared" ca="1" si="20"/>
        <v>87.02821777448915</v>
      </c>
      <c r="P30" s="675">
        <f t="shared" ca="1" si="20"/>
        <v>87.942094148546801</v>
      </c>
      <c r="Q30" s="675">
        <f t="shared" ca="1" si="20"/>
        <v>88.865109286345131</v>
      </c>
      <c r="R30" s="675">
        <f t="shared" ca="1" si="20"/>
        <v>89.827057761832634</v>
      </c>
    </row>
    <row r="31" spans="1:18" x14ac:dyDescent="0.25">
      <c r="C31" s="689" t="s">
        <v>937</v>
      </c>
      <c r="D31" s="464"/>
      <c r="E31" s="1304">
        <f t="shared" ca="1" si="19"/>
        <v>-100.78149240607971</v>
      </c>
      <c r="F31" s="664"/>
      <c r="G31" s="664"/>
      <c r="H31" s="664"/>
      <c r="I31" s="675">
        <f t="shared" ref="I31:R31" ca="1" si="21">I19-I25</f>
        <v>-9.3763595533927564</v>
      </c>
      <c r="J31" s="675">
        <f t="shared" ca="1" si="21"/>
        <v>-10.204811970162794</v>
      </c>
      <c r="K31" s="675">
        <f t="shared" ca="1" si="21"/>
        <v>-10.424590618127215</v>
      </c>
      <c r="L31" s="675">
        <f t="shared" ca="1" si="21"/>
        <v>-11.071563495945551</v>
      </c>
      <c r="M31" s="675">
        <f t="shared" ca="1" si="21"/>
        <v>-11.224911440914314</v>
      </c>
      <c r="N31" s="675">
        <f t="shared" ca="1" si="21"/>
        <v>-9.8795762129068585</v>
      </c>
      <c r="O31" s="675">
        <f t="shared" ca="1" si="21"/>
        <v>-9.9805625897155927</v>
      </c>
      <c r="P31" s="675">
        <f t="shared" ca="1" si="21"/>
        <v>-9.8851684487931735</v>
      </c>
      <c r="Q31" s="675">
        <f t="shared" ca="1" si="21"/>
        <v>-9.3692657001900379</v>
      </c>
      <c r="R31" s="675">
        <f t="shared" ca="1" si="21"/>
        <v>-9.3646823759314266</v>
      </c>
    </row>
    <row r="32" spans="1:18" x14ac:dyDescent="0.25">
      <c r="C32" s="689" t="s">
        <v>938</v>
      </c>
      <c r="D32" s="464"/>
      <c r="E32" s="1304">
        <f t="shared" si="19"/>
        <v>92.377918207876817</v>
      </c>
      <c r="F32" s="664"/>
      <c r="G32" s="664"/>
      <c r="H32" s="664"/>
      <c r="I32" s="675">
        <f t="shared" ref="I32:R32" si="22">I20-I26</f>
        <v>8.5034933302091815</v>
      </c>
      <c r="J32" s="675">
        <f t="shared" si="22"/>
        <v>8.7467201738131735</v>
      </c>
      <c r="K32" s="675">
        <f t="shared" si="22"/>
        <v>8.8513773297326424</v>
      </c>
      <c r="L32" s="675">
        <f t="shared" si="22"/>
        <v>9.1619702604765649</v>
      </c>
      <c r="M32" s="675">
        <f t="shared" si="22"/>
        <v>9.2795317433470075</v>
      </c>
      <c r="N32" s="675">
        <f t="shared" si="22"/>
        <v>9.3734162984962524</v>
      </c>
      <c r="O32" s="675">
        <f t="shared" si="22"/>
        <v>9.4682396991969995</v>
      </c>
      <c r="P32" s="675">
        <f t="shared" si="22"/>
        <v>9.5640113339047303</v>
      </c>
      <c r="Q32" s="675">
        <f t="shared" si="22"/>
        <v>9.6607406849595634</v>
      </c>
      <c r="R32" s="675">
        <f t="shared" si="22"/>
        <v>9.768417353740702</v>
      </c>
    </row>
    <row r="33" spans="1:18" x14ac:dyDescent="0.25">
      <c r="C33" s="689" t="s">
        <v>939</v>
      </c>
      <c r="D33" s="464"/>
      <c r="E33" s="1304">
        <f t="shared" si="19"/>
        <v>-21.32375249154471</v>
      </c>
      <c r="F33" s="664"/>
      <c r="G33" s="664"/>
      <c r="H33" s="664"/>
      <c r="I33" s="675">
        <f t="shared" ref="I33:R33" si="23">I21-I27</f>
        <v>-2.3710940295446647</v>
      </c>
      <c r="J33" s="675">
        <f t="shared" si="23"/>
        <v>-2.2333415702148756</v>
      </c>
      <c r="K33" s="675">
        <f t="shared" si="23"/>
        <v>-2.2381295347228303</v>
      </c>
      <c r="L33" s="675">
        <f t="shared" si="23"/>
        <v>-2.0338389624707673</v>
      </c>
      <c r="M33" s="675">
        <f t="shared" si="23"/>
        <v>-2.0276990825933723</v>
      </c>
      <c r="N33" s="675">
        <f t="shared" si="23"/>
        <v>-2.0468643097124755</v>
      </c>
      <c r="O33" s="675">
        <f t="shared" si="23"/>
        <v>-2.0662211891027482</v>
      </c>
      <c r="P33" s="675">
        <f t="shared" si="23"/>
        <v>-2.085771637286939</v>
      </c>
      <c r="Q33" s="675">
        <f t="shared" si="23"/>
        <v>-2.1055175899529814</v>
      </c>
      <c r="R33" s="675">
        <f t="shared" si="23"/>
        <v>-2.1152745859430553</v>
      </c>
    </row>
    <row r="34" spans="1:18" x14ac:dyDescent="0.25">
      <c r="C34" s="689" t="s">
        <v>940</v>
      </c>
      <c r="D34" s="464"/>
      <c r="E34" s="1304">
        <f t="shared" si="19"/>
        <v>2.2403216916988331</v>
      </c>
      <c r="F34" s="664"/>
      <c r="G34" s="664"/>
      <c r="H34" s="664"/>
      <c r="I34" s="675">
        <f t="shared" ref="I34:R34" si="24">I22-I28</f>
        <v>0.20450727932011681</v>
      </c>
      <c r="J34" s="675">
        <f t="shared" si="24"/>
        <v>0.20861787563445056</v>
      </c>
      <c r="K34" s="675">
        <f t="shared" si="24"/>
        <v>0.21281109493470396</v>
      </c>
      <c r="L34" s="675">
        <f t="shared" si="24"/>
        <v>0.21708859794289204</v>
      </c>
      <c r="M34" s="675">
        <f t="shared" si="24"/>
        <v>0.22145207876154238</v>
      </c>
      <c r="N34" s="675">
        <f t="shared" si="24"/>
        <v>0.22590326554465001</v>
      </c>
      <c r="O34" s="675">
        <f t="shared" si="24"/>
        <v>0.23044392118209878</v>
      </c>
      <c r="P34" s="675">
        <f t="shared" si="24"/>
        <v>0.23507584399785841</v>
      </c>
      <c r="Q34" s="675">
        <f t="shared" si="24"/>
        <v>0.23980086846221482</v>
      </c>
      <c r="R34" s="675">
        <f t="shared" si="24"/>
        <v>0.24462086591830534</v>
      </c>
    </row>
    <row r="35" spans="1:18" x14ac:dyDescent="0.25">
      <c r="B35" s="1336">
        <v>6</v>
      </c>
      <c r="C35" s="1337" t="s">
        <v>893</v>
      </c>
      <c r="D35" s="1337" t="s">
        <v>785</v>
      </c>
      <c r="E35" s="1339">
        <f t="shared" si="19"/>
        <v>0</v>
      </c>
      <c r="F35" s="1282">
        <f>'1.BC_Muc tieu (ty) '!K12</f>
        <v>6.9343699999999998E-4</v>
      </c>
      <c r="G35" s="1282">
        <f>'1.BC_Muc tieu (ty) '!R12</f>
        <v>3.3435310000000003E-3</v>
      </c>
      <c r="H35" s="1282">
        <f>'1.BC_Muc tieu (ty) '!Y12</f>
        <v>3.9008753E-2</v>
      </c>
      <c r="I35" s="1282">
        <v>0</v>
      </c>
      <c r="J35" s="1282">
        <v>0</v>
      </c>
      <c r="K35" s="1282">
        <v>0</v>
      </c>
      <c r="L35" s="1340"/>
      <c r="M35" s="1340"/>
      <c r="N35" s="1340"/>
      <c r="O35" s="1340"/>
      <c r="P35" s="1340"/>
      <c r="Q35" s="1340"/>
      <c r="R35" s="1340"/>
    </row>
    <row r="36" spans="1:18" x14ac:dyDescent="0.25">
      <c r="B36" s="1336">
        <v>7</v>
      </c>
      <c r="C36" s="1337" t="s">
        <v>268</v>
      </c>
      <c r="D36" s="1337" t="s">
        <v>785</v>
      </c>
      <c r="E36" s="1338">
        <f ca="1">SUM(I36:R36)</f>
        <v>31.354705701786326</v>
      </c>
      <c r="F36" s="1282">
        <f>'1.BC_Muc tieu (ty) '!K13</f>
        <v>7.7290977510000003</v>
      </c>
      <c r="G36" s="1282">
        <f>'1.BC_Muc tieu (ty) '!R13</f>
        <v>21.694515916999997</v>
      </c>
      <c r="H36" s="1282">
        <f>'1.BC_Muc tieu (ty) '!Y14</f>
        <v>18.194325678000002</v>
      </c>
      <c r="I36" s="1282">
        <f>I37</f>
        <v>16.592179068504947</v>
      </c>
      <c r="J36" s="1282">
        <f ca="1">J37</f>
        <v>8.2386706203073476</v>
      </c>
      <c r="K36" s="1282">
        <f t="shared" ref="K36:R36" ca="1" si="25">K37</f>
        <v>4.9534377298632162</v>
      </c>
      <c r="L36" s="1282">
        <f t="shared" ca="1" si="25"/>
        <v>1.5704182831108144</v>
      </c>
      <c r="M36" s="1282">
        <f t="shared" ca="1" si="25"/>
        <v>0</v>
      </c>
      <c r="N36" s="1282">
        <f t="shared" ca="1" si="25"/>
        <v>0</v>
      </c>
      <c r="O36" s="1282">
        <f t="shared" ca="1" si="25"/>
        <v>0</v>
      </c>
      <c r="P36" s="1282">
        <f t="shared" ca="1" si="25"/>
        <v>0</v>
      </c>
      <c r="Q36" s="1282">
        <f t="shared" ca="1" si="25"/>
        <v>0</v>
      </c>
      <c r="R36" s="1282">
        <f t="shared" ca="1" si="25"/>
        <v>0</v>
      </c>
    </row>
    <row r="37" spans="1:18" x14ac:dyDescent="0.25">
      <c r="C37" s="493" t="s">
        <v>894</v>
      </c>
      <c r="D37" s="493" t="s">
        <v>785</v>
      </c>
      <c r="E37" s="1304">
        <f ca="1">SUM(I37:R37)</f>
        <v>31.354705701786326</v>
      </c>
      <c r="F37" s="667">
        <f>F36</f>
        <v>7.7290977510000003</v>
      </c>
      <c r="G37" s="667">
        <f t="shared" ref="G37:H37" si="26">G36</f>
        <v>21.694515916999997</v>
      </c>
      <c r="H37" s="667">
        <f t="shared" si="26"/>
        <v>18.194325678000002</v>
      </c>
      <c r="I37" s="667">
        <f>I152</f>
        <v>16.592179068504947</v>
      </c>
      <c r="J37" s="667">
        <f t="shared" ref="J37:R37" ca="1" si="27">J152</f>
        <v>8.2386706203073476</v>
      </c>
      <c r="K37" s="667">
        <f t="shared" ca="1" si="27"/>
        <v>4.9534377298632162</v>
      </c>
      <c r="L37" s="667">
        <f t="shared" ca="1" si="27"/>
        <v>1.5704182831108144</v>
      </c>
      <c r="M37" s="667">
        <f t="shared" ca="1" si="27"/>
        <v>0</v>
      </c>
      <c r="N37" s="667">
        <f t="shared" ca="1" si="27"/>
        <v>0</v>
      </c>
      <c r="O37" s="667">
        <f t="shared" ca="1" si="27"/>
        <v>0</v>
      </c>
      <c r="P37" s="667">
        <f t="shared" ca="1" si="27"/>
        <v>0</v>
      </c>
      <c r="Q37" s="667">
        <f t="shared" ca="1" si="27"/>
        <v>0</v>
      </c>
      <c r="R37" s="667">
        <f t="shared" ca="1" si="27"/>
        <v>0</v>
      </c>
    </row>
    <row r="38" spans="1:18" x14ac:dyDescent="0.25">
      <c r="B38" s="1336">
        <v>8</v>
      </c>
      <c r="C38" s="1337" t="s">
        <v>199</v>
      </c>
      <c r="D38" s="1337" t="s">
        <v>785</v>
      </c>
      <c r="E38" s="1338">
        <f ca="1">SUM(I38:R38)</f>
        <v>63.226120939317262</v>
      </c>
      <c r="F38" s="1282">
        <f>'1.BC_Muc tieu (ty) '!K16</f>
        <v>0</v>
      </c>
      <c r="G38" s="1282">
        <f>'1.BC_Muc tieu (ty) '!R16</f>
        <v>0</v>
      </c>
      <c r="H38" s="1282">
        <f>'1.BC_Muc tieu (ty) '!Y16</f>
        <v>0.24060000000000001</v>
      </c>
      <c r="I38" s="1282">
        <f ca="1">SUM(I39:I43)+I44</f>
        <v>14.646871865789029</v>
      </c>
      <c r="J38" s="1282">
        <f t="shared" ref="J38:R38" ca="1" si="28">SUM(J39:J43)+J44</f>
        <v>13.836177152356333</v>
      </c>
      <c r="K38" s="1282">
        <f t="shared" ca="1" si="28"/>
        <v>10.474334005081159</v>
      </c>
      <c r="L38" s="1282">
        <f t="shared" ca="1" si="28"/>
        <v>4.6585228843397211</v>
      </c>
      <c r="M38" s="1282">
        <f t="shared" ca="1" si="28"/>
        <v>3.6028107322031091</v>
      </c>
      <c r="N38" s="1282">
        <f t="shared" ca="1" si="28"/>
        <v>3.4278682034674763</v>
      </c>
      <c r="O38" s="1282">
        <f t="shared" ca="1" si="28"/>
        <v>3.4278682034674763</v>
      </c>
      <c r="P38" s="1282">
        <f t="shared" ca="1" si="28"/>
        <v>3.1080634672813527</v>
      </c>
      <c r="Q38" s="1282">
        <f t="shared" ca="1" si="28"/>
        <v>3.0883704318166099</v>
      </c>
      <c r="R38" s="1282">
        <f t="shared" ca="1" si="28"/>
        <v>2.9552339935149932</v>
      </c>
    </row>
    <row r="39" spans="1:18" s="474" customFormat="1" x14ac:dyDescent="0.25">
      <c r="A39" s="1288"/>
      <c r="B39" s="1327"/>
      <c r="C39" s="689" t="s">
        <v>941</v>
      </c>
      <c r="D39" s="493"/>
      <c r="E39" s="1304">
        <f t="shared" ref="E39:E44" ca="1" si="29">SUM(I39:R39)</f>
        <v>40.621873912285203</v>
      </c>
      <c r="F39" s="673"/>
      <c r="G39" s="673"/>
      <c r="H39" s="673"/>
      <c r="I39" s="673">
        <f t="shared" ref="I39:R39" ca="1" si="30">I100+I132</f>
        <v>11.81037516780288</v>
      </c>
      <c r="J39" s="673">
        <f t="shared" ca="1" si="30"/>
        <v>11.310268493563434</v>
      </c>
      <c r="K39" s="673">
        <f t="shared" ca="1" si="30"/>
        <v>8.0100376068563648</v>
      </c>
      <c r="L39" s="673">
        <f t="shared" ca="1" si="30"/>
        <v>2.3689462543653379</v>
      </c>
      <c r="M39" s="673">
        <f t="shared" ca="1" si="30"/>
        <v>1.3482915734930927</v>
      </c>
      <c r="N39" s="673">
        <f t="shared" ca="1" si="30"/>
        <v>1.3482915734930927</v>
      </c>
      <c r="O39" s="673">
        <f t="shared" ca="1" si="30"/>
        <v>1.3482915734930927</v>
      </c>
      <c r="P39" s="673">
        <f t="shared" ca="1" si="30"/>
        <v>1.0329470091028079</v>
      </c>
      <c r="Q39" s="673">
        <f t="shared" ca="1" si="30"/>
        <v>1.0222123300575485</v>
      </c>
      <c r="R39" s="673">
        <f t="shared" ca="1" si="30"/>
        <v>1.0222123300575485</v>
      </c>
    </row>
    <row r="40" spans="1:18" s="474" customFormat="1" x14ac:dyDescent="0.25">
      <c r="A40" s="1288"/>
      <c r="B40" s="1327"/>
      <c r="C40" s="689" t="s">
        <v>942</v>
      </c>
      <c r="D40" s="493"/>
      <c r="E40" s="1304">
        <f t="shared" ca="1" si="29"/>
        <v>0.72272007673620231</v>
      </c>
      <c r="F40" s="673"/>
      <c r="G40" s="673"/>
      <c r="H40" s="673"/>
      <c r="I40" s="673">
        <f t="shared" ref="I40:R40" ca="1" si="31">I101+I133</f>
        <v>0.23396342847353022</v>
      </c>
      <c r="J40" s="673">
        <f t="shared" ca="1" si="31"/>
        <v>0.106588369282234</v>
      </c>
      <c r="K40" s="673">
        <f t="shared" ca="1" si="31"/>
        <v>5.4210569356753037E-2</v>
      </c>
      <c r="L40" s="673">
        <f t="shared" ca="1" si="31"/>
        <v>5.3198542917310888E-2</v>
      </c>
      <c r="M40" s="673">
        <f t="shared" ca="1" si="31"/>
        <v>5.1803218700859563E-2</v>
      </c>
      <c r="N40" s="673">
        <f t="shared" ca="1" si="31"/>
        <v>4.4840322119092613E-2</v>
      </c>
      <c r="O40" s="673">
        <f t="shared" ca="1" si="31"/>
        <v>4.4840322119092613E-2</v>
      </c>
      <c r="P40" s="673">
        <f t="shared" ca="1" si="31"/>
        <v>4.4662802592103999E-2</v>
      </c>
      <c r="Q40" s="673">
        <f t="shared" ca="1" si="31"/>
        <v>4.4306250587612672E-2</v>
      </c>
      <c r="R40" s="673">
        <f t="shared" ca="1" si="31"/>
        <v>4.4306250587612672E-2</v>
      </c>
    </row>
    <row r="41" spans="1:18" s="474" customFormat="1" x14ac:dyDescent="0.25">
      <c r="A41" s="1288"/>
      <c r="B41" s="1327"/>
      <c r="C41" s="689" t="s">
        <v>943</v>
      </c>
      <c r="D41" s="493"/>
      <c r="E41" s="1304">
        <f t="shared" ca="1" si="29"/>
        <v>7.2051144723232907</v>
      </c>
      <c r="F41" s="673"/>
      <c r="G41" s="673"/>
      <c r="H41" s="673"/>
      <c r="I41" s="673">
        <f t="shared" ref="I41:R41" ca="1" si="32">I102+I134</f>
        <v>0.93671409920483462</v>
      </c>
      <c r="J41" s="673">
        <f t="shared" ca="1" si="32"/>
        <v>0.84007298444054879</v>
      </c>
      <c r="K41" s="673">
        <f t="shared" ca="1" si="32"/>
        <v>0.83549807318625047</v>
      </c>
      <c r="L41" s="673">
        <f t="shared" ca="1" si="32"/>
        <v>0.74953310198783119</v>
      </c>
      <c r="M41" s="673">
        <f t="shared" ca="1" si="32"/>
        <v>0.73106734433535803</v>
      </c>
      <c r="N41" s="673">
        <f t="shared" ca="1" si="32"/>
        <v>0.63892018647613069</v>
      </c>
      <c r="O41" s="673">
        <f t="shared" ca="1" si="32"/>
        <v>0.63892018647613069</v>
      </c>
      <c r="P41" s="673">
        <f t="shared" ca="1" si="32"/>
        <v>0.63657088835222209</v>
      </c>
      <c r="Q41" s="673">
        <f t="shared" ca="1" si="32"/>
        <v>0.63185226967721242</v>
      </c>
      <c r="R41" s="673">
        <f t="shared" ca="1" si="32"/>
        <v>0.56596533818677097</v>
      </c>
    </row>
    <row r="42" spans="1:18" s="474" customFormat="1" x14ac:dyDescent="0.25">
      <c r="A42" s="1288"/>
      <c r="B42" s="1327"/>
      <c r="C42" s="689" t="s">
        <v>944</v>
      </c>
      <c r="D42" s="493"/>
      <c r="E42" s="1304">
        <f t="shared" ca="1" si="29"/>
        <v>7.8742524779725684</v>
      </c>
      <c r="F42" s="673"/>
      <c r="G42" s="673"/>
      <c r="H42" s="673"/>
      <c r="I42" s="673">
        <f t="shared" ref="I42:R42" ca="1" si="33">I103+I135</f>
        <v>0.98560317030778488</v>
      </c>
      <c r="J42" s="673">
        <f t="shared" ca="1" si="33"/>
        <v>0.89903130507011775</v>
      </c>
      <c r="K42" s="673">
        <f t="shared" ca="1" si="33"/>
        <v>0.89437175568179073</v>
      </c>
      <c r="L42" s="673">
        <f t="shared" ca="1" si="33"/>
        <v>0.80662898506924163</v>
      </c>
      <c r="M42" s="673">
        <f t="shared" ca="1" si="33"/>
        <v>0.79143259567379842</v>
      </c>
      <c r="N42" s="673">
        <f t="shared" ca="1" si="33"/>
        <v>0.71560012137916029</v>
      </c>
      <c r="O42" s="673">
        <f t="shared" ca="1" si="33"/>
        <v>0.71560012137916029</v>
      </c>
      <c r="P42" s="673">
        <f t="shared" ca="1" si="33"/>
        <v>0.71366676723421851</v>
      </c>
      <c r="Q42" s="673">
        <f t="shared" ca="1" si="33"/>
        <v>0.70978358149423604</v>
      </c>
      <c r="R42" s="673">
        <f t="shared" ca="1" si="33"/>
        <v>0.64253407468306123</v>
      </c>
    </row>
    <row r="43" spans="1:18" s="474" customFormat="1" x14ac:dyDescent="0.25">
      <c r="A43" s="1288"/>
      <c r="B43" s="1327"/>
      <c r="C43" s="689" t="s">
        <v>945</v>
      </c>
      <c r="D43" s="493"/>
      <c r="E43" s="1304">
        <f t="shared" si="29"/>
        <v>6.8021599999999989</v>
      </c>
      <c r="F43" s="673"/>
      <c r="G43" s="673"/>
      <c r="H43" s="673"/>
      <c r="I43" s="673">
        <f t="shared" ref="I43:R43" si="34">I104+I136</f>
        <v>0.68021600000000004</v>
      </c>
      <c r="J43" s="673">
        <f t="shared" si="34"/>
        <v>0.68021600000000004</v>
      </c>
      <c r="K43" s="673">
        <f t="shared" si="34"/>
        <v>0.68021600000000004</v>
      </c>
      <c r="L43" s="673">
        <f t="shared" si="34"/>
        <v>0.68021600000000004</v>
      </c>
      <c r="M43" s="673">
        <f t="shared" si="34"/>
        <v>0.68021600000000004</v>
      </c>
      <c r="N43" s="673">
        <f t="shared" si="34"/>
        <v>0.68021600000000004</v>
      </c>
      <c r="O43" s="673">
        <f t="shared" si="34"/>
        <v>0.68021600000000004</v>
      </c>
      <c r="P43" s="673">
        <f t="shared" si="34"/>
        <v>0.68021600000000004</v>
      </c>
      <c r="Q43" s="673">
        <f t="shared" si="34"/>
        <v>0.68021600000000004</v>
      </c>
      <c r="R43" s="673">
        <f t="shared" si="34"/>
        <v>0.68021600000000004</v>
      </c>
    </row>
    <row r="44" spans="1:18" s="474" customFormat="1" x14ac:dyDescent="0.25">
      <c r="A44" s="1288"/>
      <c r="B44" s="1328"/>
      <c r="C44" s="689" t="s">
        <v>1404</v>
      </c>
      <c r="D44" s="493"/>
      <c r="E44" s="1304">
        <f t="shared" si="29"/>
        <v>0</v>
      </c>
      <c r="F44" s="673"/>
      <c r="G44" s="673"/>
      <c r="H44" s="673"/>
      <c r="I44" s="673">
        <f>+I137</f>
        <v>0</v>
      </c>
      <c r="J44" s="673">
        <f t="shared" ref="J44:R44" si="35">+J137</f>
        <v>0</v>
      </c>
      <c r="K44" s="673">
        <f t="shared" si="35"/>
        <v>0</v>
      </c>
      <c r="L44" s="673">
        <f t="shared" si="35"/>
        <v>0</v>
      </c>
      <c r="M44" s="673">
        <f t="shared" si="35"/>
        <v>0</v>
      </c>
      <c r="N44" s="673">
        <f t="shared" si="35"/>
        <v>0</v>
      </c>
      <c r="O44" s="673">
        <f t="shared" si="35"/>
        <v>0</v>
      </c>
      <c r="P44" s="673">
        <f t="shared" si="35"/>
        <v>0</v>
      </c>
      <c r="Q44" s="673">
        <f t="shared" si="35"/>
        <v>0</v>
      </c>
      <c r="R44" s="673">
        <f t="shared" si="35"/>
        <v>0</v>
      </c>
    </row>
    <row r="45" spans="1:18" x14ac:dyDescent="0.25">
      <c r="B45" s="1336">
        <v>9</v>
      </c>
      <c r="C45" s="1337" t="s">
        <v>18</v>
      </c>
      <c r="D45" s="1337" t="s">
        <v>785</v>
      </c>
      <c r="E45" s="1338">
        <f ca="1">SUM(I45:R45)</f>
        <v>285.6480405603001</v>
      </c>
      <c r="F45" s="1282">
        <f>'1.BC_Muc tieu (ty) '!K17</f>
        <v>19.849996433999998</v>
      </c>
      <c r="G45" s="1282">
        <f>'1.BC_Muc tieu (ty) '!R17</f>
        <v>12.424524835000001</v>
      </c>
      <c r="H45" s="1282">
        <f>'1.BC_Muc tieu (ty) '!Y17</f>
        <v>28.221520755</v>
      </c>
      <c r="I45" s="1282">
        <f ca="1">SUM(I46:I51)</f>
        <v>27.916675756757815</v>
      </c>
      <c r="J45" s="1282">
        <f t="shared" ref="J45:R45" ca="1" si="36">SUM(J46:J51)</f>
        <v>28.158186784182206</v>
      </c>
      <c r="K45" s="1282">
        <f t="shared" ca="1" si="36"/>
        <v>28.381565964429079</v>
      </c>
      <c r="L45" s="1282">
        <f t="shared" ca="1" si="36"/>
        <v>28.129189861043951</v>
      </c>
      <c r="M45" s="1282">
        <f t="shared" ca="1" si="36"/>
        <v>28.205520062625453</v>
      </c>
      <c r="N45" s="1282">
        <f t="shared" ca="1" si="36"/>
        <v>28.457271615659792</v>
      </c>
      <c r="O45" s="1282">
        <f t="shared" ca="1" si="36"/>
        <v>28.711653076690752</v>
      </c>
      <c r="P45" s="1282">
        <f t="shared" ca="1" si="36"/>
        <v>28.968693003886862</v>
      </c>
      <c r="Q45" s="1282">
        <f t="shared" ca="1" si="36"/>
        <v>29.228420286406035</v>
      </c>
      <c r="R45" s="1282">
        <f t="shared" ca="1" si="36"/>
        <v>29.490864148618122</v>
      </c>
    </row>
    <row r="46" spans="1:18" s="474" customFormat="1" x14ac:dyDescent="0.25">
      <c r="A46" s="1288"/>
      <c r="B46" s="1327"/>
      <c r="C46" s="689" t="s">
        <v>941</v>
      </c>
      <c r="D46" s="493"/>
      <c r="E46" s="1304">
        <f t="shared" ref="E46:E50" ca="1" si="37">SUM(I46:R46)</f>
        <v>22.328845337696208</v>
      </c>
      <c r="F46" s="667"/>
      <c r="G46" s="667"/>
      <c r="H46" s="667"/>
      <c r="I46" s="667">
        <f ca="1">I140+I146</f>
        <v>2.5522178751053195</v>
      </c>
      <c r="J46" s="667">
        <f t="shared" ref="J46:R46" ca="1" si="38">J140+J146</f>
        <v>2.5522178751053195</v>
      </c>
      <c r="K46" s="667">
        <f t="shared" ca="1" si="38"/>
        <v>2.5369125174332452</v>
      </c>
      <c r="L46" s="667">
        <f t="shared" ca="1" si="38"/>
        <v>2.1842228477688019</v>
      </c>
      <c r="M46" s="667">
        <f t="shared" ca="1" si="38"/>
        <v>2.0838790370472533</v>
      </c>
      <c r="N46" s="667">
        <f t="shared" ca="1" si="38"/>
        <v>2.0838790370472533</v>
      </c>
      <c r="O46" s="667">
        <f t="shared" ca="1" si="38"/>
        <v>2.0838790370472533</v>
      </c>
      <c r="P46" s="667">
        <f t="shared" ca="1" si="38"/>
        <v>2.0838790370472533</v>
      </c>
      <c r="Q46" s="667">
        <f t="shared" ca="1" si="38"/>
        <v>2.0838790370472533</v>
      </c>
      <c r="R46" s="667">
        <f t="shared" ca="1" si="38"/>
        <v>2.0838790370472533</v>
      </c>
    </row>
    <row r="47" spans="1:18" s="474" customFormat="1" x14ac:dyDescent="0.25">
      <c r="A47" s="1288"/>
      <c r="B47" s="1327"/>
      <c r="C47" s="689" t="s">
        <v>942</v>
      </c>
      <c r="D47" s="493"/>
      <c r="E47" s="1304">
        <f t="shared" ca="1" si="37"/>
        <v>0.9678100995008726</v>
      </c>
      <c r="F47" s="667"/>
      <c r="G47" s="667"/>
      <c r="H47" s="667"/>
      <c r="I47" s="667">
        <f t="shared" ref="I47:R50" ca="1" si="39">I141+I147</f>
        <v>0.11062203164995525</v>
      </c>
      <c r="J47" s="667">
        <f t="shared" ca="1" si="39"/>
        <v>0.11062203164995525</v>
      </c>
      <c r="K47" s="667">
        <f t="shared" ca="1" si="39"/>
        <v>0.10995864402253953</v>
      </c>
      <c r="L47" s="667">
        <f t="shared" ca="1" si="39"/>
        <v>9.4671842617066931E-2</v>
      </c>
      <c r="M47" s="667">
        <f t="shared" ca="1" si="39"/>
        <v>9.0322591593559307E-2</v>
      </c>
      <c r="N47" s="667">
        <f t="shared" ca="1" si="39"/>
        <v>9.0322591593559307E-2</v>
      </c>
      <c r="O47" s="667">
        <f t="shared" ca="1" si="39"/>
        <v>9.0322591593559307E-2</v>
      </c>
      <c r="P47" s="667">
        <f t="shared" ca="1" si="39"/>
        <v>9.0322591593559307E-2</v>
      </c>
      <c r="Q47" s="667">
        <f t="shared" ca="1" si="39"/>
        <v>9.0322591593559307E-2</v>
      </c>
      <c r="R47" s="667">
        <f t="shared" ca="1" si="39"/>
        <v>9.0322591593559307E-2</v>
      </c>
    </row>
    <row r="48" spans="1:18" s="474" customFormat="1" x14ac:dyDescent="0.25">
      <c r="A48" s="1288"/>
      <c r="B48" s="1327"/>
      <c r="C48" s="689" t="s">
        <v>943</v>
      </c>
      <c r="D48" s="493"/>
      <c r="E48" s="1304">
        <f t="shared" ca="1" si="37"/>
        <v>7.3381684572270567</v>
      </c>
      <c r="F48" s="667"/>
      <c r="G48" s="667"/>
      <c r="H48" s="667"/>
      <c r="I48" s="667">
        <f t="shared" ca="1" si="39"/>
        <v>0.80127164098236703</v>
      </c>
      <c r="J48" s="667">
        <f t="shared" ca="1" si="39"/>
        <v>0.80127164098236703</v>
      </c>
      <c r="K48" s="667">
        <f t="shared" ca="1" si="39"/>
        <v>0.79895459744831343</v>
      </c>
      <c r="L48" s="667">
        <f t="shared" ca="1" si="39"/>
        <v>0.73413695802589429</v>
      </c>
      <c r="M48" s="667">
        <f t="shared" ca="1" si="39"/>
        <v>0.70042226996468604</v>
      </c>
      <c r="N48" s="667">
        <f t="shared" ca="1" si="39"/>
        <v>0.70042226996468604</v>
      </c>
      <c r="O48" s="667">
        <f t="shared" ca="1" si="39"/>
        <v>0.70042226996468604</v>
      </c>
      <c r="P48" s="667">
        <f t="shared" ca="1" si="39"/>
        <v>0.70042226996468604</v>
      </c>
      <c r="Q48" s="667">
        <f t="shared" ca="1" si="39"/>
        <v>0.70042226996468604</v>
      </c>
      <c r="R48" s="667">
        <f t="shared" ca="1" si="39"/>
        <v>0.70042226996468604</v>
      </c>
    </row>
    <row r="49" spans="1:18" s="474" customFormat="1" x14ac:dyDescent="0.25">
      <c r="A49" s="1288"/>
      <c r="B49" s="1327"/>
      <c r="C49" s="689" t="s">
        <v>944</v>
      </c>
      <c r="D49" s="493"/>
      <c r="E49" s="1304">
        <f t="shared" ca="1" si="37"/>
        <v>7.4899255206236468</v>
      </c>
      <c r="F49" s="667"/>
      <c r="G49" s="667"/>
      <c r="H49" s="667"/>
      <c r="I49" s="667">
        <f t="shared" ca="1" si="39"/>
        <v>0.8178423468645265</v>
      </c>
      <c r="J49" s="667">
        <f t="shared" ca="1" si="39"/>
        <v>0.8178423468645265</v>
      </c>
      <c r="K49" s="667">
        <f t="shared" ca="1" si="39"/>
        <v>0.81547738568936945</v>
      </c>
      <c r="L49" s="667">
        <f t="shared" ca="1" si="39"/>
        <v>0.74931928445111973</v>
      </c>
      <c r="M49" s="667">
        <f t="shared" ca="1" si="39"/>
        <v>0.7149073594590174</v>
      </c>
      <c r="N49" s="667">
        <f t="shared" ca="1" si="39"/>
        <v>0.7149073594590174</v>
      </c>
      <c r="O49" s="667">
        <f t="shared" ca="1" si="39"/>
        <v>0.7149073594590174</v>
      </c>
      <c r="P49" s="667">
        <f t="shared" ca="1" si="39"/>
        <v>0.7149073594590174</v>
      </c>
      <c r="Q49" s="667">
        <f t="shared" ca="1" si="39"/>
        <v>0.7149073594590174</v>
      </c>
      <c r="R49" s="667">
        <f t="shared" ca="1" si="39"/>
        <v>0.7149073594590174</v>
      </c>
    </row>
    <row r="50" spans="1:18" s="474" customFormat="1" x14ac:dyDescent="0.25">
      <c r="A50" s="1288"/>
      <c r="B50" s="1327"/>
      <c r="C50" s="689" t="s">
        <v>945</v>
      </c>
      <c r="D50" s="493"/>
      <c r="E50" s="1304">
        <f t="shared" si="37"/>
        <v>0</v>
      </c>
      <c r="F50" s="667"/>
      <c r="G50" s="667"/>
      <c r="H50" s="667"/>
      <c r="I50" s="667">
        <f t="shared" si="39"/>
        <v>0</v>
      </c>
      <c r="J50" s="667">
        <f t="shared" si="39"/>
        <v>0</v>
      </c>
      <c r="K50" s="667">
        <f t="shared" si="39"/>
        <v>0</v>
      </c>
      <c r="L50" s="667">
        <f t="shared" si="39"/>
        <v>0</v>
      </c>
      <c r="M50" s="667">
        <f t="shared" si="39"/>
        <v>0</v>
      </c>
      <c r="N50" s="667">
        <f t="shared" si="39"/>
        <v>0</v>
      </c>
      <c r="O50" s="667">
        <f t="shared" si="39"/>
        <v>0</v>
      </c>
      <c r="P50" s="667">
        <f t="shared" si="39"/>
        <v>0</v>
      </c>
      <c r="Q50" s="667">
        <f t="shared" si="39"/>
        <v>0</v>
      </c>
      <c r="R50" s="667">
        <f t="shared" si="39"/>
        <v>0</v>
      </c>
    </row>
    <row r="51" spans="1:18" s="474" customFormat="1" x14ac:dyDescent="0.25">
      <c r="A51" s="1288"/>
      <c r="B51" s="1327"/>
      <c r="C51" s="689" t="s">
        <v>1405</v>
      </c>
      <c r="D51" s="493"/>
      <c r="E51" s="1304"/>
      <c r="F51" s="667"/>
      <c r="G51" s="667"/>
      <c r="H51" s="667"/>
      <c r="I51" s="667">
        <f>I151</f>
        <v>23.634721862155647</v>
      </c>
      <c r="J51" s="667">
        <f t="shared" ref="J51:R51" si="40">J151</f>
        <v>23.876232889580038</v>
      </c>
      <c r="K51" s="667">
        <f t="shared" si="40"/>
        <v>24.120262819835613</v>
      </c>
      <c r="L51" s="667">
        <f t="shared" si="40"/>
        <v>24.366838928181068</v>
      </c>
      <c r="M51" s="667">
        <f t="shared" si="40"/>
        <v>24.615988804560939</v>
      </c>
      <c r="N51" s="667">
        <f t="shared" si="40"/>
        <v>24.867740357595277</v>
      </c>
      <c r="O51" s="667">
        <f t="shared" si="40"/>
        <v>25.122121818626237</v>
      </c>
      <c r="P51" s="667">
        <f t="shared" si="40"/>
        <v>25.379161745822344</v>
      </c>
      <c r="Q51" s="667">
        <f t="shared" si="40"/>
        <v>25.638889028341517</v>
      </c>
      <c r="R51" s="667">
        <f t="shared" si="40"/>
        <v>25.901332890553604</v>
      </c>
    </row>
    <row r="52" spans="1:18" s="160" customFormat="1" x14ac:dyDescent="0.25">
      <c r="A52" s="679"/>
      <c r="B52" s="1336">
        <v>10</v>
      </c>
      <c r="C52" s="1337" t="s">
        <v>895</v>
      </c>
      <c r="D52" s="1337" t="s">
        <v>785</v>
      </c>
      <c r="E52" s="1338">
        <f t="shared" ref="E52:E58" ca="1" si="41">SUM(I52:R52)</f>
        <v>438.59242860453264</v>
      </c>
      <c r="F52" s="1282">
        <f>F29+F35-F36-F45-F38</f>
        <v>1.0481895910000176</v>
      </c>
      <c r="G52" s="1282">
        <f t="shared" ref="G52:H52" si="42">G29+G35-G36-G45-G38</f>
        <v>-19.444833857000042</v>
      </c>
      <c r="H52" s="1282">
        <f t="shared" si="42"/>
        <v>19.857407260000031</v>
      </c>
      <c r="I52" s="1282">
        <f ca="1">I29-I36-I38-I45+I35</f>
        <v>16.211467480981501</v>
      </c>
      <c r="J52" s="1282">
        <f t="shared" ref="J52:R52" ca="1" si="43">J29-J36-J38-J45+J35</f>
        <v>25.627815957008529</v>
      </c>
      <c r="K52" s="1282">
        <f t="shared" ca="1" si="43"/>
        <v>33.613705725030322</v>
      </c>
      <c r="L52" s="1282">
        <f t="shared" ca="1" si="43"/>
        <v>45.08370991421549</v>
      </c>
      <c r="M52" s="1282">
        <f t="shared" ca="1" si="43"/>
        <v>49.022401809661758</v>
      </c>
      <c r="N52" s="1282">
        <f t="shared" ca="1" si="43"/>
        <v>51.911128903656916</v>
      </c>
      <c r="O52" s="1282">
        <f t="shared" ca="1" si="43"/>
        <v>52.540596335891692</v>
      </c>
      <c r="P52" s="1282">
        <f t="shared" ca="1" si="43"/>
        <v>53.693484769201113</v>
      </c>
      <c r="Q52" s="1282">
        <f t="shared" ca="1" si="43"/>
        <v>54.974076831401305</v>
      </c>
      <c r="R52" s="1282">
        <f t="shared" ca="1" si="43"/>
        <v>55.914040877484005</v>
      </c>
    </row>
    <row r="53" spans="1:18" s="160" customFormat="1" x14ac:dyDescent="0.25">
      <c r="A53" s="679"/>
      <c r="B53" s="1336">
        <v>11</v>
      </c>
      <c r="C53" s="1337" t="s">
        <v>269</v>
      </c>
      <c r="D53" s="1337" t="s">
        <v>785</v>
      </c>
      <c r="E53" s="1338">
        <f t="shared" si="41"/>
        <v>0</v>
      </c>
      <c r="F53" s="1282">
        <f>'1.BC_Muc tieu (ty) '!K19</f>
        <v>1.9620824210000003</v>
      </c>
      <c r="G53" s="1282">
        <f>'1.BC_Muc tieu (ty) '!R19</f>
        <v>3.1092314810000001</v>
      </c>
      <c r="H53" s="1282">
        <f>'1.BC_Muc tieu (ty) '!Y19</f>
        <v>3.0657535999999999E-2</v>
      </c>
      <c r="I53" s="1282">
        <v>0</v>
      </c>
      <c r="J53" s="1282">
        <v>0</v>
      </c>
      <c r="K53" s="1282">
        <v>0</v>
      </c>
      <c r="L53" s="1282">
        <v>0</v>
      </c>
      <c r="M53" s="1282">
        <v>0</v>
      </c>
      <c r="N53" s="1282">
        <v>0</v>
      </c>
      <c r="O53" s="1282">
        <v>0</v>
      </c>
      <c r="P53" s="1282">
        <v>0</v>
      </c>
      <c r="Q53" s="1282">
        <v>0</v>
      </c>
      <c r="R53" s="1282">
        <v>0</v>
      </c>
    </row>
    <row r="54" spans="1:18" s="160" customFormat="1" x14ac:dyDescent="0.25">
      <c r="A54" s="679"/>
      <c r="B54" s="1336">
        <v>12</v>
      </c>
      <c r="C54" s="1337" t="s">
        <v>270</v>
      </c>
      <c r="D54" s="1337" t="s">
        <v>785</v>
      </c>
      <c r="E54" s="1338">
        <f t="shared" si="41"/>
        <v>99.009316458100912</v>
      </c>
      <c r="F54" s="1282">
        <f>'1.BC_Muc tieu (ty) '!K20</f>
        <v>2.5286541490000003</v>
      </c>
      <c r="G54" s="1282">
        <f>'1.BC_Muc tieu (ty) '!R20</f>
        <v>3.3845106540000001</v>
      </c>
      <c r="H54" s="1282">
        <f>'1.BC_Muc tieu (ty) '!Y20</f>
        <v>0.15537829399999997</v>
      </c>
      <c r="I54" s="1282">
        <f>I157</f>
        <v>9.4538887448622599</v>
      </c>
      <c r="J54" s="1282">
        <f t="shared" ref="J54:R54" si="44">J157</f>
        <v>9.5504931558320152</v>
      </c>
      <c r="K54" s="1282">
        <f t="shared" si="44"/>
        <v>9.6481051279342438</v>
      </c>
      <c r="L54" s="1282">
        <f t="shared" si="44"/>
        <v>9.7467355712724277</v>
      </c>
      <c r="M54" s="1282">
        <f t="shared" si="44"/>
        <v>9.8463955218243751</v>
      </c>
      <c r="N54" s="1282">
        <f t="shared" si="44"/>
        <v>9.9470961430381095</v>
      </c>
      <c r="O54" s="1282">
        <f t="shared" si="44"/>
        <v>10.048848727450494</v>
      </c>
      <c r="P54" s="1282">
        <f t="shared" si="44"/>
        <v>10.151664698328938</v>
      </c>
      <c r="Q54" s="1282">
        <f t="shared" si="44"/>
        <v>10.255555611336606</v>
      </c>
      <c r="R54" s="1282">
        <f t="shared" si="44"/>
        <v>10.360533156221441</v>
      </c>
    </row>
    <row r="55" spans="1:18" x14ac:dyDescent="0.25">
      <c r="B55" s="1336">
        <v>13</v>
      </c>
      <c r="C55" s="1280" t="s">
        <v>271</v>
      </c>
      <c r="D55" s="1280" t="s">
        <v>785</v>
      </c>
      <c r="E55" s="1338">
        <f t="shared" si="41"/>
        <v>-99.009316458100912</v>
      </c>
      <c r="F55" s="1345">
        <f>F53-F54</f>
        <v>-0.566571728</v>
      </c>
      <c r="G55" s="1345">
        <f t="shared" ref="G55:H55" si="45">G53-G54</f>
        <v>-0.27527917299999993</v>
      </c>
      <c r="H55" s="1345">
        <f t="shared" si="45"/>
        <v>-0.12472075799999997</v>
      </c>
      <c r="I55" s="1345">
        <f>I53-I54</f>
        <v>-9.4538887448622599</v>
      </c>
      <c r="J55" s="1345">
        <f t="shared" ref="J55:R55" si="46">J53-J54</f>
        <v>-9.5504931558320152</v>
      </c>
      <c r="K55" s="1345">
        <f t="shared" si="46"/>
        <v>-9.6481051279342438</v>
      </c>
      <c r="L55" s="1345">
        <f t="shared" si="46"/>
        <v>-9.7467355712724277</v>
      </c>
      <c r="M55" s="1345">
        <f t="shared" si="46"/>
        <v>-9.8463955218243751</v>
      </c>
      <c r="N55" s="1345">
        <f t="shared" si="46"/>
        <v>-9.9470961430381095</v>
      </c>
      <c r="O55" s="1345">
        <f t="shared" si="46"/>
        <v>-10.048848727450494</v>
      </c>
      <c r="P55" s="1345">
        <f t="shared" si="46"/>
        <v>-10.151664698328938</v>
      </c>
      <c r="Q55" s="1345">
        <f t="shared" si="46"/>
        <v>-10.255555611336606</v>
      </c>
      <c r="R55" s="1345">
        <f t="shared" si="46"/>
        <v>-10.360533156221441</v>
      </c>
    </row>
    <row r="56" spans="1:18" ht="15" customHeight="1" x14ac:dyDescent="0.25">
      <c r="B56" s="1336">
        <v>14</v>
      </c>
      <c r="C56" s="1346" t="s">
        <v>896</v>
      </c>
      <c r="D56" s="1346" t="s">
        <v>785</v>
      </c>
      <c r="E56" s="1347">
        <f t="shared" ca="1" si="41"/>
        <v>339.58311214643174</v>
      </c>
      <c r="F56" s="1345">
        <f>F52+F55</f>
        <v>0.48161786300001763</v>
      </c>
      <c r="G56" s="1345">
        <f t="shared" ref="G56:H56" si="47">G52+G55</f>
        <v>-19.720113030000043</v>
      </c>
      <c r="H56" s="1345">
        <f t="shared" si="47"/>
        <v>19.732686502000032</v>
      </c>
      <c r="I56" s="1345">
        <f ca="1">I52+I53-I54</f>
        <v>6.7575787361192408</v>
      </c>
      <c r="J56" s="1345">
        <f t="shared" ref="J56:R56" ca="1" si="48">J52+J53-J54</f>
        <v>16.077322801176514</v>
      </c>
      <c r="K56" s="1345">
        <f t="shared" ca="1" si="48"/>
        <v>23.965600597096078</v>
      </c>
      <c r="L56" s="1345">
        <f t="shared" ca="1" si="48"/>
        <v>35.336974342943066</v>
      </c>
      <c r="M56" s="1345">
        <f t="shared" ca="1" si="48"/>
        <v>39.176006287837382</v>
      </c>
      <c r="N56" s="1345">
        <f t="shared" ca="1" si="48"/>
        <v>41.964032760618807</v>
      </c>
      <c r="O56" s="1345">
        <f t="shared" ca="1" si="48"/>
        <v>42.491747608441202</v>
      </c>
      <c r="P56" s="1345">
        <f t="shared" ca="1" si="48"/>
        <v>43.541820070872177</v>
      </c>
      <c r="Q56" s="1345">
        <f t="shared" ca="1" si="48"/>
        <v>44.718521220064702</v>
      </c>
      <c r="R56" s="1345">
        <f t="shared" ca="1" si="48"/>
        <v>45.553507721262562</v>
      </c>
    </row>
    <row r="57" spans="1:18" s="160" customFormat="1" x14ac:dyDescent="0.25">
      <c r="A57" s="679"/>
      <c r="B57" s="1336">
        <v>15</v>
      </c>
      <c r="C57" s="1346" t="s">
        <v>15</v>
      </c>
      <c r="D57" s="1346"/>
      <c r="E57" s="1347">
        <f t="shared" ca="1" si="41"/>
        <v>67.916622429286292</v>
      </c>
      <c r="F57" s="1345">
        <f>'1.BC_Muc tieu (ty) '!J23</f>
        <v>4.8379922999999998E-2</v>
      </c>
      <c r="G57" s="1345">
        <f>'1.BC_Muc tieu (ty) '!R23</f>
        <v>3.5389071000000001E-2</v>
      </c>
      <c r="H57" s="1345">
        <f>'1.BC_Muc tieu (ty) '!Y23</f>
        <v>8.0009571079999997</v>
      </c>
      <c r="I57" s="1345">
        <f ca="1">I162</f>
        <v>1.3515157472238533</v>
      </c>
      <c r="J57" s="1345">
        <f t="shared" ref="J57:R57" ca="1" si="49">J162</f>
        <v>3.2154645602353042</v>
      </c>
      <c r="K57" s="1345">
        <f ca="1">K162</f>
        <v>4.7931201194192026</v>
      </c>
      <c r="L57" s="1345">
        <f t="shared" ca="1" si="49"/>
        <v>7.067394868588611</v>
      </c>
      <c r="M57" s="1345">
        <f t="shared" ca="1" si="49"/>
        <v>7.8352012575674763</v>
      </c>
      <c r="N57" s="1345">
        <f t="shared" ca="1" si="49"/>
        <v>8.392806552123762</v>
      </c>
      <c r="O57" s="1345">
        <f t="shared" ca="1" si="49"/>
        <v>8.4983495216882261</v>
      </c>
      <c r="P57" s="1345">
        <f t="shared" ca="1" si="49"/>
        <v>8.7083640141744265</v>
      </c>
      <c r="Q57" s="1345">
        <f t="shared" ca="1" si="49"/>
        <v>8.9437042440129328</v>
      </c>
      <c r="R57" s="1345">
        <f t="shared" ca="1" si="49"/>
        <v>9.1107015442524908</v>
      </c>
    </row>
    <row r="58" spans="1:18" x14ac:dyDescent="0.25">
      <c r="B58" s="1336">
        <v>16</v>
      </c>
      <c r="C58" s="1346" t="s">
        <v>897</v>
      </c>
      <c r="D58" s="1346" t="s">
        <v>785</v>
      </c>
      <c r="E58" s="1347">
        <f t="shared" ca="1" si="41"/>
        <v>271.6664897171454</v>
      </c>
      <c r="F58" s="1348">
        <f>F56-F57</f>
        <v>0.43323794000001764</v>
      </c>
      <c r="G58" s="1348">
        <f t="shared" ref="G58:H58" si="50">G56-G57</f>
        <v>-19.755502101000044</v>
      </c>
      <c r="H58" s="1348">
        <f t="shared" si="50"/>
        <v>11.731729394000032</v>
      </c>
      <c r="I58" s="1348">
        <f ca="1">I56-I57</f>
        <v>5.4060629888953873</v>
      </c>
      <c r="J58" s="1348">
        <f t="shared" ref="J58:R58" ca="1" si="51">J56-J57</f>
        <v>12.86185824094121</v>
      </c>
      <c r="K58" s="1348">
        <f t="shared" ca="1" si="51"/>
        <v>19.172480477676874</v>
      </c>
      <c r="L58" s="1348">
        <f t="shared" ca="1" si="51"/>
        <v>28.269579474354455</v>
      </c>
      <c r="M58" s="1348">
        <f t="shared" ca="1" si="51"/>
        <v>31.340805030269905</v>
      </c>
      <c r="N58" s="1348">
        <f t="shared" ca="1" si="51"/>
        <v>33.571226208495048</v>
      </c>
      <c r="O58" s="1348">
        <f t="shared" ca="1" si="51"/>
        <v>33.993398086752975</v>
      </c>
      <c r="P58" s="1348">
        <f t="shared" ca="1" si="51"/>
        <v>34.833456056697749</v>
      </c>
      <c r="Q58" s="1348">
        <f t="shared" ca="1" si="51"/>
        <v>35.774816976051767</v>
      </c>
      <c r="R58" s="1348">
        <f t="shared" ca="1" si="51"/>
        <v>36.44280617701007</v>
      </c>
    </row>
    <row r="59" spans="1:18" s="474" customFormat="1" x14ac:dyDescent="0.25">
      <c r="A59" s="1288"/>
      <c r="B59" s="1327"/>
      <c r="C59" s="474" t="s">
        <v>238</v>
      </c>
      <c r="E59" s="668"/>
      <c r="I59" s="672">
        <f t="shared" ref="I59:R59" ca="1" si="52">I58/I17</f>
        <v>1.1436696865791501E-2</v>
      </c>
      <c r="J59" s="672">
        <f t="shared" ca="1" si="52"/>
        <v>2.6934437899863019E-2</v>
      </c>
      <c r="K59" s="672">
        <f t="shared" ca="1" si="52"/>
        <v>3.9743514863175823E-2</v>
      </c>
      <c r="L59" s="672">
        <f t="shared" ca="1" si="52"/>
        <v>5.8008302918725607E-2</v>
      </c>
      <c r="M59" s="672">
        <f t="shared" ca="1" si="52"/>
        <v>6.3659447684796991E-2</v>
      </c>
      <c r="N59" s="672">
        <f t="shared" ca="1" si="52"/>
        <v>6.7499551076504419E-2</v>
      </c>
      <c r="O59" s="672">
        <f t="shared" ca="1" si="52"/>
        <v>6.7656303739338869E-2</v>
      </c>
      <c r="P59" s="672">
        <f t="shared" ca="1" si="52"/>
        <v>6.8626096491212263E-2</v>
      </c>
      <c r="Q59" s="672">
        <f t="shared" ca="1" si="52"/>
        <v>6.9766706616082086E-2</v>
      </c>
      <c r="R59" s="672">
        <f t="shared" ca="1" si="52"/>
        <v>7.0349287295367366E-2</v>
      </c>
    </row>
    <row r="60" spans="1:18" s="474" customFormat="1" x14ac:dyDescent="0.25">
      <c r="A60" s="1288"/>
      <c r="B60" s="1327"/>
      <c r="E60" s="668"/>
      <c r="I60" s="672"/>
      <c r="J60" s="672"/>
      <c r="K60" s="672"/>
      <c r="L60" s="672"/>
      <c r="M60" s="672"/>
      <c r="N60" s="672"/>
      <c r="O60" s="672"/>
      <c r="P60" s="672"/>
      <c r="Q60" s="672"/>
      <c r="R60" s="672"/>
    </row>
    <row r="61" spans="1:18" s="474" customFormat="1" x14ac:dyDescent="0.25">
      <c r="A61" s="1288"/>
      <c r="B61" s="1327"/>
      <c r="E61" s="668"/>
      <c r="I61" s="674"/>
      <c r="J61" s="674"/>
      <c r="K61" s="674"/>
      <c r="L61" s="674"/>
      <c r="M61" s="674"/>
      <c r="N61" s="674"/>
      <c r="O61" s="674"/>
      <c r="P61" s="674"/>
      <c r="Q61" s="674"/>
      <c r="R61" s="674"/>
    </row>
    <row r="62" spans="1:18" x14ac:dyDescent="0.25">
      <c r="C62" s="1114" t="s">
        <v>1387</v>
      </c>
      <c r="D62" s="1270"/>
    </row>
    <row r="64" spans="1:18" ht="22.15" customHeight="1" x14ac:dyDescent="0.25">
      <c r="A64" s="679" t="s">
        <v>1</v>
      </c>
      <c r="B64" s="1329"/>
      <c r="C64" s="663" t="s">
        <v>3</v>
      </c>
      <c r="D64" s="663" t="s">
        <v>898</v>
      </c>
      <c r="E64" s="1303"/>
      <c r="F64" s="663">
        <v>2021</v>
      </c>
      <c r="G64" s="663">
        <v>2022</v>
      </c>
      <c r="H64" s="663">
        <v>2023</v>
      </c>
      <c r="I64" s="663">
        <v>2024</v>
      </c>
      <c r="J64" s="663">
        <v>2025</v>
      </c>
      <c r="K64" s="663">
        <v>2026</v>
      </c>
      <c r="L64" s="663">
        <v>2027</v>
      </c>
      <c r="M64" s="663">
        <v>2028</v>
      </c>
      <c r="N64" s="663">
        <v>2029</v>
      </c>
      <c r="O64" s="663">
        <v>2030</v>
      </c>
      <c r="P64" s="663">
        <v>2031</v>
      </c>
      <c r="Q64" s="663">
        <v>2032</v>
      </c>
      <c r="R64" s="663">
        <v>2033</v>
      </c>
    </row>
    <row r="65" spans="1:20" s="506" customFormat="1" x14ac:dyDescent="0.25">
      <c r="A65" s="679"/>
      <c r="B65" s="1330"/>
      <c r="C65" s="680"/>
      <c r="D65" s="680"/>
      <c r="E65" s="1335"/>
      <c r="F65" s="680"/>
      <c r="G65" s="680"/>
      <c r="H65" s="680"/>
      <c r="I65" s="680"/>
      <c r="J65" s="680"/>
      <c r="K65" s="680"/>
      <c r="L65" s="680"/>
      <c r="M65" s="680"/>
      <c r="N65" s="680"/>
      <c r="O65" s="680"/>
      <c r="P65" s="680"/>
      <c r="Q65" s="680"/>
      <c r="R65" s="680"/>
    </row>
    <row r="66" spans="1:20" s="693" customFormat="1" x14ac:dyDescent="0.25">
      <c r="A66" s="679"/>
      <c r="B66" s="1336">
        <v>1</v>
      </c>
      <c r="C66" s="1337" t="s">
        <v>890</v>
      </c>
      <c r="D66" s="1279" t="s">
        <v>785</v>
      </c>
      <c r="E66" s="1338"/>
      <c r="F66" s="1280"/>
      <c r="G66" s="1280"/>
      <c r="H66" s="1282"/>
      <c r="I66" s="1300">
        <f>SUM(I67:I71)</f>
        <v>472.69443724311299</v>
      </c>
      <c r="J66" s="1300">
        <f t="shared" ref="J66:R66" si="53">SUM(J67:J71)</f>
        <v>477.52465779160076</v>
      </c>
      <c r="K66" s="1300">
        <f t="shared" si="53"/>
        <v>482.40525639671222</v>
      </c>
      <c r="L66" s="1300">
        <f t="shared" si="53"/>
        <v>487.33677856362141</v>
      </c>
      <c r="M66" s="1300">
        <f t="shared" si="53"/>
        <v>492.31977609121873</v>
      </c>
      <c r="N66" s="1300">
        <f t="shared" si="53"/>
        <v>497.3548071519055</v>
      </c>
      <c r="O66" s="1300">
        <f t="shared" si="53"/>
        <v>502.4424363725247</v>
      </c>
      <c r="P66" s="1300">
        <f t="shared" si="53"/>
        <v>507.58323491644688</v>
      </c>
      <c r="Q66" s="1300">
        <f t="shared" si="53"/>
        <v>512.7777805668303</v>
      </c>
      <c r="R66" s="1300">
        <f t="shared" si="53"/>
        <v>518.02665781107203</v>
      </c>
    </row>
    <row r="67" spans="1:20" s="507" customFormat="1" x14ac:dyDescent="0.25">
      <c r="A67" s="1288"/>
      <c r="B67" s="1331"/>
      <c r="C67" s="1311" t="s">
        <v>921</v>
      </c>
      <c r="D67" s="1289" t="s">
        <v>951</v>
      </c>
      <c r="E67" s="1305">
        <f t="shared" ref="E67:E73" si="54">SUM(I67:R67)</f>
        <v>2809.335715358648</v>
      </c>
      <c r="H67" s="1290"/>
      <c r="I67" s="1110">
        <f>SUMIFS('3. Doanh thu'!E$19:E$121,'3. Doanh thu'!$C$19:$C$121,'4. KQ-PL'!$D67)</f>
        <v>268.52214140334996</v>
      </c>
      <c r="J67" s="1110">
        <f>SUMIFS('3. Doanh thu'!F$19:F$121,'3. Doanh thu'!$C$19:$C$121,'4. KQ-PL'!$D67)</f>
        <v>271.20736281738345</v>
      </c>
      <c r="K67" s="1110">
        <f>SUMIFS('3. Doanh thu'!G$19:G$121,'3. Doanh thu'!$C$19:$C$121,'4. KQ-PL'!$D67)</f>
        <v>273.91943644555732</v>
      </c>
      <c r="L67" s="1110">
        <f>SUMIFS('3. Doanh thu'!H$19:H$121,'3. Doanh thu'!$C$19:$C$121,'4. KQ-PL'!$D67)</f>
        <v>276.65863081001294</v>
      </c>
      <c r="M67" s="1110">
        <f>SUMIFS('3. Doanh thu'!I$19:I$121,'3. Doanh thu'!$C$19:$C$121,'4. KQ-PL'!$D67)</f>
        <v>279.42521711811304</v>
      </c>
      <c r="N67" s="1110">
        <f>SUMIFS('3. Doanh thu'!J$19:J$121,'3. Doanh thu'!$C$19:$C$121,'4. KQ-PL'!$D67)</f>
        <v>282.21946928929418</v>
      </c>
      <c r="O67" s="1110">
        <f>SUMIFS('3. Doanh thu'!K$19:K$121,'3. Doanh thu'!$C$19:$C$121,'4. KQ-PL'!$D67)</f>
        <v>285.04166398218717</v>
      </c>
      <c r="P67" s="1110">
        <f>SUMIFS('3. Doanh thu'!L$19:L$121,'3. Doanh thu'!$C$19:$C$121,'4. KQ-PL'!$D67)</f>
        <v>287.89208062200902</v>
      </c>
      <c r="Q67" s="1110">
        <f>SUMIFS('3. Doanh thu'!M$19:M$121,'3. Doanh thu'!$C$19:$C$121,'4. KQ-PL'!$D67)</f>
        <v>290.77100142822911</v>
      </c>
      <c r="R67" s="1110">
        <f>SUMIFS('3. Doanh thu'!N$19:N$121,'3. Doanh thu'!$C$19:$C$121,'4. KQ-PL'!$D67)</f>
        <v>293.67871144251143</v>
      </c>
    </row>
    <row r="68" spans="1:20" s="507" customFormat="1" x14ac:dyDescent="0.25">
      <c r="A68" s="1288"/>
      <c r="B68" s="1331"/>
      <c r="C68" s="1311" t="s">
        <v>922</v>
      </c>
      <c r="D68" s="1289" t="s">
        <v>952</v>
      </c>
      <c r="E68" s="1305">
        <f t="shared" si="54"/>
        <v>121.7664163593124</v>
      </c>
      <c r="H68" s="1290"/>
      <c r="I68" s="1110">
        <f>SUMIFS('3. Doanh thu'!E$19:E$121,'3. Doanh thu'!$C$19:$C$121,'4. KQ-PL'!$D68)</f>
        <v>11.638686929817602</v>
      </c>
      <c r="J68" s="1110">
        <f>SUMIFS('3. Doanh thu'!F$19:F$121,'3. Doanh thu'!$C$19:$C$121,'4. KQ-PL'!$D68)</f>
        <v>11.755073799115777</v>
      </c>
      <c r="K68" s="1110">
        <f>SUMIFS('3. Doanh thu'!G$19:G$121,'3. Doanh thu'!$C$19:$C$121,'4. KQ-PL'!$D68)</f>
        <v>11.872624537106937</v>
      </c>
      <c r="L68" s="1110">
        <f>SUMIFS('3. Doanh thu'!H$19:H$121,'3. Doanh thu'!$C$19:$C$121,'4. KQ-PL'!$D68)</f>
        <v>11.991350782478005</v>
      </c>
      <c r="M68" s="1110">
        <f>SUMIFS('3. Doanh thu'!I$19:I$121,'3. Doanh thu'!$C$19:$C$121,'4. KQ-PL'!$D68)</f>
        <v>12.111264290302787</v>
      </c>
      <c r="N68" s="1110">
        <f>SUMIFS('3. Doanh thu'!J$19:J$121,'3. Doanh thu'!$C$19:$C$121,'4. KQ-PL'!$D68)</f>
        <v>12.232376933205813</v>
      </c>
      <c r="O68" s="1110">
        <f>SUMIFS('3. Doanh thu'!K$19:K$121,'3. Doanh thu'!$C$19:$C$121,'4. KQ-PL'!$D68)</f>
        <v>12.354700702537873</v>
      </c>
      <c r="P68" s="1110">
        <f>SUMIFS('3. Doanh thu'!L$19:L$121,'3. Doanh thu'!$C$19:$C$121,'4. KQ-PL'!$D68)</f>
        <v>12.478247709563252</v>
      </c>
      <c r="Q68" s="1110">
        <f>SUMIFS('3. Doanh thu'!M$19:M$121,'3. Doanh thu'!$C$19:$C$121,'4. KQ-PL'!$D68)</f>
        <v>12.603030186658884</v>
      </c>
      <c r="R68" s="1110">
        <f>SUMIFS('3. Doanh thu'!N$19:N$121,'3. Doanh thu'!$C$19:$C$121,'4. KQ-PL'!$D68)</f>
        <v>12.729060488525473</v>
      </c>
    </row>
    <row r="69" spans="1:20" s="507" customFormat="1" x14ac:dyDescent="0.25">
      <c r="A69" s="1288"/>
      <c r="B69" s="1331"/>
      <c r="C69" s="1311" t="s">
        <v>923</v>
      </c>
      <c r="D69" s="1289" t="s">
        <v>953</v>
      </c>
      <c r="E69" s="1305">
        <f t="shared" si="54"/>
        <v>943.91349721969641</v>
      </c>
      <c r="H69" s="1290"/>
      <c r="I69" s="1110">
        <f>SUMIFS('3. Doanh thu'!E$19:E$121,'3. Doanh thu'!$C$19:$C$121,'4. KQ-PL'!$D69)</f>
        <v>90.221212148936871</v>
      </c>
      <c r="J69" s="1110">
        <f>SUMIFS('3. Doanh thu'!F$19:F$121,'3. Doanh thu'!$C$19:$C$121,'4. KQ-PL'!$D69)</f>
        <v>91.123424270426256</v>
      </c>
      <c r="K69" s="1110">
        <f>SUMIFS('3. Doanh thu'!G$19:G$121,'3. Doanh thu'!$C$19:$C$121,'4. KQ-PL'!$D69)</f>
        <v>92.034658513130509</v>
      </c>
      <c r="L69" s="1110">
        <f>SUMIFS('3. Doanh thu'!H$19:H$121,'3. Doanh thu'!$C$19:$C$121,'4. KQ-PL'!$D69)</f>
        <v>92.955005098261822</v>
      </c>
      <c r="M69" s="1110">
        <f>SUMIFS('3. Doanh thu'!I$19:I$121,'3. Doanh thu'!$C$19:$C$121,'4. KQ-PL'!$D69)</f>
        <v>93.884555149244449</v>
      </c>
      <c r="N69" s="1110">
        <f>SUMIFS('3. Doanh thu'!J$19:J$121,'3. Doanh thu'!$C$19:$C$121,'4. KQ-PL'!$D69)</f>
        <v>94.823400700736883</v>
      </c>
      <c r="O69" s="1110">
        <f>SUMIFS('3. Doanh thu'!K$19:K$121,'3. Doanh thu'!$C$19:$C$121,'4. KQ-PL'!$D69)</f>
        <v>95.771634707744269</v>
      </c>
      <c r="P69" s="1110">
        <f>SUMIFS('3. Doanh thu'!L$19:L$121,'3. Doanh thu'!$C$19:$C$121,'4. KQ-PL'!$D69)</f>
        <v>96.729351054821691</v>
      </c>
      <c r="Q69" s="1110">
        <f>SUMIFS('3. Doanh thu'!M$19:M$121,'3. Doanh thu'!$C$19:$C$121,'4. KQ-PL'!$D69)</f>
        <v>97.696644565369922</v>
      </c>
      <c r="R69" s="1110">
        <f>SUMIFS('3. Doanh thu'!N$19:N$121,'3. Doanh thu'!$C$19:$C$121,'4. KQ-PL'!$D69)</f>
        <v>98.673611011023652</v>
      </c>
    </row>
    <row r="70" spans="1:20" s="507" customFormat="1" x14ac:dyDescent="0.25">
      <c r="A70" s="1288"/>
      <c r="B70" s="1331"/>
      <c r="C70" s="1311" t="s">
        <v>924</v>
      </c>
      <c r="D70" s="1289" t="s">
        <v>955</v>
      </c>
      <c r="E70" s="1305">
        <f t="shared" si="54"/>
        <v>963.43410938244779</v>
      </c>
      <c r="H70" s="1290"/>
      <c r="I70" s="1110">
        <f>SUMIFS('3. Doanh thu'!E$19:E$121,'3. Doanh thu'!$C$19:$C$121,'4. KQ-PL'!$D70)</f>
        <v>92.087032795002699</v>
      </c>
      <c r="J70" s="1110">
        <f>SUMIFS('3. Doanh thu'!F$19:F$121,'3. Doanh thu'!$C$19:$C$121,'4. KQ-PL'!$D70)</f>
        <v>93.007903122952726</v>
      </c>
      <c r="K70" s="1110">
        <f>SUMIFS('3. Doanh thu'!G$19:G$121,'3. Doanh thu'!$C$19:$C$121,'4. KQ-PL'!$D70)</f>
        <v>93.937982154182251</v>
      </c>
      <c r="L70" s="1110">
        <f>SUMIFS('3. Doanh thu'!H$19:H$121,'3. Doanh thu'!$C$19:$C$121,'4. KQ-PL'!$D70)</f>
        <v>94.877361975724099</v>
      </c>
      <c r="M70" s="1110">
        <f>SUMIFS('3. Doanh thu'!I$19:I$121,'3. Doanh thu'!$C$19:$C$121,'4. KQ-PL'!$D70)</f>
        <v>95.826135595481347</v>
      </c>
      <c r="N70" s="1110">
        <f>SUMIFS('3. Doanh thu'!J$19:J$121,'3. Doanh thu'!$C$19:$C$121,'4. KQ-PL'!$D70)</f>
        <v>96.784396951436165</v>
      </c>
      <c r="O70" s="1110">
        <f>SUMIFS('3. Doanh thu'!K$19:K$121,'3. Doanh thu'!$C$19:$C$121,'4. KQ-PL'!$D70)</f>
        <v>97.752240920950513</v>
      </c>
      <c r="P70" s="1110">
        <f>SUMIFS('3. Doanh thu'!L$19:L$121,'3. Doanh thu'!$C$19:$C$121,'4. KQ-PL'!$D70)</f>
        <v>98.72976333016004</v>
      </c>
      <c r="Q70" s="1110">
        <f>SUMIFS('3. Doanh thu'!M$19:M$121,'3. Doanh thu'!$C$19:$C$121,'4. KQ-PL'!$D70)</f>
        <v>99.717060963461634</v>
      </c>
      <c r="R70" s="1110">
        <f>SUMIFS('3. Doanh thu'!N$19:N$121,'3. Doanh thu'!$C$19:$C$121,'4. KQ-PL'!$D70)</f>
        <v>100.71423157309627</v>
      </c>
    </row>
    <row r="71" spans="1:20" s="507" customFormat="1" x14ac:dyDescent="0.25">
      <c r="A71" s="1288"/>
      <c r="B71" s="1331"/>
      <c r="C71" s="1311" t="s">
        <v>925</v>
      </c>
      <c r="D71" s="1289" t="s">
        <v>954</v>
      </c>
      <c r="E71" s="1305">
        <f t="shared" si="54"/>
        <v>112.01608458494134</v>
      </c>
      <c r="H71" s="1290"/>
      <c r="I71" s="1110">
        <f>SUMIFS('3. Doanh thu'!E$19:E$121,'3. Doanh thu'!$C$19:$C$121,'4. KQ-PL'!$D71)</f>
        <v>10.225363966005814</v>
      </c>
      <c r="J71" s="1110">
        <f>SUMIFS('3. Doanh thu'!F$19:F$121,'3. Doanh thu'!$C$19:$C$121,'4. KQ-PL'!$D71)</f>
        <v>10.43089378172253</v>
      </c>
      <c r="K71" s="1110">
        <f>SUMIFS('3. Doanh thu'!G$19:G$121,'3. Doanh thu'!$C$19:$C$121,'4. KQ-PL'!$D71)</f>
        <v>10.640554746735155</v>
      </c>
      <c r="L71" s="1110">
        <f>SUMIFS('3. Doanh thu'!H$19:H$121,'3. Doanh thu'!$C$19:$C$121,'4. KQ-PL'!$D71)</f>
        <v>10.854429897144529</v>
      </c>
      <c r="M71" s="1110">
        <f>SUMIFS('3. Doanh thu'!I$19:I$121,'3. Doanh thu'!$C$19:$C$121,'4. KQ-PL'!$D71)</f>
        <v>11.072603938077135</v>
      </c>
      <c r="N71" s="1110">
        <f>SUMIFS('3. Doanh thu'!J$19:J$121,'3. Doanh thu'!$C$19:$C$121,'4. KQ-PL'!$D71)</f>
        <v>11.295163277232486</v>
      </c>
      <c r="O71" s="1110">
        <f>SUMIFS('3. Doanh thu'!K$19:K$121,'3. Doanh thu'!$C$19:$C$121,'4. KQ-PL'!$D71)</f>
        <v>11.522196059104861</v>
      </c>
      <c r="P71" s="1110">
        <f>SUMIFS('3. Doanh thu'!L$19:L$121,'3. Doanh thu'!$C$19:$C$121,'4. KQ-PL'!$D71)</f>
        <v>11.753792199892866</v>
      </c>
      <c r="Q71" s="1110">
        <f>SUMIFS('3. Doanh thu'!M$19:M$121,'3. Doanh thu'!$C$19:$C$121,'4. KQ-PL'!$D71)</f>
        <v>11.990043423110714</v>
      </c>
      <c r="R71" s="1110">
        <f>SUMIFS('3. Doanh thu'!N$19:N$121,'3. Doanh thu'!$C$19:$C$121,'4. KQ-PL'!$D71)</f>
        <v>12.231043295915239</v>
      </c>
    </row>
    <row r="72" spans="1:20" s="507" customFormat="1" x14ac:dyDescent="0.25">
      <c r="A72" s="1288"/>
      <c r="B72" s="1331"/>
      <c r="C72" s="1311"/>
      <c r="D72" s="1289"/>
      <c r="E72" s="1305"/>
      <c r="H72" s="1290"/>
      <c r="I72" s="1110"/>
      <c r="J72" s="1110"/>
      <c r="K72" s="1110"/>
      <c r="L72" s="1110"/>
      <c r="M72" s="1110"/>
      <c r="N72" s="1110"/>
      <c r="O72" s="1110"/>
      <c r="P72" s="1110"/>
      <c r="Q72" s="1110"/>
      <c r="R72" s="1110"/>
    </row>
    <row r="73" spans="1:20" s="693" customFormat="1" x14ac:dyDescent="0.25">
      <c r="A73" s="679"/>
      <c r="B73" s="1336">
        <v>2</v>
      </c>
      <c r="C73" s="1337" t="s">
        <v>266</v>
      </c>
      <c r="D73" s="1279" t="s">
        <v>785</v>
      </c>
      <c r="E73" s="1339">
        <f t="shared" si="54"/>
        <v>0</v>
      </c>
      <c r="F73" s="1280"/>
      <c r="G73" s="1280"/>
      <c r="H73" s="1282"/>
      <c r="I73" s="1300">
        <f t="shared" ref="I73:R73" si="55">I11</f>
        <v>0</v>
      </c>
      <c r="J73" s="1300">
        <f t="shared" si="55"/>
        <v>0</v>
      </c>
      <c r="K73" s="1300">
        <f t="shared" si="55"/>
        <v>0</v>
      </c>
      <c r="L73" s="1300">
        <f t="shared" si="55"/>
        <v>0</v>
      </c>
      <c r="M73" s="1300">
        <f t="shared" si="55"/>
        <v>0</v>
      </c>
      <c r="N73" s="1300">
        <f t="shared" si="55"/>
        <v>0</v>
      </c>
      <c r="O73" s="1300">
        <f t="shared" si="55"/>
        <v>0</v>
      </c>
      <c r="P73" s="1300">
        <f t="shared" si="55"/>
        <v>0</v>
      </c>
      <c r="Q73" s="1300">
        <f t="shared" si="55"/>
        <v>0</v>
      </c>
      <c r="R73" s="1300">
        <f t="shared" si="55"/>
        <v>0</v>
      </c>
    </row>
    <row r="74" spans="1:20" s="693" customFormat="1" x14ac:dyDescent="0.25">
      <c r="A74" s="679"/>
      <c r="B74" s="1330"/>
      <c r="C74" s="692"/>
      <c r="D74" s="679"/>
      <c r="E74" s="1305"/>
      <c r="H74" s="309"/>
      <c r="I74" s="308"/>
      <c r="J74" s="308"/>
      <c r="K74" s="308"/>
      <c r="L74" s="308"/>
      <c r="M74" s="308"/>
      <c r="N74" s="308"/>
      <c r="O74" s="308"/>
      <c r="P74" s="308"/>
      <c r="Q74" s="308"/>
      <c r="R74" s="308"/>
    </row>
    <row r="75" spans="1:20" s="693" customFormat="1" x14ac:dyDescent="0.25">
      <c r="A75" s="679"/>
      <c r="B75" s="1336">
        <v>3</v>
      </c>
      <c r="C75" s="1337" t="s">
        <v>891</v>
      </c>
      <c r="D75" s="1279" t="s">
        <v>785</v>
      </c>
      <c r="E75" s="1338">
        <f>SUM(I75:R75)</f>
        <v>4950.4658229050465</v>
      </c>
      <c r="F75" s="1280"/>
      <c r="G75" s="1280"/>
      <c r="H75" s="1282"/>
      <c r="I75" s="1300">
        <f t="shared" ref="I75:R75" si="56">I66-I73</f>
        <v>472.69443724311299</v>
      </c>
      <c r="J75" s="1300">
        <f t="shared" si="56"/>
        <v>477.52465779160076</v>
      </c>
      <c r="K75" s="1300">
        <f t="shared" si="56"/>
        <v>482.40525639671222</v>
      </c>
      <c r="L75" s="1300">
        <f t="shared" si="56"/>
        <v>487.33677856362141</v>
      </c>
      <c r="M75" s="1300">
        <f t="shared" si="56"/>
        <v>492.31977609121873</v>
      </c>
      <c r="N75" s="1300">
        <f t="shared" si="56"/>
        <v>497.3548071519055</v>
      </c>
      <c r="O75" s="1300">
        <f t="shared" si="56"/>
        <v>502.4424363725247</v>
      </c>
      <c r="P75" s="1300">
        <f t="shared" si="56"/>
        <v>507.58323491644688</v>
      </c>
      <c r="Q75" s="1300">
        <f t="shared" si="56"/>
        <v>512.7777805668303</v>
      </c>
      <c r="R75" s="1300">
        <f t="shared" si="56"/>
        <v>518.02665781107203</v>
      </c>
    </row>
    <row r="76" spans="1:20" s="693" customFormat="1" x14ac:dyDescent="0.25">
      <c r="A76" s="679"/>
      <c r="B76" s="1330"/>
      <c r="C76" s="692"/>
      <c r="D76" s="679"/>
      <c r="E76" s="1310"/>
      <c r="H76" s="309"/>
      <c r="I76" s="308"/>
      <c r="J76" s="308"/>
      <c r="K76" s="308"/>
      <c r="L76" s="308"/>
      <c r="M76" s="308"/>
      <c r="N76" s="308"/>
      <c r="O76" s="308"/>
      <c r="P76" s="308"/>
      <c r="Q76" s="308"/>
      <c r="R76" s="308"/>
    </row>
    <row r="77" spans="1:20" s="506" customFormat="1" ht="13.9" customHeight="1" x14ac:dyDescent="0.25">
      <c r="A77" s="679"/>
      <c r="B77" s="1336">
        <v>4</v>
      </c>
      <c r="C77" s="1280" t="s">
        <v>1374</v>
      </c>
      <c r="D77" s="1281" t="s">
        <v>785</v>
      </c>
      <c r="E77" s="1338">
        <f ca="1">SUM(I77:R77)</f>
        <v>3942.0593949784948</v>
      </c>
      <c r="F77" s="1340"/>
      <c r="G77" s="1340"/>
      <c r="H77" s="1341"/>
      <c r="I77" s="1300">
        <f ca="1">I78+I98</f>
        <v>375.12739735731878</v>
      </c>
      <c r="J77" s="1300">
        <f t="shared" ref="J77:R77" ca="1" si="57">J78+J98</f>
        <v>379.72620410301704</v>
      </c>
      <c r="K77" s="1300">
        <f t="shared" ca="1" si="57"/>
        <v>383.74315658084544</v>
      </c>
      <c r="L77" s="1300">
        <f t="shared" ca="1" si="57"/>
        <v>388.28016370057736</v>
      </c>
      <c r="M77" s="1300">
        <f t="shared" ca="1" si="57"/>
        <v>392.39993642746845</v>
      </c>
      <c r="N77" s="1300">
        <f t="shared" ca="1" si="57"/>
        <v>396.41448848446686</v>
      </c>
      <c r="O77" s="1300">
        <f t="shared" ca="1" si="57"/>
        <v>400.46563993520181</v>
      </c>
      <c r="P77" s="1300">
        <f t="shared" ca="1" si="57"/>
        <v>404.51331260348871</v>
      </c>
      <c r="Q77" s="1300">
        <f t="shared" ca="1" si="57"/>
        <v>408.62406539333352</v>
      </c>
      <c r="R77" s="1300">
        <f t="shared" ca="1" si="57"/>
        <v>412.76503039277634</v>
      </c>
      <c r="T77" s="1312"/>
    </row>
    <row r="78" spans="1:20" s="693" customFormat="1" x14ac:dyDescent="0.25">
      <c r="A78" s="679"/>
      <c r="B78" s="1330" t="s">
        <v>1388</v>
      </c>
      <c r="C78" s="693" t="s">
        <v>973</v>
      </c>
      <c r="D78" s="1092" t="s">
        <v>785</v>
      </c>
      <c r="E78" s="1313">
        <f ca="1">SUM(I78:R78)</f>
        <v>3920.0782205168562</v>
      </c>
      <c r="H78" s="309"/>
      <c r="I78" s="308">
        <f ca="1">I79+I85+I91</f>
        <v>372.92927991115494</v>
      </c>
      <c r="J78" s="308">
        <f t="shared" ref="J78:R78" ca="1" si="58">J79+J85+J91</f>
        <v>377.52808665685319</v>
      </c>
      <c r="K78" s="308">
        <f t="shared" ca="1" si="58"/>
        <v>381.54503913468159</v>
      </c>
      <c r="L78" s="308">
        <f t="shared" ca="1" si="58"/>
        <v>386.08204625441351</v>
      </c>
      <c r="M78" s="308">
        <f t="shared" ca="1" si="58"/>
        <v>390.2018189813046</v>
      </c>
      <c r="N78" s="308">
        <f t="shared" ca="1" si="58"/>
        <v>394.21637103830301</v>
      </c>
      <c r="O78" s="308">
        <f t="shared" ca="1" si="58"/>
        <v>398.26752248903796</v>
      </c>
      <c r="P78" s="308">
        <f t="shared" ca="1" si="58"/>
        <v>402.31519515732487</v>
      </c>
      <c r="Q78" s="308">
        <f t="shared" ca="1" si="58"/>
        <v>406.42594794716967</v>
      </c>
      <c r="R78" s="308">
        <f t="shared" ca="1" si="58"/>
        <v>410.56691294661249</v>
      </c>
    </row>
    <row r="79" spans="1:20" s="1272" customFormat="1" x14ac:dyDescent="0.25">
      <c r="A79" s="1271"/>
      <c r="B79" s="1332" t="s">
        <v>1389</v>
      </c>
      <c r="C79" s="1272" t="s">
        <v>1372</v>
      </c>
      <c r="D79" s="1286" t="s">
        <v>785</v>
      </c>
      <c r="E79" s="1307"/>
      <c r="H79" s="1287"/>
      <c r="I79" s="311">
        <f>SUM(I80:I84)</f>
        <v>357.79855660124002</v>
      </c>
      <c r="J79" s="311">
        <f t="shared" ref="J79:R79" si="59">SUM(J80:J84)</f>
        <v>361.47465453450616</v>
      </c>
      <c r="K79" s="311">
        <f t="shared" si="59"/>
        <v>365.18948550568695</v>
      </c>
      <c r="L79" s="311">
        <f t="shared" si="59"/>
        <v>368.94347648353875</v>
      </c>
      <c r="M79" s="311">
        <f t="shared" si="59"/>
        <v>372.73705950323722</v>
      </c>
      <c r="N79" s="311">
        <f t="shared" si="59"/>
        <v>376.57067173305546</v>
      </c>
      <c r="O79" s="311">
        <f t="shared" si="59"/>
        <v>380.44475554203109</v>
      </c>
      <c r="P79" s="311">
        <f t="shared" si="59"/>
        <v>384.35975856863848</v>
      </c>
      <c r="Q79" s="311">
        <f t="shared" si="59"/>
        <v>388.31613379048287</v>
      </c>
      <c r="R79" s="311">
        <f t="shared" si="59"/>
        <v>392.31433959503249</v>
      </c>
    </row>
    <row r="80" spans="1:20" s="507" customFormat="1" x14ac:dyDescent="0.25">
      <c r="A80" s="1288"/>
      <c r="B80" s="1331"/>
      <c r="C80" s="1314" t="s">
        <v>1375</v>
      </c>
      <c r="D80" s="1301"/>
      <c r="E80" s="1305">
        <f t="shared" ref="E80:E84" si="60">SUM(I80:R80)</f>
        <v>1784.6226561844678</v>
      </c>
      <c r="H80" s="1290"/>
      <c r="I80" s="1110">
        <f>'3. CP-NL'!D54/10^9</f>
        <v>170.57793933837857</v>
      </c>
      <c r="J80" s="1110">
        <f>'3. CP-NL'!E54/10^9</f>
        <v>172.28371873176235</v>
      </c>
      <c r="K80" s="1110">
        <f>'3. CP-NL'!F54/10^9</f>
        <v>174.00655591908</v>
      </c>
      <c r="L80" s="1110">
        <f>'3. CP-NL'!G54/10^9</f>
        <v>175.74662147827078</v>
      </c>
      <c r="M80" s="1110">
        <f>'3. CP-NL'!H54/10^9</f>
        <v>177.50408769305349</v>
      </c>
      <c r="N80" s="1110">
        <f>'3. CP-NL'!I54/10^9</f>
        <v>179.27912856998404</v>
      </c>
      <c r="O80" s="1110">
        <f>'3. CP-NL'!J54/10^9</f>
        <v>181.07191985568386</v>
      </c>
      <c r="P80" s="1110">
        <f>'3. CP-NL'!K54/10^9</f>
        <v>182.88263905424071</v>
      </c>
      <c r="Q80" s="1110">
        <f>'3. CP-NL'!L54/10^9</f>
        <v>184.7114654447831</v>
      </c>
      <c r="R80" s="1110">
        <f>'3. CP-NL'!M54/10^9</f>
        <v>186.55858009923097</v>
      </c>
    </row>
    <row r="81" spans="1:18" s="507" customFormat="1" x14ac:dyDescent="0.25">
      <c r="A81" s="1288"/>
      <c r="B81" s="1331"/>
      <c r="C81" s="1314" t="s">
        <v>1376</v>
      </c>
      <c r="D81" s="1301"/>
      <c r="E81" s="1305">
        <f t="shared" si="60"/>
        <v>82.106444447528261</v>
      </c>
      <c r="H81" s="1290"/>
      <c r="I81" s="1110">
        <f>'3. CP-NL'!D63/10^9</f>
        <v>7.8479044585281459</v>
      </c>
      <c r="J81" s="1110">
        <f>'3. CP-NL'!E63/10^9</f>
        <v>7.9263835031134278</v>
      </c>
      <c r="K81" s="1110">
        <f>'3. CP-NL'!F63/10^9</f>
        <v>8.005647338144561</v>
      </c>
      <c r="L81" s="1110">
        <f>'3. CP-NL'!G63/10^9</f>
        <v>8.0857038115260078</v>
      </c>
      <c r="M81" s="1110">
        <f>'3. CP-NL'!H63/10^9</f>
        <v>8.166560849641268</v>
      </c>
      <c r="N81" s="1110">
        <f>'3. CP-NL'!I63/10^9</f>
        <v>8.2482264581376814</v>
      </c>
      <c r="O81" s="1110">
        <f>'3. CP-NL'!J63/10^9</f>
        <v>8.3307087227190575</v>
      </c>
      <c r="P81" s="1110">
        <f>'3. CP-NL'!K63/10^9</f>
        <v>8.4140158099462496</v>
      </c>
      <c r="Q81" s="1110">
        <f>'3. CP-NL'!L63/10^9</f>
        <v>8.4981559680457117</v>
      </c>
      <c r="R81" s="1110">
        <f>'3. CP-NL'!M63/10^9</f>
        <v>8.5831375277261692</v>
      </c>
    </row>
    <row r="82" spans="1:18" s="507" customFormat="1" x14ac:dyDescent="0.25">
      <c r="A82" s="1288"/>
      <c r="B82" s="1331"/>
      <c r="C82" s="1314" t="s">
        <v>1377</v>
      </c>
      <c r="D82" s="1301"/>
      <c r="E82" s="1305">
        <f t="shared" si="60"/>
        <v>821.20474258113586</v>
      </c>
      <c r="H82" s="1290"/>
      <c r="I82" s="1110">
        <f>I8*(1-'3. CP-khac'!E46)</f>
        <v>78.492454569575074</v>
      </c>
      <c r="J82" s="1110">
        <f>J8*(1-'3. CP-khac'!F46)</f>
        <v>79.277379115270847</v>
      </c>
      <c r="K82" s="1110">
        <f>K8*(1-'3. CP-khac'!G46)</f>
        <v>80.070152906423544</v>
      </c>
      <c r="L82" s="1110">
        <f>L8*(1-'3. CP-khac'!H46)</f>
        <v>80.870854435487786</v>
      </c>
      <c r="M82" s="1110">
        <f>M8*(1-'3. CP-khac'!I46)</f>
        <v>81.679562979842672</v>
      </c>
      <c r="N82" s="1110">
        <f>N8*(1-'3. CP-khac'!J46)</f>
        <v>82.496358609641092</v>
      </c>
      <c r="O82" s="1110">
        <f>O8*(1-'3. CP-khac'!K46)</f>
        <v>83.321322195737508</v>
      </c>
      <c r="P82" s="1110">
        <f>P8*(1-'3. CP-khac'!L46)</f>
        <v>84.154535417694873</v>
      </c>
      <c r="Q82" s="1110">
        <f>Q8*(1-'3. CP-khac'!M46)</f>
        <v>84.996080771871831</v>
      </c>
      <c r="R82" s="1110">
        <f>R8*(1-'3. CP-khac'!N46)</f>
        <v>85.846041579590576</v>
      </c>
    </row>
    <row r="83" spans="1:18" s="507" customFormat="1" x14ac:dyDescent="0.25">
      <c r="A83" s="1288"/>
      <c r="B83" s="1331"/>
      <c r="C83" s="1314" t="s">
        <v>1378</v>
      </c>
      <c r="D83" s="1301"/>
      <c r="E83" s="1305">
        <f t="shared" si="60"/>
        <v>953.79976828862311</v>
      </c>
      <c r="H83" s="1290"/>
      <c r="I83" s="1110">
        <f>I9*(1-'3. CP-khac'!E47)</f>
        <v>91.166162467052672</v>
      </c>
      <c r="J83" s="1110">
        <f>J9*(1-'3. CP-khac'!F47)</f>
        <v>92.077824091723201</v>
      </c>
      <c r="K83" s="1110">
        <f>K9*(1-'3. CP-khac'!G47)</f>
        <v>92.998602332640431</v>
      </c>
      <c r="L83" s="1110">
        <f>L9*(1-'3. CP-khac'!H47)</f>
        <v>93.928588355966852</v>
      </c>
      <c r="M83" s="1110">
        <f>M9*(1-'3. CP-khac'!I47)</f>
        <v>94.867874239526529</v>
      </c>
      <c r="N83" s="1110">
        <f>N9*(1-'3. CP-khac'!J47)</f>
        <v>95.816552981921802</v>
      </c>
      <c r="O83" s="1110">
        <f>O9*(1-'3. CP-khac'!K47)</f>
        <v>96.774718511741</v>
      </c>
      <c r="P83" s="1110">
        <f>P9*(1-'3. CP-khac'!L47)</f>
        <v>97.742465696858432</v>
      </c>
      <c r="Q83" s="1110">
        <f>Q9*(1-'3. CP-khac'!M47)</f>
        <v>98.719890353827012</v>
      </c>
      <c r="R83" s="1110">
        <f>R9*(1-'3. CP-khac'!N47)</f>
        <v>99.707089257365311</v>
      </c>
    </row>
    <row r="84" spans="1:18" s="507" customFormat="1" ht="15" customHeight="1" x14ac:dyDescent="0.25">
      <c r="A84" s="1288"/>
      <c r="B84" s="1331"/>
      <c r="C84" s="1314" t="s">
        <v>1379</v>
      </c>
      <c r="D84" s="1301"/>
      <c r="E84" s="1305">
        <f t="shared" si="60"/>
        <v>106.41528035569425</v>
      </c>
      <c r="H84" s="1290"/>
      <c r="I84" s="1110">
        <f>I10*(1-'3. CP-khac'!E48)</f>
        <v>9.7140957677055226</v>
      </c>
      <c r="J84" s="1110">
        <f>J10*(1-'3. CP-khac'!F48)</f>
        <v>9.9093490926364023</v>
      </c>
      <c r="K84" s="1110">
        <f>K10*(1-'3. CP-khac'!G48)</f>
        <v>10.108527009398397</v>
      </c>
      <c r="L84" s="1110">
        <f>L10*(1-'3. CP-khac'!H48)</f>
        <v>10.311708402287302</v>
      </c>
      <c r="M84" s="1110">
        <f>M10*(1-'3. CP-khac'!I48)</f>
        <v>10.518973741173278</v>
      </c>
      <c r="N84" s="1110">
        <f>N10*(1-'3. CP-khac'!J48)</f>
        <v>10.730405113370862</v>
      </c>
      <c r="O84" s="1110">
        <f>O10*(1-'3. CP-khac'!K48)</f>
        <v>10.946086256149616</v>
      </c>
      <c r="P84" s="1110">
        <f>P10*(1-'3. CP-khac'!L48)</f>
        <v>11.166102589898221</v>
      </c>
      <c r="Q84" s="1110">
        <f>Q10*(1-'3. CP-khac'!M48)</f>
        <v>11.390541251955177</v>
      </c>
      <c r="R84" s="1110">
        <f>R10*(1-'3. CP-khac'!N48)</f>
        <v>11.619491131119476</v>
      </c>
    </row>
    <row r="85" spans="1:18" s="1272" customFormat="1" x14ac:dyDescent="0.25">
      <c r="A85" s="1271"/>
      <c r="B85" s="1332" t="s">
        <v>1390</v>
      </c>
      <c r="C85" s="1272" t="s">
        <v>1373</v>
      </c>
      <c r="D85" s="1286" t="s">
        <v>785</v>
      </c>
      <c r="E85" s="1307"/>
      <c r="H85" s="1287"/>
      <c r="I85" s="311">
        <f>SUM(I86:I90)</f>
        <v>12.434689738140534</v>
      </c>
      <c r="J85" s="311">
        <f t="shared" ref="J85:R85" si="61">SUM(J86:J90)</f>
        <v>13.357398550572585</v>
      </c>
      <c r="K85" s="311">
        <f t="shared" si="61"/>
        <v>13.659520057220352</v>
      </c>
      <c r="L85" s="311">
        <f t="shared" si="61"/>
        <v>14.442536199100465</v>
      </c>
      <c r="M85" s="311">
        <f t="shared" si="61"/>
        <v>14.768725906292955</v>
      </c>
      <c r="N85" s="311">
        <f t="shared" si="61"/>
        <v>14.949665733473164</v>
      </c>
      <c r="O85" s="311">
        <f t="shared" si="61"/>
        <v>15.126733375232487</v>
      </c>
      <c r="P85" s="311">
        <f t="shared" si="61"/>
        <v>15.259403016911977</v>
      </c>
      <c r="Q85" s="311">
        <f t="shared" si="61"/>
        <v>15.41378058491245</v>
      </c>
      <c r="R85" s="311">
        <f t="shared" si="61"/>
        <v>15.556539779805552</v>
      </c>
    </row>
    <row r="86" spans="1:18" s="507" customFormat="1" x14ac:dyDescent="0.25">
      <c r="A86" s="1288"/>
      <c r="B86" s="1331"/>
      <c r="C86" s="1314" t="s">
        <v>1375</v>
      </c>
      <c r="D86" s="1301"/>
      <c r="E86" s="1305">
        <f t="shared" ref="E86:E90" si="62">SUM(I86:R86)</f>
        <v>39.727630750857507</v>
      </c>
      <c r="H86" s="1290"/>
      <c r="I86" s="1110">
        <f>'3. CP-NL'!D60/10^9</f>
        <v>3.7972494436251312</v>
      </c>
      <c r="J86" s="1110">
        <f>'3. CP-NL'!E60/10^9</f>
        <v>3.8352219380613826</v>
      </c>
      <c r="K86" s="1110">
        <f>'3. CP-NL'!F60/10^9</f>
        <v>3.8735741574419968</v>
      </c>
      <c r="L86" s="1110">
        <f>'3. CP-NL'!G60/10^9</f>
        <v>3.9123098990164169</v>
      </c>
      <c r="M86" s="1110">
        <f>'3. CP-NL'!H60/10^9</f>
        <v>3.9514329980065814</v>
      </c>
      <c r="N86" s="1110">
        <f>'3. CP-NL'!I60/10^9</f>
        <v>3.990947327986647</v>
      </c>
      <c r="O86" s="1110">
        <f>'3. CP-NL'!J60/10^9</f>
        <v>4.0308568012665136</v>
      </c>
      <c r="P86" s="1110">
        <f>'3. CP-NL'!K60/10^9</f>
        <v>4.0711653692791785</v>
      </c>
      <c r="Q86" s="1110">
        <f>'3. CP-NL'!L60/10^9</f>
        <v>4.1118770229719708</v>
      </c>
      <c r="R86" s="1110">
        <f>'3. CP-NL'!M60/10^9</f>
        <v>4.1529957932016899</v>
      </c>
    </row>
    <row r="87" spans="1:18" s="507" customFormat="1" x14ac:dyDescent="0.25">
      <c r="A87" s="1288"/>
      <c r="B87" s="1331"/>
      <c r="C87" s="1314" t="s">
        <v>1376</v>
      </c>
      <c r="D87" s="1301"/>
      <c r="E87" s="1305">
        <f t="shared" si="62"/>
        <v>105.24136219080502</v>
      </c>
      <c r="H87" s="1290"/>
      <c r="I87" s="1110">
        <f>'3. CP-NL'!D69/10^9</f>
        <v>8.6374402945154038</v>
      </c>
      <c r="J87" s="1110">
        <f>'3. CP-NL'!E69/10^9</f>
        <v>9.5221766125112026</v>
      </c>
      <c r="K87" s="1110">
        <f>'3. CP-NL'!F69/10^9</f>
        <v>9.7859458997783548</v>
      </c>
      <c r="L87" s="1110">
        <f>'3. CP-NL'!G69/10^9</f>
        <v>10.530226300084047</v>
      </c>
      <c r="M87" s="1110">
        <f>'3. CP-NL'!H69/10^9</f>
        <v>10.817292908286374</v>
      </c>
      <c r="N87" s="1110">
        <f>'3. CP-NL'!I69/10^9</f>
        <v>10.958718405486517</v>
      </c>
      <c r="O87" s="1110">
        <f>'3. CP-NL'!J69/10^9</f>
        <v>11.095876573965972</v>
      </c>
      <c r="P87" s="1110">
        <f>'3. CP-NL'!K69/10^9</f>
        <v>11.188237647632798</v>
      </c>
      <c r="Q87" s="1110">
        <f>'3. CP-NL'!L69/10^9</f>
        <v>11.301903561940479</v>
      </c>
      <c r="R87" s="1110">
        <f>'3. CP-NL'!M69/10^9</f>
        <v>11.403543986603863</v>
      </c>
    </row>
    <row r="88" spans="1:18" s="507" customFormat="1" x14ac:dyDescent="0.25">
      <c r="A88" s="1288"/>
      <c r="B88" s="1331"/>
      <c r="C88" s="1314" t="s">
        <v>1377</v>
      </c>
      <c r="D88" s="1301"/>
      <c r="E88" s="1305">
        <f t="shared" si="62"/>
        <v>0</v>
      </c>
      <c r="H88" s="1290"/>
      <c r="I88" s="1110">
        <f>I14*(1-'3. CP-khac'!E52)</f>
        <v>0</v>
      </c>
      <c r="J88" s="1110">
        <f>J14*(1-'3. CP-khac'!F52)</f>
        <v>0</v>
      </c>
      <c r="K88" s="1110">
        <f>K14*(1-'3. CP-khac'!G52)</f>
        <v>0</v>
      </c>
      <c r="L88" s="1110">
        <f>L14*(1-'3. CP-khac'!H52)</f>
        <v>0</v>
      </c>
      <c r="M88" s="1110">
        <f>M14*(1-'3. CP-khac'!I52)</f>
        <v>0</v>
      </c>
      <c r="N88" s="1110">
        <f>N14*(1-'3. CP-khac'!J52)</f>
        <v>0</v>
      </c>
      <c r="O88" s="1110">
        <f>O14*(1-'3. CP-khac'!K52)</f>
        <v>0</v>
      </c>
      <c r="P88" s="1110">
        <f>P14*(1-'3. CP-khac'!L52)</f>
        <v>0</v>
      </c>
      <c r="Q88" s="1110">
        <f>Q14*(1-'3. CP-khac'!M52)</f>
        <v>0</v>
      </c>
      <c r="R88" s="1110">
        <f>R14*(1-'3. CP-khac'!N52)</f>
        <v>0</v>
      </c>
    </row>
    <row r="89" spans="1:18" s="507" customFormat="1" x14ac:dyDescent="0.25">
      <c r="A89" s="1288"/>
      <c r="B89" s="1331"/>
      <c r="C89" s="1314" t="s">
        <v>1378</v>
      </c>
      <c r="D89" s="1301"/>
      <c r="E89" s="1305">
        <f t="shared" si="62"/>
        <v>0</v>
      </c>
      <c r="H89" s="1290"/>
      <c r="I89" s="1110">
        <f>I15*(1-'3. CP-khac'!E53)</f>
        <v>0</v>
      </c>
      <c r="J89" s="1110">
        <f>J15*(1-'3. CP-khac'!F53)</f>
        <v>0</v>
      </c>
      <c r="K89" s="1110">
        <f>K15*(1-'3. CP-khac'!G53)</f>
        <v>0</v>
      </c>
      <c r="L89" s="1110">
        <f>L15*(1-'3. CP-khac'!H53)</f>
        <v>0</v>
      </c>
      <c r="M89" s="1110">
        <f>M15*(1-'3. CP-khac'!I53)</f>
        <v>0</v>
      </c>
      <c r="N89" s="1110">
        <f>N15*(1-'3. CP-khac'!J53)</f>
        <v>0</v>
      </c>
      <c r="O89" s="1110">
        <f>O15*(1-'3. CP-khac'!K53)</f>
        <v>0</v>
      </c>
      <c r="P89" s="1110">
        <f>P15*(1-'3. CP-khac'!L53)</f>
        <v>0</v>
      </c>
      <c r="Q89" s="1110">
        <f>Q15*(1-'3. CP-khac'!M53)</f>
        <v>0</v>
      </c>
      <c r="R89" s="1110">
        <f>R15*(1-'3. CP-khac'!N53)</f>
        <v>0</v>
      </c>
    </row>
    <row r="90" spans="1:18" s="507" customFormat="1" ht="15" customHeight="1" x14ac:dyDescent="0.25">
      <c r="A90" s="1288"/>
      <c r="B90" s="1331"/>
      <c r="C90" s="1314" t="s">
        <v>1379</v>
      </c>
      <c r="D90" s="1301"/>
      <c r="E90" s="1305">
        <f t="shared" si="62"/>
        <v>0</v>
      </c>
      <c r="H90" s="1290"/>
      <c r="I90" s="1110">
        <f>I16*(1-'3. CP-khac'!E54)</f>
        <v>0</v>
      </c>
      <c r="J90" s="1110">
        <f>J16*(1-'3. CP-khac'!F54)</f>
        <v>0</v>
      </c>
      <c r="K90" s="1110">
        <f>K16*(1-'3. CP-khac'!G54)</f>
        <v>0</v>
      </c>
      <c r="L90" s="1110">
        <f>L16*(1-'3. CP-khac'!H54)</f>
        <v>0</v>
      </c>
      <c r="M90" s="1110">
        <f>M16*(1-'3. CP-khac'!I54)</f>
        <v>0</v>
      </c>
      <c r="N90" s="1110">
        <f>N16*(1-'3. CP-khac'!J54)</f>
        <v>0</v>
      </c>
      <c r="O90" s="1110">
        <f>O16*(1-'3. CP-khac'!K54)</f>
        <v>0</v>
      </c>
      <c r="P90" s="1110">
        <f>P16*(1-'3. CP-khac'!L54)</f>
        <v>0</v>
      </c>
      <c r="Q90" s="1110">
        <f>Q16*(1-'3. CP-khac'!M54)</f>
        <v>0</v>
      </c>
      <c r="R90" s="1110">
        <f>R16*(1-'3. CP-khac'!N54)</f>
        <v>0</v>
      </c>
    </row>
    <row r="91" spans="1:18" s="1272" customFormat="1" ht="15" customHeight="1" x14ac:dyDescent="0.25">
      <c r="A91" s="1271"/>
      <c r="B91" s="1332" t="s">
        <v>1391</v>
      </c>
      <c r="C91" s="1272" t="s">
        <v>960</v>
      </c>
      <c r="D91" s="1286" t="s">
        <v>785</v>
      </c>
      <c r="E91" s="1307"/>
      <c r="H91" s="1287"/>
      <c r="I91" s="311">
        <f ca="1">SUM(I92:I96)</f>
        <v>2.6960335717741937</v>
      </c>
      <c r="J91" s="311">
        <f t="shared" ref="J91:R91" ca="1" si="63">SUM(J92:J96)</f>
        <v>2.6960335717741937</v>
      </c>
      <c r="K91" s="311">
        <f t="shared" ca="1" si="63"/>
        <v>2.6960335717741937</v>
      </c>
      <c r="L91" s="311">
        <f t="shared" ca="1" si="63"/>
        <v>2.6960335717741937</v>
      </c>
      <c r="M91" s="311">
        <f t="shared" ca="1" si="63"/>
        <v>2.6960335717741937</v>
      </c>
      <c r="N91" s="311">
        <f t="shared" ca="1" si="63"/>
        <v>2.6960335717741937</v>
      </c>
      <c r="O91" s="311">
        <f t="shared" ca="1" si="63"/>
        <v>2.6960335717741937</v>
      </c>
      <c r="P91" s="311">
        <f t="shared" ca="1" si="63"/>
        <v>2.6960335717741937</v>
      </c>
      <c r="Q91" s="311">
        <f t="shared" ca="1" si="63"/>
        <v>2.6960335717741937</v>
      </c>
      <c r="R91" s="311">
        <f t="shared" ca="1" si="63"/>
        <v>2.6960335717741937</v>
      </c>
    </row>
    <row r="92" spans="1:18" s="507" customFormat="1" x14ac:dyDescent="0.25">
      <c r="A92" s="1288"/>
      <c r="B92" s="1332"/>
      <c r="C92" s="1311" t="s">
        <v>961</v>
      </c>
      <c r="D92" s="1301"/>
      <c r="E92" s="1305">
        <f t="shared" ref="E92:E96" ca="1" si="64">SUM(I92:R92)</f>
        <v>18.437320645161289</v>
      </c>
      <c r="H92" s="1290"/>
      <c r="I92" s="1110">
        <f ca="1">'3. CP-Luong'!D18/$B$1</f>
        <v>1.8437320645161293</v>
      </c>
      <c r="J92" s="1110">
        <f ca="1">'3. CP-Luong'!E18/$B$1</f>
        <v>1.8437320645161293</v>
      </c>
      <c r="K92" s="1110">
        <f ca="1">'3. CP-Luong'!F18/$B$1</f>
        <v>1.8437320645161293</v>
      </c>
      <c r="L92" s="1110">
        <f ca="1">'3. CP-Luong'!G18/$B$1</f>
        <v>1.8437320645161293</v>
      </c>
      <c r="M92" s="1110">
        <f ca="1">'3. CP-Luong'!H18/$B$1</f>
        <v>1.8437320645161293</v>
      </c>
      <c r="N92" s="1110">
        <f ca="1">'3. CP-Luong'!I18/$B$1</f>
        <v>1.8437320645161293</v>
      </c>
      <c r="O92" s="1110">
        <f ca="1">'3. CP-Luong'!J18/$B$1</f>
        <v>1.8437320645161293</v>
      </c>
      <c r="P92" s="1110">
        <f ca="1">'3. CP-Luong'!K18/$B$1</f>
        <v>1.8437320645161293</v>
      </c>
      <c r="Q92" s="1110">
        <f ca="1">'3. CP-Luong'!L18/$B$1</f>
        <v>1.8437320645161293</v>
      </c>
      <c r="R92" s="1110">
        <f ca="1">'3. CP-Luong'!M18/$B$1</f>
        <v>1.8437320645161293</v>
      </c>
    </row>
    <row r="93" spans="1:18" s="507" customFormat="1" x14ac:dyDescent="0.25">
      <c r="A93" s="1288"/>
      <c r="B93" s="1332"/>
      <c r="C93" s="1311" t="s">
        <v>962</v>
      </c>
      <c r="D93" s="1301"/>
      <c r="E93" s="1305">
        <f t="shared" ca="1" si="64"/>
        <v>8.5230150725806446</v>
      </c>
      <c r="H93" s="1290"/>
      <c r="I93" s="1110">
        <f ca="1">'3. CP-Luong'!D19/$B$1</f>
        <v>0.85230150725806453</v>
      </c>
      <c r="J93" s="1110">
        <f ca="1">'3. CP-Luong'!E19/$B$1</f>
        <v>0.85230150725806453</v>
      </c>
      <c r="K93" s="1110">
        <f ca="1">'3. CP-Luong'!F19/$B$1</f>
        <v>0.85230150725806453</v>
      </c>
      <c r="L93" s="1110">
        <f ca="1">'3. CP-Luong'!G19/$B$1</f>
        <v>0.85230150725806453</v>
      </c>
      <c r="M93" s="1110">
        <f ca="1">'3. CP-Luong'!H19/$B$1</f>
        <v>0.85230150725806453</v>
      </c>
      <c r="N93" s="1110">
        <f ca="1">'3. CP-Luong'!I19/$B$1</f>
        <v>0.85230150725806453</v>
      </c>
      <c r="O93" s="1110">
        <f ca="1">'3. CP-Luong'!J19/$B$1</f>
        <v>0.85230150725806453</v>
      </c>
      <c r="P93" s="1110">
        <f ca="1">'3. CP-Luong'!K19/$B$1</f>
        <v>0.85230150725806453</v>
      </c>
      <c r="Q93" s="1110">
        <f ca="1">'3. CP-Luong'!L19/$B$1</f>
        <v>0.85230150725806453</v>
      </c>
      <c r="R93" s="1110">
        <f ca="1">'3. CP-Luong'!M19/$B$1</f>
        <v>0.85230150725806453</v>
      </c>
    </row>
    <row r="94" spans="1:18" s="507" customFormat="1" x14ac:dyDescent="0.25">
      <c r="A94" s="1288"/>
      <c r="B94" s="1332"/>
      <c r="C94" s="1311" t="s">
        <v>963</v>
      </c>
      <c r="D94" s="1301"/>
      <c r="E94" s="1305">
        <f t="shared" si="64"/>
        <v>0</v>
      </c>
      <c r="H94" s="1290"/>
      <c r="I94" s="1110">
        <f>'3. CP-Luong'!D20/$B$1</f>
        <v>0</v>
      </c>
      <c r="J94" s="1110">
        <f>'3. CP-Luong'!E20/$B$1</f>
        <v>0</v>
      </c>
      <c r="K94" s="1110">
        <f>'3. CP-Luong'!F20/$B$1</f>
        <v>0</v>
      </c>
      <c r="L94" s="1110">
        <f>'3. CP-Luong'!G20/$B$1</f>
        <v>0</v>
      </c>
      <c r="M94" s="1110">
        <f>'3. CP-Luong'!H20/$B$1</f>
        <v>0</v>
      </c>
      <c r="N94" s="1110">
        <f>'3. CP-Luong'!I20/$B$1</f>
        <v>0</v>
      </c>
      <c r="O94" s="1110">
        <f>'3. CP-Luong'!J20/$B$1</f>
        <v>0</v>
      </c>
      <c r="P94" s="1110">
        <f>'3. CP-Luong'!K20/$B$1</f>
        <v>0</v>
      </c>
      <c r="Q94" s="1110">
        <f>'3. CP-Luong'!L20/$B$1</f>
        <v>0</v>
      </c>
      <c r="R94" s="1110">
        <f>'3. CP-Luong'!M20/$B$1</f>
        <v>0</v>
      </c>
    </row>
    <row r="95" spans="1:18" s="507" customFormat="1" x14ac:dyDescent="0.25">
      <c r="A95" s="1288"/>
      <c r="B95" s="1332"/>
      <c r="C95" s="1311" t="s">
        <v>964</v>
      </c>
      <c r="D95" s="1301"/>
      <c r="E95" s="1305">
        <f t="shared" si="64"/>
        <v>0</v>
      </c>
      <c r="H95" s="1290"/>
      <c r="I95" s="1110">
        <f>'3. CP-Luong'!D21/$B$1</f>
        <v>0</v>
      </c>
      <c r="J95" s="1110">
        <f>'3. CP-Luong'!E21/$B$1</f>
        <v>0</v>
      </c>
      <c r="K95" s="1110">
        <f>'3. CP-Luong'!F21/$B$1</f>
        <v>0</v>
      </c>
      <c r="L95" s="1110">
        <f>'3. CP-Luong'!G21/$B$1</f>
        <v>0</v>
      </c>
      <c r="M95" s="1110">
        <f>'3. CP-Luong'!H21/$B$1</f>
        <v>0</v>
      </c>
      <c r="N95" s="1110">
        <f>'3. CP-Luong'!I21/$B$1</f>
        <v>0</v>
      </c>
      <c r="O95" s="1110">
        <f>'3. CP-Luong'!J21/$B$1</f>
        <v>0</v>
      </c>
      <c r="P95" s="1110">
        <f>'3. CP-Luong'!K21/$B$1</f>
        <v>0</v>
      </c>
      <c r="Q95" s="1110">
        <f>'3. CP-Luong'!L21/$B$1</f>
        <v>0</v>
      </c>
      <c r="R95" s="1110">
        <f>'3. CP-Luong'!M21/$B$1</f>
        <v>0</v>
      </c>
    </row>
    <row r="96" spans="1:18" s="507" customFormat="1" x14ac:dyDescent="0.25">
      <c r="A96" s="1288"/>
      <c r="B96" s="1332"/>
      <c r="C96" s="1311" t="s">
        <v>965</v>
      </c>
      <c r="D96" s="1301"/>
      <c r="E96" s="1305">
        <f t="shared" si="64"/>
        <v>0</v>
      </c>
      <c r="H96" s="1290"/>
      <c r="I96" s="1110">
        <f>'3. CP-Luong'!D22/$B$1</f>
        <v>0</v>
      </c>
      <c r="J96" s="1110">
        <f>'3. CP-Luong'!E22/$B$1</f>
        <v>0</v>
      </c>
      <c r="K96" s="1110">
        <f>'3. CP-Luong'!F22/$B$1</f>
        <v>0</v>
      </c>
      <c r="L96" s="1110">
        <f>'3. CP-Luong'!G22/$B$1</f>
        <v>0</v>
      </c>
      <c r="M96" s="1110">
        <f>'3. CP-Luong'!H22/$B$1</f>
        <v>0</v>
      </c>
      <c r="N96" s="1110">
        <f>'3. CP-Luong'!I22/$B$1</f>
        <v>0</v>
      </c>
      <c r="O96" s="1110">
        <f>'3. CP-Luong'!J22/$B$1</f>
        <v>0</v>
      </c>
      <c r="P96" s="1110">
        <f>'3. CP-Luong'!K22/$B$1</f>
        <v>0</v>
      </c>
      <c r="Q96" s="1110">
        <f>'3. CP-Luong'!L22/$B$1</f>
        <v>0</v>
      </c>
      <c r="R96" s="1110">
        <f>'3. CP-Luong'!M22/$B$1</f>
        <v>0</v>
      </c>
    </row>
    <row r="97" spans="1:18" s="507" customFormat="1" ht="15" customHeight="1" x14ac:dyDescent="0.25">
      <c r="A97" s="1288"/>
      <c r="B97" s="1332"/>
      <c r="D97" s="1301"/>
      <c r="E97" s="1308"/>
      <c r="H97" s="1290"/>
      <c r="I97" s="694"/>
      <c r="J97" s="694"/>
      <c r="K97" s="694"/>
      <c r="L97" s="694"/>
      <c r="M97" s="694"/>
      <c r="N97" s="694"/>
      <c r="O97" s="694"/>
      <c r="P97" s="694"/>
      <c r="Q97" s="694"/>
      <c r="R97" s="694"/>
    </row>
    <row r="98" spans="1:18" s="1272" customFormat="1" x14ac:dyDescent="0.25">
      <c r="A98" s="1271"/>
      <c r="B98" s="1332" t="s">
        <v>1392</v>
      </c>
      <c r="C98" s="1272" t="s">
        <v>974</v>
      </c>
      <c r="D98" s="1273" t="s">
        <v>785</v>
      </c>
      <c r="E98" s="1307"/>
      <c r="H98" s="1287"/>
      <c r="I98" s="311">
        <f ca="1">SUM(I100:I104)</f>
        <v>2.1981174461638249</v>
      </c>
      <c r="J98" s="311">
        <f t="shared" ref="J98:R98" ca="1" si="65">SUM(J100:J104)</f>
        <v>2.1981174461638249</v>
      </c>
      <c r="K98" s="311">
        <f t="shared" ca="1" si="65"/>
        <v>2.1981174461638249</v>
      </c>
      <c r="L98" s="311">
        <f t="shared" ca="1" si="65"/>
        <v>2.1981174461638249</v>
      </c>
      <c r="M98" s="311">
        <f t="shared" ca="1" si="65"/>
        <v>2.1981174461638249</v>
      </c>
      <c r="N98" s="311">
        <f t="shared" ca="1" si="65"/>
        <v>2.1981174461638249</v>
      </c>
      <c r="O98" s="311">
        <f t="shared" ca="1" si="65"/>
        <v>2.1981174461638249</v>
      </c>
      <c r="P98" s="311">
        <f t="shared" ca="1" si="65"/>
        <v>2.1981174461638249</v>
      </c>
      <c r="Q98" s="311">
        <f t="shared" ca="1" si="65"/>
        <v>2.1981174461638249</v>
      </c>
      <c r="R98" s="311">
        <f t="shared" ca="1" si="65"/>
        <v>2.1981174461638249</v>
      </c>
    </row>
    <row r="99" spans="1:18" s="1272" customFormat="1" x14ac:dyDescent="0.25">
      <c r="A99" s="1271"/>
      <c r="B99" s="1332" t="s">
        <v>1393</v>
      </c>
      <c r="C99" s="1272" t="s">
        <v>1371</v>
      </c>
      <c r="D99" s="1286" t="s">
        <v>785</v>
      </c>
      <c r="E99" s="1307"/>
      <c r="H99" s="1287"/>
      <c r="I99" s="311">
        <f ca="1">SUM(I100:I104)</f>
        <v>2.1981174461638249</v>
      </c>
      <c r="J99" s="311">
        <f t="shared" ref="J99:R99" ca="1" si="66">SUM(J100:J104)</f>
        <v>2.1981174461638249</v>
      </c>
      <c r="K99" s="311">
        <f t="shared" ca="1" si="66"/>
        <v>2.1981174461638249</v>
      </c>
      <c r="L99" s="311">
        <f t="shared" ca="1" si="66"/>
        <v>2.1981174461638249</v>
      </c>
      <c r="M99" s="311">
        <f t="shared" ca="1" si="66"/>
        <v>2.1981174461638249</v>
      </c>
      <c r="N99" s="311">
        <f t="shared" ca="1" si="66"/>
        <v>2.1981174461638249</v>
      </c>
      <c r="O99" s="311">
        <f t="shared" ca="1" si="66"/>
        <v>2.1981174461638249</v>
      </c>
      <c r="P99" s="311">
        <f t="shared" ca="1" si="66"/>
        <v>2.1981174461638249</v>
      </c>
      <c r="Q99" s="311">
        <f t="shared" ca="1" si="66"/>
        <v>2.1981174461638249</v>
      </c>
      <c r="R99" s="311">
        <f t="shared" ca="1" si="66"/>
        <v>2.1981174461638249</v>
      </c>
    </row>
    <row r="100" spans="1:18" s="507" customFormat="1" x14ac:dyDescent="0.25">
      <c r="A100" s="1288"/>
      <c r="B100" s="1332"/>
      <c r="C100" s="1311" t="s">
        <v>961</v>
      </c>
      <c r="D100" s="1301"/>
      <c r="E100" s="1305">
        <f t="shared" ref="E100:E104" ca="1" si="67">SUM(I100:R100)</f>
        <v>10.222123300575488</v>
      </c>
      <c r="H100" s="1290"/>
      <c r="I100" s="1110">
        <f ca="1">'3. CP-Luong'!D30/$B$1</f>
        <v>1.0222123300575485</v>
      </c>
      <c r="J100" s="1110">
        <f ca="1">'3. CP-Luong'!E30/$B$1</f>
        <v>1.0222123300575485</v>
      </c>
      <c r="K100" s="1110">
        <f ca="1">'3. CP-Luong'!F30/$B$1</f>
        <v>1.0222123300575485</v>
      </c>
      <c r="L100" s="1110">
        <f ca="1">'3. CP-Luong'!G30/$B$1</f>
        <v>1.0222123300575485</v>
      </c>
      <c r="M100" s="1110">
        <f ca="1">'3. CP-Luong'!H30/$B$1</f>
        <v>1.0222123300575485</v>
      </c>
      <c r="N100" s="1110">
        <f ca="1">'3. CP-Luong'!I30/$B$1</f>
        <v>1.0222123300575485</v>
      </c>
      <c r="O100" s="1110">
        <f ca="1">'3. CP-Luong'!J30/$B$1</f>
        <v>1.0222123300575485</v>
      </c>
      <c r="P100" s="1110">
        <f ca="1">'3. CP-Luong'!K30/$B$1</f>
        <v>1.0222123300575485</v>
      </c>
      <c r="Q100" s="1110">
        <f ca="1">'3. CP-Luong'!L30/$B$1</f>
        <v>1.0222123300575485</v>
      </c>
      <c r="R100" s="1110">
        <f ca="1">'3. CP-Luong'!M30/$B$1</f>
        <v>1.0222123300575485</v>
      </c>
    </row>
    <row r="101" spans="1:18" s="507" customFormat="1" x14ac:dyDescent="0.25">
      <c r="A101" s="1288"/>
      <c r="B101" s="1332"/>
      <c r="C101" s="1311" t="s">
        <v>962</v>
      </c>
      <c r="D101" s="1301"/>
      <c r="E101" s="1305">
        <f t="shared" ca="1" si="67"/>
        <v>0.44306250587612672</v>
      </c>
      <c r="H101" s="1290"/>
      <c r="I101" s="1110">
        <f ca="1">'3. CP-Luong'!D31/$B$1</f>
        <v>4.4306250587612672E-2</v>
      </c>
      <c r="J101" s="1110">
        <f ca="1">'3. CP-Luong'!E31/$B$1</f>
        <v>4.4306250587612672E-2</v>
      </c>
      <c r="K101" s="1110">
        <f ca="1">'3. CP-Luong'!F31/$B$1</f>
        <v>4.4306250587612672E-2</v>
      </c>
      <c r="L101" s="1110">
        <f ca="1">'3. CP-Luong'!G31/$B$1</f>
        <v>4.4306250587612672E-2</v>
      </c>
      <c r="M101" s="1110">
        <f ca="1">'3. CP-Luong'!H31/$B$1</f>
        <v>4.4306250587612672E-2</v>
      </c>
      <c r="N101" s="1110">
        <f ca="1">'3. CP-Luong'!I31/$B$1</f>
        <v>4.4306250587612672E-2</v>
      </c>
      <c r="O101" s="1110">
        <f ca="1">'3. CP-Luong'!J31/$B$1</f>
        <v>4.4306250587612672E-2</v>
      </c>
      <c r="P101" s="1110">
        <f ca="1">'3. CP-Luong'!K31/$B$1</f>
        <v>4.4306250587612672E-2</v>
      </c>
      <c r="Q101" s="1110">
        <f ca="1">'3. CP-Luong'!L31/$B$1</f>
        <v>4.4306250587612672E-2</v>
      </c>
      <c r="R101" s="1110">
        <f ca="1">'3. CP-Luong'!M31/$B$1</f>
        <v>4.4306250587612672E-2</v>
      </c>
    </row>
    <row r="102" spans="1:18" s="507" customFormat="1" x14ac:dyDescent="0.25">
      <c r="A102" s="1288"/>
      <c r="B102" s="1332"/>
      <c r="C102" s="1311" t="s">
        <v>963</v>
      </c>
      <c r="D102" s="1301"/>
      <c r="E102" s="1305">
        <f t="shared" ca="1" si="67"/>
        <v>5.2780168639525282</v>
      </c>
      <c r="H102" s="1290"/>
      <c r="I102" s="1110">
        <f ca="1">'3. CP-Luong'!D32/$B$1</f>
        <v>0.52780168639525282</v>
      </c>
      <c r="J102" s="1110">
        <f ca="1">'3. CP-Luong'!E32/$B$1</f>
        <v>0.52780168639525282</v>
      </c>
      <c r="K102" s="1110">
        <f ca="1">'3. CP-Luong'!F32/$B$1</f>
        <v>0.52780168639525282</v>
      </c>
      <c r="L102" s="1110">
        <f ca="1">'3. CP-Luong'!G32/$B$1</f>
        <v>0.52780168639525282</v>
      </c>
      <c r="M102" s="1110">
        <f ca="1">'3. CP-Luong'!H32/$B$1</f>
        <v>0.52780168639525282</v>
      </c>
      <c r="N102" s="1110">
        <f ca="1">'3. CP-Luong'!I32/$B$1</f>
        <v>0.52780168639525282</v>
      </c>
      <c r="O102" s="1110">
        <f ca="1">'3. CP-Luong'!J32/$B$1</f>
        <v>0.52780168639525282</v>
      </c>
      <c r="P102" s="1110">
        <f ca="1">'3. CP-Luong'!K32/$B$1</f>
        <v>0.52780168639525282</v>
      </c>
      <c r="Q102" s="1110">
        <f ca="1">'3. CP-Luong'!L32/$B$1</f>
        <v>0.52780168639525282</v>
      </c>
      <c r="R102" s="1110">
        <f ca="1">'3. CP-Luong'!M32/$B$1</f>
        <v>0.52780168639525282</v>
      </c>
    </row>
    <row r="103" spans="1:18" s="507" customFormat="1" x14ac:dyDescent="0.25">
      <c r="A103" s="1288"/>
      <c r="B103" s="1332"/>
      <c r="C103" s="1311" t="s">
        <v>964</v>
      </c>
      <c r="D103" s="1301"/>
      <c r="E103" s="1305">
        <f t="shared" ca="1" si="67"/>
        <v>6.0358117912341074</v>
      </c>
      <c r="H103" s="1290"/>
      <c r="I103" s="1110">
        <f ca="1">'3. CP-Luong'!D33/$B$1</f>
        <v>0.6035811791234108</v>
      </c>
      <c r="J103" s="1110">
        <f ca="1">'3. CP-Luong'!E33/$B$1</f>
        <v>0.6035811791234108</v>
      </c>
      <c r="K103" s="1110">
        <f ca="1">'3. CP-Luong'!F33/$B$1</f>
        <v>0.6035811791234108</v>
      </c>
      <c r="L103" s="1110">
        <f ca="1">'3. CP-Luong'!G33/$B$1</f>
        <v>0.6035811791234108</v>
      </c>
      <c r="M103" s="1110">
        <f ca="1">'3. CP-Luong'!H33/$B$1</f>
        <v>0.6035811791234108</v>
      </c>
      <c r="N103" s="1110">
        <f ca="1">'3. CP-Luong'!I33/$B$1</f>
        <v>0.6035811791234108</v>
      </c>
      <c r="O103" s="1110">
        <f ca="1">'3. CP-Luong'!J33/$B$1</f>
        <v>0.6035811791234108</v>
      </c>
      <c r="P103" s="1110">
        <f ca="1">'3. CP-Luong'!K33/$B$1</f>
        <v>0.6035811791234108</v>
      </c>
      <c r="Q103" s="1110">
        <f ca="1">'3. CP-Luong'!L33/$B$1</f>
        <v>0.6035811791234108</v>
      </c>
      <c r="R103" s="1110">
        <f ca="1">'3. CP-Luong'!M33/$B$1</f>
        <v>0.6035811791234108</v>
      </c>
    </row>
    <row r="104" spans="1:18" s="507" customFormat="1" x14ac:dyDescent="0.25">
      <c r="A104" s="1288"/>
      <c r="B104" s="1332"/>
      <c r="C104" s="1311" t="s">
        <v>965</v>
      </c>
      <c r="D104" s="1301"/>
      <c r="E104" s="1305">
        <f t="shared" si="67"/>
        <v>2.16E-3</v>
      </c>
      <c r="H104" s="1290"/>
      <c r="I104" s="1110">
        <f>'3. CP-Luong'!D34/'4. KQ-PL'!$C$1</f>
        <v>2.1599999999999999E-4</v>
      </c>
      <c r="J104" s="1110">
        <f>'3. CP-Luong'!E34/'4. KQ-PL'!$C$1</f>
        <v>2.1599999999999999E-4</v>
      </c>
      <c r="K104" s="1110">
        <f>'3. CP-Luong'!F34/'4. KQ-PL'!$C$1</f>
        <v>2.1599999999999999E-4</v>
      </c>
      <c r="L104" s="1110">
        <f>'3. CP-Luong'!G34/'4. KQ-PL'!$C$1</f>
        <v>2.1599999999999999E-4</v>
      </c>
      <c r="M104" s="1110">
        <f>'3. CP-Luong'!H34/'4. KQ-PL'!$C$1</f>
        <v>2.1599999999999999E-4</v>
      </c>
      <c r="N104" s="1110">
        <f>'3. CP-Luong'!I34/'4. KQ-PL'!$C$1</f>
        <v>2.1599999999999999E-4</v>
      </c>
      <c r="O104" s="1110">
        <f>'3. CP-Luong'!J34/'4. KQ-PL'!$C$1</f>
        <v>2.1599999999999999E-4</v>
      </c>
      <c r="P104" s="1110">
        <f>'3. CP-Luong'!K34/'4. KQ-PL'!$C$1</f>
        <v>2.1599999999999999E-4</v>
      </c>
      <c r="Q104" s="1110">
        <f>'3. CP-Luong'!L34/'4. KQ-PL'!$C$1</f>
        <v>2.1599999999999999E-4</v>
      </c>
      <c r="R104" s="1110">
        <f>'3. CP-Luong'!M34/'4. KQ-PL'!$C$1</f>
        <v>2.1599999999999999E-4</v>
      </c>
    </row>
    <row r="105" spans="1:18" s="507" customFormat="1" x14ac:dyDescent="0.25">
      <c r="A105" s="1288"/>
      <c r="B105" s="1332"/>
      <c r="D105" s="1301"/>
      <c r="E105" s="1308"/>
      <c r="H105" s="1290"/>
      <c r="I105" s="694"/>
      <c r="J105" s="694"/>
      <c r="K105" s="694"/>
      <c r="L105" s="694"/>
      <c r="M105" s="694"/>
      <c r="N105" s="694"/>
      <c r="O105" s="694"/>
      <c r="P105" s="694"/>
      <c r="Q105" s="694"/>
      <c r="R105" s="694"/>
    </row>
    <row r="106" spans="1:18" s="693" customFormat="1" x14ac:dyDescent="0.25">
      <c r="A106" s="679"/>
      <c r="B106" s="1336">
        <v>5</v>
      </c>
      <c r="C106" s="1280" t="s">
        <v>975</v>
      </c>
      <c r="D106" s="1281" t="s">
        <v>785</v>
      </c>
      <c r="E106" s="1306"/>
      <c r="F106" s="1280"/>
      <c r="G106" s="1280"/>
      <c r="H106" s="1282"/>
      <c r="I106" s="1300">
        <f t="shared" ref="I106:R106" ca="1" si="68">I75-I77</f>
        <v>97.567039885794202</v>
      </c>
      <c r="J106" s="1300">
        <f t="shared" ca="1" si="68"/>
        <v>97.79845368858372</v>
      </c>
      <c r="K106" s="1300">
        <f t="shared" ca="1" si="68"/>
        <v>98.662099815866782</v>
      </c>
      <c r="L106" s="1300">
        <f t="shared" ca="1" si="68"/>
        <v>99.056614863044047</v>
      </c>
      <c r="M106" s="1300">
        <f t="shared" ca="1" si="68"/>
        <v>99.919839663750281</v>
      </c>
      <c r="N106" s="1300">
        <f t="shared" ca="1" si="68"/>
        <v>100.94031866743865</v>
      </c>
      <c r="O106" s="1300">
        <f t="shared" ca="1" si="68"/>
        <v>101.97679643732289</v>
      </c>
      <c r="P106" s="1300">
        <f t="shared" ca="1" si="68"/>
        <v>103.06992231295817</v>
      </c>
      <c r="Q106" s="1300">
        <f t="shared" ca="1" si="68"/>
        <v>104.15371517349678</v>
      </c>
      <c r="R106" s="1300">
        <f t="shared" ca="1" si="68"/>
        <v>105.26162741829569</v>
      </c>
    </row>
    <row r="107" spans="1:18" s="693" customFormat="1" x14ac:dyDescent="0.25">
      <c r="A107" s="679"/>
      <c r="B107" s="1330"/>
      <c r="D107" s="1092"/>
      <c r="E107" s="1315"/>
      <c r="H107" s="309"/>
      <c r="I107" s="308"/>
      <c r="J107" s="308"/>
      <c r="K107" s="308"/>
      <c r="L107" s="308"/>
      <c r="M107" s="308"/>
      <c r="N107" s="308"/>
      <c r="O107" s="308"/>
      <c r="P107" s="308"/>
      <c r="Q107" s="308"/>
      <c r="R107" s="308"/>
    </row>
    <row r="108" spans="1:18" s="693" customFormat="1" x14ac:dyDescent="0.25">
      <c r="A108" s="679"/>
      <c r="B108" s="1336">
        <v>6</v>
      </c>
      <c r="C108" s="1280" t="s">
        <v>1400</v>
      </c>
      <c r="D108" s="1281" t="s">
        <v>785</v>
      </c>
      <c r="E108" s="1306"/>
      <c r="F108" s="1280"/>
      <c r="G108" s="1280"/>
      <c r="H108" s="1282"/>
      <c r="I108" s="1300">
        <f t="shared" ref="I108:R108" ca="1" si="69">I109+I129+I152</f>
        <v>81.355572404812676</v>
      </c>
      <c r="J108" s="1300">
        <f t="shared" ca="1" si="69"/>
        <v>72.170637731575184</v>
      </c>
      <c r="K108" s="1300">
        <f t="shared" ca="1" si="69"/>
        <v>65.048394090836524</v>
      </c>
      <c r="L108" s="1300">
        <f t="shared" ca="1" si="69"/>
        <v>53.972904948828564</v>
      </c>
      <c r="M108" s="1300">
        <f t="shared" ca="1" si="69"/>
        <v>50.897437854088523</v>
      </c>
      <c r="N108" s="1300">
        <f t="shared" ca="1" si="69"/>
        <v>49.02918976378173</v>
      </c>
      <c r="O108" s="1300">
        <f t="shared" ca="1" si="69"/>
        <v>49.436200101431268</v>
      </c>
      <c r="P108" s="1300">
        <f t="shared" ca="1" si="69"/>
        <v>49.376437543757099</v>
      </c>
      <c r="Q108" s="1300">
        <f t="shared" ca="1" si="69"/>
        <v>49.179638342095515</v>
      </c>
      <c r="R108" s="1300">
        <f t="shared" ca="1" si="69"/>
        <v>49.34758654081179</v>
      </c>
    </row>
    <row r="109" spans="1:18" s="693" customFormat="1" x14ac:dyDescent="0.25">
      <c r="A109" s="679"/>
      <c r="B109" s="1330" t="s">
        <v>1394</v>
      </c>
      <c r="C109" s="693" t="s">
        <v>976</v>
      </c>
      <c r="D109" s="1092" t="s">
        <v>785</v>
      </c>
      <c r="E109" s="1315"/>
      <c r="H109" s="309"/>
      <c r="I109" s="308">
        <f ca="1">I110+I116+I122</f>
        <v>24.397963159924721</v>
      </c>
      <c r="J109" s="308">
        <f t="shared" ref="J109:R109" ca="1" si="70">J110+J116+J122</f>
        <v>24.135720620893121</v>
      </c>
      <c r="K109" s="308">
        <f t="shared" ca="1" si="70"/>
        <v>23.437173837626901</v>
      </c>
      <c r="L109" s="308">
        <f t="shared" ca="1" si="70"/>
        <v>21.812891366497904</v>
      </c>
      <c r="M109" s="308">
        <f t="shared" ca="1" si="70"/>
        <v>21.287224505423787</v>
      </c>
      <c r="N109" s="308">
        <f t="shared" ca="1" si="70"/>
        <v>19.342167390818286</v>
      </c>
      <c r="O109" s="308">
        <f t="shared" ca="1" si="70"/>
        <v>19.494796267436861</v>
      </c>
      <c r="P109" s="308">
        <f t="shared" ca="1" si="70"/>
        <v>19.49779851875271</v>
      </c>
      <c r="Q109" s="308">
        <f t="shared" ca="1" si="70"/>
        <v>19.060965070036691</v>
      </c>
      <c r="R109" s="308">
        <f t="shared" ca="1" si="70"/>
        <v>19.0996058448425</v>
      </c>
    </row>
    <row r="110" spans="1:18" s="693" customFormat="1" x14ac:dyDescent="0.25">
      <c r="A110" s="679"/>
      <c r="B110" s="1330" t="s">
        <v>1395</v>
      </c>
      <c r="C110" s="693" t="s">
        <v>1363</v>
      </c>
      <c r="D110" s="1092"/>
      <c r="E110" s="1315"/>
      <c r="H110" s="309"/>
      <c r="I110" s="308">
        <f ca="1">I111+I112+I113+I114+I115</f>
        <v>2.6960335717741937</v>
      </c>
      <c r="J110" s="308">
        <f t="shared" ref="J110:R110" ca="1" si="71">J111+J112+J113+J114+J115</f>
        <v>2.6960335717741937</v>
      </c>
      <c r="K110" s="308">
        <f t="shared" ca="1" si="71"/>
        <v>2.6960335717741937</v>
      </c>
      <c r="L110" s="308">
        <f t="shared" ca="1" si="71"/>
        <v>2.6960335717741937</v>
      </c>
      <c r="M110" s="308">
        <f t="shared" ca="1" si="71"/>
        <v>2.6960335717741937</v>
      </c>
      <c r="N110" s="308">
        <f t="shared" ca="1" si="71"/>
        <v>2.6960335717741937</v>
      </c>
      <c r="O110" s="308">
        <f t="shared" ca="1" si="71"/>
        <v>2.6960335717741937</v>
      </c>
      <c r="P110" s="308">
        <f t="shared" ca="1" si="71"/>
        <v>2.6960335717741937</v>
      </c>
      <c r="Q110" s="308">
        <f t="shared" ca="1" si="71"/>
        <v>2.6960335717741937</v>
      </c>
      <c r="R110" s="308">
        <f t="shared" ca="1" si="71"/>
        <v>2.6960335717741937</v>
      </c>
    </row>
    <row r="111" spans="1:18" s="507" customFormat="1" x14ac:dyDescent="0.25">
      <c r="A111" s="1288"/>
      <c r="B111" s="1332"/>
      <c r="C111" s="1311" t="s">
        <v>961</v>
      </c>
      <c r="D111" s="1301"/>
      <c r="E111" s="1305">
        <f t="shared" ref="E111:E115" ca="1" si="72">SUM(I111:R111)</f>
        <v>18.437320645161289</v>
      </c>
      <c r="H111" s="1290"/>
      <c r="I111" s="1110">
        <f ca="1">'3. CP-Luong'!D18/$B$1</f>
        <v>1.8437320645161293</v>
      </c>
      <c r="J111" s="1110">
        <f ca="1">'3. CP-Luong'!E18/$B$1</f>
        <v>1.8437320645161293</v>
      </c>
      <c r="K111" s="1110">
        <f ca="1">'3. CP-Luong'!F18/$B$1</f>
        <v>1.8437320645161293</v>
      </c>
      <c r="L111" s="1110">
        <f ca="1">'3. CP-Luong'!G18/$B$1</f>
        <v>1.8437320645161293</v>
      </c>
      <c r="M111" s="1110">
        <f ca="1">'3. CP-Luong'!H18/$B$1</f>
        <v>1.8437320645161293</v>
      </c>
      <c r="N111" s="1110">
        <f ca="1">'3. CP-Luong'!I18/$B$1</f>
        <v>1.8437320645161293</v>
      </c>
      <c r="O111" s="1110">
        <f ca="1">'3. CP-Luong'!J18/$B$1</f>
        <v>1.8437320645161293</v>
      </c>
      <c r="P111" s="1110">
        <f ca="1">'3. CP-Luong'!K18/$B$1</f>
        <v>1.8437320645161293</v>
      </c>
      <c r="Q111" s="1110">
        <f ca="1">'3. CP-Luong'!L18/$B$1</f>
        <v>1.8437320645161293</v>
      </c>
      <c r="R111" s="1110">
        <f ca="1">'3. CP-Luong'!M18/$B$1</f>
        <v>1.8437320645161293</v>
      </c>
    </row>
    <row r="112" spans="1:18" s="507" customFormat="1" x14ac:dyDescent="0.25">
      <c r="A112" s="1288"/>
      <c r="B112" s="1332"/>
      <c r="C112" s="1311" t="s">
        <v>962</v>
      </c>
      <c r="D112" s="1301"/>
      <c r="E112" s="1305">
        <f t="shared" ca="1" si="72"/>
        <v>8.5230150725806446</v>
      </c>
      <c r="H112" s="1290"/>
      <c r="I112" s="1110">
        <f ca="1">'3. CP-Luong'!D19/$B$1</f>
        <v>0.85230150725806453</v>
      </c>
      <c r="J112" s="1110">
        <f ca="1">'3. CP-Luong'!E19/$B$1</f>
        <v>0.85230150725806453</v>
      </c>
      <c r="K112" s="1110">
        <f ca="1">'3. CP-Luong'!F19/$B$1</f>
        <v>0.85230150725806453</v>
      </c>
      <c r="L112" s="1110">
        <f ca="1">'3. CP-Luong'!G19/$B$1</f>
        <v>0.85230150725806453</v>
      </c>
      <c r="M112" s="1110">
        <f ca="1">'3. CP-Luong'!H19/$B$1</f>
        <v>0.85230150725806453</v>
      </c>
      <c r="N112" s="1110">
        <f ca="1">'3. CP-Luong'!I19/$B$1</f>
        <v>0.85230150725806453</v>
      </c>
      <c r="O112" s="1110">
        <f ca="1">'3. CP-Luong'!J19/$B$1</f>
        <v>0.85230150725806453</v>
      </c>
      <c r="P112" s="1110">
        <f ca="1">'3. CP-Luong'!K19/$B$1</f>
        <v>0.85230150725806453</v>
      </c>
      <c r="Q112" s="1110">
        <f ca="1">'3. CP-Luong'!L19/$B$1</f>
        <v>0.85230150725806453</v>
      </c>
      <c r="R112" s="1110">
        <f ca="1">'3. CP-Luong'!M19/$B$1</f>
        <v>0.85230150725806453</v>
      </c>
    </row>
    <row r="113" spans="1:18" s="507" customFormat="1" x14ac:dyDescent="0.25">
      <c r="A113" s="1288"/>
      <c r="B113" s="1332"/>
      <c r="C113" s="1311" t="s">
        <v>963</v>
      </c>
      <c r="D113" s="1301"/>
      <c r="E113" s="1305">
        <f t="shared" si="72"/>
        <v>0</v>
      </c>
      <c r="H113" s="1290"/>
      <c r="I113" s="1110">
        <f>'3. CP-Luong'!D20/$B$1</f>
        <v>0</v>
      </c>
      <c r="J113" s="1110">
        <f>'3. CP-Luong'!E20/$B$1</f>
        <v>0</v>
      </c>
      <c r="K113" s="1110">
        <f>'3. CP-Luong'!F20/$B$1</f>
        <v>0</v>
      </c>
      <c r="L113" s="1110">
        <f>'3. CP-Luong'!G20/$B$1</f>
        <v>0</v>
      </c>
      <c r="M113" s="1110">
        <f>'3. CP-Luong'!H20/$B$1</f>
        <v>0</v>
      </c>
      <c r="N113" s="1110">
        <f>'3. CP-Luong'!I20/$B$1</f>
        <v>0</v>
      </c>
      <c r="O113" s="1110">
        <f>'3. CP-Luong'!J20/$B$1</f>
        <v>0</v>
      </c>
      <c r="P113" s="1110">
        <f>'3. CP-Luong'!K20/$B$1</f>
        <v>0</v>
      </c>
      <c r="Q113" s="1110">
        <f>'3. CP-Luong'!L20/$B$1</f>
        <v>0</v>
      </c>
      <c r="R113" s="1110">
        <f>'3. CP-Luong'!M20/$B$1</f>
        <v>0</v>
      </c>
    </row>
    <row r="114" spans="1:18" s="507" customFormat="1" x14ac:dyDescent="0.25">
      <c r="A114" s="1288"/>
      <c r="B114" s="1332"/>
      <c r="C114" s="1311" t="s">
        <v>964</v>
      </c>
      <c r="D114" s="1301"/>
      <c r="E114" s="1305">
        <f t="shared" si="72"/>
        <v>0</v>
      </c>
      <c r="H114" s="1290"/>
      <c r="I114" s="1110">
        <f>'3. CP-Luong'!D21/$B$1</f>
        <v>0</v>
      </c>
      <c r="J114" s="1110">
        <f>'3. CP-Luong'!E21/$B$1</f>
        <v>0</v>
      </c>
      <c r="K114" s="1110">
        <f>'3. CP-Luong'!F21/$B$1</f>
        <v>0</v>
      </c>
      <c r="L114" s="1110">
        <f>'3. CP-Luong'!G21/$B$1</f>
        <v>0</v>
      </c>
      <c r="M114" s="1110">
        <f>'3. CP-Luong'!H21/$B$1</f>
        <v>0</v>
      </c>
      <c r="N114" s="1110">
        <f>'3. CP-Luong'!I21/$B$1</f>
        <v>0</v>
      </c>
      <c r="O114" s="1110">
        <f>'3. CP-Luong'!J21/$B$1</f>
        <v>0</v>
      </c>
      <c r="P114" s="1110">
        <f>'3. CP-Luong'!K21/$B$1</f>
        <v>0</v>
      </c>
      <c r="Q114" s="1110">
        <f>'3. CP-Luong'!L21/$B$1</f>
        <v>0</v>
      </c>
      <c r="R114" s="1110">
        <f>'3. CP-Luong'!M21/$B$1</f>
        <v>0</v>
      </c>
    </row>
    <row r="115" spans="1:18" s="507" customFormat="1" x14ac:dyDescent="0.25">
      <c r="A115" s="1288"/>
      <c r="B115" s="1332"/>
      <c r="C115" s="1311" t="s">
        <v>965</v>
      </c>
      <c r="D115" s="1301"/>
      <c r="E115" s="1305">
        <f t="shared" si="72"/>
        <v>0</v>
      </c>
      <c r="H115" s="1290"/>
      <c r="I115" s="1110">
        <f>'3. CP-Luong'!D22/$B$1</f>
        <v>0</v>
      </c>
      <c r="J115" s="1110">
        <f>'3. CP-Luong'!E22/$B$1</f>
        <v>0</v>
      </c>
      <c r="K115" s="1110">
        <f>'3. CP-Luong'!F22/$B$1</f>
        <v>0</v>
      </c>
      <c r="L115" s="1110">
        <f>'3. CP-Luong'!G22/$B$1</f>
        <v>0</v>
      </c>
      <c r="M115" s="1110">
        <f>'3. CP-Luong'!H22/$B$1</f>
        <v>0</v>
      </c>
      <c r="N115" s="1110">
        <f>'3. CP-Luong'!I22/$B$1</f>
        <v>0</v>
      </c>
      <c r="O115" s="1110">
        <f>'3. CP-Luong'!J22/$B$1</f>
        <v>0</v>
      </c>
      <c r="P115" s="1110">
        <f>'3. CP-Luong'!K22/$B$1</f>
        <v>0</v>
      </c>
      <c r="Q115" s="1110">
        <f>'3. CP-Luong'!L22/$B$1</f>
        <v>0</v>
      </c>
      <c r="R115" s="1110">
        <f>'3. CP-Luong'!M22/$B$1</f>
        <v>0</v>
      </c>
    </row>
    <row r="116" spans="1:18" s="693" customFormat="1" x14ac:dyDescent="0.25">
      <c r="A116" s="679"/>
      <c r="B116" s="1330" t="s">
        <v>1396</v>
      </c>
      <c r="C116" s="693" t="s">
        <v>980</v>
      </c>
      <c r="D116" s="1092"/>
      <c r="E116" s="1315"/>
      <c r="H116" s="309"/>
      <c r="I116" s="308">
        <f>I117+I118+I119+I120+I121</f>
        <v>7.5210964708571399</v>
      </c>
      <c r="J116" s="308">
        <f t="shared" ref="J116:R116" si="73">J117+J118+J119+J120+J121</f>
        <v>7.1139473153709059</v>
      </c>
      <c r="K116" s="308">
        <f t="shared" si="73"/>
        <v>6.2689825739513436</v>
      </c>
      <c r="L116" s="308">
        <f t="shared" si="73"/>
        <v>4.4967544378150714</v>
      </c>
      <c r="M116" s="308">
        <f t="shared" si="73"/>
        <v>3.8215976509130276</v>
      </c>
      <c r="N116" s="308">
        <f t="shared" si="73"/>
        <v>1.7254896044869272</v>
      </c>
      <c r="O116" s="308">
        <f t="shared" si="73"/>
        <v>1.7254896044869272</v>
      </c>
      <c r="P116" s="308">
        <f t="shared" si="73"/>
        <v>1.5742678994851096</v>
      </c>
      <c r="Q116" s="308">
        <f t="shared" si="73"/>
        <v>0.98159808125758907</v>
      </c>
      <c r="R116" s="308">
        <f t="shared" si="73"/>
        <v>0.86277253873614479</v>
      </c>
    </row>
    <row r="117" spans="1:18" s="507" customFormat="1" x14ac:dyDescent="0.25">
      <c r="A117" s="1288"/>
      <c r="B117" s="1332"/>
      <c r="C117" s="1311" t="s">
        <v>961</v>
      </c>
      <c r="D117" s="1301"/>
      <c r="E117" s="1305">
        <f t="shared" ref="E117:E121" si="74">SUM(I117:R117)</f>
        <v>17.522414868253378</v>
      </c>
      <c r="H117" s="1290"/>
      <c r="I117" s="1110">
        <f>'3.CP-KH'!D13</f>
        <v>3.9971771047718732</v>
      </c>
      <c r="J117" s="1110">
        <f>'3.CP-KH'!E13</f>
        <v>3.9210711292213065</v>
      </c>
      <c r="K117" s="1110">
        <f>'3.CP-KH'!F13</f>
        <v>3.1126839940498408</v>
      </c>
      <c r="L117" s="1110">
        <f>'3.CP-KH'!G13</f>
        <v>1.8442918366861312</v>
      </c>
      <c r="M117" s="1110">
        <f>'3.CP-KH'!H13</f>
        <v>1.3171164785875895</v>
      </c>
      <c r="N117" s="1110">
        <f>'3.CP-KH'!I13</f>
        <v>0.67195550224956346</v>
      </c>
      <c r="O117" s="1110">
        <f>'3.CP-KH'!J13</f>
        <v>0.67195550224956346</v>
      </c>
      <c r="P117" s="1110">
        <f>'3.CP-KH'!K13</f>
        <v>0.67195550224956346</v>
      </c>
      <c r="Q117" s="1110">
        <f>'3.CP-KH'!L13</f>
        <v>0.67195550224956346</v>
      </c>
      <c r="R117" s="1110">
        <f>'3.CP-KH'!M13</f>
        <v>0.64225231593838383</v>
      </c>
    </row>
    <row r="118" spans="1:18" s="507" customFormat="1" x14ac:dyDescent="0.25">
      <c r="A118" s="1288"/>
      <c r="B118" s="1332"/>
      <c r="C118" s="1311" t="s">
        <v>962</v>
      </c>
      <c r="D118" s="1301"/>
      <c r="E118" s="1305">
        <f t="shared" si="74"/>
        <v>14.501079491118157</v>
      </c>
      <c r="H118" s="1290"/>
      <c r="I118" s="1110">
        <f>'3.CP-KH'!D14</f>
        <v>2.4759381077561509</v>
      </c>
      <c r="J118" s="1110">
        <f>'3.CP-KH'!E14</f>
        <v>2.4540704251643342</v>
      </c>
      <c r="K118" s="1110">
        <f>'3.CP-KH'!F14</f>
        <v>2.4448401666818969</v>
      </c>
      <c r="L118" s="1110">
        <f>'3.CP-KH'!G14</f>
        <v>2.3826406288230282</v>
      </c>
      <c r="M118" s="1110">
        <f>'3.CP-KH'!H14</f>
        <v>2.2843810300642446</v>
      </c>
      <c r="N118" s="1110">
        <f>'3.CP-KH'!I14</f>
        <v>0.83343395997617009</v>
      </c>
      <c r="O118" s="1110">
        <f>'3.CP-KH'!J14</f>
        <v>0.83343395997617009</v>
      </c>
      <c r="P118" s="1110">
        <f>'3.CP-KH'!K14</f>
        <v>0.68221225497435234</v>
      </c>
      <c r="Q118" s="1110">
        <f>'3.CP-KH'!L14</f>
        <v>8.9542436746831905E-2</v>
      </c>
      <c r="R118" s="1110">
        <f>'3.CP-KH'!M14</f>
        <v>2.0586520954975311E-2</v>
      </c>
    </row>
    <row r="119" spans="1:18" s="507" customFormat="1" x14ac:dyDescent="0.25">
      <c r="A119" s="1288"/>
      <c r="B119" s="1332"/>
      <c r="C119" s="1311" t="s">
        <v>963</v>
      </c>
      <c r="D119" s="1301"/>
      <c r="E119" s="1305">
        <f t="shared" si="74"/>
        <v>2.0134315140928685</v>
      </c>
      <c r="H119" s="1290"/>
      <c r="I119" s="1110">
        <f>'3.CP-KH'!D15</f>
        <v>0.51862788468451093</v>
      </c>
      <c r="J119" s="1110">
        <f>'3.CP-KH'!E15</f>
        <v>0.36562225322944297</v>
      </c>
      <c r="K119" s="1110">
        <f>'3.CP-KH'!F15</f>
        <v>0.35208852158041598</v>
      </c>
      <c r="L119" s="1110">
        <f>'3.CP-KH'!G15</f>
        <v>0.13353024934962221</v>
      </c>
      <c r="M119" s="1110">
        <f>'3.CP-KH'!H15</f>
        <v>0.10892377157744378</v>
      </c>
      <c r="N119" s="1110">
        <f>'3.CP-KH'!I15</f>
        <v>0.10892377157744376</v>
      </c>
      <c r="O119" s="1110">
        <f>'3.CP-KH'!J15</f>
        <v>0.10892377157744378</v>
      </c>
      <c r="P119" s="1110">
        <f>'3.CP-KH'!K15</f>
        <v>0.10892377157744375</v>
      </c>
      <c r="Q119" s="1110">
        <f>'3.CP-KH'!L15</f>
        <v>0.10892377157744378</v>
      </c>
      <c r="R119" s="1110">
        <f>'3.CP-KH'!M15</f>
        <v>9.8943747361657078E-2</v>
      </c>
    </row>
    <row r="120" spans="1:18" s="507" customFormat="1" x14ac:dyDescent="0.25">
      <c r="A120" s="1288"/>
      <c r="B120" s="1332"/>
      <c r="C120" s="1311" t="s">
        <v>964</v>
      </c>
      <c r="D120" s="1301"/>
      <c r="E120" s="1305">
        <f t="shared" si="74"/>
        <v>2.0550703038957856</v>
      </c>
      <c r="H120" s="1290"/>
      <c r="I120" s="1110">
        <f>'3.CP-KH'!D16</f>
        <v>0.52935337364460588</v>
      </c>
      <c r="J120" s="1110">
        <f>'3.CP-KH'!E16</f>
        <v>0.37318350775582249</v>
      </c>
      <c r="K120" s="1110">
        <f>'3.CP-KH'!F16</f>
        <v>0.35936989163918959</v>
      </c>
      <c r="L120" s="1110">
        <f>'3.CP-KH'!G16</f>
        <v>0.13629172295628977</v>
      </c>
      <c r="M120" s="1110">
        <f>'3.CP-KH'!H16</f>
        <v>0.11117637068374993</v>
      </c>
      <c r="N120" s="1110">
        <f>'3.CP-KH'!I16</f>
        <v>0.11117637068374993</v>
      </c>
      <c r="O120" s="1110">
        <f>'3.CP-KH'!J16</f>
        <v>0.11117637068374991</v>
      </c>
      <c r="P120" s="1110">
        <f>'3.CP-KH'!K16</f>
        <v>0.11117637068374994</v>
      </c>
      <c r="Q120" s="1110">
        <f>'3.CP-KH'!L16</f>
        <v>0.11117637068374991</v>
      </c>
      <c r="R120" s="1110">
        <f>'3.CP-KH'!M16</f>
        <v>0.10098995448112856</v>
      </c>
    </row>
    <row r="121" spans="1:18" s="507" customFormat="1" x14ac:dyDescent="0.25">
      <c r="A121" s="1288"/>
      <c r="B121" s="1332"/>
      <c r="C121" s="1311" t="s">
        <v>965</v>
      </c>
      <c r="D121" s="1301"/>
      <c r="E121" s="1305">
        <f t="shared" si="74"/>
        <v>0</v>
      </c>
      <c r="H121" s="1290"/>
      <c r="I121" s="1110">
        <f>'3.CP-KH'!D17</f>
        <v>0</v>
      </c>
      <c r="J121" s="1110">
        <f>'3.CP-KH'!E17</f>
        <v>0</v>
      </c>
      <c r="K121" s="1110">
        <f>'3.CP-KH'!F17</f>
        <v>0</v>
      </c>
      <c r="L121" s="1110">
        <f>'3.CP-KH'!G17</f>
        <v>0</v>
      </c>
      <c r="M121" s="1110">
        <f>'3.CP-KH'!H17</f>
        <v>0</v>
      </c>
      <c r="N121" s="1110">
        <f>'3.CP-KH'!I17</f>
        <v>0</v>
      </c>
      <c r="O121" s="1110">
        <f>'3.CP-KH'!J17</f>
        <v>0</v>
      </c>
      <c r="P121" s="1110">
        <f>'3.CP-KH'!K17</f>
        <v>0</v>
      </c>
      <c r="Q121" s="1110">
        <f>'3.CP-KH'!L17</f>
        <v>0</v>
      </c>
      <c r="R121" s="1110">
        <f>'3.CP-KH'!M17</f>
        <v>0</v>
      </c>
    </row>
    <row r="122" spans="1:18" s="693" customFormat="1" x14ac:dyDescent="0.25">
      <c r="A122" s="679"/>
      <c r="B122" s="1330" t="s">
        <v>1408</v>
      </c>
      <c r="C122" s="693" t="s">
        <v>1409</v>
      </c>
      <c r="D122" s="1092"/>
      <c r="E122" s="1315"/>
      <c r="H122" s="309"/>
      <c r="I122" s="308">
        <f>I123+I124+I125+I126+I127</f>
        <v>14.180833117293389</v>
      </c>
      <c r="J122" s="308">
        <f t="shared" ref="J122:R122" si="75">J123+J124+J125+J126+J127</f>
        <v>14.325739733748021</v>
      </c>
      <c r="K122" s="308">
        <f t="shared" si="75"/>
        <v>14.472157691901364</v>
      </c>
      <c r="L122" s="308">
        <f t="shared" si="75"/>
        <v>14.62010335690864</v>
      </c>
      <c r="M122" s="308">
        <f t="shared" si="75"/>
        <v>14.769593282736563</v>
      </c>
      <c r="N122" s="308">
        <f t="shared" si="75"/>
        <v>14.920644214557164</v>
      </c>
      <c r="O122" s="308">
        <f t="shared" si="75"/>
        <v>15.073273091175739</v>
      </c>
      <c r="P122" s="308">
        <f t="shared" si="75"/>
        <v>15.227497047493404</v>
      </c>
      <c r="Q122" s="308">
        <f t="shared" si="75"/>
        <v>15.383333417004907</v>
      </c>
      <c r="R122" s="308">
        <f t="shared" si="75"/>
        <v>15.540799734332161</v>
      </c>
    </row>
    <row r="123" spans="1:18" s="507" customFormat="1" x14ac:dyDescent="0.25">
      <c r="A123" s="1288"/>
      <c r="B123" s="1332"/>
      <c r="C123" s="1311" t="s">
        <v>961</v>
      </c>
      <c r="D123" s="1301"/>
      <c r="E123" s="1305">
        <f t="shared" ref="E123:E127" si="76">SUM(I123:R123)</f>
        <v>84.28007146075943</v>
      </c>
      <c r="H123" s="1290"/>
      <c r="I123" s="1110">
        <f>'3. CP-khac'!E17</f>
        <v>8.055664242100498</v>
      </c>
      <c r="J123" s="1110">
        <f>'3. CP-khac'!F17</f>
        <v>8.1362208845215029</v>
      </c>
      <c r="K123" s="1110">
        <f>'3. CP-khac'!G17</f>
        <v>8.21758309336672</v>
      </c>
      <c r="L123" s="1110">
        <f>'3. CP-khac'!H17</f>
        <v>8.299758924300388</v>
      </c>
      <c r="M123" s="1110">
        <f>'3. CP-khac'!I17</f>
        <v>8.3827565135433915</v>
      </c>
      <c r="N123" s="1110">
        <f>'3. CP-khac'!J17</f>
        <v>8.4665840786788245</v>
      </c>
      <c r="O123" s="1110">
        <f>'3. CP-khac'!K17</f>
        <v>8.5512499194656151</v>
      </c>
      <c r="P123" s="1110">
        <f>'3. CP-khac'!L17</f>
        <v>8.6367624186602701</v>
      </c>
      <c r="Q123" s="1110">
        <f>'3. CP-khac'!M17</f>
        <v>8.7231300428468739</v>
      </c>
      <c r="R123" s="1110">
        <f>'3. CP-khac'!N17</f>
        <v>8.8103613432753427</v>
      </c>
    </row>
    <row r="124" spans="1:18" s="507" customFormat="1" x14ac:dyDescent="0.25">
      <c r="A124" s="1288"/>
      <c r="B124" s="1332"/>
      <c r="C124" s="1311" t="s">
        <v>962</v>
      </c>
      <c r="D124" s="1301"/>
      <c r="E124" s="1305">
        <f t="shared" si="76"/>
        <v>3.6529924907793716</v>
      </c>
      <c r="H124" s="1290"/>
      <c r="I124" s="1110">
        <f>'3. CP-khac'!E18</f>
        <v>0.34916060789452807</v>
      </c>
      <c r="J124" s="1110">
        <f>'3. CP-khac'!F18</f>
        <v>0.35265221397347329</v>
      </c>
      <c r="K124" s="1110">
        <f>'3. CP-khac'!G18</f>
        <v>0.35617873611320811</v>
      </c>
      <c r="L124" s="1110">
        <f>'3. CP-khac'!H18</f>
        <v>0.35974052347434016</v>
      </c>
      <c r="M124" s="1110">
        <f>'3. CP-khac'!I18</f>
        <v>0.3633379287090836</v>
      </c>
      <c r="N124" s="1110">
        <f>'3. CP-khac'!J18</f>
        <v>0.36697130799617439</v>
      </c>
      <c r="O124" s="1110">
        <f>'3. CP-khac'!K18</f>
        <v>0.37064102107613617</v>
      </c>
      <c r="P124" s="1110">
        <f>'3. CP-khac'!L18</f>
        <v>0.37434743128689757</v>
      </c>
      <c r="Q124" s="1110">
        <f>'3. CP-khac'!M18</f>
        <v>0.37809090559976649</v>
      </c>
      <c r="R124" s="1110">
        <f>'3. CP-khac'!N18</f>
        <v>0.3818718146557642</v>
      </c>
    </row>
    <row r="125" spans="1:18" s="507" customFormat="1" x14ac:dyDescent="0.25">
      <c r="A125" s="1288"/>
      <c r="B125" s="1332"/>
      <c r="C125" s="1311" t="s">
        <v>963</v>
      </c>
      <c r="D125" s="1301"/>
      <c r="E125" s="1305">
        <f t="shared" si="76"/>
        <v>28.317404916590885</v>
      </c>
      <c r="H125" s="1290"/>
      <c r="I125" s="1110">
        <f>'3. CP-khac'!E19</f>
        <v>2.706636364468106</v>
      </c>
      <c r="J125" s="1110">
        <f>'3. CP-khac'!F19</f>
        <v>2.7337027281127875</v>
      </c>
      <c r="K125" s="1110">
        <f>'3. CP-khac'!G19</f>
        <v>2.7610397553939152</v>
      </c>
      <c r="L125" s="1110">
        <f>'3. CP-khac'!H19</f>
        <v>2.7886501529478545</v>
      </c>
      <c r="M125" s="1110">
        <f>'3. CP-khac'!I19</f>
        <v>2.8165366544773334</v>
      </c>
      <c r="N125" s="1110">
        <f>'3. CP-khac'!J19</f>
        <v>2.8447020210221066</v>
      </c>
      <c r="O125" s="1110">
        <f>'3. CP-khac'!K19</f>
        <v>2.8731490412323279</v>
      </c>
      <c r="P125" s="1110">
        <f>'3. CP-khac'!L19</f>
        <v>2.9018805316446508</v>
      </c>
      <c r="Q125" s="1110">
        <f>'3. CP-khac'!M19</f>
        <v>2.9308993369610974</v>
      </c>
      <c r="R125" s="1110">
        <f>'3. CP-khac'!N19</f>
        <v>2.9602083303307096</v>
      </c>
    </row>
    <row r="126" spans="1:18" s="507" customFormat="1" x14ac:dyDescent="0.25">
      <c r="A126" s="1288"/>
      <c r="B126" s="1332"/>
      <c r="C126" s="1311" t="s">
        <v>964</v>
      </c>
      <c r="D126" s="1301"/>
      <c r="E126" s="1305">
        <f t="shared" si="76"/>
        <v>28.90302328147343</v>
      </c>
      <c r="H126" s="1290"/>
      <c r="I126" s="1110">
        <f>'3. CP-khac'!E20</f>
        <v>2.762610983850081</v>
      </c>
      <c r="J126" s="1110">
        <f>'3. CP-khac'!F20</f>
        <v>2.7902370936885816</v>
      </c>
      <c r="K126" s="1110">
        <f>'3. CP-khac'!G20</f>
        <v>2.8181394646254674</v>
      </c>
      <c r="L126" s="1110">
        <f>'3. CP-khac'!H20</f>
        <v>2.8463208592717231</v>
      </c>
      <c r="M126" s="1110">
        <f>'3. CP-khac'!I20</f>
        <v>2.8747840678644403</v>
      </c>
      <c r="N126" s="1110">
        <f>'3. CP-khac'!J20</f>
        <v>2.9035319085430848</v>
      </c>
      <c r="O126" s="1110">
        <f>'3. CP-khac'!K20</f>
        <v>2.9325672276285153</v>
      </c>
      <c r="P126" s="1110">
        <f>'3. CP-khac'!L20</f>
        <v>2.9618928999048011</v>
      </c>
      <c r="Q126" s="1110">
        <f>'3. CP-khac'!M20</f>
        <v>2.9915118289038487</v>
      </c>
      <c r="R126" s="1110">
        <f>'3. CP-khac'!N20</f>
        <v>3.0214269471928881</v>
      </c>
    </row>
    <row r="127" spans="1:18" s="507" customFormat="1" x14ac:dyDescent="0.25">
      <c r="A127" s="1288"/>
      <c r="B127" s="1332"/>
      <c r="C127" s="1311" t="s">
        <v>965</v>
      </c>
      <c r="D127" s="1301"/>
      <c r="E127" s="1305">
        <f t="shared" si="76"/>
        <v>3.3604825375482394</v>
      </c>
      <c r="H127" s="1290"/>
      <c r="I127" s="1110">
        <f>'3. CP-khac'!E21</f>
        <v>0.30676091898017438</v>
      </c>
      <c r="J127" s="1110">
        <f>'3. CP-khac'!F21</f>
        <v>0.31292681345167589</v>
      </c>
      <c r="K127" s="1110">
        <f>'3. CP-khac'!G21</f>
        <v>0.31921664240205466</v>
      </c>
      <c r="L127" s="1110">
        <f>'3. CP-khac'!H21</f>
        <v>0.32563289691433583</v>
      </c>
      <c r="M127" s="1110">
        <f>'3. CP-khac'!I21</f>
        <v>0.33217811814231402</v>
      </c>
      <c r="N127" s="1110">
        <f>'3. CP-khac'!J21</f>
        <v>0.33885489831697457</v>
      </c>
      <c r="O127" s="1110">
        <f>'3. CP-khac'!K21</f>
        <v>0.34566588177314583</v>
      </c>
      <c r="P127" s="1110">
        <f>'3. CP-khac'!L21</f>
        <v>0.35261376599678596</v>
      </c>
      <c r="Q127" s="1110">
        <f>'3. CP-khac'!M21</f>
        <v>0.3597013026933214</v>
      </c>
      <c r="R127" s="1110">
        <f>'3. CP-khac'!N21</f>
        <v>0.36693129887745712</v>
      </c>
    </row>
    <row r="128" spans="1:18" s="507" customFormat="1" x14ac:dyDescent="0.25">
      <c r="A128" s="1288"/>
      <c r="B128" s="1332"/>
      <c r="C128" s="1311"/>
      <c r="D128" s="1301"/>
      <c r="E128" s="1305"/>
      <c r="H128" s="1290"/>
      <c r="I128" s="1110"/>
      <c r="J128" s="1110"/>
      <c r="K128" s="1110"/>
      <c r="L128" s="1110"/>
      <c r="M128" s="1110"/>
      <c r="N128" s="1110"/>
      <c r="O128" s="1110"/>
      <c r="P128" s="1110"/>
      <c r="Q128" s="1110"/>
      <c r="R128" s="1110"/>
    </row>
    <row r="129" spans="1:18" s="693" customFormat="1" x14ac:dyDescent="0.25">
      <c r="A129" s="679"/>
      <c r="B129" s="1330" t="s">
        <v>1397</v>
      </c>
      <c r="C129" s="693" t="s">
        <v>977</v>
      </c>
      <c r="D129" s="1092" t="s">
        <v>785</v>
      </c>
      <c r="E129" s="1315"/>
      <c r="H129" s="309"/>
      <c r="I129" s="308">
        <f ca="1">I130+I138</f>
        <v>40.365430176383015</v>
      </c>
      <c r="J129" s="308">
        <f t="shared" ref="J129:R129" ca="1" si="77">J130+J138</f>
        <v>39.796246490374713</v>
      </c>
      <c r="K129" s="308">
        <f t="shared" ca="1" si="77"/>
        <v>36.657782523346413</v>
      </c>
      <c r="L129" s="308">
        <f t="shared" ca="1" si="77"/>
        <v>30.589595299219848</v>
      </c>
      <c r="M129" s="308">
        <f t="shared" ca="1" si="77"/>
        <v>29.610213348664736</v>
      </c>
      <c r="N129" s="308">
        <f t="shared" ca="1" si="77"/>
        <v>29.687022372963444</v>
      </c>
      <c r="O129" s="308">
        <f t="shared" ca="1" si="77"/>
        <v>29.941403833994404</v>
      </c>
      <c r="P129" s="308">
        <f t="shared" ca="1" si="77"/>
        <v>29.878639025004389</v>
      </c>
      <c r="Q129" s="308">
        <f t="shared" ca="1" si="77"/>
        <v>30.118673272058821</v>
      </c>
      <c r="R129" s="308">
        <f t="shared" ca="1" si="77"/>
        <v>30.247980695969289</v>
      </c>
    </row>
    <row r="130" spans="1:18" s="693" customFormat="1" x14ac:dyDescent="0.25">
      <c r="A130" s="679"/>
      <c r="B130" s="1330" t="s">
        <v>1398</v>
      </c>
      <c r="C130" s="693" t="s">
        <v>978</v>
      </c>
      <c r="D130" s="1092" t="s">
        <v>785</v>
      </c>
      <c r="E130" s="1315"/>
      <c r="H130" s="1316"/>
      <c r="I130" s="308">
        <f>I131+I137</f>
        <v>12.448754419625203</v>
      </c>
      <c r="J130" s="308">
        <f t="shared" ref="J130:R130" si="78">J131+J137</f>
        <v>11.638059706192509</v>
      </c>
      <c r="K130" s="308">
        <f t="shared" si="78"/>
        <v>8.2762165589173353</v>
      </c>
      <c r="L130" s="308">
        <f t="shared" si="78"/>
        <v>2.4604054381758971</v>
      </c>
      <c r="M130" s="308">
        <f t="shared" si="78"/>
        <v>1.4046932860392838</v>
      </c>
      <c r="N130" s="308">
        <f t="shared" si="78"/>
        <v>1.2297507573036515</v>
      </c>
      <c r="O130" s="308">
        <f t="shared" si="78"/>
        <v>1.2297507573036515</v>
      </c>
      <c r="P130" s="308">
        <f t="shared" si="78"/>
        <v>0.90994602111752787</v>
      </c>
      <c r="Q130" s="308">
        <f t="shared" si="78"/>
        <v>0.89025298565278488</v>
      </c>
      <c r="R130" s="308">
        <f t="shared" si="78"/>
        <v>0.75711654735116862</v>
      </c>
    </row>
    <row r="131" spans="1:18" s="1272" customFormat="1" x14ac:dyDescent="0.25">
      <c r="A131" s="1271"/>
      <c r="B131" s="1332"/>
      <c r="C131" s="1272" t="s">
        <v>970</v>
      </c>
      <c r="D131" s="1273"/>
      <c r="E131" s="1307"/>
      <c r="H131" s="1274"/>
      <c r="I131" s="311">
        <f>I132+I133+I134+I135+I136</f>
        <v>12.448754419625203</v>
      </c>
      <c r="J131" s="311">
        <f t="shared" ref="J131" si="79">J132+J133+J134+J135+J136</f>
        <v>11.638059706192509</v>
      </c>
      <c r="K131" s="311">
        <f t="shared" ref="K131" si="80">K132+K133+K134+K135+K136</f>
        <v>8.2762165589173353</v>
      </c>
      <c r="L131" s="311">
        <f t="shared" ref="L131" si="81">L132+L133+L134+L135+L136</f>
        <v>2.4604054381758971</v>
      </c>
      <c r="M131" s="311">
        <f t="shared" ref="M131" si="82">M132+M133+M134+M135+M136</f>
        <v>1.4046932860392838</v>
      </c>
      <c r="N131" s="311">
        <f t="shared" ref="N131" si="83">N132+N133+N134+N135+N136</f>
        <v>1.2297507573036515</v>
      </c>
      <c r="O131" s="311">
        <f t="shared" ref="O131" si="84">O132+O133+O134+O135+O136</f>
        <v>1.2297507573036515</v>
      </c>
      <c r="P131" s="311">
        <f t="shared" ref="P131" si="85">P132+P133+P134+P135+P136</f>
        <v>0.90994602111752787</v>
      </c>
      <c r="Q131" s="311">
        <f t="shared" ref="Q131" si="86">Q132+Q133+Q134+Q135+Q136</f>
        <v>0.89025298565278488</v>
      </c>
      <c r="R131" s="311">
        <f t="shared" ref="R131" si="87">R132+R133+R134+R135+R136</f>
        <v>0.75711654735116862</v>
      </c>
    </row>
    <row r="132" spans="1:18" s="507" customFormat="1" x14ac:dyDescent="0.25">
      <c r="A132" s="1288"/>
      <c r="B132" s="1332"/>
      <c r="C132" s="1311" t="s">
        <v>961</v>
      </c>
      <c r="D132" s="1301"/>
      <c r="E132" s="1305">
        <f t="shared" ref="E132:E137" si="88">SUM(I132:R132)</f>
        <v>30.399750611709713</v>
      </c>
      <c r="H132" s="1302"/>
      <c r="I132" s="1110">
        <f>'3.CP-KH'!D19</f>
        <v>10.788162837745331</v>
      </c>
      <c r="J132" s="1110">
        <f>'3.CP-KH'!E19</f>
        <v>10.288056163505885</v>
      </c>
      <c r="K132" s="1110">
        <f>'3.CP-KH'!F19</f>
        <v>6.9878252767988167</v>
      </c>
      <c r="L132" s="1110">
        <f>'3.CP-KH'!G19</f>
        <v>1.3467339243077896</v>
      </c>
      <c r="M132" s="1110">
        <f>'3.CP-KH'!H19</f>
        <v>0.32607924343554423</v>
      </c>
      <c r="N132" s="1110">
        <f>'3.CP-KH'!I19</f>
        <v>0.32607924343554423</v>
      </c>
      <c r="O132" s="1110">
        <f>'3.CP-KH'!J19</f>
        <v>0.32607924343554423</v>
      </c>
      <c r="P132" s="1110">
        <f>'3.CP-KH'!K19</f>
        <v>1.0734679045259458E-2</v>
      </c>
      <c r="Q132" s="1110">
        <f>'3.CP-KH'!L19</f>
        <v>0</v>
      </c>
      <c r="R132" s="1110">
        <f>'3.CP-KH'!M19</f>
        <v>0</v>
      </c>
    </row>
    <row r="133" spans="1:18" s="507" customFormat="1" x14ac:dyDescent="0.25">
      <c r="A133" s="1288"/>
      <c r="B133" s="1332"/>
      <c r="C133" s="1311" t="s">
        <v>962</v>
      </c>
      <c r="D133" s="1301"/>
      <c r="E133" s="1305">
        <f t="shared" si="88"/>
        <v>0.27965757086007559</v>
      </c>
      <c r="H133" s="1302"/>
      <c r="I133" s="1110">
        <f>'3.CP-KH'!D20</f>
        <v>0.18965717788591754</v>
      </c>
      <c r="J133" s="1110">
        <f>'3.CP-KH'!E20</f>
        <v>6.2282118694621323E-2</v>
      </c>
      <c r="K133" s="1110">
        <f>'3.CP-KH'!F20</f>
        <v>9.9043187691403647E-3</v>
      </c>
      <c r="L133" s="1110">
        <f>'3.CP-KH'!G20</f>
        <v>8.8922923296982162E-3</v>
      </c>
      <c r="M133" s="1110">
        <f>'3.CP-KH'!H20</f>
        <v>7.4969681132468933E-3</v>
      </c>
      <c r="N133" s="1110">
        <f>'3.CP-KH'!I20</f>
        <v>5.3407153147994003E-4</v>
      </c>
      <c r="O133" s="1110">
        <f>'3.CP-KH'!J20</f>
        <v>5.3407153147994003E-4</v>
      </c>
      <c r="P133" s="1110">
        <f>'3.CP-KH'!K20</f>
        <v>3.5655200449132826E-4</v>
      </c>
      <c r="Q133" s="1110">
        <f>'3.CP-KH'!L20</f>
        <v>0</v>
      </c>
      <c r="R133" s="1110">
        <f>'3.CP-KH'!M20</f>
        <v>0</v>
      </c>
    </row>
    <row r="134" spans="1:18" s="507" customFormat="1" x14ac:dyDescent="0.25">
      <c r="A134" s="1288"/>
      <c r="B134" s="1332"/>
      <c r="C134" s="1311" t="s">
        <v>963</v>
      </c>
      <c r="D134" s="1301"/>
      <c r="E134" s="1305">
        <f t="shared" si="88"/>
        <v>1.9270976083707618</v>
      </c>
      <c r="H134" s="1302"/>
      <c r="I134" s="1110">
        <f>'3.CP-KH'!D21</f>
        <v>0.40891241280958185</v>
      </c>
      <c r="J134" s="1110">
        <f>'3.CP-KH'!E21</f>
        <v>0.31227129804529596</v>
      </c>
      <c r="K134" s="1110">
        <f>'3.CP-KH'!F21</f>
        <v>0.30769638679099764</v>
      </c>
      <c r="L134" s="1110">
        <f>'3.CP-KH'!G21</f>
        <v>0.22173141559257839</v>
      </c>
      <c r="M134" s="1110">
        <f>'3.CP-KH'!H21</f>
        <v>0.20326565794010518</v>
      </c>
      <c r="N134" s="1110">
        <f>'3.CP-KH'!I21</f>
        <v>0.1111185000808779</v>
      </c>
      <c r="O134" s="1110">
        <f>'3.CP-KH'!J21</f>
        <v>0.1111185000808779</v>
      </c>
      <c r="P134" s="1110">
        <f>'3.CP-KH'!K21</f>
        <v>0.10876920195696926</v>
      </c>
      <c r="Q134" s="1110">
        <f>'3.CP-KH'!L21</f>
        <v>0.10405058328195964</v>
      </c>
      <c r="R134" s="1110">
        <f>'3.CP-KH'!M21</f>
        <v>3.8163651791518191E-2</v>
      </c>
    </row>
    <row r="135" spans="1:18" s="507" customFormat="1" x14ac:dyDescent="0.25">
      <c r="A135" s="1288"/>
      <c r="B135" s="1332"/>
      <c r="C135" s="1311" t="s">
        <v>964</v>
      </c>
      <c r="D135" s="1301"/>
      <c r="E135" s="1305">
        <f t="shared" si="88"/>
        <v>1.8384406867384613</v>
      </c>
      <c r="H135" s="1302"/>
      <c r="I135" s="1110">
        <f>'3.CP-KH'!D22</f>
        <v>0.38202199118437408</v>
      </c>
      <c r="J135" s="1110">
        <f>'3.CP-KH'!E22</f>
        <v>0.29545012594670694</v>
      </c>
      <c r="K135" s="1110">
        <f>'3.CP-KH'!F22</f>
        <v>0.29079057655837987</v>
      </c>
      <c r="L135" s="1110">
        <f>'3.CP-KH'!G22</f>
        <v>0.20304780594583077</v>
      </c>
      <c r="M135" s="1110">
        <f>'3.CP-KH'!H22</f>
        <v>0.18785141655038756</v>
      </c>
      <c r="N135" s="1110">
        <f>'3.CP-KH'!I22</f>
        <v>0.11201894225574949</v>
      </c>
      <c r="O135" s="1110">
        <f>'3.CP-KH'!J22</f>
        <v>0.11201894225574949</v>
      </c>
      <c r="P135" s="1110">
        <f>'3.CP-KH'!K22</f>
        <v>0.11008558811080771</v>
      </c>
      <c r="Q135" s="1110">
        <f>'3.CP-KH'!L22</f>
        <v>0.10620240237082521</v>
      </c>
      <c r="R135" s="1110">
        <f>'3.CP-KH'!M22</f>
        <v>3.895289555965039E-2</v>
      </c>
    </row>
    <row r="136" spans="1:18" s="507" customFormat="1" x14ac:dyDescent="0.25">
      <c r="A136" s="1288"/>
      <c r="B136" s="1332"/>
      <c r="C136" s="1311" t="s">
        <v>965</v>
      </c>
      <c r="D136" s="1301"/>
      <c r="E136" s="1305">
        <f t="shared" si="88"/>
        <v>6.7999999999999989</v>
      </c>
      <c r="H136" s="1302"/>
      <c r="I136" s="1110">
        <f>'3.CP-KH'!D23</f>
        <v>0.68</v>
      </c>
      <c r="J136" s="1110">
        <f>'3.CP-KH'!E23</f>
        <v>0.68</v>
      </c>
      <c r="K136" s="1110">
        <f>'3.CP-KH'!F23</f>
        <v>0.68</v>
      </c>
      <c r="L136" s="1110">
        <f>'3.CP-KH'!G23</f>
        <v>0.68</v>
      </c>
      <c r="M136" s="1110">
        <f>'3.CP-KH'!H23</f>
        <v>0.68</v>
      </c>
      <c r="N136" s="1110">
        <f>'3.CP-KH'!I23</f>
        <v>0.68</v>
      </c>
      <c r="O136" s="1110">
        <f>'3.CP-KH'!J23</f>
        <v>0.68</v>
      </c>
      <c r="P136" s="1110">
        <f>'3.CP-KH'!K23</f>
        <v>0.68</v>
      </c>
      <c r="Q136" s="1110">
        <f>'3.CP-KH'!L23</f>
        <v>0.68</v>
      </c>
      <c r="R136" s="1110">
        <f>'3.CP-KH'!M23</f>
        <v>0.68</v>
      </c>
    </row>
    <row r="137" spans="1:18" s="1272" customFormat="1" x14ac:dyDescent="0.25">
      <c r="A137" s="1271"/>
      <c r="B137" s="1332"/>
      <c r="C137" s="1272" t="s">
        <v>1368</v>
      </c>
      <c r="D137" s="1273"/>
      <c r="E137" s="1318">
        <f t="shared" si="88"/>
        <v>0</v>
      </c>
      <c r="H137" s="1274"/>
      <c r="I137" s="311">
        <f>'3. CP-khac'!E31</f>
        <v>0</v>
      </c>
      <c r="J137" s="311">
        <f>'3. CP-khac'!F31</f>
        <v>0</v>
      </c>
      <c r="K137" s="311">
        <f>'3. CP-khac'!G31</f>
        <v>0</v>
      </c>
      <c r="L137" s="311">
        <f>'3. CP-khac'!H31</f>
        <v>0</v>
      </c>
      <c r="M137" s="311">
        <f>'3. CP-khac'!I31</f>
        <v>0</v>
      </c>
      <c r="N137" s="311">
        <f>'3. CP-khac'!J31</f>
        <v>0</v>
      </c>
      <c r="O137" s="311">
        <f>'3. CP-khac'!K31</f>
        <v>0</v>
      </c>
      <c r="P137" s="311">
        <f>'3. CP-khac'!L31</f>
        <v>0</v>
      </c>
      <c r="Q137" s="311">
        <f>'3. CP-khac'!M31</f>
        <v>0</v>
      </c>
      <c r="R137" s="311">
        <f>'3. CP-khac'!N31</f>
        <v>0</v>
      </c>
    </row>
    <row r="138" spans="1:18" s="308" customFormat="1" x14ac:dyDescent="0.25">
      <c r="A138" s="1317"/>
      <c r="B138" s="1330" t="s">
        <v>1399</v>
      </c>
      <c r="C138" s="308" t="s">
        <v>981</v>
      </c>
      <c r="D138" s="1273" t="s">
        <v>785</v>
      </c>
      <c r="E138" s="1315"/>
      <c r="H138" s="309"/>
      <c r="I138" s="308">
        <f ca="1">I139+I145+I151</f>
        <v>27.916675756757815</v>
      </c>
      <c r="J138" s="308">
        <f t="shared" ref="J138:R138" ca="1" si="89">J139+J145+J151</f>
        <v>28.158186784182206</v>
      </c>
      <c r="K138" s="308">
        <f t="shared" ca="1" si="89"/>
        <v>28.381565964429079</v>
      </c>
      <c r="L138" s="308">
        <f t="shared" ca="1" si="89"/>
        <v>28.129189861043951</v>
      </c>
      <c r="M138" s="308">
        <f t="shared" ca="1" si="89"/>
        <v>28.205520062625453</v>
      </c>
      <c r="N138" s="308">
        <f t="shared" ca="1" si="89"/>
        <v>28.457271615659792</v>
      </c>
      <c r="O138" s="308">
        <f t="shared" ca="1" si="89"/>
        <v>28.711653076690752</v>
      </c>
      <c r="P138" s="308">
        <f t="shared" ca="1" si="89"/>
        <v>28.968693003886862</v>
      </c>
      <c r="Q138" s="308">
        <f t="shared" ca="1" si="89"/>
        <v>29.228420286406035</v>
      </c>
      <c r="R138" s="308">
        <f t="shared" ca="1" si="89"/>
        <v>29.490864148618122</v>
      </c>
    </row>
    <row r="139" spans="1:18" s="1272" customFormat="1" x14ac:dyDescent="0.25">
      <c r="A139" s="1271"/>
      <c r="B139" s="1332"/>
      <c r="C139" s="1272" t="s">
        <v>979</v>
      </c>
      <c r="D139" s="1273" t="s">
        <v>785</v>
      </c>
      <c r="E139" s="1305">
        <f t="shared" ref="E139:E144" ca="1" si="90">SUM(I139:R139)</f>
        <v>35.895312580645175</v>
      </c>
      <c r="H139" s="1274"/>
      <c r="I139" s="311">
        <f ca="1">I140+I141+I142+I143+I144</f>
        <v>3.5895312580645165</v>
      </c>
      <c r="J139" s="311">
        <f t="shared" ref="J139" ca="1" si="91">J140+J141+J142+J143+J144</f>
        <v>3.5895312580645165</v>
      </c>
      <c r="K139" s="311">
        <f t="shared" ref="K139" ca="1" si="92">K140+K141+K142+K143+K144</f>
        <v>3.5895312580645165</v>
      </c>
      <c r="L139" s="311">
        <f t="shared" ref="L139" ca="1" si="93">L140+L141+L142+L143+L144</f>
        <v>3.5895312580645165</v>
      </c>
      <c r="M139" s="311">
        <f t="shared" ref="M139" ca="1" si="94">M140+M141+M142+M143+M144</f>
        <v>3.5895312580645165</v>
      </c>
      <c r="N139" s="311">
        <f t="shared" ref="N139" ca="1" si="95">N140+N141+N142+N143+N144</f>
        <v>3.5895312580645165</v>
      </c>
      <c r="O139" s="311">
        <f t="shared" ref="O139" ca="1" si="96">O140+O141+O142+O143+O144</f>
        <v>3.5895312580645165</v>
      </c>
      <c r="P139" s="311">
        <f t="shared" ref="P139" ca="1" si="97">P140+P141+P142+P143+P144</f>
        <v>3.5895312580645165</v>
      </c>
      <c r="Q139" s="311">
        <f t="shared" ref="Q139" ca="1" si="98">Q140+Q141+Q142+Q143+Q144</f>
        <v>3.5895312580645165</v>
      </c>
      <c r="R139" s="311">
        <f t="shared" ref="R139" ca="1" si="99">R140+R141+R142+R143+R144</f>
        <v>3.5895312580645165</v>
      </c>
    </row>
    <row r="140" spans="1:18" s="507" customFormat="1" x14ac:dyDescent="0.25">
      <c r="A140" s="1288"/>
      <c r="B140" s="1332"/>
      <c r="C140" s="1311" t="s">
        <v>961</v>
      </c>
      <c r="D140" s="1301"/>
      <c r="E140" s="1305">
        <f t="shared" ca="1" si="90"/>
        <v>20.838790370472534</v>
      </c>
      <c r="H140" s="1302"/>
      <c r="I140" s="1110">
        <f ca="1">'3. CP-Luong'!D36/$B$1</f>
        <v>2.0838790370472533</v>
      </c>
      <c r="J140" s="1110">
        <f ca="1">'3. CP-Luong'!E36/$B$1</f>
        <v>2.0838790370472533</v>
      </c>
      <c r="K140" s="1110">
        <f ca="1">'3. CP-Luong'!F36/$B$1</f>
        <v>2.0838790370472533</v>
      </c>
      <c r="L140" s="1110">
        <f ca="1">'3. CP-Luong'!G36/$B$1</f>
        <v>2.0838790370472533</v>
      </c>
      <c r="M140" s="1110">
        <f ca="1">'3. CP-Luong'!H36/$B$1</f>
        <v>2.0838790370472533</v>
      </c>
      <c r="N140" s="1110">
        <f ca="1">'3. CP-Luong'!I36/$B$1</f>
        <v>2.0838790370472533</v>
      </c>
      <c r="O140" s="1110">
        <f ca="1">'3. CP-Luong'!J36/$B$1</f>
        <v>2.0838790370472533</v>
      </c>
      <c r="P140" s="1110">
        <f ca="1">'3. CP-Luong'!K36/$B$1</f>
        <v>2.0838790370472533</v>
      </c>
      <c r="Q140" s="1110">
        <f ca="1">'3. CP-Luong'!L36/$B$1</f>
        <v>2.0838790370472533</v>
      </c>
      <c r="R140" s="1110">
        <f ca="1">'3. CP-Luong'!M36/$B$1</f>
        <v>2.0838790370472533</v>
      </c>
    </row>
    <row r="141" spans="1:18" s="507" customFormat="1" x14ac:dyDescent="0.25">
      <c r="A141" s="1288"/>
      <c r="B141" s="1332"/>
      <c r="C141" s="1311" t="s">
        <v>962</v>
      </c>
      <c r="D141" s="1301"/>
      <c r="E141" s="1305">
        <f t="shared" ca="1" si="90"/>
        <v>0.90322591593559287</v>
      </c>
      <c r="H141" s="1302"/>
      <c r="I141" s="1110">
        <f ca="1">'3. CP-Luong'!D37/$B$1</f>
        <v>9.0322591593559307E-2</v>
      </c>
      <c r="J141" s="1110">
        <f ca="1">'3. CP-Luong'!E37/$B$1</f>
        <v>9.0322591593559307E-2</v>
      </c>
      <c r="K141" s="1110">
        <f ca="1">'3. CP-Luong'!F37/$B$1</f>
        <v>9.0322591593559307E-2</v>
      </c>
      <c r="L141" s="1110">
        <f ca="1">'3. CP-Luong'!G37/$B$1</f>
        <v>9.0322591593559307E-2</v>
      </c>
      <c r="M141" s="1110">
        <f ca="1">'3. CP-Luong'!H37/$B$1</f>
        <v>9.0322591593559307E-2</v>
      </c>
      <c r="N141" s="1110">
        <f ca="1">'3. CP-Luong'!I37/$B$1</f>
        <v>9.0322591593559307E-2</v>
      </c>
      <c r="O141" s="1110">
        <f ca="1">'3. CP-Luong'!J37/$B$1</f>
        <v>9.0322591593559307E-2</v>
      </c>
      <c r="P141" s="1110">
        <f ca="1">'3. CP-Luong'!K37/$B$1</f>
        <v>9.0322591593559307E-2</v>
      </c>
      <c r="Q141" s="1110">
        <f ca="1">'3. CP-Luong'!L37/$B$1</f>
        <v>9.0322591593559307E-2</v>
      </c>
      <c r="R141" s="1110">
        <f ca="1">'3. CP-Luong'!M37/$B$1</f>
        <v>9.0322591593559307E-2</v>
      </c>
    </row>
    <row r="142" spans="1:18" s="507" customFormat="1" x14ac:dyDescent="0.25">
      <c r="A142" s="1288"/>
      <c r="B142" s="1332"/>
      <c r="C142" s="1311" t="s">
        <v>963</v>
      </c>
      <c r="D142" s="1301"/>
      <c r="E142" s="1305">
        <f t="shared" ca="1" si="90"/>
        <v>7.0042226996468591</v>
      </c>
      <c r="H142" s="1302"/>
      <c r="I142" s="1110">
        <f ca="1">'3. CP-Luong'!D38/$B$1</f>
        <v>0.70042226996468604</v>
      </c>
      <c r="J142" s="1110">
        <f ca="1">'3. CP-Luong'!E38/$B$1</f>
        <v>0.70042226996468604</v>
      </c>
      <c r="K142" s="1110">
        <f ca="1">'3. CP-Luong'!F38/$B$1</f>
        <v>0.70042226996468604</v>
      </c>
      <c r="L142" s="1110">
        <f ca="1">'3. CP-Luong'!G38/$B$1</f>
        <v>0.70042226996468604</v>
      </c>
      <c r="M142" s="1110">
        <f ca="1">'3. CP-Luong'!H38/$B$1</f>
        <v>0.70042226996468604</v>
      </c>
      <c r="N142" s="1110">
        <f ca="1">'3. CP-Luong'!I38/$B$1</f>
        <v>0.70042226996468604</v>
      </c>
      <c r="O142" s="1110">
        <f ca="1">'3. CP-Luong'!J38/$B$1</f>
        <v>0.70042226996468604</v>
      </c>
      <c r="P142" s="1110">
        <f ca="1">'3. CP-Luong'!K38/$B$1</f>
        <v>0.70042226996468604</v>
      </c>
      <c r="Q142" s="1110">
        <f ca="1">'3. CP-Luong'!L38/$B$1</f>
        <v>0.70042226996468604</v>
      </c>
      <c r="R142" s="1110">
        <f ca="1">'3. CP-Luong'!M38/$B$1</f>
        <v>0.70042226996468604</v>
      </c>
    </row>
    <row r="143" spans="1:18" s="507" customFormat="1" x14ac:dyDescent="0.25">
      <c r="A143" s="1288"/>
      <c r="B143" s="1332"/>
      <c r="C143" s="1311" t="s">
        <v>964</v>
      </c>
      <c r="D143" s="1301"/>
      <c r="E143" s="1305">
        <f t="shared" ca="1" si="90"/>
        <v>7.149073594590174</v>
      </c>
      <c r="H143" s="1302"/>
      <c r="I143" s="1110">
        <f ca="1">'3. CP-Luong'!D39/$B$1</f>
        <v>0.7149073594590174</v>
      </c>
      <c r="J143" s="1110">
        <f ca="1">'3. CP-Luong'!E39/$B$1</f>
        <v>0.7149073594590174</v>
      </c>
      <c r="K143" s="1110">
        <f ca="1">'3. CP-Luong'!F39/$B$1</f>
        <v>0.7149073594590174</v>
      </c>
      <c r="L143" s="1110">
        <f ca="1">'3. CP-Luong'!G39/$B$1</f>
        <v>0.7149073594590174</v>
      </c>
      <c r="M143" s="1110">
        <f ca="1">'3. CP-Luong'!H39/$B$1</f>
        <v>0.7149073594590174</v>
      </c>
      <c r="N143" s="1110">
        <f ca="1">'3. CP-Luong'!I39/$B$1</f>
        <v>0.7149073594590174</v>
      </c>
      <c r="O143" s="1110">
        <f ca="1">'3. CP-Luong'!J39/$B$1</f>
        <v>0.7149073594590174</v>
      </c>
      <c r="P143" s="1110">
        <f ca="1">'3. CP-Luong'!K39/$B$1</f>
        <v>0.7149073594590174</v>
      </c>
      <c r="Q143" s="1110">
        <f ca="1">'3. CP-Luong'!L39/$B$1</f>
        <v>0.7149073594590174</v>
      </c>
      <c r="R143" s="1110">
        <f ca="1">'3. CP-Luong'!M39/$B$1</f>
        <v>0.7149073594590174</v>
      </c>
    </row>
    <row r="144" spans="1:18" s="507" customFormat="1" x14ac:dyDescent="0.25">
      <c r="A144" s="1288"/>
      <c r="B144" s="1332"/>
      <c r="C144" s="1311" t="s">
        <v>965</v>
      </c>
      <c r="D144" s="1301"/>
      <c r="E144" s="1305">
        <f t="shared" si="90"/>
        <v>0</v>
      </c>
      <c r="H144" s="1302"/>
      <c r="I144" s="1110">
        <f>'3. CP-Luong'!D40/$B$1</f>
        <v>0</v>
      </c>
      <c r="J144" s="1110">
        <f>'3. CP-Luong'!E40/$B$1</f>
        <v>0</v>
      </c>
      <c r="K144" s="1110">
        <f>'3. CP-Luong'!F40/$B$1</f>
        <v>0</v>
      </c>
      <c r="L144" s="1110">
        <f>'3. CP-Luong'!G40/$B$1</f>
        <v>0</v>
      </c>
      <c r="M144" s="1110">
        <f>'3. CP-Luong'!H40/$B$1</f>
        <v>0</v>
      </c>
      <c r="N144" s="1110">
        <f>'3. CP-Luong'!I40/$B$1</f>
        <v>0</v>
      </c>
      <c r="O144" s="1110">
        <f>'3. CP-Luong'!J40/$B$1</f>
        <v>0</v>
      </c>
      <c r="P144" s="1110">
        <f>'3. CP-Luong'!K40/$B$1</f>
        <v>0</v>
      </c>
      <c r="Q144" s="1110">
        <f>'3. CP-Luong'!L40/$B$1</f>
        <v>0</v>
      </c>
      <c r="R144" s="1110">
        <f>'3. CP-Luong'!M40/$B$1</f>
        <v>0</v>
      </c>
    </row>
    <row r="145" spans="1:20" s="1272" customFormat="1" x14ac:dyDescent="0.25">
      <c r="A145" s="1271"/>
      <c r="B145" s="1332"/>
      <c r="C145" s="1272" t="s">
        <v>1402</v>
      </c>
      <c r="D145" s="1273" t="s">
        <v>785</v>
      </c>
      <c r="E145" s="1305">
        <f t="shared" ref="E145:E150" si="100">SUM(I145:R145)</f>
        <v>2.2294368344026232</v>
      </c>
      <c r="H145" s="1274"/>
      <c r="I145" s="311">
        <f>I146+I147+I148+I149+I150</f>
        <v>0.69242263653765235</v>
      </c>
      <c r="J145" s="311">
        <f t="shared" ref="J145:R145" si="101">J146+J147+J148+J149+J150</f>
        <v>0.69242263653765235</v>
      </c>
      <c r="K145" s="311">
        <f t="shared" si="101"/>
        <v>0.67177188652895148</v>
      </c>
      <c r="L145" s="311">
        <f t="shared" si="101"/>
        <v>0.1728196747983668</v>
      </c>
      <c r="M145" s="311">
        <f t="shared" si="101"/>
        <v>0</v>
      </c>
      <c r="N145" s="311">
        <f t="shared" si="101"/>
        <v>0</v>
      </c>
      <c r="O145" s="311">
        <f t="shared" si="101"/>
        <v>0</v>
      </c>
      <c r="P145" s="311">
        <f t="shared" si="101"/>
        <v>0</v>
      </c>
      <c r="Q145" s="311">
        <f t="shared" si="101"/>
        <v>0</v>
      </c>
      <c r="R145" s="311">
        <f t="shared" si="101"/>
        <v>0</v>
      </c>
    </row>
    <row r="146" spans="1:20" s="507" customFormat="1" x14ac:dyDescent="0.25">
      <c r="A146" s="1288"/>
      <c r="B146" s="1332"/>
      <c r="C146" s="1311" t="s">
        <v>961</v>
      </c>
      <c r="D146" s="1301"/>
      <c r="E146" s="1305">
        <f t="shared" si="100"/>
        <v>1.4900549672236729</v>
      </c>
      <c r="H146" s="1302"/>
      <c r="I146" s="1110">
        <f>'3.CP-KH'!D25</f>
        <v>0.46833883805806625</v>
      </c>
      <c r="J146" s="1110">
        <f>'3.CP-KH'!E25</f>
        <v>0.46833883805806625</v>
      </c>
      <c r="K146" s="1110">
        <f>'3.CP-KH'!F25</f>
        <v>0.45303348038599184</v>
      </c>
      <c r="L146" s="1110">
        <f>'3.CP-KH'!G25</f>
        <v>0.10034381072154856</v>
      </c>
      <c r="M146" s="1110">
        <f>'3.CP-KH'!H25</f>
        <v>0</v>
      </c>
      <c r="N146" s="1110">
        <f>'3.CP-KH'!I25</f>
        <v>0</v>
      </c>
      <c r="O146" s="1110">
        <f>'3.CP-KH'!J25</f>
        <v>0</v>
      </c>
      <c r="P146" s="1110">
        <f>'3.CP-KH'!K25</f>
        <v>0</v>
      </c>
      <c r="Q146" s="1110">
        <f>'3.CP-KH'!L25</f>
        <v>0</v>
      </c>
      <c r="R146" s="1110">
        <f>'3.CP-KH'!M25</f>
        <v>0</v>
      </c>
    </row>
    <row r="147" spans="1:20" s="507" customFormat="1" x14ac:dyDescent="0.25">
      <c r="A147" s="1288"/>
      <c r="B147" s="1332"/>
      <c r="C147" s="1311" t="s">
        <v>962</v>
      </c>
      <c r="D147" s="1301"/>
      <c r="E147" s="1305">
        <f t="shared" si="100"/>
        <v>6.4584183565279743E-2</v>
      </c>
      <c r="H147" s="1302"/>
      <c r="I147" s="1110">
        <f>'3.CP-KH'!D26</f>
        <v>2.0299440056395945E-2</v>
      </c>
      <c r="J147" s="1110">
        <f>'3.CP-KH'!E26</f>
        <v>2.0299440056395942E-2</v>
      </c>
      <c r="K147" s="1110">
        <f>'3.CP-KH'!F26</f>
        <v>1.9636052428980227E-2</v>
      </c>
      <c r="L147" s="1110">
        <f>'3.CP-KH'!G26</f>
        <v>4.3492510235076214E-3</v>
      </c>
      <c r="M147" s="1110">
        <f>'3.CP-KH'!H26</f>
        <v>0</v>
      </c>
      <c r="N147" s="1110">
        <f>'3.CP-KH'!I26</f>
        <v>0</v>
      </c>
      <c r="O147" s="1110">
        <f>'3.CP-KH'!J26</f>
        <v>0</v>
      </c>
      <c r="P147" s="1110">
        <f>'3.CP-KH'!K26</f>
        <v>0</v>
      </c>
      <c r="Q147" s="1110">
        <f>'3.CP-KH'!L26</f>
        <v>0</v>
      </c>
      <c r="R147" s="1110">
        <f>'3.CP-KH'!M26</f>
        <v>0</v>
      </c>
    </row>
    <row r="148" spans="1:20" s="507" customFormat="1" x14ac:dyDescent="0.25">
      <c r="A148" s="1288"/>
      <c r="B148" s="1332"/>
      <c r="C148" s="1311" t="s">
        <v>963</v>
      </c>
      <c r="D148" s="1301"/>
      <c r="E148" s="1305">
        <f t="shared" si="100"/>
        <v>0.33394575758019768</v>
      </c>
      <c r="H148" s="1302"/>
      <c r="I148" s="1110">
        <f>'3.CP-KH'!D27</f>
        <v>0.100849371017681</v>
      </c>
      <c r="J148" s="1110">
        <f>'3.CP-KH'!E27</f>
        <v>0.10084937101768103</v>
      </c>
      <c r="K148" s="1110">
        <f>'3.CP-KH'!F27</f>
        <v>9.8532327483627405E-2</v>
      </c>
      <c r="L148" s="1110">
        <f>'3.CP-KH'!G27</f>
        <v>3.3714688061208253E-2</v>
      </c>
      <c r="M148" s="1110">
        <f>'3.CP-KH'!H27</f>
        <v>0</v>
      </c>
      <c r="N148" s="1110">
        <f>'3.CP-KH'!I27</f>
        <v>0</v>
      </c>
      <c r="O148" s="1110">
        <f>'3.CP-KH'!J27</f>
        <v>0</v>
      </c>
      <c r="P148" s="1110">
        <f>'3.CP-KH'!K27</f>
        <v>0</v>
      </c>
      <c r="Q148" s="1110">
        <f>'3.CP-KH'!L27</f>
        <v>0</v>
      </c>
      <c r="R148" s="1110">
        <f>'3.CP-KH'!M27</f>
        <v>0</v>
      </c>
    </row>
    <row r="149" spans="1:20" s="507" customFormat="1" x14ac:dyDescent="0.25">
      <c r="A149" s="1288"/>
      <c r="B149" s="1332"/>
      <c r="C149" s="1311" t="s">
        <v>964</v>
      </c>
      <c r="D149" s="1301"/>
      <c r="E149" s="1305">
        <f t="shared" si="100"/>
        <v>0.34085192603347275</v>
      </c>
      <c r="H149" s="1302"/>
      <c r="I149" s="1110">
        <f>'3.CP-KH'!D28</f>
        <v>0.10293498740550913</v>
      </c>
      <c r="J149" s="1110">
        <f>'3.CP-KH'!E28</f>
        <v>0.10293498740550915</v>
      </c>
      <c r="K149" s="1110">
        <f>'3.CP-KH'!F28</f>
        <v>0.10057002623035209</v>
      </c>
      <c r="L149" s="1110">
        <f>'3.CP-KH'!G28</f>
        <v>3.4411924992102362E-2</v>
      </c>
      <c r="M149" s="1110">
        <f>'3.CP-KH'!H28</f>
        <v>0</v>
      </c>
      <c r="N149" s="1110">
        <f>'3.CP-KH'!I28</f>
        <v>0</v>
      </c>
      <c r="O149" s="1110">
        <f>'3.CP-KH'!J28</f>
        <v>0</v>
      </c>
      <c r="P149" s="1110">
        <f>'3.CP-KH'!K28</f>
        <v>0</v>
      </c>
      <c r="Q149" s="1110">
        <f>'3.CP-KH'!L28</f>
        <v>0</v>
      </c>
      <c r="R149" s="1110">
        <f>'3.CP-KH'!M28</f>
        <v>0</v>
      </c>
    </row>
    <row r="150" spans="1:20" s="507" customFormat="1" x14ac:dyDescent="0.25">
      <c r="A150" s="1288"/>
      <c r="B150" s="1332"/>
      <c r="C150" s="1311" t="s">
        <v>965</v>
      </c>
      <c r="D150" s="1301"/>
      <c r="E150" s="1305">
        <f t="shared" si="100"/>
        <v>0</v>
      </c>
      <c r="H150" s="1302"/>
      <c r="I150" s="1110">
        <f>'3.CP-KH'!D29</f>
        <v>0</v>
      </c>
      <c r="J150" s="1110">
        <f>'3.CP-KH'!E29</f>
        <v>0</v>
      </c>
      <c r="K150" s="1110">
        <f>'3.CP-KH'!F29</f>
        <v>0</v>
      </c>
      <c r="L150" s="1110">
        <f>'3.CP-KH'!G29</f>
        <v>0</v>
      </c>
      <c r="M150" s="1110">
        <f>'3.CP-KH'!H29</f>
        <v>0</v>
      </c>
      <c r="N150" s="1110">
        <f>'3.CP-KH'!I29</f>
        <v>0</v>
      </c>
      <c r="O150" s="1110">
        <f>'3.CP-KH'!J29</f>
        <v>0</v>
      </c>
      <c r="P150" s="1110">
        <f>'3.CP-KH'!K29</f>
        <v>0</v>
      </c>
      <c r="Q150" s="1110">
        <f>'3.CP-KH'!L29</f>
        <v>0</v>
      </c>
      <c r="R150" s="1110">
        <f>'3.CP-KH'!M29</f>
        <v>0</v>
      </c>
    </row>
    <row r="151" spans="1:20" s="1272" customFormat="1" x14ac:dyDescent="0.25">
      <c r="A151" s="1271"/>
      <c r="B151" s="1332"/>
      <c r="C151" s="1272" t="s">
        <v>1403</v>
      </c>
      <c r="D151" s="1273"/>
      <c r="E151" s="1307"/>
      <c r="H151" s="1274"/>
      <c r="I151" s="311">
        <f>'3. CP-khac'!E39</f>
        <v>23.634721862155647</v>
      </c>
      <c r="J151" s="311">
        <f>'3. CP-khac'!F39</f>
        <v>23.876232889580038</v>
      </c>
      <c r="K151" s="311">
        <f>'3. CP-khac'!G39</f>
        <v>24.120262819835613</v>
      </c>
      <c r="L151" s="311">
        <f>'3. CP-khac'!H39</f>
        <v>24.366838928181068</v>
      </c>
      <c r="M151" s="311">
        <f>'3. CP-khac'!I39</f>
        <v>24.615988804560939</v>
      </c>
      <c r="N151" s="311">
        <f>'3. CP-khac'!J39</f>
        <v>24.867740357595277</v>
      </c>
      <c r="O151" s="311">
        <f>'3. CP-khac'!K39</f>
        <v>25.122121818626237</v>
      </c>
      <c r="P151" s="311">
        <f>'3. CP-khac'!L39</f>
        <v>25.379161745822344</v>
      </c>
      <c r="Q151" s="311">
        <f>'3. CP-khac'!M39</f>
        <v>25.638889028341517</v>
      </c>
      <c r="R151" s="311">
        <f>'3. CP-khac'!N39</f>
        <v>25.901332890553604</v>
      </c>
    </row>
    <row r="152" spans="1:20" s="693" customFormat="1" x14ac:dyDescent="0.25">
      <c r="A152" s="679"/>
      <c r="B152" s="1330" t="s">
        <v>1401</v>
      </c>
      <c r="C152" s="693" t="s">
        <v>14</v>
      </c>
      <c r="D152" s="1092" t="s">
        <v>785</v>
      </c>
      <c r="E152" s="1318">
        <f t="shared" ref="E152" ca="1" si="102">SUM(I152:R152)</f>
        <v>31.354705701786326</v>
      </c>
      <c r="H152" s="1316"/>
      <c r="I152" s="308">
        <f>'3.CP-TC'!F76+'3.CP-TC'!F27</f>
        <v>16.592179068504947</v>
      </c>
      <c r="J152" s="308">
        <f ca="1">'3.CP-TC'!G76+'3.CP-TC'!G27</f>
        <v>8.2386706203073476</v>
      </c>
      <c r="K152" s="308">
        <f ca="1">'3.CP-TC'!H76+'3.CP-TC'!H27</f>
        <v>4.9534377298632162</v>
      </c>
      <c r="L152" s="308">
        <f ca="1">'3.CP-TC'!I76+'3.CP-TC'!I27</f>
        <v>1.5704182831108144</v>
      </c>
      <c r="M152" s="308">
        <f ca="1">'3.CP-TC'!J76+'3.CP-TC'!J27</f>
        <v>0</v>
      </c>
      <c r="N152" s="308">
        <f ca="1">'3.CP-TC'!K76+'3.CP-TC'!K27</f>
        <v>0</v>
      </c>
      <c r="O152" s="308">
        <f ca="1">'3.CP-TC'!L76+'3.CP-TC'!L27</f>
        <v>0</v>
      </c>
      <c r="P152" s="308">
        <f ca="1">'3.CP-TC'!M76+'3.CP-TC'!M27</f>
        <v>0</v>
      </c>
      <c r="Q152" s="308">
        <f ca="1">'3.CP-TC'!N76+'3.CP-TC'!N27</f>
        <v>0</v>
      </c>
      <c r="R152" s="308">
        <f ca="1">'3.CP-TC'!O76+'3.CP-TC'!O27</f>
        <v>0</v>
      </c>
      <c r="T152" s="1319"/>
    </row>
    <row r="153" spans="1:20" s="693" customFormat="1" x14ac:dyDescent="0.25">
      <c r="A153" s="679"/>
      <c r="B153" s="1330"/>
      <c r="D153" s="1092"/>
      <c r="E153" s="1318"/>
      <c r="H153" s="1316"/>
      <c r="I153" s="308"/>
      <c r="J153" s="308"/>
      <c r="K153" s="308"/>
      <c r="L153" s="308"/>
      <c r="M153" s="308"/>
      <c r="N153" s="308"/>
      <c r="O153" s="308"/>
      <c r="P153" s="308"/>
      <c r="Q153" s="308"/>
      <c r="R153" s="308"/>
      <c r="T153" s="1319"/>
    </row>
    <row r="154" spans="1:20" s="693" customFormat="1" x14ac:dyDescent="0.25">
      <c r="A154" s="679"/>
      <c r="B154" s="1336">
        <v>7</v>
      </c>
      <c r="C154" s="1280" t="s">
        <v>982</v>
      </c>
      <c r="D154" s="1281"/>
      <c r="E154" s="1300"/>
      <c r="F154" s="1280"/>
      <c r="G154" s="1280"/>
      <c r="H154" s="1283"/>
      <c r="I154" s="1300">
        <f t="shared" ref="I154:R154" ca="1" si="103">I106-I108</f>
        <v>16.211467480981526</v>
      </c>
      <c r="J154" s="1300">
        <f t="shared" ca="1" si="103"/>
        <v>25.627815957008536</v>
      </c>
      <c r="K154" s="1300">
        <f t="shared" ca="1" si="103"/>
        <v>33.613705725030258</v>
      </c>
      <c r="L154" s="1300">
        <f t="shared" ca="1" si="103"/>
        <v>45.083709914215483</v>
      </c>
      <c r="M154" s="1300">
        <f t="shared" ca="1" si="103"/>
        <v>49.022401809661758</v>
      </c>
      <c r="N154" s="1300">
        <f t="shared" ca="1" si="103"/>
        <v>51.911128903656916</v>
      </c>
      <c r="O154" s="1300">
        <f t="shared" ca="1" si="103"/>
        <v>52.540596335891621</v>
      </c>
      <c r="P154" s="1300">
        <f t="shared" ca="1" si="103"/>
        <v>53.693484769201071</v>
      </c>
      <c r="Q154" s="1300">
        <f t="shared" ca="1" si="103"/>
        <v>54.974076831401263</v>
      </c>
      <c r="R154" s="1300">
        <f t="shared" ca="1" si="103"/>
        <v>55.914040877483899</v>
      </c>
    </row>
    <row r="155" spans="1:20" s="506" customFormat="1" x14ac:dyDescent="0.25">
      <c r="A155" s="679"/>
      <c r="B155" s="1330"/>
      <c r="C155" s="693"/>
      <c r="D155" s="1093"/>
      <c r="E155" s="310"/>
      <c r="H155" s="1276"/>
      <c r="I155" s="310"/>
      <c r="J155" s="310"/>
      <c r="K155" s="310"/>
      <c r="L155" s="310"/>
      <c r="M155" s="310"/>
      <c r="N155" s="310"/>
      <c r="O155" s="310"/>
      <c r="P155" s="310"/>
      <c r="Q155" s="310"/>
      <c r="R155" s="310"/>
    </row>
    <row r="156" spans="1:20" s="693" customFormat="1" x14ac:dyDescent="0.25">
      <c r="A156" s="679"/>
      <c r="B156" s="1336">
        <v>8</v>
      </c>
      <c r="C156" s="1280" t="s">
        <v>270</v>
      </c>
      <c r="D156" s="1281"/>
      <c r="E156" s="1300"/>
      <c r="F156" s="1280"/>
      <c r="G156" s="1280"/>
      <c r="H156" s="1283"/>
      <c r="I156" s="1300">
        <f>I157</f>
        <v>9.4538887448622599</v>
      </c>
      <c r="J156" s="1300">
        <f t="shared" ref="J156:R156" si="104">J157</f>
        <v>9.5504931558320152</v>
      </c>
      <c r="K156" s="1300">
        <f t="shared" si="104"/>
        <v>9.6481051279342438</v>
      </c>
      <c r="L156" s="1300">
        <f t="shared" si="104"/>
        <v>9.7467355712724277</v>
      </c>
      <c r="M156" s="1300">
        <f t="shared" si="104"/>
        <v>9.8463955218243751</v>
      </c>
      <c r="N156" s="1300">
        <f t="shared" si="104"/>
        <v>9.9470961430381095</v>
      </c>
      <c r="O156" s="1300">
        <f t="shared" si="104"/>
        <v>10.048848727450494</v>
      </c>
      <c r="P156" s="1300">
        <f t="shared" si="104"/>
        <v>10.151664698328938</v>
      </c>
      <c r="Q156" s="1300">
        <f t="shared" si="104"/>
        <v>10.255555611336606</v>
      </c>
      <c r="R156" s="1300">
        <f t="shared" si="104"/>
        <v>10.360533156221441</v>
      </c>
    </row>
    <row r="157" spans="1:20" s="506" customFormat="1" x14ac:dyDescent="0.25">
      <c r="A157" s="1275"/>
      <c r="B157" s="1334"/>
      <c r="C157" s="506" t="s">
        <v>755</v>
      </c>
      <c r="D157" s="1093"/>
      <c r="E157" s="310"/>
      <c r="H157" s="1276"/>
      <c r="I157" s="310">
        <f>'3. CP-khac'!E42</f>
        <v>9.4538887448622599</v>
      </c>
      <c r="J157" s="310">
        <f>'3. CP-khac'!F42</f>
        <v>9.5504931558320152</v>
      </c>
      <c r="K157" s="310">
        <f>'3. CP-khac'!G42</f>
        <v>9.6481051279342438</v>
      </c>
      <c r="L157" s="310">
        <f>'3. CP-khac'!H42</f>
        <v>9.7467355712724277</v>
      </c>
      <c r="M157" s="310">
        <f>'3. CP-khac'!I42</f>
        <v>9.8463955218243751</v>
      </c>
      <c r="N157" s="310">
        <f>'3. CP-khac'!J42</f>
        <v>9.9470961430381095</v>
      </c>
      <c r="O157" s="310">
        <f>'3. CP-khac'!K42</f>
        <v>10.048848727450494</v>
      </c>
      <c r="P157" s="310">
        <f>'3. CP-khac'!L42</f>
        <v>10.151664698328938</v>
      </c>
      <c r="Q157" s="310">
        <f>'3. CP-khac'!M42</f>
        <v>10.255555611336606</v>
      </c>
      <c r="R157" s="310">
        <f>'3. CP-khac'!N42</f>
        <v>10.360533156221441</v>
      </c>
    </row>
    <row r="158" spans="1:20" s="506" customFormat="1" x14ac:dyDescent="0.25">
      <c r="A158" s="1275"/>
      <c r="B158" s="1330"/>
      <c r="D158" s="1093"/>
      <c r="E158" s="310"/>
      <c r="H158" s="1276"/>
      <c r="I158" s="310"/>
      <c r="J158" s="310"/>
      <c r="K158" s="310"/>
      <c r="L158" s="310"/>
      <c r="M158" s="310"/>
      <c r="N158" s="310"/>
      <c r="O158" s="310"/>
      <c r="P158" s="310"/>
      <c r="Q158" s="310"/>
      <c r="R158" s="310"/>
    </row>
    <row r="159" spans="1:20" s="693" customFormat="1" x14ac:dyDescent="0.25">
      <c r="A159" s="679"/>
      <c r="B159" s="1336">
        <v>9</v>
      </c>
      <c r="C159" s="1280" t="s">
        <v>573</v>
      </c>
      <c r="D159" s="1281" t="s">
        <v>785</v>
      </c>
      <c r="E159" s="1300"/>
      <c r="F159" s="1342"/>
      <c r="G159" s="1342"/>
      <c r="H159" s="1342"/>
      <c r="I159" s="1343">
        <f ca="1">I154-I156</f>
        <v>6.7575787361192656</v>
      </c>
      <c r="J159" s="1343">
        <f t="shared" ref="J159:R159" ca="1" si="105">J154-J156</f>
        <v>16.077322801176521</v>
      </c>
      <c r="K159" s="1343">
        <f t="shared" ca="1" si="105"/>
        <v>23.965600597096014</v>
      </c>
      <c r="L159" s="1343">
        <f t="shared" ca="1" si="105"/>
        <v>35.336974342943051</v>
      </c>
      <c r="M159" s="1343">
        <f t="shared" ca="1" si="105"/>
        <v>39.176006287837382</v>
      </c>
      <c r="N159" s="1343">
        <f t="shared" ca="1" si="105"/>
        <v>41.964032760618807</v>
      </c>
      <c r="O159" s="1343">
        <f t="shared" ca="1" si="105"/>
        <v>42.491747608441131</v>
      </c>
      <c r="P159" s="1343">
        <f t="shared" ca="1" si="105"/>
        <v>43.541820070872134</v>
      </c>
      <c r="Q159" s="1343">
        <f t="shared" ca="1" si="105"/>
        <v>44.718521220064659</v>
      </c>
      <c r="R159" s="1343">
        <f t="shared" ca="1" si="105"/>
        <v>45.553507721262456</v>
      </c>
    </row>
    <row r="160" spans="1:20" s="507" customFormat="1" x14ac:dyDescent="0.25">
      <c r="A160" s="1288"/>
      <c r="B160" s="1332"/>
      <c r="C160" s="507" t="s">
        <v>899</v>
      </c>
      <c r="D160" s="1301" t="s">
        <v>785</v>
      </c>
      <c r="E160" s="1110"/>
      <c r="F160" s="1320"/>
      <c r="G160" s="1320"/>
      <c r="H160" s="1320"/>
      <c r="I160" s="1110">
        <f ca="1">I159</f>
        <v>6.7575787361192656</v>
      </c>
      <c r="J160" s="1110">
        <f t="shared" ref="J160:R160" ca="1" si="106">J159</f>
        <v>16.077322801176521</v>
      </c>
      <c r="K160" s="1110">
        <f t="shared" ca="1" si="106"/>
        <v>23.965600597096014</v>
      </c>
      <c r="L160" s="1110">
        <f t="shared" ca="1" si="106"/>
        <v>35.336974342943051</v>
      </c>
      <c r="M160" s="1110">
        <f t="shared" ca="1" si="106"/>
        <v>39.176006287837382</v>
      </c>
      <c r="N160" s="1110">
        <f t="shared" ca="1" si="106"/>
        <v>41.964032760618807</v>
      </c>
      <c r="O160" s="1110">
        <f t="shared" ca="1" si="106"/>
        <v>42.491747608441131</v>
      </c>
      <c r="P160" s="1110">
        <f t="shared" ca="1" si="106"/>
        <v>43.541820070872134</v>
      </c>
      <c r="Q160" s="1110">
        <f t="shared" ca="1" si="106"/>
        <v>44.718521220064659</v>
      </c>
      <c r="R160" s="1110">
        <f t="shared" ca="1" si="106"/>
        <v>45.553507721262456</v>
      </c>
    </row>
    <row r="161" spans="1:18" s="507" customFormat="1" x14ac:dyDescent="0.25">
      <c r="A161" s="1288"/>
      <c r="B161" s="1332"/>
      <c r="C161" s="507" t="s">
        <v>900</v>
      </c>
      <c r="D161" s="1301" t="s">
        <v>785</v>
      </c>
      <c r="E161" s="1110"/>
      <c r="F161" s="1321"/>
      <c r="G161" s="1321"/>
      <c r="H161" s="1321"/>
      <c r="I161" s="1290">
        <v>0.2</v>
      </c>
      <c r="J161" s="1290">
        <f t="shared" ref="J161:R161" si="107">I161</f>
        <v>0.2</v>
      </c>
      <c r="K161" s="1290">
        <f t="shared" si="107"/>
        <v>0.2</v>
      </c>
      <c r="L161" s="1290">
        <f t="shared" si="107"/>
        <v>0.2</v>
      </c>
      <c r="M161" s="1290">
        <f t="shared" si="107"/>
        <v>0.2</v>
      </c>
      <c r="N161" s="1290">
        <f t="shared" si="107"/>
        <v>0.2</v>
      </c>
      <c r="O161" s="1290">
        <f t="shared" si="107"/>
        <v>0.2</v>
      </c>
      <c r="P161" s="1290">
        <f t="shared" si="107"/>
        <v>0.2</v>
      </c>
      <c r="Q161" s="1290">
        <f t="shared" si="107"/>
        <v>0.2</v>
      </c>
      <c r="R161" s="1290">
        <f t="shared" si="107"/>
        <v>0.2</v>
      </c>
    </row>
    <row r="162" spans="1:18" s="384" customFormat="1" x14ac:dyDescent="0.25">
      <c r="A162" s="1322"/>
      <c r="B162" s="1333"/>
      <c r="C162" s="1323" t="s">
        <v>15</v>
      </c>
      <c r="D162" s="1324" t="s">
        <v>785</v>
      </c>
      <c r="E162" s="310"/>
      <c r="I162" s="310">
        <f ca="1">MAX(I160*I161,0)</f>
        <v>1.3515157472238533</v>
      </c>
      <c r="J162" s="310">
        <f t="shared" ref="J162:R162" ca="1" si="108">MAX(J160*J161,0)</f>
        <v>3.2154645602353042</v>
      </c>
      <c r="K162" s="310">
        <f t="shared" ca="1" si="108"/>
        <v>4.7931201194192026</v>
      </c>
      <c r="L162" s="310">
        <f t="shared" ca="1" si="108"/>
        <v>7.067394868588611</v>
      </c>
      <c r="M162" s="310">
        <f t="shared" ca="1" si="108"/>
        <v>7.8352012575674763</v>
      </c>
      <c r="N162" s="310">
        <f t="shared" ca="1" si="108"/>
        <v>8.392806552123762</v>
      </c>
      <c r="O162" s="310">
        <f t="shared" ca="1" si="108"/>
        <v>8.4983495216882261</v>
      </c>
      <c r="P162" s="310">
        <f t="shared" ca="1" si="108"/>
        <v>8.7083640141744265</v>
      </c>
      <c r="Q162" s="310">
        <f t="shared" ca="1" si="108"/>
        <v>8.9437042440129328</v>
      </c>
      <c r="R162" s="310">
        <f t="shared" ca="1" si="108"/>
        <v>9.1107015442524908</v>
      </c>
    </row>
    <row r="163" spans="1:18" s="384" customFormat="1" x14ac:dyDescent="0.25">
      <c r="A163" s="1322"/>
      <c r="B163" s="1333"/>
      <c r="C163" s="1323"/>
      <c r="D163" s="1324"/>
      <c r="E163" s="310"/>
      <c r="I163" s="310"/>
      <c r="J163" s="310"/>
      <c r="K163" s="310"/>
      <c r="L163" s="310"/>
      <c r="M163" s="310"/>
      <c r="N163" s="310"/>
      <c r="O163" s="310"/>
      <c r="P163" s="310"/>
      <c r="Q163" s="310"/>
      <c r="R163" s="310"/>
    </row>
    <row r="164" spans="1:18" s="506" customFormat="1" x14ac:dyDescent="0.25">
      <c r="A164" s="679"/>
      <c r="B164" s="1336">
        <v>10</v>
      </c>
      <c r="C164" s="1280" t="s">
        <v>150</v>
      </c>
      <c r="D164" s="1281" t="s">
        <v>785</v>
      </c>
      <c r="E164" s="1344"/>
      <c r="F164" s="1345"/>
      <c r="G164" s="1345"/>
      <c r="H164" s="1345"/>
      <c r="I164" s="1300">
        <f t="shared" ref="I164:R164" ca="1" si="109">I159-I162</f>
        <v>5.4060629888954121</v>
      </c>
      <c r="J164" s="1300">
        <f t="shared" ca="1" si="109"/>
        <v>12.861858240941217</v>
      </c>
      <c r="K164" s="1300">
        <f t="shared" ca="1" si="109"/>
        <v>19.17248047767681</v>
      </c>
      <c r="L164" s="1300">
        <f t="shared" ca="1" si="109"/>
        <v>28.26957947435444</v>
      </c>
      <c r="M164" s="1300">
        <f t="shared" ca="1" si="109"/>
        <v>31.340805030269905</v>
      </c>
      <c r="N164" s="1300">
        <f t="shared" ca="1" si="109"/>
        <v>33.571226208495048</v>
      </c>
      <c r="O164" s="1300">
        <f t="shared" ca="1" si="109"/>
        <v>33.993398086752904</v>
      </c>
      <c r="P164" s="1300">
        <f t="shared" ca="1" si="109"/>
        <v>34.833456056697706</v>
      </c>
      <c r="Q164" s="1300">
        <f t="shared" ca="1" si="109"/>
        <v>35.774816976051724</v>
      </c>
      <c r="R164" s="1300">
        <f t="shared" ca="1" si="109"/>
        <v>36.442806177009963</v>
      </c>
    </row>
    <row r="165" spans="1:18" s="677" customFormat="1" x14ac:dyDescent="0.25">
      <c r="A165" s="1349"/>
      <c r="B165" s="1327"/>
      <c r="C165" s="676" t="s">
        <v>696</v>
      </c>
      <c r="D165" s="464" t="s">
        <v>785</v>
      </c>
      <c r="E165" s="669"/>
      <c r="I165" s="678" t="str">
        <f t="shared" ref="I165:R165" ca="1" si="110">IF(ROUND(I164,0)-ROUND(I58,0)=0,"OK","FALSE")</f>
        <v>OK</v>
      </c>
      <c r="J165" s="678" t="str">
        <f t="shared" ca="1" si="110"/>
        <v>OK</v>
      </c>
      <c r="K165" s="678" t="str">
        <f t="shared" ca="1" si="110"/>
        <v>OK</v>
      </c>
      <c r="L165" s="678" t="str">
        <f t="shared" ca="1" si="110"/>
        <v>OK</v>
      </c>
      <c r="M165" s="678" t="str">
        <f t="shared" ca="1" si="110"/>
        <v>OK</v>
      </c>
      <c r="N165" s="678" t="str">
        <f t="shared" ca="1" si="110"/>
        <v>OK</v>
      </c>
      <c r="O165" s="678" t="str">
        <f t="shared" ca="1" si="110"/>
        <v>OK</v>
      </c>
      <c r="P165" s="678" t="str">
        <f t="shared" ca="1" si="110"/>
        <v>OK</v>
      </c>
      <c r="Q165" s="678" t="str">
        <f t="shared" ca="1" si="110"/>
        <v>OK</v>
      </c>
      <c r="R165" s="678" t="str">
        <f t="shared" ca="1" si="110"/>
        <v>OK</v>
      </c>
    </row>
    <row r="167" spans="1:18" x14ac:dyDescent="0.25">
      <c r="I167" s="670"/>
      <c r="J167" s="670"/>
      <c r="K167" s="670"/>
      <c r="L167" s="670"/>
      <c r="M167" s="670"/>
      <c r="N167" s="670"/>
      <c r="O167" s="670"/>
      <c r="P167" s="670"/>
      <c r="Q167" s="670"/>
      <c r="R167" s="670"/>
    </row>
    <row r="169" spans="1:18" x14ac:dyDescent="0.25">
      <c r="I169" s="670"/>
    </row>
    <row r="170" spans="1:18" x14ac:dyDescent="0.25">
      <c r="I170" s="670"/>
    </row>
    <row r="171" spans="1:18" x14ac:dyDescent="0.25">
      <c r="I171" s="670"/>
    </row>
    <row r="172" spans="1:18" x14ac:dyDescent="0.25">
      <c r="I172" s="670"/>
    </row>
    <row r="173" spans="1:18" x14ac:dyDescent="0.25">
      <c r="I173" s="670"/>
    </row>
    <row r="174" spans="1:18" x14ac:dyDescent="0.25">
      <c r="I174" s="670"/>
    </row>
    <row r="175" spans="1:18" x14ac:dyDescent="0.25">
      <c r="I175" s="670"/>
    </row>
    <row r="176" spans="1:18" x14ac:dyDescent="0.25">
      <c r="I176" s="670"/>
    </row>
    <row r="177" spans="9:9" x14ac:dyDescent="0.25">
      <c r="I177" s="670"/>
    </row>
    <row r="178" spans="9:9" x14ac:dyDescent="0.25">
      <c r="I178" s="670"/>
    </row>
    <row r="179" spans="9:9" x14ac:dyDescent="0.25">
      <c r="I179" s="670"/>
    </row>
    <row r="180" spans="9:9" x14ac:dyDescent="0.25">
      <c r="I180" s="670"/>
    </row>
    <row r="181" spans="9:9" x14ac:dyDescent="0.25">
      <c r="I181" s="670"/>
    </row>
    <row r="182" spans="9:9" x14ac:dyDescent="0.25">
      <c r="I182" s="670"/>
    </row>
    <row r="183" spans="9:9" x14ac:dyDescent="0.25">
      <c r="I183" s="670"/>
    </row>
    <row r="184" spans="9:9" x14ac:dyDescent="0.25">
      <c r="I184" s="670"/>
    </row>
    <row r="185" spans="9:9" x14ac:dyDescent="0.25">
      <c r="I185" s="670"/>
    </row>
    <row r="186" spans="9:9" x14ac:dyDescent="0.25">
      <c r="I186" s="670"/>
    </row>
    <row r="187" spans="9:9" x14ac:dyDescent="0.25">
      <c r="I187" s="670"/>
    </row>
    <row r="188" spans="9:9" x14ac:dyDescent="0.25">
      <c r="I188" s="670"/>
    </row>
    <row r="189" spans="9:9" x14ac:dyDescent="0.25">
      <c r="I189" s="670"/>
    </row>
    <row r="190" spans="9:9" x14ac:dyDescent="0.25">
      <c r="I190" s="670"/>
    </row>
    <row r="191" spans="9:9" x14ac:dyDescent="0.25">
      <c r="I191" s="670"/>
    </row>
    <row r="192" spans="9:9" x14ac:dyDescent="0.25">
      <c r="I192" s="670"/>
    </row>
    <row r="193" spans="9:9" x14ac:dyDescent="0.25">
      <c r="I193" s="670"/>
    </row>
    <row r="194" spans="9:9" x14ac:dyDescent="0.25">
      <c r="I194" s="670"/>
    </row>
    <row r="195" spans="9:9" x14ac:dyDescent="0.25">
      <c r="I195" s="670"/>
    </row>
    <row r="196" spans="9:9" x14ac:dyDescent="0.25">
      <c r="I196" s="670"/>
    </row>
    <row r="197" spans="9:9" x14ac:dyDescent="0.25">
      <c r="I197" s="670"/>
    </row>
    <row r="198" spans="9:9" x14ac:dyDescent="0.25">
      <c r="I198" s="670"/>
    </row>
    <row r="199" spans="9:9" x14ac:dyDescent="0.25">
      <c r="I199" s="670"/>
    </row>
    <row r="200" spans="9:9" x14ac:dyDescent="0.25">
      <c r="I200" s="670"/>
    </row>
    <row r="201" spans="9:9" x14ac:dyDescent="0.25">
      <c r="I201" s="670"/>
    </row>
    <row r="202" spans="9:9" x14ac:dyDescent="0.25">
      <c r="I202" s="670"/>
    </row>
    <row r="203" spans="9:9" x14ac:dyDescent="0.25">
      <c r="I203" s="670"/>
    </row>
    <row r="204" spans="9:9" x14ac:dyDescent="0.25">
      <c r="I204" s="670"/>
    </row>
    <row r="205" spans="9:9" x14ac:dyDescent="0.25">
      <c r="I205" s="670"/>
    </row>
    <row r="206" spans="9:9" x14ac:dyDescent="0.25">
      <c r="I206" s="670"/>
    </row>
    <row r="207" spans="9:9" x14ac:dyDescent="0.25">
      <c r="I207" s="670"/>
    </row>
    <row r="208" spans="9:9" x14ac:dyDescent="0.25">
      <c r="I208" s="670"/>
    </row>
    <row r="209" spans="9:9" x14ac:dyDescent="0.25">
      <c r="I209" s="670"/>
    </row>
    <row r="210" spans="9:9" x14ac:dyDescent="0.25">
      <c r="I210" s="670"/>
    </row>
    <row r="211" spans="9:9" x14ac:dyDescent="0.25">
      <c r="I211" s="670"/>
    </row>
    <row r="212" spans="9:9" x14ac:dyDescent="0.25">
      <c r="I212" s="670"/>
    </row>
    <row r="213" spans="9:9" x14ac:dyDescent="0.25">
      <c r="I213" s="670"/>
    </row>
    <row r="214" spans="9:9" x14ac:dyDescent="0.25">
      <c r="I214" s="670"/>
    </row>
    <row r="215" spans="9:9" x14ac:dyDescent="0.25">
      <c r="I215" s="670"/>
    </row>
    <row r="216" spans="9:9" x14ac:dyDescent="0.25">
      <c r="I216" s="670"/>
    </row>
    <row r="217" spans="9:9" x14ac:dyDescent="0.25">
      <c r="I217" s="670"/>
    </row>
    <row r="218" spans="9:9" x14ac:dyDescent="0.25">
      <c r="I218" s="670"/>
    </row>
    <row r="219" spans="9:9" x14ac:dyDescent="0.25">
      <c r="I219" s="670"/>
    </row>
    <row r="220" spans="9:9" x14ac:dyDescent="0.25">
      <c r="I220" s="670"/>
    </row>
    <row r="221" spans="9:9" x14ac:dyDescent="0.25">
      <c r="I221" s="670"/>
    </row>
    <row r="222" spans="9:9" x14ac:dyDescent="0.25">
      <c r="I222" s="670"/>
    </row>
    <row r="223" spans="9:9" x14ac:dyDescent="0.25">
      <c r="I223" s="670"/>
    </row>
    <row r="224" spans="9:9" x14ac:dyDescent="0.25">
      <c r="I224" s="670"/>
    </row>
    <row r="225" spans="9:9" x14ac:dyDescent="0.25">
      <c r="I225" s="670"/>
    </row>
    <row r="226" spans="9:9" x14ac:dyDescent="0.25">
      <c r="I226" s="670"/>
    </row>
    <row r="227" spans="9:9" x14ac:dyDescent="0.25">
      <c r="I227" s="670"/>
    </row>
    <row r="228" spans="9:9" x14ac:dyDescent="0.25">
      <c r="I228" s="670"/>
    </row>
    <row r="229" spans="9:9" x14ac:dyDescent="0.25">
      <c r="I229" s="670"/>
    </row>
    <row r="230" spans="9:9" x14ac:dyDescent="0.25">
      <c r="I230" s="670"/>
    </row>
    <row r="231" spans="9:9" x14ac:dyDescent="0.25">
      <c r="I231" s="670"/>
    </row>
    <row r="232" spans="9:9" x14ac:dyDescent="0.25">
      <c r="I232" s="670"/>
    </row>
    <row r="233" spans="9:9" x14ac:dyDescent="0.25">
      <c r="I233" s="670"/>
    </row>
    <row r="234" spans="9:9" x14ac:dyDescent="0.25">
      <c r="I234" s="670"/>
    </row>
    <row r="235" spans="9:9" x14ac:dyDescent="0.25">
      <c r="I235" s="670"/>
    </row>
    <row r="236" spans="9:9" x14ac:dyDescent="0.25">
      <c r="I236" s="670"/>
    </row>
    <row r="237" spans="9:9" x14ac:dyDescent="0.25">
      <c r="I237" s="670"/>
    </row>
    <row r="238" spans="9:9" x14ac:dyDescent="0.25">
      <c r="I238" s="670"/>
    </row>
    <row r="239" spans="9:9" x14ac:dyDescent="0.25">
      <c r="I239" s="670"/>
    </row>
    <row r="240" spans="9:9" x14ac:dyDescent="0.25">
      <c r="I240" s="670"/>
    </row>
    <row r="241" spans="9:9" x14ac:dyDescent="0.25">
      <c r="I241" s="670"/>
    </row>
    <row r="242" spans="9:9" x14ac:dyDescent="0.25">
      <c r="I242" s="670"/>
    </row>
    <row r="243" spans="9:9" x14ac:dyDescent="0.25">
      <c r="I243" s="670"/>
    </row>
    <row r="244" spans="9:9" x14ac:dyDescent="0.25">
      <c r="I244" s="670"/>
    </row>
    <row r="245" spans="9:9" x14ac:dyDescent="0.25">
      <c r="I245" s="670"/>
    </row>
    <row r="246" spans="9:9" x14ac:dyDescent="0.25">
      <c r="I246" s="670"/>
    </row>
    <row r="247" spans="9:9" x14ac:dyDescent="0.25">
      <c r="I247" s="670"/>
    </row>
    <row r="248" spans="9:9" x14ac:dyDescent="0.25">
      <c r="I248" s="670"/>
    </row>
    <row r="249" spans="9:9" x14ac:dyDescent="0.25">
      <c r="I249" s="670"/>
    </row>
    <row r="250" spans="9:9" x14ac:dyDescent="0.25">
      <c r="I250" s="670"/>
    </row>
    <row r="251" spans="9:9" x14ac:dyDescent="0.25">
      <c r="I251" s="670"/>
    </row>
    <row r="252" spans="9:9" x14ac:dyDescent="0.25">
      <c r="I252" s="670"/>
    </row>
    <row r="253" spans="9:9" x14ac:dyDescent="0.25">
      <c r="I253" s="670"/>
    </row>
    <row r="254" spans="9:9" x14ac:dyDescent="0.25">
      <c r="I254" s="670"/>
    </row>
    <row r="255" spans="9:9" x14ac:dyDescent="0.25">
      <c r="I255" s="670"/>
    </row>
    <row r="256" spans="9:9" x14ac:dyDescent="0.25">
      <c r="I256" s="670"/>
    </row>
    <row r="257" spans="9:9" x14ac:dyDescent="0.25">
      <c r="I257" s="670"/>
    </row>
    <row r="258" spans="9:9" x14ac:dyDescent="0.25">
      <c r="I258" s="670"/>
    </row>
    <row r="259" spans="9:9" x14ac:dyDescent="0.25">
      <c r="I259" s="670"/>
    </row>
    <row r="260" spans="9:9" x14ac:dyDescent="0.25">
      <c r="I260" s="670"/>
    </row>
    <row r="261" spans="9:9" x14ac:dyDescent="0.25">
      <c r="I261" s="670"/>
    </row>
    <row r="262" spans="9:9" x14ac:dyDescent="0.25">
      <c r="I262" s="670"/>
    </row>
    <row r="263" spans="9:9" x14ac:dyDescent="0.25">
      <c r="I263" s="670"/>
    </row>
    <row r="264" spans="9:9" x14ac:dyDescent="0.25">
      <c r="I264" s="670"/>
    </row>
    <row r="265" spans="9:9" x14ac:dyDescent="0.25">
      <c r="I265" s="670"/>
    </row>
    <row r="266" spans="9:9" x14ac:dyDescent="0.25">
      <c r="I266" s="670"/>
    </row>
    <row r="267" spans="9:9" x14ac:dyDescent="0.25">
      <c r="I267" s="670"/>
    </row>
    <row r="268" spans="9:9" x14ac:dyDescent="0.25">
      <c r="I268" s="670"/>
    </row>
    <row r="269" spans="9:9" x14ac:dyDescent="0.25">
      <c r="I269" s="670"/>
    </row>
    <row r="270" spans="9:9" x14ac:dyDescent="0.25">
      <c r="I270" s="670"/>
    </row>
    <row r="271" spans="9:9" x14ac:dyDescent="0.25">
      <c r="I271" s="670"/>
    </row>
    <row r="272" spans="9:9" x14ac:dyDescent="0.25">
      <c r="I272" s="670"/>
    </row>
    <row r="273" spans="9:9" x14ac:dyDescent="0.25">
      <c r="I273" s="670"/>
    </row>
    <row r="274" spans="9:9" x14ac:dyDescent="0.25">
      <c r="I274" s="670"/>
    </row>
    <row r="275" spans="9:9" x14ac:dyDescent="0.25">
      <c r="I275" s="670"/>
    </row>
    <row r="276" spans="9:9" x14ac:dyDescent="0.25">
      <c r="I276" s="670"/>
    </row>
    <row r="277" spans="9:9" x14ac:dyDescent="0.25">
      <c r="I277" s="670"/>
    </row>
    <row r="278" spans="9:9" x14ac:dyDescent="0.25">
      <c r="I278" s="670"/>
    </row>
    <row r="279" spans="9:9" x14ac:dyDescent="0.25">
      <c r="I279" s="670"/>
    </row>
    <row r="280" spans="9:9" x14ac:dyDescent="0.25">
      <c r="I280" s="670"/>
    </row>
    <row r="281" spans="9:9" x14ac:dyDescent="0.25">
      <c r="I281" s="670"/>
    </row>
    <row r="282" spans="9:9" x14ac:dyDescent="0.25">
      <c r="I282" s="670"/>
    </row>
    <row r="283" spans="9:9" x14ac:dyDescent="0.25">
      <c r="I283" s="670"/>
    </row>
    <row r="284" spans="9:9" x14ac:dyDescent="0.25">
      <c r="I284" s="670"/>
    </row>
    <row r="285" spans="9:9" x14ac:dyDescent="0.25">
      <c r="I285" s="670"/>
    </row>
    <row r="286" spans="9:9" x14ac:dyDescent="0.25">
      <c r="I286" s="670"/>
    </row>
    <row r="287" spans="9:9" x14ac:dyDescent="0.25">
      <c r="I287" s="670"/>
    </row>
    <row r="288" spans="9:9" x14ac:dyDescent="0.25">
      <c r="I288" s="670"/>
    </row>
    <row r="289" spans="9:9" x14ac:dyDescent="0.25">
      <c r="I289" s="670"/>
    </row>
    <row r="290" spans="9:9" x14ac:dyDescent="0.25">
      <c r="I290" s="670"/>
    </row>
    <row r="291" spans="9:9" x14ac:dyDescent="0.25">
      <c r="I291" s="670"/>
    </row>
    <row r="292" spans="9:9" x14ac:dyDescent="0.25">
      <c r="I292" s="670"/>
    </row>
    <row r="293" spans="9:9" x14ac:dyDescent="0.25">
      <c r="I293" s="670"/>
    </row>
    <row r="294" spans="9:9" x14ac:dyDescent="0.25">
      <c r="I294" s="670"/>
    </row>
    <row r="295" spans="9:9" x14ac:dyDescent="0.25">
      <c r="I295" s="670"/>
    </row>
    <row r="296" spans="9:9" x14ac:dyDescent="0.25">
      <c r="I296" s="670"/>
    </row>
    <row r="297" spans="9:9" x14ac:dyDescent="0.25">
      <c r="I297" s="670"/>
    </row>
    <row r="298" spans="9:9" x14ac:dyDescent="0.25">
      <c r="I298" s="670"/>
    </row>
    <row r="299" spans="9:9" x14ac:dyDescent="0.25">
      <c r="I299" s="670"/>
    </row>
    <row r="300" spans="9:9" x14ac:dyDescent="0.25">
      <c r="I300" s="670"/>
    </row>
    <row r="301" spans="9:9" x14ac:dyDescent="0.25">
      <c r="I301" s="670"/>
    </row>
    <row r="302" spans="9:9" x14ac:dyDescent="0.25">
      <c r="I302" s="670"/>
    </row>
    <row r="303" spans="9:9" x14ac:dyDescent="0.25">
      <c r="I303" s="670"/>
    </row>
    <row r="304" spans="9:9" x14ac:dyDescent="0.25">
      <c r="I304" s="670"/>
    </row>
    <row r="305" spans="9:9" x14ac:dyDescent="0.25">
      <c r="I305" s="670"/>
    </row>
    <row r="306" spans="9:9" x14ac:dyDescent="0.25">
      <c r="I306" s="670"/>
    </row>
    <row r="307" spans="9:9" x14ac:dyDescent="0.25">
      <c r="I307" s="670"/>
    </row>
    <row r="308" spans="9:9" x14ac:dyDescent="0.25">
      <c r="I308" s="670"/>
    </row>
    <row r="309" spans="9:9" x14ac:dyDescent="0.25">
      <c r="I309" s="670"/>
    </row>
    <row r="310" spans="9:9" x14ac:dyDescent="0.25">
      <c r="I310" s="670"/>
    </row>
    <row r="311" spans="9:9" x14ac:dyDescent="0.25">
      <c r="I311" s="670"/>
    </row>
    <row r="312" spans="9:9" x14ac:dyDescent="0.25">
      <c r="I312" s="670"/>
    </row>
    <row r="313" spans="9:9" x14ac:dyDescent="0.25">
      <c r="I313" s="670"/>
    </row>
    <row r="314" spans="9:9" x14ac:dyDescent="0.25">
      <c r="I314" s="670"/>
    </row>
    <row r="315" spans="9:9" x14ac:dyDescent="0.25">
      <c r="I315" s="670"/>
    </row>
    <row r="316" spans="9:9" x14ac:dyDescent="0.25">
      <c r="I316" s="670"/>
    </row>
    <row r="317" spans="9:9" x14ac:dyDescent="0.25">
      <c r="I317" s="670"/>
    </row>
    <row r="318" spans="9:9" x14ac:dyDescent="0.25">
      <c r="I318" s="670"/>
    </row>
    <row r="319" spans="9:9" x14ac:dyDescent="0.25">
      <c r="I319" s="670"/>
    </row>
    <row r="320" spans="9:9" x14ac:dyDescent="0.25">
      <c r="I320" s="670"/>
    </row>
    <row r="321" spans="9:9" x14ac:dyDescent="0.25">
      <c r="I321" s="670"/>
    </row>
    <row r="322" spans="9:9" x14ac:dyDescent="0.25">
      <c r="I322" s="670"/>
    </row>
    <row r="323" spans="9:9" x14ac:dyDescent="0.25">
      <c r="I323" s="670"/>
    </row>
    <row r="324" spans="9:9" x14ac:dyDescent="0.25">
      <c r="I324" s="670"/>
    </row>
    <row r="325" spans="9:9" x14ac:dyDescent="0.25">
      <c r="I325" s="670"/>
    </row>
    <row r="326" spans="9:9" x14ac:dyDescent="0.25">
      <c r="I326" s="670"/>
    </row>
    <row r="327" spans="9:9" x14ac:dyDescent="0.25">
      <c r="I327" s="670"/>
    </row>
    <row r="328" spans="9:9" x14ac:dyDescent="0.25">
      <c r="I328" s="670"/>
    </row>
    <row r="329" spans="9:9" x14ac:dyDescent="0.25">
      <c r="I329" s="670"/>
    </row>
    <row r="330" spans="9:9" x14ac:dyDescent="0.25">
      <c r="I330" s="670"/>
    </row>
    <row r="331" spans="9:9" x14ac:dyDescent="0.25">
      <c r="I331" s="670"/>
    </row>
    <row r="332" spans="9:9" x14ac:dyDescent="0.25">
      <c r="I332" s="670"/>
    </row>
    <row r="333" spans="9:9" x14ac:dyDescent="0.25">
      <c r="I333" s="670"/>
    </row>
    <row r="334" spans="9:9" x14ac:dyDescent="0.25">
      <c r="I334" s="670"/>
    </row>
    <row r="335" spans="9:9" x14ac:dyDescent="0.25">
      <c r="I335" s="670"/>
    </row>
    <row r="336" spans="9:9" x14ac:dyDescent="0.25">
      <c r="I336" s="670"/>
    </row>
    <row r="337" spans="9:9" x14ac:dyDescent="0.25">
      <c r="I337" s="670"/>
    </row>
    <row r="338" spans="9:9" x14ac:dyDescent="0.25">
      <c r="I338" s="670"/>
    </row>
    <row r="339" spans="9:9" x14ac:dyDescent="0.25">
      <c r="I339" s="670"/>
    </row>
    <row r="340" spans="9:9" x14ac:dyDescent="0.25">
      <c r="I340" s="670"/>
    </row>
    <row r="341" spans="9:9" x14ac:dyDescent="0.25">
      <c r="I341" s="670"/>
    </row>
    <row r="342" spans="9:9" x14ac:dyDescent="0.25">
      <c r="I342" s="670"/>
    </row>
    <row r="343" spans="9:9" x14ac:dyDescent="0.25">
      <c r="I343" s="670"/>
    </row>
    <row r="344" spans="9:9" x14ac:dyDescent="0.25">
      <c r="I344" s="670"/>
    </row>
    <row r="345" spans="9:9" x14ac:dyDescent="0.25">
      <c r="I345" s="670"/>
    </row>
    <row r="346" spans="9:9" x14ac:dyDescent="0.25">
      <c r="I346" s="670"/>
    </row>
    <row r="347" spans="9:9" x14ac:dyDescent="0.25">
      <c r="I347" s="670"/>
    </row>
    <row r="348" spans="9:9" x14ac:dyDescent="0.25">
      <c r="I348" s="670"/>
    </row>
    <row r="349" spans="9:9" x14ac:dyDescent="0.25">
      <c r="I349" s="670"/>
    </row>
    <row r="350" spans="9:9" x14ac:dyDescent="0.25">
      <c r="I350" s="670"/>
    </row>
    <row r="351" spans="9:9" x14ac:dyDescent="0.25">
      <c r="I351" s="670"/>
    </row>
    <row r="352" spans="9:9" x14ac:dyDescent="0.25">
      <c r="I352" s="670"/>
    </row>
    <row r="353" spans="9:9" x14ac:dyDescent="0.25">
      <c r="I353" s="670"/>
    </row>
    <row r="354" spans="9:9" x14ac:dyDescent="0.25">
      <c r="I354" s="670"/>
    </row>
    <row r="355" spans="9:9" x14ac:dyDescent="0.25">
      <c r="I355" s="670"/>
    </row>
    <row r="356" spans="9:9" x14ac:dyDescent="0.25">
      <c r="I356" s="670"/>
    </row>
    <row r="357" spans="9:9" x14ac:dyDescent="0.25">
      <c r="I357" s="670"/>
    </row>
    <row r="358" spans="9:9" x14ac:dyDescent="0.25">
      <c r="I358" s="670"/>
    </row>
    <row r="359" spans="9:9" x14ac:dyDescent="0.25">
      <c r="I359" s="670"/>
    </row>
    <row r="360" spans="9:9" x14ac:dyDescent="0.25">
      <c r="I360" s="670"/>
    </row>
  </sheetData>
  <conditionalFormatting sqref="E67:E74">
    <cfRule type="expression" dxfId="12" priority="16">
      <formula>E67&lt;0</formula>
    </cfRule>
  </conditionalFormatting>
  <conditionalFormatting sqref="E80:E84">
    <cfRule type="expression" dxfId="11" priority="15">
      <formula>E80&lt;0</formula>
    </cfRule>
  </conditionalFormatting>
  <conditionalFormatting sqref="E86:E90">
    <cfRule type="expression" dxfId="10" priority="14">
      <formula>E86&lt;0</formula>
    </cfRule>
  </conditionalFormatting>
  <conditionalFormatting sqref="E92:E96">
    <cfRule type="expression" dxfId="9" priority="13">
      <formula>E92&lt;0</formula>
    </cfRule>
  </conditionalFormatting>
  <conditionalFormatting sqref="E100:E104">
    <cfRule type="expression" dxfId="8" priority="12">
      <formula>E100&lt;0</formula>
    </cfRule>
  </conditionalFormatting>
  <conditionalFormatting sqref="E111:E115">
    <cfRule type="expression" dxfId="7" priority="11">
      <formula>E111&lt;0</formula>
    </cfRule>
  </conditionalFormatting>
  <conditionalFormatting sqref="E117:E121">
    <cfRule type="expression" dxfId="6" priority="10">
      <formula>E117&lt;0</formula>
    </cfRule>
  </conditionalFormatting>
  <conditionalFormatting sqref="E123:E128">
    <cfRule type="expression" dxfId="5" priority="1">
      <formula>E123&lt;0</formula>
    </cfRule>
  </conditionalFormatting>
  <conditionalFormatting sqref="E132:E137">
    <cfRule type="expression" dxfId="4" priority="9">
      <formula>E132&lt;0</formula>
    </cfRule>
  </conditionalFormatting>
  <conditionalFormatting sqref="E139:E150">
    <cfRule type="expression" dxfId="3" priority="4">
      <formula>E139&lt;0</formula>
    </cfRule>
  </conditionalFormatting>
  <conditionalFormatting sqref="E152:E153">
    <cfRule type="expression" dxfId="2" priority="2">
      <formula>E152&lt;0</formula>
    </cfRule>
  </conditionalFormatting>
  <conditionalFormatting sqref="E5:R59">
    <cfRule type="expression" dxfId="1" priority="17">
      <formula>E5&lt;0</formula>
    </cfRule>
  </conditionalFormatting>
  <conditionalFormatting sqref="I29:R34">
    <cfRule type="cellIs" dxfId="0" priority="21" operator="lessThan">
      <formula>0</formula>
    </cfRule>
  </conditionalFormatting>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29" filterMode="1">
    <tabColor theme="7" tint="-0.249977111117893"/>
    <pageSetUpPr fitToPage="1"/>
  </sheetPr>
  <dimension ref="A1:Q950"/>
  <sheetViews>
    <sheetView showGridLines="0" zoomScale="70" zoomScaleNormal="70" zoomScaleSheetLayoutView="120" workbookViewId="0">
      <pane xSplit="3" ySplit="5" topLeftCell="D6" activePane="bottomRight" state="frozen"/>
      <selection activeCell="Q41" sqref="Q41"/>
      <selection pane="topRight" activeCell="Q41" sqref="Q41"/>
      <selection pane="bottomLeft" activeCell="Q41" sqref="Q41"/>
      <selection pane="bottomRight" activeCell="H44" sqref="H44"/>
    </sheetView>
  </sheetViews>
  <sheetFormatPr defaultColWidth="8.85546875" defaultRowHeight="15" x14ac:dyDescent="0.25"/>
  <cols>
    <col min="1" max="1" width="6.7109375" style="1579" customWidth="1"/>
    <col min="2" max="2" width="3.5703125" style="56" customWidth="1"/>
    <col min="3" max="3" width="49.28515625" style="12" bestFit="1" customWidth="1"/>
    <col min="4" max="4" width="5.7109375" style="12" customWidth="1"/>
    <col min="5" max="6" width="8.5703125" style="118" customWidth="1"/>
    <col min="7" max="7" width="10.7109375" style="129" bestFit="1" customWidth="1"/>
    <col min="8" max="8" width="10.5703125" style="129" customWidth="1"/>
    <col min="9" max="9" width="11.5703125" style="129" bestFit="1" customWidth="1"/>
    <col min="10" max="10" width="11.42578125" style="129" bestFit="1" customWidth="1"/>
    <col min="11" max="15" width="11.5703125" style="129" bestFit="1" customWidth="1"/>
    <col min="16" max="16" width="11.42578125" style="129" bestFit="1" customWidth="1"/>
    <col min="17" max="17" width="11.5703125" style="129" bestFit="1" customWidth="1"/>
    <col min="18" max="16384" width="8.85546875" style="129"/>
  </cols>
  <sheetData>
    <row r="1" spans="1:17" s="506" customFormat="1" ht="14.65" customHeight="1" x14ac:dyDescent="0.25">
      <c r="A1" s="1532"/>
      <c r="B1" s="1093"/>
      <c r="C1" s="1533"/>
      <c r="D1" s="1533"/>
      <c r="E1" s="1534"/>
      <c r="F1" s="1534"/>
      <c r="J1" s="1535"/>
      <c r="K1" s="1536"/>
    </row>
    <row r="2" spans="1:17" ht="21" customHeight="1" x14ac:dyDescent="0.25">
      <c r="A2" s="1486"/>
      <c r="B2" s="1544" t="s">
        <v>4</v>
      </c>
      <c r="C2" s="1544"/>
      <c r="D2" s="1544"/>
      <c r="E2" s="1544"/>
      <c r="F2" s="1544"/>
      <c r="G2" s="1544"/>
      <c r="H2" s="1544"/>
      <c r="I2" s="1544"/>
      <c r="J2" s="1544"/>
      <c r="K2" s="1544"/>
      <c r="L2" s="1544"/>
      <c r="M2" s="1488"/>
      <c r="N2" s="1488"/>
      <c r="O2" s="1488"/>
      <c r="P2" s="1488"/>
      <c r="Q2" s="1488"/>
    </row>
    <row r="3" spans="1:17" x14ac:dyDescent="0.25">
      <c r="A3" s="1486"/>
      <c r="B3" s="1485"/>
      <c r="C3" s="1485"/>
      <c r="D3" s="1485"/>
      <c r="E3" s="1486"/>
      <c r="F3" s="1486"/>
      <c r="G3" s="1541"/>
      <c r="H3" s="1541"/>
      <c r="I3" s="1541"/>
      <c r="J3" s="1541"/>
      <c r="K3" s="1542"/>
      <c r="L3" s="1541"/>
      <c r="M3" s="1541"/>
      <c r="N3" s="1541"/>
      <c r="O3" s="1541"/>
      <c r="P3" s="1541"/>
      <c r="Q3" s="1543" t="s">
        <v>197</v>
      </c>
    </row>
    <row r="4" spans="1:17" x14ac:dyDescent="0.25">
      <c r="A4" s="1486" t="s">
        <v>198</v>
      </c>
      <c r="B4" s="1545"/>
      <c r="C4" s="1546"/>
      <c r="D4" s="1546"/>
      <c r="E4" s="911"/>
      <c r="F4" s="911"/>
      <c r="G4" s="1541"/>
      <c r="H4" s="1541"/>
      <c r="I4" s="1541"/>
      <c r="J4" s="1542"/>
      <c r="K4" s="1541"/>
      <c r="L4" s="1541"/>
      <c r="M4" s="1543"/>
      <c r="N4" s="1543"/>
      <c r="O4" s="1543"/>
      <c r="P4" s="1543"/>
      <c r="Q4" s="1543"/>
    </row>
    <row r="5" spans="1:17" ht="17.100000000000001" customHeight="1" x14ac:dyDescent="0.25">
      <c r="A5" s="1547">
        <v>1</v>
      </c>
      <c r="B5" s="1545"/>
      <c r="C5" s="1563" t="s">
        <v>24</v>
      </c>
      <c r="D5" s="1563"/>
      <c r="E5" s="1576" t="s">
        <v>559</v>
      </c>
      <c r="F5" s="1576" t="s">
        <v>558</v>
      </c>
      <c r="G5" s="1577">
        <v>2023</v>
      </c>
      <c r="H5" s="1577">
        <v>2024</v>
      </c>
      <c r="I5" s="1577">
        <v>2025</v>
      </c>
      <c r="J5" s="1577">
        <v>2026</v>
      </c>
      <c r="K5" s="1577">
        <v>2027</v>
      </c>
      <c r="L5" s="1577">
        <v>2028</v>
      </c>
      <c r="M5" s="1577">
        <v>2029</v>
      </c>
      <c r="N5" s="1577">
        <v>2030</v>
      </c>
      <c r="O5" s="1577">
        <v>2031</v>
      </c>
      <c r="P5" s="1577">
        <v>2032</v>
      </c>
      <c r="Q5" s="1577">
        <v>2033</v>
      </c>
    </row>
    <row r="6" spans="1:17" ht="17.100000000000001" customHeight="1" x14ac:dyDescent="0.25">
      <c r="A6" s="1478">
        <f t="shared" ref="A6:A50" ca="1" si="0">IF(SUM(G6:Q6)&lt;&gt;0,1,0)</f>
        <v>1</v>
      </c>
      <c r="B6" s="1488" t="s">
        <v>25</v>
      </c>
      <c r="C6" s="1544" t="s">
        <v>26</v>
      </c>
      <c r="D6" s="1488" t="s">
        <v>292</v>
      </c>
      <c r="E6" s="1481">
        <f t="shared" ref="E6:F6" si="1">SUM(E7,E10,E14,E23,E26)</f>
        <v>188.17972298699999</v>
      </c>
      <c r="F6" s="1481">
        <f t="shared" si="1"/>
        <v>253.89207008099999</v>
      </c>
      <c r="G6" s="1481">
        <f t="shared" ref="G6:Q6" si="2">SUM(G7,G10,G14,G23,G26)</f>
        <v>465.67807027599997</v>
      </c>
      <c r="H6" s="1481">
        <f ca="1">SUM(H7,H10,H14,H23,H26)</f>
        <v>153.45029652603145</v>
      </c>
      <c r="I6" s="1481">
        <f t="shared" ca="1" si="2"/>
        <v>159.51530184019313</v>
      </c>
      <c r="J6" s="1481">
        <f t="shared" ca="1" si="2"/>
        <v>160.23074467002786</v>
      </c>
      <c r="K6" s="1481">
        <f t="shared" ca="1" si="2"/>
        <v>167.08805983895869</v>
      </c>
      <c r="L6" s="1481">
        <f t="shared" ca="1" si="2"/>
        <v>203.67512306099104</v>
      </c>
      <c r="M6" s="1481">
        <f t="shared" ca="1" si="2"/>
        <v>240.21308682540095</v>
      </c>
      <c r="N6" s="1481">
        <f t="shared" ca="1" si="2"/>
        <v>277.18507960909648</v>
      </c>
      <c r="O6" s="1481">
        <f t="shared" ca="1" si="2"/>
        <v>314.52525333595014</v>
      </c>
      <c r="P6" s="1481">
        <f t="shared" ca="1" si="2"/>
        <v>352.19233204191858</v>
      </c>
      <c r="Q6" s="1481">
        <f t="shared" ca="1" si="2"/>
        <v>390.27824733709502</v>
      </c>
    </row>
    <row r="7" spans="1:17" ht="17.100000000000001" customHeight="1" x14ac:dyDescent="0.25">
      <c r="A7" s="1478">
        <f ca="1">IF(SUM(E7:Q7)&lt;&gt;0,1,0)</f>
        <v>1</v>
      </c>
      <c r="B7" s="1488" t="s">
        <v>27</v>
      </c>
      <c r="C7" s="1544" t="s">
        <v>28</v>
      </c>
      <c r="D7" s="1537" t="s">
        <v>294</v>
      </c>
      <c r="E7" s="1481">
        <f>E8+E9</f>
        <v>4.0497780409999997</v>
      </c>
      <c r="F7" s="1481">
        <f t="shared" ref="F7:G7" si="3">F8+F9</f>
        <v>32.556787084</v>
      </c>
      <c r="G7" s="1481">
        <f t="shared" si="3"/>
        <v>43.787349978000002</v>
      </c>
      <c r="H7" s="1481">
        <f t="shared" ref="H7:I7" ca="1" si="4">H8+H9</f>
        <v>39.400349434821564</v>
      </c>
      <c r="I7" s="1481">
        <f t="shared" ca="1" si="4"/>
        <v>45.03874434657223</v>
      </c>
      <c r="J7" s="1481">
        <f t="shared" ref="J7:K7" ca="1" si="5">J8+J9</f>
        <v>45.329035038788973</v>
      </c>
      <c r="K7" s="1481">
        <f t="shared" ca="1" si="5"/>
        <v>51.759208223540725</v>
      </c>
      <c r="L7" s="1481">
        <f t="shared" ref="L7:M7" ca="1" si="6">L8+L9</f>
        <v>87.911054396796544</v>
      </c>
      <c r="M7" s="1481">
        <f t="shared" ca="1" si="6"/>
        <v>124.01793504535814</v>
      </c>
      <c r="N7" s="1481">
        <f t="shared" ref="N7:O7" ca="1" si="7">N8+N9</f>
        <v>160.54260439218345</v>
      </c>
      <c r="O7" s="1481">
        <f t="shared" ca="1" si="7"/>
        <v>197.43187449082359</v>
      </c>
      <c r="P7" s="1481">
        <f t="shared" ref="P7:Q7" ca="1" si="8">P8+P9</f>
        <v>234.64566372958711</v>
      </c>
      <c r="Q7" s="1481">
        <f t="shared" ca="1" si="8"/>
        <v>272.27095255566428</v>
      </c>
    </row>
    <row r="8" spans="1:17" ht="17.100000000000001" customHeight="1" x14ac:dyDescent="0.25">
      <c r="A8" s="1478">
        <f t="shared" ca="1" si="0"/>
        <v>1</v>
      </c>
      <c r="B8" s="1548" t="s">
        <v>29</v>
      </c>
      <c r="C8" s="1549" t="s">
        <v>30</v>
      </c>
      <c r="D8" s="1538" t="s">
        <v>296</v>
      </c>
      <c r="E8" s="1550">
        <f>'1.BC_Muc tieu (ty) '!K32</f>
        <v>4.0497780409999997</v>
      </c>
      <c r="F8" s="1550">
        <f>'1.BC_Muc tieu (ty) '!R32</f>
        <v>32.556787084</v>
      </c>
      <c r="G8" s="1551">
        <f>'1.BC_Muc tieu (ty) '!AL32</f>
        <v>43.787349978000002</v>
      </c>
      <c r="H8" s="1551">
        <f ca="1">G8+SUM(G11:G13)+SUM(G15:G22)+SUM(G24:G25)+SUM(G27:G31)+SUM(G34:G40)+SUM(G43:G44)+SUM(G46:G47)+SUM(G49:G50)+SUM(G52:G53)+SUM(G55:G56)+SUM(G58:G62)+SUM(G64:G67)-SUM(H11:H13)-SUM(H15:H22)-SUM(H24:H25)-SUM(H27:H31)-SUM(H34:H40)-SUM(H43:H44)-SUM(H46:H47)-SUM(H49:H50)-SUM(H52:H53)-SUM(H55:H56)-SUM(H58:H62)-SUM(H64:H67)+SUM(H74:H87)+SUM(H89:H101)+SUM(H105:H116)-SUM(G74:G87)-SUM(G89:G101)-SUM(G105:G116)</f>
        <v>39.400349434821564</v>
      </c>
      <c r="I8" s="1551">
        <f ca="1">H8+SUM(H11:H13)+SUM(H15:H22)+SUM(H24:H25)+SUM(H27:H31)+SUM(H34:H40)+SUM(H43:H44)+SUM(H46:H47)+SUM(H49:H50)+SUM(H52:H53)+SUM(H55:H56)+SUM(H58:H62)+SUM(H64:H67)-SUM(I11:I13)-SUM(I15:I22)-SUM(I24:I25)-SUM(I27:I31)-SUM(I34:I40)-SUM(I43:I44)-SUM(I46:I47)-SUM(I49:I50)-SUM(I52:I53)-SUM(I55:I56)-SUM(I58:I62)-SUM(I64:I67)+SUM(I74:I87)+SUM(I89:I101)+SUM(I105:I116)-SUM(H74:H87)-SUM(H89:H101)-SUM(H105:H116)</f>
        <v>45.03874434657223</v>
      </c>
      <c r="J8" s="1551">
        <f ca="1">I8+SUM(I11:I13)+SUM(I15:I22)+SUM(I24:I25)+SUM(I27:I31)+SUM(I34:I40)+SUM(I43:I44)+SUM(I46:I47)+SUM(I49:I50)+SUM(I52:I53)+SUM(I55:I56)+SUM(I58:I62)+SUM(I64:I67)-SUM(J11:J13)-SUM(J15:J22)-SUM(J24:J25)-SUM(J27:J31)-SUM(J34:J40)-SUM(J43:J44)-SUM(J46:J47)-SUM(J49:J50)-SUM(J52:J53)-SUM(J55:J56)-SUM(J58:J62)-SUM(J64:J67)+SUM(J74:J87)+SUM(J89:J101)+SUM(J105:J116)-SUM(I74:I87)-SUM(I89:I101)-SUM(I105:I116)</f>
        <v>45.329035038788973</v>
      </c>
      <c r="K8" s="1551">
        <f ca="1">J8+SUM(J11:J13)+SUM(J15:J22)+SUM(J24:J25)+SUM(J27:J31)+SUM(J34:J40)+SUM(J43:J44)+SUM(J46:J47)+SUM(J49:J50)+SUM(J52:J53)+SUM(J55:J56)+SUM(J58:J62)+SUM(J64:J67)-SUM(K11:K13)-SUM(K15:K22)-SUM(K24:K25)-SUM(K27:K31)-SUM(K34:K40)-SUM(K43:K44)-SUM(K46:K47)-SUM(K49:K50)-SUM(K52:K53)-SUM(K55:K56)-SUM(K58:K62)-SUM(K64:K67)+SUM(K74:K87)+SUM(K89:K101)+SUM(K105:K116)-SUM(J74:J87)-SUM(J89:J101)-SUM(J105:J116)</f>
        <v>51.759208223540725</v>
      </c>
      <c r="L8" s="1551">
        <f ca="1">K8+SUM(K11:K13)+SUM(K15:K22)+SUM(K24:K25)+SUM(K27:K31)+SUM(K34:K40)+SUM(K43:K44)+SUM(K46:K47)+SUM(K49:K50)+SUM(K52:K53)+SUM(K55:K56)+SUM(K58:K62)+SUM(K64:K67)-SUM(L11:L13)-SUM(L15:L22)-SUM(L24:L25)-SUM(L27:L31)-SUM(L34:L40)-SUM(L43:L44)-SUM(L46:L47)-SUM(L49:L50)-SUM(L52:L53)-SUM(L55:L56)-SUM(L58:L62)-SUM(L64:L67)+SUM(L74:L87)+SUM(L89:L101)+SUM(L105:L116)-SUM(K74:K87)-SUM(K89:K101)-SUM(K105:K116)</f>
        <v>87.911054396796544</v>
      </c>
      <c r="M8" s="1551">
        <f t="shared" ref="M8:Q8" ca="1" si="9">L8+SUM(L11:L13)+SUM(L15:L22)+SUM(L24:L25)+SUM(L27:L31)+SUM(L34:L40)+SUM(L43:L44)+SUM(L46:L47)+SUM(L49:L50)+SUM(L52:L53)+SUM(L55:L56)+SUM(L58:L62)+SUM(L64:L67)-SUM(M11:M13)-SUM(M15:M22)-SUM(M24:M25)-SUM(M27:M31)-SUM(M34:M40)-SUM(M43:M44)-SUM(M46:M47)-SUM(M49:M50)-SUM(M52:M53)-SUM(M55:M56)-SUM(M58:M62)-SUM(M64:M67)+SUM(M74:M87)+SUM(M89:M101)+SUM(M105:M116)-SUM(L74:L87)-SUM(L89:L101)-SUM(L105:L116)</f>
        <v>124.01793504535814</v>
      </c>
      <c r="N8" s="1551">
        <f t="shared" ca="1" si="9"/>
        <v>160.54260439218345</v>
      </c>
      <c r="O8" s="1551">
        <f t="shared" ca="1" si="9"/>
        <v>197.43187449082359</v>
      </c>
      <c r="P8" s="1551">
        <f t="shared" ca="1" si="9"/>
        <v>234.64566372958711</v>
      </c>
      <c r="Q8" s="1551">
        <f t="shared" ca="1" si="9"/>
        <v>272.27095255566428</v>
      </c>
    </row>
    <row r="9" spans="1:17" ht="17.100000000000001" hidden="1" customHeight="1" x14ac:dyDescent="0.25">
      <c r="A9" s="1487">
        <f t="shared" si="0"/>
        <v>0</v>
      </c>
      <c r="B9" s="55" t="s">
        <v>31</v>
      </c>
      <c r="C9" s="11" t="s">
        <v>32</v>
      </c>
      <c r="D9" s="1538" t="s">
        <v>298</v>
      </c>
      <c r="E9" s="1495">
        <f>'1.BC_Muc tieu (ty) '!K33</f>
        <v>0</v>
      </c>
      <c r="F9" s="1495">
        <v>0</v>
      </c>
      <c r="G9" s="1495">
        <f t="shared" ref="G9:Q9" si="10">F9</f>
        <v>0</v>
      </c>
      <c r="H9" s="1495">
        <f t="shared" si="10"/>
        <v>0</v>
      </c>
      <c r="I9" s="1495">
        <f t="shared" si="10"/>
        <v>0</v>
      </c>
      <c r="J9" s="1495">
        <f t="shared" si="10"/>
        <v>0</v>
      </c>
      <c r="K9" s="1495">
        <f t="shared" si="10"/>
        <v>0</v>
      </c>
      <c r="L9" s="1495">
        <f t="shared" si="10"/>
        <v>0</v>
      </c>
      <c r="M9" s="1495">
        <f t="shared" si="10"/>
        <v>0</v>
      </c>
      <c r="N9" s="1495">
        <f t="shared" si="10"/>
        <v>0</v>
      </c>
      <c r="O9" s="1495">
        <f t="shared" si="10"/>
        <v>0</v>
      </c>
      <c r="P9" s="1495">
        <f t="shared" si="10"/>
        <v>0</v>
      </c>
      <c r="Q9" s="1495">
        <f t="shared" si="10"/>
        <v>0</v>
      </c>
    </row>
    <row r="10" spans="1:17" ht="17.100000000000001" hidden="1" customHeight="1" x14ac:dyDescent="0.25">
      <c r="A10" s="1487">
        <f t="shared" si="0"/>
        <v>0</v>
      </c>
      <c r="B10" s="1490" t="s">
        <v>33</v>
      </c>
      <c r="C10" s="1491" t="s">
        <v>34</v>
      </c>
      <c r="D10" s="1537" t="s">
        <v>300</v>
      </c>
      <c r="E10" s="1489">
        <f>SUM(E11:E13)</f>
        <v>0</v>
      </c>
      <c r="F10" s="1489">
        <f t="shared" ref="F10:Q10" si="11">SUM(F11:F13)</f>
        <v>0</v>
      </c>
      <c r="G10" s="1489">
        <f t="shared" si="11"/>
        <v>0</v>
      </c>
      <c r="H10" s="1489">
        <f t="shared" si="11"/>
        <v>0</v>
      </c>
      <c r="I10" s="1489">
        <f t="shared" si="11"/>
        <v>0</v>
      </c>
      <c r="J10" s="1489">
        <f t="shared" si="11"/>
        <v>0</v>
      </c>
      <c r="K10" s="1489">
        <f t="shared" si="11"/>
        <v>0</v>
      </c>
      <c r="L10" s="1489">
        <f t="shared" si="11"/>
        <v>0</v>
      </c>
      <c r="M10" s="1489">
        <f t="shared" si="11"/>
        <v>0</v>
      </c>
      <c r="N10" s="1489">
        <f t="shared" si="11"/>
        <v>0</v>
      </c>
      <c r="O10" s="1489">
        <f t="shared" si="11"/>
        <v>0</v>
      </c>
      <c r="P10" s="1489">
        <f t="shared" si="11"/>
        <v>0</v>
      </c>
      <c r="Q10" s="1489">
        <f t="shared" si="11"/>
        <v>0</v>
      </c>
    </row>
    <row r="11" spans="1:17" ht="17.100000000000001" hidden="1" customHeight="1" x14ac:dyDescent="0.25">
      <c r="A11" s="1487">
        <f t="shared" si="0"/>
        <v>0</v>
      </c>
      <c r="B11" s="1492" t="s">
        <v>29</v>
      </c>
      <c r="C11" s="1493" t="s">
        <v>35</v>
      </c>
      <c r="D11" s="1538" t="s">
        <v>302</v>
      </c>
      <c r="E11" s="1495">
        <f>'1.BC_Muc tieu (ty) '!K35</f>
        <v>0</v>
      </c>
      <c r="F11" s="1495">
        <f>'1.BC_Muc tieu (ty) '!R35</f>
        <v>0</v>
      </c>
      <c r="G11" s="1494">
        <f>'1.BC_Muc tieu (ty) '!AL35</f>
        <v>0</v>
      </c>
      <c r="H11" s="1494">
        <f>G11</f>
        <v>0</v>
      </c>
      <c r="I11" s="1494">
        <f t="shared" ref="I11:P11" si="12">H11</f>
        <v>0</v>
      </c>
      <c r="J11" s="1494">
        <f t="shared" si="12"/>
        <v>0</v>
      </c>
      <c r="K11" s="1494">
        <f t="shared" si="12"/>
        <v>0</v>
      </c>
      <c r="L11" s="1494">
        <f t="shared" si="12"/>
        <v>0</v>
      </c>
      <c r="M11" s="1494">
        <f t="shared" si="12"/>
        <v>0</v>
      </c>
      <c r="N11" s="1494">
        <f t="shared" si="12"/>
        <v>0</v>
      </c>
      <c r="O11" s="1494">
        <f t="shared" si="12"/>
        <v>0</v>
      </c>
      <c r="P11" s="1494">
        <f t="shared" si="12"/>
        <v>0</v>
      </c>
      <c r="Q11" s="1494">
        <f>P11</f>
        <v>0</v>
      </c>
    </row>
    <row r="12" spans="1:17" ht="17.100000000000001" hidden="1" customHeight="1" x14ac:dyDescent="0.25">
      <c r="A12" s="1487">
        <f t="shared" si="0"/>
        <v>0</v>
      </c>
      <c r="B12" s="1492" t="s">
        <v>31</v>
      </c>
      <c r="C12" s="1493" t="s">
        <v>36</v>
      </c>
      <c r="D12" s="1538" t="s">
        <v>304</v>
      </c>
      <c r="E12" s="1495">
        <f>'1.BC_Muc tieu (ty) '!K36</f>
        <v>0</v>
      </c>
      <c r="F12" s="1495">
        <f>'1.BC_Muc tieu (ty) '!R36</f>
        <v>0</v>
      </c>
      <c r="G12" s="1494">
        <f>'1.BC_Muc tieu (ty) '!AL36</f>
        <v>0</v>
      </c>
      <c r="H12" s="1501">
        <f>G12</f>
        <v>0</v>
      </c>
      <c r="I12" s="1501">
        <f t="shared" ref="I12:Q12" si="13">H12</f>
        <v>0</v>
      </c>
      <c r="J12" s="1501">
        <f t="shared" si="13"/>
        <v>0</v>
      </c>
      <c r="K12" s="1501">
        <f t="shared" si="13"/>
        <v>0</v>
      </c>
      <c r="L12" s="1501">
        <f t="shared" si="13"/>
        <v>0</v>
      </c>
      <c r="M12" s="1501">
        <f t="shared" si="13"/>
        <v>0</v>
      </c>
      <c r="N12" s="1501">
        <f t="shared" si="13"/>
        <v>0</v>
      </c>
      <c r="O12" s="1501">
        <f t="shared" si="13"/>
        <v>0</v>
      </c>
      <c r="P12" s="1501">
        <f t="shared" si="13"/>
        <v>0</v>
      </c>
      <c r="Q12" s="1501">
        <f t="shared" si="13"/>
        <v>0</v>
      </c>
    </row>
    <row r="13" spans="1:17" ht="17.100000000000001" hidden="1" customHeight="1" x14ac:dyDescent="0.25">
      <c r="A13" s="1487">
        <f t="shared" si="0"/>
        <v>0</v>
      </c>
      <c r="B13" s="1492" t="s">
        <v>37</v>
      </c>
      <c r="C13" s="1493" t="s">
        <v>38</v>
      </c>
      <c r="D13" s="1538" t="s">
        <v>306</v>
      </c>
      <c r="E13" s="1495">
        <f>'1.BC_Muc tieu (ty) '!K37</f>
        <v>0</v>
      </c>
      <c r="F13" s="1495">
        <f>'1.BC_Muc tieu (ty) '!R37</f>
        <v>0</v>
      </c>
      <c r="G13" s="1494">
        <f>'1.BC_Muc tieu (ty) '!AL37</f>
        <v>0</v>
      </c>
      <c r="H13" s="1494">
        <f>G13</f>
        <v>0</v>
      </c>
      <c r="I13" s="1494">
        <f>H13</f>
        <v>0</v>
      </c>
      <c r="J13" s="1494">
        <f t="shared" ref="J13:L13" si="14">I13</f>
        <v>0</v>
      </c>
      <c r="K13" s="1494">
        <f t="shared" si="14"/>
        <v>0</v>
      </c>
      <c r="L13" s="1494">
        <f t="shared" si="14"/>
        <v>0</v>
      </c>
      <c r="M13" s="1494">
        <f t="shared" ref="M13" si="15">L13</f>
        <v>0</v>
      </c>
      <c r="N13" s="1494">
        <f t="shared" ref="N13" si="16">M13</f>
        <v>0</v>
      </c>
      <c r="O13" s="1494">
        <f t="shared" ref="O13" si="17">N13</f>
        <v>0</v>
      </c>
      <c r="P13" s="1494">
        <f t="shared" ref="P13" si="18">O13</f>
        <v>0</v>
      </c>
      <c r="Q13" s="1494">
        <f t="shared" ref="Q13" si="19">P13</f>
        <v>0</v>
      </c>
    </row>
    <row r="14" spans="1:17" ht="17.100000000000001" customHeight="1" x14ac:dyDescent="0.25">
      <c r="A14" s="1478">
        <f t="shared" si="0"/>
        <v>1</v>
      </c>
      <c r="B14" s="1552" t="s">
        <v>39</v>
      </c>
      <c r="C14" s="1553" t="s">
        <v>40</v>
      </c>
      <c r="D14" s="1537" t="s">
        <v>308</v>
      </c>
      <c r="E14" s="1481">
        <f>SUM(E15:E22)</f>
        <v>69.859031343999987</v>
      </c>
      <c r="F14" s="1481">
        <f t="shared" ref="F14:Q14" si="20">SUM(F15:F22)</f>
        <v>93.480797700999986</v>
      </c>
      <c r="G14" s="1481">
        <f t="shared" si="20"/>
        <v>278.18920575499999</v>
      </c>
      <c r="H14" s="1481">
        <f t="shared" si="20"/>
        <v>99.78193684859275</v>
      </c>
      <c r="I14" s="1481">
        <f t="shared" si="20"/>
        <v>100.18445522763341</v>
      </c>
      <c r="J14" s="1481">
        <f t="shared" si="20"/>
        <v>100.59117177805936</v>
      </c>
      <c r="K14" s="1481">
        <f t="shared" si="20"/>
        <v>101.00213195863512</v>
      </c>
      <c r="L14" s="1481">
        <f t="shared" si="20"/>
        <v>101.41738175260156</v>
      </c>
      <c r="M14" s="1481">
        <f t="shared" si="20"/>
        <v>101.83696767432546</v>
      </c>
      <c r="N14" s="1481">
        <f t="shared" si="20"/>
        <v>102.26093677604374</v>
      </c>
      <c r="O14" s="1481">
        <f t="shared" si="20"/>
        <v>102.68933665470391</v>
      </c>
      <c r="P14" s="1481">
        <f t="shared" si="20"/>
        <v>103.12221545890253</v>
      </c>
      <c r="Q14" s="1481">
        <f t="shared" si="20"/>
        <v>103.55962189592267</v>
      </c>
    </row>
    <row r="15" spans="1:17" ht="17.100000000000001" customHeight="1" x14ac:dyDescent="0.25">
      <c r="A15" s="1478">
        <f t="shared" si="0"/>
        <v>1</v>
      </c>
      <c r="B15" s="1554" t="s">
        <v>29</v>
      </c>
      <c r="C15" s="1555" t="s">
        <v>41</v>
      </c>
      <c r="D15" s="1538" t="s">
        <v>310</v>
      </c>
      <c r="E15" s="1550">
        <f>'1.BC_Muc tieu (ty) '!K39</f>
        <v>62.436895370999999</v>
      </c>
      <c r="F15" s="1550">
        <f>'1.BC_Muc tieu (ty) '!R39</f>
        <v>85.210321151999992</v>
      </c>
      <c r="G15" s="1551">
        <f>'1.BC_Muc tieu (ty) '!AL39</f>
        <v>217.79847201000001</v>
      </c>
      <c r="H15" s="1551">
        <f>'3.CP-TC'!F44</f>
        <v>39.391203103592751</v>
      </c>
      <c r="I15" s="1551">
        <f>'3.CP-TC'!G44</f>
        <v>39.793721482633394</v>
      </c>
      <c r="J15" s="1551">
        <f>'3.CP-TC'!H44</f>
        <v>40.200438033059349</v>
      </c>
      <c r="K15" s="1551">
        <f>'3.CP-TC'!I44</f>
        <v>40.61139821363512</v>
      </c>
      <c r="L15" s="1551">
        <f>'3.CP-TC'!J44</f>
        <v>41.026648007601558</v>
      </c>
      <c r="M15" s="1551">
        <f>'3.CP-TC'!K44</f>
        <v>41.446233929325459</v>
      </c>
      <c r="N15" s="1551">
        <f>'3.CP-TC'!L44</f>
        <v>41.870203031043722</v>
      </c>
      <c r="O15" s="1551">
        <f>'3.CP-TC'!M44</f>
        <v>42.298602909703909</v>
      </c>
      <c r="P15" s="1551">
        <f>'3.CP-TC'!N44</f>
        <v>42.731481713902525</v>
      </c>
      <c r="Q15" s="1551">
        <f>'3.CP-TC'!O44</f>
        <v>43.168888150922669</v>
      </c>
    </row>
    <row r="16" spans="1:17" ht="17.100000000000001" customHeight="1" x14ac:dyDescent="0.25">
      <c r="A16" s="1478">
        <f t="shared" si="0"/>
        <v>1</v>
      </c>
      <c r="B16" s="1554" t="s">
        <v>31</v>
      </c>
      <c r="C16" s="1555" t="s">
        <v>42</v>
      </c>
      <c r="D16" s="1538" t="s">
        <v>312</v>
      </c>
      <c r="E16" s="1550">
        <f>'1.BC_Muc tieu (ty) '!K40</f>
        <v>4.5410202030000004</v>
      </c>
      <c r="F16" s="1550">
        <f>'1.BC_Muc tieu (ty) '!R40</f>
        <v>4.3527651449999993</v>
      </c>
      <c r="G16" s="1551">
        <f>'1.BC_Muc tieu (ty) '!AL40</f>
        <v>68.880121215000003</v>
      </c>
      <c r="H16" s="1551">
        <f>G16</f>
        <v>68.880121215000003</v>
      </c>
      <c r="I16" s="1551">
        <f>H16</f>
        <v>68.880121215000003</v>
      </c>
      <c r="J16" s="1551">
        <f t="shared" ref="J16:Q16" si="21">I16</f>
        <v>68.880121215000003</v>
      </c>
      <c r="K16" s="1551">
        <f t="shared" si="21"/>
        <v>68.880121215000003</v>
      </c>
      <c r="L16" s="1551">
        <f t="shared" si="21"/>
        <v>68.880121215000003</v>
      </c>
      <c r="M16" s="1551">
        <f t="shared" si="21"/>
        <v>68.880121215000003</v>
      </c>
      <c r="N16" s="1551">
        <f t="shared" si="21"/>
        <v>68.880121215000003</v>
      </c>
      <c r="O16" s="1551">
        <f t="shared" si="21"/>
        <v>68.880121215000003</v>
      </c>
      <c r="P16" s="1551">
        <f t="shared" si="21"/>
        <v>68.880121215000003</v>
      </c>
      <c r="Q16" s="1551">
        <f t="shared" si="21"/>
        <v>68.880121215000003</v>
      </c>
    </row>
    <row r="17" spans="1:17" ht="17.100000000000001" customHeight="1" x14ac:dyDescent="0.25">
      <c r="A17" s="1478">
        <f t="shared" si="0"/>
        <v>1</v>
      </c>
      <c r="B17" s="1554" t="s">
        <v>37</v>
      </c>
      <c r="C17" s="1555" t="s">
        <v>43</v>
      </c>
      <c r="D17" s="1538" t="s">
        <v>314</v>
      </c>
      <c r="E17" s="1550">
        <f>'1.BC_Muc tieu (ty) '!K41</f>
        <v>0</v>
      </c>
      <c r="F17" s="1550">
        <f>'1.BC_Muc tieu (ty) '!R41</f>
        <v>2.7252338960000002</v>
      </c>
      <c r="G17" s="1551">
        <f>'1.BC_Muc tieu (ty) '!AL41</f>
        <v>5.0097384539999998</v>
      </c>
      <c r="H17" s="1551">
        <f>G17</f>
        <v>5.0097384539999998</v>
      </c>
      <c r="I17" s="1551">
        <f>H17</f>
        <v>5.0097384539999998</v>
      </c>
      <c r="J17" s="1551">
        <f t="shared" ref="J17:L18" si="22">I17</f>
        <v>5.0097384539999998</v>
      </c>
      <c r="K17" s="1551">
        <f t="shared" si="22"/>
        <v>5.0097384539999998</v>
      </c>
      <c r="L17" s="1551">
        <f t="shared" si="22"/>
        <v>5.0097384539999998</v>
      </c>
      <c r="M17" s="1551">
        <f t="shared" ref="M17:M18" si="23">L17</f>
        <v>5.0097384539999998</v>
      </c>
      <c r="N17" s="1551">
        <f t="shared" ref="N17:N18" si="24">M17</f>
        <v>5.0097384539999998</v>
      </c>
      <c r="O17" s="1551">
        <f t="shared" ref="O17:O18" si="25">N17</f>
        <v>5.0097384539999998</v>
      </c>
      <c r="P17" s="1551">
        <f t="shared" ref="P17:P18" si="26">O17</f>
        <v>5.0097384539999998</v>
      </c>
      <c r="Q17" s="1551">
        <f t="shared" ref="Q17:Q18" si="27">P17</f>
        <v>5.0097384539999998</v>
      </c>
    </row>
    <row r="18" spans="1:17" ht="17.100000000000001" hidden="1" customHeight="1" x14ac:dyDescent="0.25">
      <c r="A18" s="1487">
        <f t="shared" si="0"/>
        <v>0</v>
      </c>
      <c r="B18" s="1492" t="s">
        <v>44</v>
      </c>
      <c r="C18" s="1493" t="s">
        <v>45</v>
      </c>
      <c r="D18" s="1538" t="s">
        <v>316</v>
      </c>
      <c r="E18" s="1495">
        <f>'1.BC_Muc tieu (ty) '!K42</f>
        <v>0</v>
      </c>
      <c r="F18" s="1495">
        <f>'1.BC_Muc tieu (ty) '!R42</f>
        <v>0</v>
      </c>
      <c r="G18" s="1494">
        <f>'1.BC_Muc tieu (ty) '!AL42</f>
        <v>0</v>
      </c>
      <c r="H18" s="1495">
        <f>G18</f>
        <v>0</v>
      </c>
      <c r="I18" s="1495">
        <f t="shared" ref="I18" si="28">H18</f>
        <v>0</v>
      </c>
      <c r="J18" s="1495">
        <f t="shared" si="22"/>
        <v>0</v>
      </c>
      <c r="K18" s="1495">
        <f t="shared" si="22"/>
        <v>0</v>
      </c>
      <c r="L18" s="1495">
        <f t="shared" si="22"/>
        <v>0</v>
      </c>
      <c r="M18" s="1495">
        <f t="shared" si="23"/>
        <v>0</v>
      </c>
      <c r="N18" s="1495">
        <f t="shared" si="24"/>
        <v>0</v>
      </c>
      <c r="O18" s="1495">
        <f t="shared" si="25"/>
        <v>0</v>
      </c>
      <c r="P18" s="1495">
        <f t="shared" si="26"/>
        <v>0</v>
      </c>
      <c r="Q18" s="1495">
        <f t="shared" si="27"/>
        <v>0</v>
      </c>
    </row>
    <row r="19" spans="1:17" ht="17.100000000000001" hidden="1" customHeight="1" x14ac:dyDescent="0.25">
      <c r="A19" s="1487">
        <f t="shared" si="0"/>
        <v>0</v>
      </c>
      <c r="B19" s="1492" t="s">
        <v>46</v>
      </c>
      <c r="C19" s="1493" t="s">
        <v>47</v>
      </c>
      <c r="D19" s="1538" t="s">
        <v>318</v>
      </c>
      <c r="E19" s="1495">
        <f>'1.BC_Muc tieu (ty) '!K43</f>
        <v>0</v>
      </c>
      <c r="F19" s="1495">
        <f>'1.BC_Muc tieu (ty) '!R43</f>
        <v>0</v>
      </c>
      <c r="G19" s="1494">
        <f>'1.BC_Muc tieu (ty) '!AL43</f>
        <v>0</v>
      </c>
      <c r="H19" s="1495">
        <f t="shared" ref="H19:Q21" si="29">G19</f>
        <v>0</v>
      </c>
      <c r="I19" s="1495">
        <f t="shared" si="29"/>
        <v>0</v>
      </c>
      <c r="J19" s="1495">
        <f t="shared" si="29"/>
        <v>0</v>
      </c>
      <c r="K19" s="1495">
        <f t="shared" si="29"/>
        <v>0</v>
      </c>
      <c r="L19" s="1495">
        <f t="shared" si="29"/>
        <v>0</v>
      </c>
      <c r="M19" s="1495">
        <f t="shared" si="29"/>
        <v>0</v>
      </c>
      <c r="N19" s="1495">
        <f t="shared" si="29"/>
        <v>0</v>
      </c>
      <c r="O19" s="1495">
        <f t="shared" si="29"/>
        <v>0</v>
      </c>
      <c r="P19" s="1495">
        <f t="shared" si="29"/>
        <v>0</v>
      </c>
      <c r="Q19" s="1495">
        <f t="shared" si="29"/>
        <v>0</v>
      </c>
    </row>
    <row r="20" spans="1:17" ht="17.100000000000001" customHeight="1" x14ac:dyDescent="0.25">
      <c r="A20" s="1478">
        <f t="shared" si="0"/>
        <v>1</v>
      </c>
      <c r="B20" s="1554" t="s">
        <v>48</v>
      </c>
      <c r="C20" s="1555" t="s">
        <v>49</v>
      </c>
      <c r="D20" s="1538" t="s">
        <v>320</v>
      </c>
      <c r="E20" s="1550">
        <f>'1.BC_Muc tieu (ty) '!K44</f>
        <v>2.8811157699999996</v>
      </c>
      <c r="F20" s="1550">
        <f>'1.BC_Muc tieu (ty) '!R44</f>
        <v>1.1924775080000001</v>
      </c>
      <c r="G20" s="1551">
        <f>'1.BC_Muc tieu (ty) '!AL44</f>
        <v>8.74076E-4</v>
      </c>
      <c r="H20" s="1550">
        <f t="shared" si="29"/>
        <v>8.74076E-4</v>
      </c>
      <c r="I20" s="1550">
        <f t="shared" si="29"/>
        <v>8.74076E-4</v>
      </c>
      <c r="J20" s="1550">
        <f t="shared" si="29"/>
        <v>8.74076E-4</v>
      </c>
      <c r="K20" s="1550">
        <f t="shared" si="29"/>
        <v>8.74076E-4</v>
      </c>
      <c r="L20" s="1550">
        <f t="shared" si="29"/>
        <v>8.74076E-4</v>
      </c>
      <c r="M20" s="1550">
        <f t="shared" si="29"/>
        <v>8.74076E-4</v>
      </c>
      <c r="N20" s="1550">
        <f t="shared" si="29"/>
        <v>8.74076E-4</v>
      </c>
      <c r="O20" s="1550">
        <f t="shared" si="29"/>
        <v>8.74076E-4</v>
      </c>
      <c r="P20" s="1550">
        <f t="shared" si="29"/>
        <v>8.74076E-4</v>
      </c>
      <c r="Q20" s="1550">
        <f t="shared" si="29"/>
        <v>8.74076E-4</v>
      </c>
    </row>
    <row r="21" spans="1:17" ht="17.100000000000001" customHeight="1" x14ac:dyDescent="0.25">
      <c r="A21" s="1478">
        <f t="shared" si="0"/>
        <v>1</v>
      </c>
      <c r="B21" s="1554" t="s">
        <v>50</v>
      </c>
      <c r="C21" s="1555" t="s">
        <v>51</v>
      </c>
      <c r="D21" s="1538" t="s">
        <v>322</v>
      </c>
      <c r="E21" s="1550">
        <f>'1.BC_Muc tieu (ty) '!K45</f>
        <v>0</v>
      </c>
      <c r="F21" s="1550">
        <f>'1.BC_Muc tieu (ty) '!R45</f>
        <v>0</v>
      </c>
      <c r="G21" s="1551">
        <f>'1.BC_Muc tieu (ty) '!AL45</f>
        <v>-13.5</v>
      </c>
      <c r="H21" s="1550">
        <f t="shared" si="29"/>
        <v>-13.5</v>
      </c>
      <c r="I21" s="1550">
        <f t="shared" si="29"/>
        <v>-13.5</v>
      </c>
      <c r="J21" s="1550">
        <f t="shared" si="29"/>
        <v>-13.5</v>
      </c>
      <c r="K21" s="1550">
        <f t="shared" si="29"/>
        <v>-13.5</v>
      </c>
      <c r="L21" s="1550">
        <f t="shared" si="29"/>
        <v>-13.5</v>
      </c>
      <c r="M21" s="1550">
        <f t="shared" si="29"/>
        <v>-13.5</v>
      </c>
      <c r="N21" s="1550">
        <f t="shared" si="29"/>
        <v>-13.5</v>
      </c>
      <c r="O21" s="1550">
        <f t="shared" si="29"/>
        <v>-13.5</v>
      </c>
      <c r="P21" s="1550">
        <f t="shared" si="29"/>
        <v>-13.5</v>
      </c>
      <c r="Q21" s="1550">
        <f t="shared" si="29"/>
        <v>-13.5</v>
      </c>
    </row>
    <row r="22" spans="1:17" ht="17.100000000000001" hidden="1" customHeight="1" x14ac:dyDescent="0.25">
      <c r="A22" s="1487">
        <f>IF(SUM(G22:Q22)&lt;&gt;0,1,0)</f>
        <v>0</v>
      </c>
      <c r="B22" s="1492" t="s">
        <v>52</v>
      </c>
      <c r="C22" s="1493" t="s">
        <v>53</v>
      </c>
      <c r="D22" s="1538" t="s">
        <v>324</v>
      </c>
      <c r="E22" s="1495">
        <f>'1.BC_Muc tieu (ty) '!K46</f>
        <v>0</v>
      </c>
      <c r="F22" s="1495">
        <f>'1.BC_Muc tieu (ty) '!R46</f>
        <v>0</v>
      </c>
      <c r="G22" s="1494">
        <f>'1.BC_Muc tieu (ty) '!AL46</f>
        <v>0</v>
      </c>
      <c r="H22" s="1495"/>
      <c r="I22" s="1495"/>
      <c r="J22" s="1495"/>
      <c r="K22" s="1495"/>
      <c r="L22" s="1495"/>
      <c r="M22" s="1495"/>
      <c r="N22" s="1495"/>
      <c r="O22" s="1495"/>
      <c r="P22" s="1495"/>
      <c r="Q22" s="1495"/>
    </row>
    <row r="23" spans="1:17" ht="17.100000000000001" customHeight="1" x14ac:dyDescent="0.25">
      <c r="A23" s="1478">
        <f t="shared" ca="1" si="0"/>
        <v>1</v>
      </c>
      <c r="B23" s="1552" t="s">
        <v>54</v>
      </c>
      <c r="C23" s="1553" t="s">
        <v>55</v>
      </c>
      <c r="D23" s="1537" t="s">
        <v>326</v>
      </c>
      <c r="E23" s="1481">
        <f>SUM(E24:E25)</f>
        <v>103.66427827800001</v>
      </c>
      <c r="F23" s="1481">
        <f t="shared" ref="F23:Q23" si="30">SUM(F24:F25)</f>
        <v>114.75499342400001</v>
      </c>
      <c r="G23" s="1481">
        <f t="shared" si="30"/>
        <v>131.64087787299999</v>
      </c>
      <c r="H23" s="1481">
        <f t="shared" ca="1" si="30"/>
        <v>2.2073735726171093</v>
      </c>
      <c r="I23" s="1481">
        <f t="shared" ca="1" si="30"/>
        <v>2.2314655959874798</v>
      </c>
      <c r="J23" s="1481">
        <f t="shared" ca="1" si="30"/>
        <v>2.2499011831794915</v>
      </c>
      <c r="K23" s="1481">
        <f t="shared" ca="1" si="30"/>
        <v>2.2660829867828411</v>
      </c>
      <c r="L23" s="1481">
        <f t="shared" ca="1" si="30"/>
        <v>2.2860502415929358</v>
      </c>
      <c r="M23" s="1481">
        <f t="shared" ca="1" si="30"/>
        <v>2.2975474357173407</v>
      </c>
      <c r="N23" s="1481">
        <f t="shared" ca="1" si="30"/>
        <v>2.3209017708693045</v>
      </c>
      <c r="O23" s="1481">
        <f t="shared" ca="1" si="30"/>
        <v>2.3434055204226532</v>
      </c>
      <c r="P23" s="1481">
        <f t="shared" ca="1" si="30"/>
        <v>2.363816183428924</v>
      </c>
      <c r="Q23" s="1481">
        <f t="shared" ca="1" si="30"/>
        <v>2.3870362155080826</v>
      </c>
    </row>
    <row r="24" spans="1:17" ht="17.100000000000001" customHeight="1" x14ac:dyDescent="0.25">
      <c r="A24" s="1478">
        <f t="shared" ca="1" si="0"/>
        <v>1</v>
      </c>
      <c r="B24" s="1554" t="s">
        <v>29</v>
      </c>
      <c r="C24" s="1555" t="s">
        <v>55</v>
      </c>
      <c r="D24" s="1538" t="s">
        <v>328</v>
      </c>
      <c r="E24" s="1550">
        <f>'1.BC_Muc tieu (ty) '!K48</f>
        <v>103.66427827800001</v>
      </c>
      <c r="F24" s="1550">
        <f>'1.BC_Muc tieu (ty) '!R48</f>
        <v>114.75499342400001</v>
      </c>
      <c r="G24" s="1551">
        <f>'1.BC_Muc tieu (ty) '!AL48</f>
        <v>131.64087787299999</v>
      </c>
      <c r="H24" s="1551">
        <f ca="1">'3.CP-TC'!F48</f>
        <v>2.2073735726171093</v>
      </c>
      <c r="I24" s="1551">
        <f ca="1">'3.CP-TC'!G48</f>
        <v>2.2314655959874798</v>
      </c>
      <c r="J24" s="1551">
        <f ca="1">'3.CP-TC'!H48</f>
        <v>2.2499011831794915</v>
      </c>
      <c r="K24" s="1551">
        <f ca="1">'3.CP-TC'!I48</f>
        <v>2.2660829867828411</v>
      </c>
      <c r="L24" s="1551">
        <f ca="1">'3.CP-TC'!J48</f>
        <v>2.2860502415929358</v>
      </c>
      <c r="M24" s="1551">
        <f ca="1">'3.CP-TC'!K48</f>
        <v>2.2975474357173407</v>
      </c>
      <c r="N24" s="1551">
        <f ca="1">'3.CP-TC'!L48</f>
        <v>2.3209017708693045</v>
      </c>
      <c r="O24" s="1551">
        <f ca="1">'3.CP-TC'!M48</f>
        <v>2.3434055204226532</v>
      </c>
      <c r="P24" s="1551">
        <f ca="1">'3.CP-TC'!N48</f>
        <v>2.363816183428924</v>
      </c>
      <c r="Q24" s="1551">
        <f ca="1">'3.CP-TC'!O48</f>
        <v>2.3870362155080826</v>
      </c>
    </row>
    <row r="25" spans="1:17" ht="17.100000000000001" hidden="1" customHeight="1" x14ac:dyDescent="0.25">
      <c r="A25" s="1487">
        <f t="shared" si="0"/>
        <v>0</v>
      </c>
      <c r="B25" s="1492" t="s">
        <v>31</v>
      </c>
      <c r="C25" s="1493" t="s">
        <v>56</v>
      </c>
      <c r="D25" s="1538" t="s">
        <v>330</v>
      </c>
      <c r="E25" s="1495">
        <f>'1.BC_Muc tieu (ty) '!K49</f>
        <v>0</v>
      </c>
      <c r="F25" s="1495">
        <f>'1.BC_Muc tieu (ty) '!R49</f>
        <v>0</v>
      </c>
      <c r="G25" s="1494">
        <f>'1.BC_Muc tieu (ty) '!AL49</f>
        <v>0</v>
      </c>
      <c r="H25" s="1494">
        <f>G25</f>
        <v>0</v>
      </c>
      <c r="I25" s="1494">
        <f t="shared" ref="I25:Q25" si="31">H25</f>
        <v>0</v>
      </c>
      <c r="J25" s="1494">
        <f t="shared" si="31"/>
        <v>0</v>
      </c>
      <c r="K25" s="1494">
        <f t="shared" si="31"/>
        <v>0</v>
      </c>
      <c r="L25" s="1494">
        <f t="shared" si="31"/>
        <v>0</v>
      </c>
      <c r="M25" s="1494">
        <f t="shared" si="31"/>
        <v>0</v>
      </c>
      <c r="N25" s="1494">
        <f t="shared" si="31"/>
        <v>0</v>
      </c>
      <c r="O25" s="1494">
        <f t="shared" si="31"/>
        <v>0</v>
      </c>
      <c r="P25" s="1494">
        <f t="shared" si="31"/>
        <v>0</v>
      </c>
      <c r="Q25" s="1494">
        <f t="shared" si="31"/>
        <v>0</v>
      </c>
    </row>
    <row r="26" spans="1:17" ht="17.100000000000001" customHeight="1" x14ac:dyDescent="0.25">
      <c r="A26" s="1478">
        <f t="shared" si="0"/>
        <v>1</v>
      </c>
      <c r="B26" s="1552" t="s">
        <v>57</v>
      </c>
      <c r="C26" s="1553" t="s">
        <v>58</v>
      </c>
      <c r="D26" s="1537" t="s">
        <v>332</v>
      </c>
      <c r="E26" s="1481">
        <f>SUM(E27:E31)</f>
        <v>10.606635323999997</v>
      </c>
      <c r="F26" s="1481">
        <f t="shared" ref="F26:Q26" si="32">SUM(F27:F31)</f>
        <v>13.099491872000002</v>
      </c>
      <c r="G26" s="1481">
        <f t="shared" si="32"/>
        <v>12.060636669999999</v>
      </c>
      <c r="H26" s="1481">
        <f t="shared" si="32"/>
        <v>12.060636669999999</v>
      </c>
      <c r="I26" s="1481">
        <f t="shared" si="32"/>
        <v>12.060636669999999</v>
      </c>
      <c r="J26" s="1481">
        <f t="shared" si="32"/>
        <v>12.060636669999999</v>
      </c>
      <c r="K26" s="1481">
        <f t="shared" si="32"/>
        <v>12.060636669999999</v>
      </c>
      <c r="L26" s="1481">
        <f t="shared" si="32"/>
        <v>12.060636669999999</v>
      </c>
      <c r="M26" s="1481">
        <f t="shared" si="32"/>
        <v>12.060636669999999</v>
      </c>
      <c r="N26" s="1481">
        <f t="shared" si="32"/>
        <v>12.060636669999999</v>
      </c>
      <c r="O26" s="1481">
        <f t="shared" si="32"/>
        <v>12.060636669999999</v>
      </c>
      <c r="P26" s="1481">
        <f t="shared" si="32"/>
        <v>12.060636669999999</v>
      </c>
      <c r="Q26" s="1481">
        <f t="shared" si="32"/>
        <v>12.060636669999999</v>
      </c>
    </row>
    <row r="27" spans="1:17" ht="17.100000000000001" hidden="1" customHeight="1" x14ac:dyDescent="0.25">
      <c r="A27" s="1487">
        <f t="shared" si="0"/>
        <v>0</v>
      </c>
      <c r="B27" s="1492" t="s">
        <v>29</v>
      </c>
      <c r="C27" s="1493" t="s">
        <v>59</v>
      </c>
      <c r="D27" s="1538" t="s">
        <v>334</v>
      </c>
      <c r="E27" s="1495">
        <f>'1.BC_Muc tieu (ty) '!K51</f>
        <v>0</v>
      </c>
      <c r="F27" s="1495">
        <f>'1.BC_Muc tieu (ty) '!R51</f>
        <v>-0.74154054899999999</v>
      </c>
      <c r="G27" s="1494">
        <f>'1.BC_Muc tieu (ty) '!AL51</f>
        <v>0</v>
      </c>
      <c r="H27" s="1494">
        <f>G27</f>
        <v>0</v>
      </c>
      <c r="I27" s="1494">
        <f t="shared" ref="I27:Q27" si="33">H27</f>
        <v>0</v>
      </c>
      <c r="J27" s="1494">
        <f t="shared" si="33"/>
        <v>0</v>
      </c>
      <c r="K27" s="1494">
        <f t="shared" si="33"/>
        <v>0</v>
      </c>
      <c r="L27" s="1494">
        <f t="shared" si="33"/>
        <v>0</v>
      </c>
      <c r="M27" s="1494">
        <f t="shared" si="33"/>
        <v>0</v>
      </c>
      <c r="N27" s="1494">
        <f t="shared" si="33"/>
        <v>0</v>
      </c>
      <c r="O27" s="1494">
        <f t="shared" si="33"/>
        <v>0</v>
      </c>
      <c r="P27" s="1494">
        <f t="shared" si="33"/>
        <v>0</v>
      </c>
      <c r="Q27" s="1494">
        <f t="shared" si="33"/>
        <v>0</v>
      </c>
    </row>
    <row r="28" spans="1:17" ht="17.100000000000001" customHeight="1" x14ac:dyDescent="0.25">
      <c r="A28" s="1478">
        <f t="shared" si="0"/>
        <v>1</v>
      </c>
      <c r="B28" s="1554" t="s">
        <v>31</v>
      </c>
      <c r="C28" s="1555" t="s">
        <v>60</v>
      </c>
      <c r="D28" s="1538" t="s">
        <v>336</v>
      </c>
      <c r="E28" s="1550">
        <f>'1.BC_Muc tieu (ty) '!K52</f>
        <v>1.4148644669999999</v>
      </c>
      <c r="F28" s="1550">
        <f>'1.BC_Muc tieu (ty) '!R52</f>
        <v>4.1288934430000008</v>
      </c>
      <c r="G28" s="1551">
        <f>'1.BC_Muc tieu (ty) '!AL52</f>
        <v>2.157435537</v>
      </c>
      <c r="H28" s="1551">
        <f t="shared" ref="H28:Q31" si="34">G28</f>
        <v>2.157435537</v>
      </c>
      <c r="I28" s="1551">
        <f t="shared" si="34"/>
        <v>2.157435537</v>
      </c>
      <c r="J28" s="1551">
        <f t="shared" si="34"/>
        <v>2.157435537</v>
      </c>
      <c r="K28" s="1551">
        <f t="shared" si="34"/>
        <v>2.157435537</v>
      </c>
      <c r="L28" s="1551">
        <f t="shared" si="34"/>
        <v>2.157435537</v>
      </c>
      <c r="M28" s="1551">
        <f t="shared" si="34"/>
        <v>2.157435537</v>
      </c>
      <c r="N28" s="1551">
        <f t="shared" si="34"/>
        <v>2.157435537</v>
      </c>
      <c r="O28" s="1551">
        <f t="shared" si="34"/>
        <v>2.157435537</v>
      </c>
      <c r="P28" s="1551">
        <f t="shared" si="34"/>
        <v>2.157435537</v>
      </c>
      <c r="Q28" s="1551">
        <f t="shared" si="34"/>
        <v>2.157435537</v>
      </c>
    </row>
    <row r="29" spans="1:17" ht="17.100000000000001" hidden="1" customHeight="1" x14ac:dyDescent="0.25">
      <c r="A29" s="1487">
        <f t="shared" si="0"/>
        <v>0</v>
      </c>
      <c r="B29" s="1492" t="s">
        <v>37</v>
      </c>
      <c r="C29" s="1493" t="s">
        <v>61</v>
      </c>
      <c r="D29" s="1538" t="s">
        <v>338</v>
      </c>
      <c r="E29" s="1495">
        <f>'1.BC_Muc tieu (ty) '!K53</f>
        <v>0</v>
      </c>
      <c r="F29" s="1495">
        <f>'1.BC_Muc tieu (ty) '!R53</f>
        <v>0</v>
      </c>
      <c r="G29" s="1494">
        <f>'1.BC_Muc tieu (ty) '!AL53</f>
        <v>0</v>
      </c>
      <c r="H29" s="1494">
        <f t="shared" si="34"/>
        <v>0</v>
      </c>
      <c r="I29" s="1494">
        <f t="shared" si="34"/>
        <v>0</v>
      </c>
      <c r="J29" s="1494">
        <f t="shared" si="34"/>
        <v>0</v>
      </c>
      <c r="K29" s="1494">
        <f t="shared" si="34"/>
        <v>0</v>
      </c>
      <c r="L29" s="1494">
        <f t="shared" si="34"/>
        <v>0</v>
      </c>
      <c r="M29" s="1494">
        <f t="shared" si="34"/>
        <v>0</v>
      </c>
      <c r="N29" s="1494">
        <f t="shared" si="34"/>
        <v>0</v>
      </c>
      <c r="O29" s="1494">
        <f t="shared" si="34"/>
        <v>0</v>
      </c>
      <c r="P29" s="1494">
        <f t="shared" si="34"/>
        <v>0</v>
      </c>
      <c r="Q29" s="1494">
        <f t="shared" si="34"/>
        <v>0</v>
      </c>
    </row>
    <row r="30" spans="1:17" ht="17.100000000000001" hidden="1" customHeight="1" x14ac:dyDescent="0.25">
      <c r="A30" s="1487">
        <f t="shared" si="0"/>
        <v>0</v>
      </c>
      <c r="B30" s="1492" t="s">
        <v>44</v>
      </c>
      <c r="C30" s="1493" t="s">
        <v>62</v>
      </c>
      <c r="D30" s="1538" t="s">
        <v>340</v>
      </c>
      <c r="E30" s="1495">
        <f>'1.BC_Muc tieu (ty) '!K54</f>
        <v>0</v>
      </c>
      <c r="F30" s="1495">
        <f>'1.BC_Muc tieu (ty) '!R54</f>
        <v>0</v>
      </c>
      <c r="G30" s="1494">
        <f>'1.BC_Muc tieu (ty) '!AL54</f>
        <v>0</v>
      </c>
      <c r="H30" s="1494">
        <f t="shared" si="34"/>
        <v>0</v>
      </c>
      <c r="I30" s="1494">
        <f t="shared" si="34"/>
        <v>0</v>
      </c>
      <c r="J30" s="1494">
        <f t="shared" si="34"/>
        <v>0</v>
      </c>
      <c r="K30" s="1494">
        <f t="shared" si="34"/>
        <v>0</v>
      </c>
      <c r="L30" s="1494">
        <f t="shared" si="34"/>
        <v>0</v>
      </c>
      <c r="M30" s="1494">
        <f t="shared" si="34"/>
        <v>0</v>
      </c>
      <c r="N30" s="1494">
        <f t="shared" si="34"/>
        <v>0</v>
      </c>
      <c r="O30" s="1494">
        <f t="shared" si="34"/>
        <v>0</v>
      </c>
      <c r="P30" s="1494">
        <f t="shared" si="34"/>
        <v>0</v>
      </c>
      <c r="Q30" s="1494">
        <f t="shared" si="34"/>
        <v>0</v>
      </c>
    </row>
    <row r="31" spans="1:17" ht="17.100000000000001" customHeight="1" x14ac:dyDescent="0.25">
      <c r="A31" s="1478">
        <f t="shared" si="0"/>
        <v>1</v>
      </c>
      <c r="B31" s="1554" t="s">
        <v>46</v>
      </c>
      <c r="C31" s="1555" t="s">
        <v>58</v>
      </c>
      <c r="D31" s="1538" t="s">
        <v>342</v>
      </c>
      <c r="E31" s="1550">
        <f>'1.BC_Muc tieu (ty) '!K55</f>
        <v>9.1917708569999981</v>
      </c>
      <c r="F31" s="1550">
        <f>'1.BC_Muc tieu (ty) '!R55</f>
        <v>9.7121389780000005</v>
      </c>
      <c r="G31" s="1551">
        <f>'1.BC_Muc tieu (ty) '!AL55</f>
        <v>9.9032011329999996</v>
      </c>
      <c r="H31" s="1551">
        <f t="shared" si="34"/>
        <v>9.9032011329999996</v>
      </c>
      <c r="I31" s="1551">
        <f t="shared" si="34"/>
        <v>9.9032011329999996</v>
      </c>
      <c r="J31" s="1551">
        <f t="shared" si="34"/>
        <v>9.9032011329999996</v>
      </c>
      <c r="K31" s="1551">
        <f t="shared" si="34"/>
        <v>9.9032011329999996</v>
      </c>
      <c r="L31" s="1551">
        <f t="shared" si="34"/>
        <v>9.9032011329999996</v>
      </c>
      <c r="M31" s="1551">
        <f t="shared" si="34"/>
        <v>9.9032011329999996</v>
      </c>
      <c r="N31" s="1551">
        <f t="shared" si="34"/>
        <v>9.9032011329999996</v>
      </c>
      <c r="O31" s="1551">
        <f t="shared" si="34"/>
        <v>9.9032011329999996</v>
      </c>
      <c r="P31" s="1551">
        <f t="shared" si="34"/>
        <v>9.9032011329999996</v>
      </c>
      <c r="Q31" s="1551">
        <f t="shared" si="34"/>
        <v>9.9032011329999996</v>
      </c>
    </row>
    <row r="32" spans="1:17" ht="17.100000000000001" customHeight="1" x14ac:dyDescent="0.25">
      <c r="A32" s="1478">
        <f t="shared" si="0"/>
        <v>1</v>
      </c>
      <c r="B32" s="1488" t="s">
        <v>63</v>
      </c>
      <c r="C32" s="1544" t="s">
        <v>64</v>
      </c>
      <c r="D32" s="1537" t="s">
        <v>343</v>
      </c>
      <c r="E32" s="1481">
        <f>E41+E54+E57+E51+E33+E63</f>
        <v>139.683778249</v>
      </c>
      <c r="F32" s="1481">
        <f t="shared" ref="F32:Q32" si="35">F41+F54+F57+F51+F33+F63</f>
        <v>160.70827302099997</v>
      </c>
      <c r="G32" s="1481">
        <f t="shared" si="35"/>
        <v>157.71835407299997</v>
      </c>
      <c r="H32" s="1481">
        <f t="shared" si="35"/>
        <v>137.05608054597997</v>
      </c>
      <c r="I32" s="1481">
        <f t="shared" si="35"/>
        <v>117.61165088787891</v>
      </c>
      <c r="J32" s="1481">
        <f t="shared" si="35"/>
        <v>102.39467986848128</v>
      </c>
      <c r="K32" s="1481">
        <f t="shared" si="35"/>
        <v>95.264700317691947</v>
      </c>
      <c r="L32" s="1481">
        <f t="shared" si="35"/>
        <v>90.038409380739623</v>
      </c>
      <c r="M32" s="1481">
        <f t="shared" si="35"/>
        <v>87.08316901894905</v>
      </c>
      <c r="N32" s="1481">
        <f t="shared" si="35"/>
        <v>84.127928657158478</v>
      </c>
      <c r="O32" s="1481">
        <f t="shared" si="35"/>
        <v>81.64371473655585</v>
      </c>
      <c r="P32" s="1481">
        <f t="shared" si="35"/>
        <v>79.771863669645469</v>
      </c>
      <c r="Q32" s="1481">
        <f t="shared" si="35"/>
        <v>78.151974583558157</v>
      </c>
    </row>
    <row r="33" spans="1:17" ht="17.100000000000001" hidden="1" customHeight="1" x14ac:dyDescent="0.25">
      <c r="A33" s="1487">
        <f t="shared" si="0"/>
        <v>0</v>
      </c>
      <c r="B33" s="1490" t="s">
        <v>27</v>
      </c>
      <c r="C33" s="1491" t="s">
        <v>65</v>
      </c>
      <c r="D33" s="1537" t="s">
        <v>345</v>
      </c>
      <c r="E33" s="1489">
        <f>SUM(E34:E40)</f>
        <v>0</v>
      </c>
      <c r="F33" s="1489">
        <f t="shared" ref="F33:Q33" si="36">SUM(F34:F40)</f>
        <v>0</v>
      </c>
      <c r="G33" s="1489">
        <f t="shared" si="36"/>
        <v>0</v>
      </c>
      <c r="H33" s="1489">
        <f t="shared" si="36"/>
        <v>0</v>
      </c>
      <c r="I33" s="1489">
        <f t="shared" si="36"/>
        <v>0</v>
      </c>
      <c r="J33" s="1489">
        <f t="shared" si="36"/>
        <v>0</v>
      </c>
      <c r="K33" s="1489">
        <f t="shared" si="36"/>
        <v>0</v>
      </c>
      <c r="L33" s="1489">
        <f t="shared" si="36"/>
        <v>0</v>
      </c>
      <c r="M33" s="1489">
        <f t="shared" si="36"/>
        <v>0</v>
      </c>
      <c r="N33" s="1489">
        <f t="shared" si="36"/>
        <v>0</v>
      </c>
      <c r="O33" s="1489">
        <f t="shared" si="36"/>
        <v>0</v>
      </c>
      <c r="P33" s="1489">
        <f t="shared" si="36"/>
        <v>0</v>
      </c>
      <c r="Q33" s="1489">
        <f t="shared" si="36"/>
        <v>0</v>
      </c>
    </row>
    <row r="34" spans="1:17" ht="17.100000000000001" hidden="1" customHeight="1" x14ac:dyDescent="0.25">
      <c r="A34" s="1487">
        <f t="shared" si="0"/>
        <v>0</v>
      </c>
      <c r="B34" s="1492" t="s">
        <v>29</v>
      </c>
      <c r="C34" s="1493" t="s">
        <v>66</v>
      </c>
      <c r="D34" s="1538" t="s">
        <v>347</v>
      </c>
      <c r="E34" s="1495">
        <f>'1.BC_Muc tieu (ty) '!K58</f>
        <v>0</v>
      </c>
      <c r="F34" s="1495">
        <f>'1.BC_Muc tieu (ty) '!R58</f>
        <v>0</v>
      </c>
      <c r="G34" s="1494">
        <f>'1.BC_Muc tieu (ty) '!AL58</f>
        <v>0</v>
      </c>
      <c r="H34" s="1494">
        <f>G34</f>
        <v>0</v>
      </c>
      <c r="I34" s="1494">
        <f t="shared" ref="I34:Q34" si="37">H34</f>
        <v>0</v>
      </c>
      <c r="J34" s="1494">
        <f t="shared" si="37"/>
        <v>0</v>
      </c>
      <c r="K34" s="1494">
        <f t="shared" si="37"/>
        <v>0</v>
      </c>
      <c r="L34" s="1494">
        <f t="shared" si="37"/>
        <v>0</v>
      </c>
      <c r="M34" s="1494">
        <f t="shared" si="37"/>
        <v>0</v>
      </c>
      <c r="N34" s="1494">
        <f t="shared" si="37"/>
        <v>0</v>
      </c>
      <c r="O34" s="1494">
        <f t="shared" si="37"/>
        <v>0</v>
      </c>
      <c r="P34" s="1494">
        <f t="shared" si="37"/>
        <v>0</v>
      </c>
      <c r="Q34" s="1494">
        <f t="shared" si="37"/>
        <v>0</v>
      </c>
    </row>
    <row r="35" spans="1:17" ht="17.100000000000001" hidden="1" customHeight="1" x14ac:dyDescent="0.25">
      <c r="A35" s="1487">
        <f t="shared" si="0"/>
        <v>0</v>
      </c>
      <c r="B35" s="1492" t="s">
        <v>31</v>
      </c>
      <c r="C35" s="1493" t="s">
        <v>67</v>
      </c>
      <c r="D35" s="1538" t="s">
        <v>349</v>
      </c>
      <c r="E35" s="1495">
        <f>'1.BC_Muc tieu (ty) '!K59</f>
        <v>0</v>
      </c>
      <c r="F35" s="1495">
        <f>'1.BC_Muc tieu (ty) '!R59</f>
        <v>0</v>
      </c>
      <c r="G35" s="1494">
        <f>'1.BC_Muc tieu (ty) '!AL59</f>
        <v>0</v>
      </c>
      <c r="H35" s="1494">
        <f t="shared" ref="H35:Q40" si="38">G35</f>
        <v>0</v>
      </c>
      <c r="I35" s="1494">
        <f t="shared" si="38"/>
        <v>0</v>
      </c>
      <c r="J35" s="1494">
        <f t="shared" si="38"/>
        <v>0</v>
      </c>
      <c r="K35" s="1494">
        <f t="shared" si="38"/>
        <v>0</v>
      </c>
      <c r="L35" s="1494">
        <f t="shared" si="38"/>
        <v>0</v>
      </c>
      <c r="M35" s="1494">
        <f t="shared" si="38"/>
        <v>0</v>
      </c>
      <c r="N35" s="1494">
        <f t="shared" si="38"/>
        <v>0</v>
      </c>
      <c r="O35" s="1494">
        <f t="shared" si="38"/>
        <v>0</v>
      </c>
      <c r="P35" s="1494">
        <f t="shared" si="38"/>
        <v>0</v>
      </c>
      <c r="Q35" s="1494">
        <f t="shared" si="38"/>
        <v>0</v>
      </c>
    </row>
    <row r="36" spans="1:17" ht="17.100000000000001" hidden="1" customHeight="1" x14ac:dyDescent="0.25">
      <c r="A36" s="1487">
        <f t="shared" si="0"/>
        <v>0</v>
      </c>
      <c r="B36" s="1492" t="s">
        <v>37</v>
      </c>
      <c r="C36" s="1493" t="s">
        <v>68</v>
      </c>
      <c r="D36" s="1538" t="s">
        <v>351</v>
      </c>
      <c r="E36" s="1495">
        <f>'1.BC_Muc tieu (ty) '!K60</f>
        <v>0</v>
      </c>
      <c r="F36" s="1495">
        <f>'1.BC_Muc tieu (ty) '!R60</f>
        <v>0</v>
      </c>
      <c r="G36" s="1494">
        <f>'1.BC_Muc tieu (ty) '!AL60</f>
        <v>0</v>
      </c>
      <c r="H36" s="1494">
        <f t="shared" si="38"/>
        <v>0</v>
      </c>
      <c r="I36" s="1494">
        <f t="shared" si="38"/>
        <v>0</v>
      </c>
      <c r="J36" s="1494">
        <f t="shared" si="38"/>
        <v>0</v>
      </c>
      <c r="K36" s="1494">
        <f t="shared" si="38"/>
        <v>0</v>
      </c>
      <c r="L36" s="1494">
        <f t="shared" si="38"/>
        <v>0</v>
      </c>
      <c r="M36" s="1494">
        <f t="shared" si="38"/>
        <v>0</v>
      </c>
      <c r="N36" s="1494">
        <f t="shared" si="38"/>
        <v>0</v>
      </c>
      <c r="O36" s="1494">
        <f t="shared" si="38"/>
        <v>0</v>
      </c>
      <c r="P36" s="1494">
        <f t="shared" si="38"/>
        <v>0</v>
      </c>
      <c r="Q36" s="1494">
        <f t="shared" si="38"/>
        <v>0</v>
      </c>
    </row>
    <row r="37" spans="1:17" ht="17.100000000000001" hidden="1" customHeight="1" x14ac:dyDescent="0.25">
      <c r="A37" s="1487">
        <f t="shared" si="0"/>
        <v>0</v>
      </c>
      <c r="B37" s="1492" t="s">
        <v>44</v>
      </c>
      <c r="C37" s="1493" t="s">
        <v>69</v>
      </c>
      <c r="D37" s="1538" t="s">
        <v>353</v>
      </c>
      <c r="E37" s="1495">
        <f>'1.BC_Muc tieu (ty) '!K61</f>
        <v>0</v>
      </c>
      <c r="F37" s="1495">
        <f>'1.BC_Muc tieu (ty) '!R61</f>
        <v>0</v>
      </c>
      <c r="G37" s="1494">
        <f>'1.BC_Muc tieu (ty) '!AL61</f>
        <v>0</v>
      </c>
      <c r="H37" s="1494">
        <f t="shared" si="38"/>
        <v>0</v>
      </c>
      <c r="I37" s="1494">
        <f t="shared" si="38"/>
        <v>0</v>
      </c>
      <c r="J37" s="1494">
        <f t="shared" si="38"/>
        <v>0</v>
      </c>
      <c r="K37" s="1494">
        <f t="shared" si="38"/>
        <v>0</v>
      </c>
      <c r="L37" s="1494">
        <f t="shared" si="38"/>
        <v>0</v>
      </c>
      <c r="M37" s="1494">
        <f t="shared" si="38"/>
        <v>0</v>
      </c>
      <c r="N37" s="1494">
        <f t="shared" si="38"/>
        <v>0</v>
      </c>
      <c r="O37" s="1494">
        <f t="shared" si="38"/>
        <v>0</v>
      </c>
      <c r="P37" s="1494">
        <f t="shared" si="38"/>
        <v>0</v>
      </c>
      <c r="Q37" s="1494">
        <f t="shared" si="38"/>
        <v>0</v>
      </c>
    </row>
    <row r="38" spans="1:17" ht="17.100000000000001" hidden="1" customHeight="1" x14ac:dyDescent="0.25">
      <c r="A38" s="1487">
        <f t="shared" si="0"/>
        <v>0</v>
      </c>
      <c r="B38" s="1492" t="s">
        <v>46</v>
      </c>
      <c r="C38" s="1493" t="s">
        <v>70</v>
      </c>
      <c r="D38" s="1538" t="s">
        <v>355</v>
      </c>
      <c r="E38" s="1495">
        <f>'1.BC_Muc tieu (ty) '!K62</f>
        <v>0</v>
      </c>
      <c r="F38" s="1495">
        <f>'1.BC_Muc tieu (ty) '!R62</f>
        <v>0</v>
      </c>
      <c r="G38" s="1494">
        <f>'1.BC_Muc tieu (ty) '!AL62</f>
        <v>0</v>
      </c>
      <c r="H38" s="1494">
        <f t="shared" si="38"/>
        <v>0</v>
      </c>
      <c r="I38" s="1494">
        <f t="shared" si="38"/>
        <v>0</v>
      </c>
      <c r="J38" s="1494">
        <f t="shared" si="38"/>
        <v>0</v>
      </c>
      <c r="K38" s="1494">
        <f t="shared" si="38"/>
        <v>0</v>
      </c>
      <c r="L38" s="1494">
        <f t="shared" si="38"/>
        <v>0</v>
      </c>
      <c r="M38" s="1494">
        <f t="shared" si="38"/>
        <v>0</v>
      </c>
      <c r="N38" s="1494">
        <f t="shared" si="38"/>
        <v>0</v>
      </c>
      <c r="O38" s="1494">
        <f t="shared" si="38"/>
        <v>0</v>
      </c>
      <c r="P38" s="1494">
        <f t="shared" si="38"/>
        <v>0</v>
      </c>
      <c r="Q38" s="1494">
        <f t="shared" si="38"/>
        <v>0</v>
      </c>
    </row>
    <row r="39" spans="1:17" ht="17.100000000000001" hidden="1" customHeight="1" x14ac:dyDescent="0.25">
      <c r="A39" s="1487">
        <f t="shared" si="0"/>
        <v>0</v>
      </c>
      <c r="B39" s="1492" t="s">
        <v>48</v>
      </c>
      <c r="C39" s="1493" t="s">
        <v>71</v>
      </c>
      <c r="D39" s="1538" t="s">
        <v>357</v>
      </c>
      <c r="E39" s="1495">
        <f>'1.BC_Muc tieu (ty) '!K63</f>
        <v>0</v>
      </c>
      <c r="F39" s="1495">
        <f>'1.BC_Muc tieu (ty) '!R63</f>
        <v>0</v>
      </c>
      <c r="G39" s="1494">
        <f>'1.BC_Muc tieu (ty) '!AL63</f>
        <v>0</v>
      </c>
      <c r="H39" s="1494">
        <f t="shared" si="38"/>
        <v>0</v>
      </c>
      <c r="I39" s="1494">
        <f t="shared" si="38"/>
        <v>0</v>
      </c>
      <c r="J39" s="1494">
        <f t="shared" si="38"/>
        <v>0</v>
      </c>
      <c r="K39" s="1494">
        <f t="shared" si="38"/>
        <v>0</v>
      </c>
      <c r="L39" s="1494">
        <f t="shared" si="38"/>
        <v>0</v>
      </c>
      <c r="M39" s="1494">
        <f t="shared" si="38"/>
        <v>0</v>
      </c>
      <c r="N39" s="1494">
        <f t="shared" si="38"/>
        <v>0</v>
      </c>
      <c r="O39" s="1494">
        <f t="shared" si="38"/>
        <v>0</v>
      </c>
      <c r="P39" s="1494">
        <f t="shared" si="38"/>
        <v>0</v>
      </c>
      <c r="Q39" s="1494">
        <f t="shared" si="38"/>
        <v>0</v>
      </c>
    </row>
    <row r="40" spans="1:17" ht="17.100000000000001" hidden="1" customHeight="1" x14ac:dyDescent="0.25">
      <c r="A40" s="1487">
        <f t="shared" si="0"/>
        <v>0</v>
      </c>
      <c r="B40" s="1492" t="s">
        <v>50</v>
      </c>
      <c r="C40" s="1493" t="s">
        <v>72</v>
      </c>
      <c r="D40" s="1538" t="s">
        <v>359</v>
      </c>
      <c r="E40" s="1495">
        <f>'1.BC_Muc tieu (ty) '!K64</f>
        <v>0</v>
      </c>
      <c r="F40" s="1495">
        <f>'1.BC_Muc tieu (ty) '!R64</f>
        <v>0</v>
      </c>
      <c r="G40" s="1494">
        <f>'1.BC_Muc tieu (ty) '!AL64</f>
        <v>0</v>
      </c>
      <c r="H40" s="1494">
        <f t="shared" si="38"/>
        <v>0</v>
      </c>
      <c r="I40" s="1494">
        <f t="shared" si="38"/>
        <v>0</v>
      </c>
      <c r="J40" s="1494">
        <f t="shared" si="38"/>
        <v>0</v>
      </c>
      <c r="K40" s="1494">
        <f t="shared" si="38"/>
        <v>0</v>
      </c>
      <c r="L40" s="1494">
        <f t="shared" si="38"/>
        <v>0</v>
      </c>
      <c r="M40" s="1494">
        <f t="shared" si="38"/>
        <v>0</v>
      </c>
      <c r="N40" s="1494">
        <f t="shared" si="38"/>
        <v>0</v>
      </c>
      <c r="O40" s="1494">
        <f t="shared" si="38"/>
        <v>0</v>
      </c>
      <c r="P40" s="1494">
        <f t="shared" si="38"/>
        <v>0</v>
      </c>
      <c r="Q40" s="1494">
        <f t="shared" si="38"/>
        <v>0</v>
      </c>
    </row>
    <row r="41" spans="1:17" ht="17.100000000000001" customHeight="1" x14ac:dyDescent="0.25">
      <c r="A41" s="1478">
        <f t="shared" si="0"/>
        <v>1</v>
      </c>
      <c r="B41" s="1552" t="s">
        <v>33</v>
      </c>
      <c r="C41" s="1553" t="s">
        <v>73</v>
      </c>
      <c r="D41" s="1537" t="s">
        <v>361</v>
      </c>
      <c r="E41" s="1481">
        <f>SUM(E42,E45,E48)</f>
        <v>124.129014523</v>
      </c>
      <c r="F41" s="1481">
        <f t="shared" ref="F41:Q41" si="39">SUM(F42,F45,F48)</f>
        <v>127.24755344499998</v>
      </c>
      <c r="G41" s="1481">
        <f t="shared" si="39"/>
        <v>124.97995294999998</v>
      </c>
      <c r="H41" s="1481">
        <f t="shared" si="39"/>
        <v>104.31767942297998</v>
      </c>
      <c r="I41" s="1481">
        <f t="shared" si="39"/>
        <v>84.873249764878906</v>
      </c>
      <c r="J41" s="1481">
        <f t="shared" si="39"/>
        <v>69.656278745481274</v>
      </c>
      <c r="K41" s="1481">
        <f t="shared" si="39"/>
        <v>62.526299194691944</v>
      </c>
      <c r="L41" s="1481">
        <f t="shared" si="39"/>
        <v>57.30000825773962</v>
      </c>
      <c r="M41" s="1481">
        <f t="shared" si="39"/>
        <v>54.344767895949047</v>
      </c>
      <c r="N41" s="1481">
        <f t="shared" si="39"/>
        <v>51.389527534158475</v>
      </c>
      <c r="O41" s="1481">
        <f t="shared" si="39"/>
        <v>48.905313613555847</v>
      </c>
      <c r="P41" s="1481">
        <f t="shared" si="39"/>
        <v>47.033462546645467</v>
      </c>
      <c r="Q41" s="1481">
        <f t="shared" si="39"/>
        <v>45.413573460558155</v>
      </c>
    </row>
    <row r="42" spans="1:17" ht="17.100000000000001" customHeight="1" x14ac:dyDescent="0.25">
      <c r="A42" s="1478">
        <f t="shared" si="0"/>
        <v>1</v>
      </c>
      <c r="B42" s="1554" t="s">
        <v>29</v>
      </c>
      <c r="C42" s="1555" t="s">
        <v>74</v>
      </c>
      <c r="D42" s="1538" t="s">
        <v>362</v>
      </c>
      <c r="E42" s="1550">
        <f>E43+E44</f>
        <v>124.129014523</v>
      </c>
      <c r="F42" s="1550">
        <f t="shared" ref="F42:G42" si="40">F43+F44</f>
        <v>127.24755344499998</v>
      </c>
      <c r="G42" s="1550">
        <f t="shared" si="40"/>
        <v>124.97995294999998</v>
      </c>
      <c r="H42" s="1550">
        <f>SUM(H43:H44)</f>
        <v>104.31767942297998</v>
      </c>
      <c r="I42" s="1550">
        <f t="shared" ref="I42:L42" si="41">I43+I44</f>
        <v>84.873249764878906</v>
      </c>
      <c r="J42" s="1550">
        <f>J43+J44</f>
        <v>69.656278745481274</v>
      </c>
      <c r="K42" s="1550">
        <f t="shared" si="41"/>
        <v>62.526299194691944</v>
      </c>
      <c r="L42" s="1550">
        <f t="shared" si="41"/>
        <v>57.30000825773962</v>
      </c>
      <c r="M42" s="1550">
        <f t="shared" ref="M42:Q42" si="42">M43+M44</f>
        <v>54.344767895949047</v>
      </c>
      <c r="N42" s="1556">
        <f t="shared" si="42"/>
        <v>51.389527534158475</v>
      </c>
      <c r="O42" s="1556">
        <f t="shared" si="42"/>
        <v>48.905313613555847</v>
      </c>
      <c r="P42" s="1556">
        <f t="shared" si="42"/>
        <v>47.033462546645467</v>
      </c>
      <c r="Q42" s="1556">
        <f t="shared" si="42"/>
        <v>45.413573460558155</v>
      </c>
    </row>
    <row r="43" spans="1:17" s="610" customFormat="1" ht="17.100000000000001" customHeight="1" x14ac:dyDescent="0.25">
      <c r="A43" s="1566">
        <f t="shared" si="0"/>
        <v>1</v>
      </c>
      <c r="B43" s="1557" t="s">
        <v>75</v>
      </c>
      <c r="C43" s="1558" t="s">
        <v>76</v>
      </c>
      <c r="D43" s="1539" t="s">
        <v>364</v>
      </c>
      <c r="E43" s="1571">
        <f>'1.BC_Muc tieu (ty) '!K67</f>
        <v>167.09863703799999</v>
      </c>
      <c r="F43" s="1571">
        <f>'1.BC_Muc tieu (ty) '!R67</f>
        <v>186.87895905899998</v>
      </c>
      <c r="G43" s="1568">
        <f>'1.BC_Muc tieu (ty) '!AL67</f>
        <v>188.24623178599998</v>
      </c>
      <c r="H43" s="1568">
        <f>G43</f>
        <v>188.24623178599998</v>
      </c>
      <c r="I43" s="1568">
        <f t="shared" ref="I43:Q43" si="43">H43</f>
        <v>188.24623178599998</v>
      </c>
      <c r="J43" s="1568">
        <f t="shared" si="43"/>
        <v>188.24623178599998</v>
      </c>
      <c r="K43" s="1568">
        <f t="shared" si="43"/>
        <v>188.24623178599998</v>
      </c>
      <c r="L43" s="1568">
        <f t="shared" si="43"/>
        <v>188.24623178599998</v>
      </c>
      <c r="M43" s="1568">
        <f t="shared" si="43"/>
        <v>188.24623178599998</v>
      </c>
      <c r="N43" s="1568">
        <f t="shared" si="43"/>
        <v>188.24623178599998</v>
      </c>
      <c r="O43" s="1568">
        <f t="shared" si="43"/>
        <v>188.24623178599998</v>
      </c>
      <c r="P43" s="1568">
        <f t="shared" si="43"/>
        <v>188.24623178599998</v>
      </c>
      <c r="Q43" s="1568">
        <f t="shared" si="43"/>
        <v>188.24623178599998</v>
      </c>
    </row>
    <row r="44" spans="1:17" s="610" customFormat="1" ht="17.100000000000001" customHeight="1" x14ac:dyDescent="0.25">
      <c r="A44" s="1566">
        <f t="shared" si="0"/>
        <v>1</v>
      </c>
      <c r="B44" s="1557" t="s">
        <v>75</v>
      </c>
      <c r="C44" s="1558" t="s">
        <v>77</v>
      </c>
      <c r="D44" s="1539" t="s">
        <v>366</v>
      </c>
      <c r="E44" s="1571">
        <f>'1.BC_Muc tieu (ty) '!K68</f>
        <v>-42.969622514999998</v>
      </c>
      <c r="F44" s="1571">
        <f>'1.BC_Muc tieu (ty) '!R68</f>
        <v>-59.631405614000002</v>
      </c>
      <c r="G44" s="1568">
        <f>'1.BC_Muc tieu (ty) '!AL68</f>
        <v>-63.266278836000005</v>
      </c>
      <c r="H44" s="1568">
        <f>G44-'3.CP-KH'!D10</f>
        <v>-83.928552363020003</v>
      </c>
      <c r="I44" s="1568">
        <f>H44-'3.CP-KH'!E10</f>
        <v>-103.37298202112108</v>
      </c>
      <c r="J44" s="1568">
        <f>I44-'3.CP-KH'!F10</f>
        <v>-118.58995304051871</v>
      </c>
      <c r="K44" s="1568">
        <f>J44-'3.CP-KH'!G10</f>
        <v>-125.71993259130804</v>
      </c>
      <c r="L44" s="1568">
        <f>K44-'3.CP-KH'!H10</f>
        <v>-130.94622352826036</v>
      </c>
      <c r="M44" s="1568">
        <f>L44-'3.CP-KH'!I10</f>
        <v>-133.90146389005093</v>
      </c>
      <c r="N44" s="1568">
        <f>M44-'3.CP-KH'!J10</f>
        <v>-136.85670425184151</v>
      </c>
      <c r="O44" s="1568">
        <f>N44-'3.CP-KH'!K10</f>
        <v>-139.34091817244413</v>
      </c>
      <c r="P44" s="1568">
        <f>O44-'3.CP-KH'!L10</f>
        <v>-141.21276923935451</v>
      </c>
      <c r="Q44" s="1568">
        <f>P44-'3.CP-KH'!M10</f>
        <v>-142.83265832544183</v>
      </c>
    </row>
    <row r="45" spans="1:17" ht="17.100000000000001" hidden="1" customHeight="1" x14ac:dyDescent="0.25">
      <c r="A45" s="1487">
        <f t="shared" si="0"/>
        <v>0</v>
      </c>
      <c r="B45" s="1492" t="s">
        <v>31</v>
      </c>
      <c r="C45" s="1493" t="s">
        <v>78</v>
      </c>
      <c r="D45" s="1538" t="s">
        <v>367</v>
      </c>
      <c r="E45" s="1495">
        <f>IF((E46+E47)&gt;0,E46+E47,0)</f>
        <v>0</v>
      </c>
      <c r="F45" s="1495">
        <f t="shared" ref="F45:Q45" si="44">IF((F46+F47)&gt;0,F46+F47,0)</f>
        <v>0</v>
      </c>
      <c r="G45" s="1495">
        <f t="shared" si="44"/>
        <v>0</v>
      </c>
      <c r="H45" s="1495">
        <f t="shared" si="44"/>
        <v>0</v>
      </c>
      <c r="I45" s="1495">
        <f t="shared" si="44"/>
        <v>0</v>
      </c>
      <c r="J45" s="1495">
        <f t="shared" si="44"/>
        <v>0</v>
      </c>
      <c r="K45" s="1495">
        <f t="shared" si="44"/>
        <v>0</v>
      </c>
      <c r="L45" s="1495">
        <f t="shared" si="44"/>
        <v>0</v>
      </c>
      <c r="M45" s="1495">
        <f t="shared" si="44"/>
        <v>0</v>
      </c>
      <c r="N45" s="1495">
        <f t="shared" si="44"/>
        <v>0</v>
      </c>
      <c r="O45" s="1495">
        <f t="shared" si="44"/>
        <v>0</v>
      </c>
      <c r="P45" s="1495">
        <f t="shared" si="44"/>
        <v>0</v>
      </c>
      <c r="Q45" s="1495">
        <f t="shared" si="44"/>
        <v>0</v>
      </c>
    </row>
    <row r="46" spans="1:17" ht="17.100000000000001" hidden="1" customHeight="1" x14ac:dyDescent="0.25">
      <c r="A46" s="1487">
        <f t="shared" si="0"/>
        <v>0</v>
      </c>
      <c r="B46" s="1496" t="s">
        <v>75</v>
      </c>
      <c r="C46" s="1497" t="s">
        <v>76</v>
      </c>
      <c r="D46" s="1538" t="s">
        <v>368</v>
      </c>
      <c r="E46" s="1495">
        <f>'1.BC_Muc tieu (ty) '!K70</f>
        <v>0</v>
      </c>
      <c r="F46" s="1495">
        <f>'1.BC_Muc tieu (ty) '!R70</f>
        <v>0</v>
      </c>
      <c r="G46" s="1494">
        <f>'1.BC_Muc tieu (ty) '!AL70</f>
        <v>0</v>
      </c>
      <c r="H46" s="1494">
        <f>G46</f>
        <v>0</v>
      </c>
      <c r="I46" s="1494">
        <f>H46</f>
        <v>0</v>
      </c>
      <c r="J46" s="1494">
        <f t="shared" ref="J46:L46" si="45">I46</f>
        <v>0</v>
      </c>
      <c r="K46" s="1494">
        <f>J46</f>
        <v>0</v>
      </c>
      <c r="L46" s="1494">
        <f t="shared" si="45"/>
        <v>0</v>
      </c>
      <c r="M46" s="1494">
        <f t="shared" ref="M46" si="46">L46</f>
        <v>0</v>
      </c>
      <c r="N46" s="1494">
        <f t="shared" ref="N46" si="47">M46</f>
        <v>0</v>
      </c>
      <c r="O46" s="1494">
        <f t="shared" ref="O46" si="48">N46</f>
        <v>0</v>
      </c>
      <c r="P46" s="1494">
        <f t="shared" ref="P46" si="49">O46</f>
        <v>0</v>
      </c>
      <c r="Q46" s="1494">
        <f t="shared" ref="Q46" si="50">P46</f>
        <v>0</v>
      </c>
    </row>
    <row r="47" spans="1:17" ht="17.100000000000001" hidden="1" customHeight="1" x14ac:dyDescent="0.25">
      <c r="A47" s="1487">
        <f t="shared" si="0"/>
        <v>0</v>
      </c>
      <c r="B47" s="1496" t="s">
        <v>75</v>
      </c>
      <c r="C47" s="1497" t="s">
        <v>77</v>
      </c>
      <c r="D47" s="1538" t="s">
        <v>369</v>
      </c>
      <c r="E47" s="1495">
        <f>'1.BC_Muc tieu (ty) '!K71</f>
        <v>0</v>
      </c>
      <c r="F47" s="1495">
        <f>'1.BC_Muc tieu (ty) '!R71</f>
        <v>0</v>
      </c>
      <c r="G47" s="1494">
        <f>'1.BC_Muc tieu (ty) '!AL71</f>
        <v>0</v>
      </c>
      <c r="H47" s="1494">
        <f>-H46</f>
        <v>0</v>
      </c>
      <c r="I47" s="1494">
        <f t="shared" ref="I47:Q47" si="51">-I46</f>
        <v>0</v>
      </c>
      <c r="J47" s="1494">
        <f t="shared" si="51"/>
        <v>0</v>
      </c>
      <c r="K47" s="1494">
        <f t="shared" si="51"/>
        <v>0</v>
      </c>
      <c r="L47" s="1494">
        <f t="shared" si="51"/>
        <v>0</v>
      </c>
      <c r="M47" s="1494">
        <f t="shared" si="51"/>
        <v>0</v>
      </c>
      <c r="N47" s="1494">
        <f t="shared" si="51"/>
        <v>0</v>
      </c>
      <c r="O47" s="1494">
        <f t="shared" si="51"/>
        <v>0</v>
      </c>
      <c r="P47" s="1494">
        <f t="shared" si="51"/>
        <v>0</v>
      </c>
      <c r="Q47" s="1494">
        <f t="shared" si="51"/>
        <v>0</v>
      </c>
    </row>
    <row r="48" spans="1:17" ht="17.100000000000001" hidden="1" customHeight="1" x14ac:dyDescent="0.25">
      <c r="A48" s="1487">
        <f t="shared" si="0"/>
        <v>0</v>
      </c>
      <c r="B48" s="1492" t="s">
        <v>37</v>
      </c>
      <c r="C48" s="1493" t="s">
        <v>79</v>
      </c>
      <c r="D48" s="1538" t="s">
        <v>370</v>
      </c>
      <c r="E48" s="1495">
        <f>E49+E50</f>
        <v>0</v>
      </c>
      <c r="F48" s="1495">
        <f t="shared" ref="F48:L48" si="52">F49+F50</f>
        <v>0</v>
      </c>
      <c r="G48" s="1495">
        <f t="shared" si="52"/>
        <v>0</v>
      </c>
      <c r="H48" s="1495">
        <f t="shared" ref="H48" si="53">SUM(H49:H50)</f>
        <v>0</v>
      </c>
      <c r="I48" s="1495">
        <f t="shared" si="52"/>
        <v>0</v>
      </c>
      <c r="J48" s="1495">
        <f t="shared" si="52"/>
        <v>0</v>
      </c>
      <c r="K48" s="1495">
        <f t="shared" si="52"/>
        <v>0</v>
      </c>
      <c r="L48" s="1495">
        <f t="shared" si="52"/>
        <v>0</v>
      </c>
      <c r="M48" s="1495">
        <f t="shared" ref="M48:Q48" si="54">M49+M50</f>
        <v>0</v>
      </c>
      <c r="N48" s="1495">
        <f t="shared" si="54"/>
        <v>0</v>
      </c>
      <c r="O48" s="1495">
        <f t="shared" si="54"/>
        <v>0</v>
      </c>
      <c r="P48" s="1495">
        <f t="shared" si="54"/>
        <v>0</v>
      </c>
      <c r="Q48" s="1495">
        <f t="shared" si="54"/>
        <v>0</v>
      </c>
    </row>
    <row r="49" spans="1:17" ht="17.100000000000001" hidden="1" customHeight="1" x14ac:dyDescent="0.25">
      <c r="A49" s="1487">
        <f t="shared" si="0"/>
        <v>0</v>
      </c>
      <c r="B49" s="1496" t="s">
        <v>75</v>
      </c>
      <c r="C49" s="1497" t="s">
        <v>76</v>
      </c>
      <c r="D49" s="1538" t="s">
        <v>371</v>
      </c>
      <c r="E49" s="1495">
        <f>'1.BC_Muc tieu (ty) '!K73</f>
        <v>0</v>
      </c>
      <c r="F49" s="1495">
        <f>'1.BC_Muc tieu (ty) '!R73</f>
        <v>0</v>
      </c>
      <c r="G49" s="1494">
        <f>'1.BC_Muc tieu (ty) '!AL73</f>
        <v>0</v>
      </c>
      <c r="H49" s="1494">
        <f>G49</f>
        <v>0</v>
      </c>
      <c r="I49" s="1494">
        <f t="shared" ref="I49:Q49" si="55">H49</f>
        <v>0</v>
      </c>
      <c r="J49" s="1494">
        <f t="shared" si="55"/>
        <v>0</v>
      </c>
      <c r="K49" s="1494">
        <f t="shared" si="55"/>
        <v>0</v>
      </c>
      <c r="L49" s="1494">
        <f t="shared" si="55"/>
        <v>0</v>
      </c>
      <c r="M49" s="1494">
        <f t="shared" si="55"/>
        <v>0</v>
      </c>
      <c r="N49" s="1494">
        <f t="shared" si="55"/>
        <v>0</v>
      </c>
      <c r="O49" s="1494">
        <f t="shared" si="55"/>
        <v>0</v>
      </c>
      <c r="P49" s="1494">
        <f t="shared" si="55"/>
        <v>0</v>
      </c>
      <c r="Q49" s="1494">
        <f t="shared" si="55"/>
        <v>0</v>
      </c>
    </row>
    <row r="50" spans="1:17" ht="17.100000000000001" hidden="1" customHeight="1" x14ac:dyDescent="0.25">
      <c r="A50" s="1487">
        <f t="shared" si="0"/>
        <v>0</v>
      </c>
      <c r="B50" s="1496" t="s">
        <v>75</v>
      </c>
      <c r="C50" s="1497" t="s">
        <v>77</v>
      </c>
      <c r="D50" s="1538" t="s">
        <v>372</v>
      </c>
      <c r="E50" s="1495">
        <f>'1.BC_Muc tieu (ty) '!K74</f>
        <v>0</v>
      </c>
      <c r="F50" s="1495">
        <f>'1.BC_Muc tieu (ty) '!R74</f>
        <v>0</v>
      </c>
      <c r="G50" s="1494">
        <f>'1.BC_Muc tieu (ty) '!AL74</f>
        <v>0</v>
      </c>
      <c r="H50" s="1494"/>
      <c r="I50" s="1494"/>
      <c r="J50" s="1494"/>
      <c r="K50" s="1494"/>
      <c r="L50" s="1494"/>
      <c r="M50" s="1494"/>
      <c r="N50" s="1494"/>
      <c r="O50" s="1494"/>
      <c r="P50" s="1494"/>
      <c r="Q50" s="1494"/>
    </row>
    <row r="51" spans="1:17" ht="17.100000000000001" customHeight="1" x14ac:dyDescent="0.25">
      <c r="A51" s="1478">
        <v>1</v>
      </c>
      <c r="B51" s="1552" t="s">
        <v>39</v>
      </c>
      <c r="C51" s="1553" t="s">
        <v>80</v>
      </c>
      <c r="D51" s="1537" t="s">
        <v>374</v>
      </c>
      <c r="E51" s="1481">
        <f t="shared" ref="E51:Q51" si="56">SUM(E52:E53)</f>
        <v>0</v>
      </c>
      <c r="F51" s="1481">
        <f t="shared" si="56"/>
        <v>0</v>
      </c>
      <c r="G51" s="1481">
        <f t="shared" si="56"/>
        <v>0</v>
      </c>
      <c r="H51" s="1481">
        <f t="shared" si="56"/>
        <v>0</v>
      </c>
      <c r="I51" s="1481">
        <f t="shared" si="56"/>
        <v>0</v>
      </c>
      <c r="J51" s="1481">
        <f t="shared" si="56"/>
        <v>0</v>
      </c>
      <c r="K51" s="1481">
        <f t="shared" si="56"/>
        <v>0</v>
      </c>
      <c r="L51" s="1481">
        <f t="shared" si="56"/>
        <v>0</v>
      </c>
      <c r="M51" s="1481">
        <f t="shared" si="56"/>
        <v>0</v>
      </c>
      <c r="N51" s="1481">
        <f t="shared" si="56"/>
        <v>0</v>
      </c>
      <c r="O51" s="1481">
        <f t="shared" si="56"/>
        <v>0</v>
      </c>
      <c r="P51" s="1481">
        <f t="shared" si="56"/>
        <v>0</v>
      </c>
      <c r="Q51" s="1481">
        <f t="shared" si="56"/>
        <v>0</v>
      </c>
    </row>
    <row r="52" spans="1:17" ht="17.100000000000001" hidden="1" customHeight="1" x14ac:dyDescent="0.25">
      <c r="A52" s="1487">
        <f>IF(SUM(G52:Q52)&lt;&gt;0,1,0)</f>
        <v>0</v>
      </c>
      <c r="B52" s="1498" t="s">
        <v>75</v>
      </c>
      <c r="C52" s="1493" t="s">
        <v>76</v>
      </c>
      <c r="D52" s="1538" t="s">
        <v>375</v>
      </c>
      <c r="E52" s="1495">
        <f>'1.BC_Muc tieu (ty) '!K76</f>
        <v>0</v>
      </c>
      <c r="F52" s="1495">
        <f>'1.BC_Muc tieu (ty) '!R76</f>
        <v>0</v>
      </c>
      <c r="G52" s="1494">
        <f>'1.BC_Muc tieu (ty) '!AL76</f>
        <v>0</v>
      </c>
      <c r="H52" s="1494">
        <f>G52</f>
        <v>0</v>
      </c>
      <c r="I52" s="1494">
        <f>H52</f>
        <v>0</v>
      </c>
      <c r="J52" s="1494">
        <f t="shared" ref="J52:L53" si="57">I52</f>
        <v>0</v>
      </c>
      <c r="K52" s="1494">
        <f t="shared" si="57"/>
        <v>0</v>
      </c>
      <c r="L52" s="1494">
        <f t="shared" si="57"/>
        <v>0</v>
      </c>
      <c r="M52" s="1494">
        <f t="shared" ref="M52:M53" si="58">L52</f>
        <v>0</v>
      </c>
      <c r="N52" s="1494">
        <f t="shared" ref="N52:N53" si="59">M52</f>
        <v>0</v>
      </c>
      <c r="O52" s="1494">
        <f t="shared" ref="O52:O53" si="60">N52</f>
        <v>0</v>
      </c>
      <c r="P52" s="1494">
        <f t="shared" ref="P52:P53" si="61">O52</f>
        <v>0</v>
      </c>
      <c r="Q52" s="1494">
        <f t="shared" ref="Q52:Q53" si="62">P52</f>
        <v>0</v>
      </c>
    </row>
    <row r="53" spans="1:17" ht="17.100000000000001" hidden="1" customHeight="1" x14ac:dyDescent="0.25">
      <c r="A53" s="1487">
        <f>IF(SUM(G53:Q53)&lt;&gt;0,1,0)</f>
        <v>0</v>
      </c>
      <c r="B53" s="1498" t="s">
        <v>75</v>
      </c>
      <c r="C53" s="1493" t="s">
        <v>77</v>
      </c>
      <c r="D53" s="1538" t="s">
        <v>376</v>
      </c>
      <c r="E53" s="1495">
        <f>'1.BC_Muc tieu (ty) '!K77</f>
        <v>0</v>
      </c>
      <c r="F53" s="1495">
        <f>'1.BC_Muc tieu (ty) '!R77</f>
        <v>0</v>
      </c>
      <c r="G53" s="1494">
        <f>'1.BC_Muc tieu (ty) '!AL77</f>
        <v>0</v>
      </c>
      <c r="H53" s="1494">
        <f>G53</f>
        <v>0</v>
      </c>
      <c r="I53" s="1494">
        <f t="shared" ref="I53" si="63">H53</f>
        <v>0</v>
      </c>
      <c r="J53" s="1494">
        <f t="shared" si="57"/>
        <v>0</v>
      </c>
      <c r="K53" s="1494">
        <f t="shared" si="57"/>
        <v>0</v>
      </c>
      <c r="L53" s="1494">
        <f t="shared" si="57"/>
        <v>0</v>
      </c>
      <c r="M53" s="1494">
        <f t="shared" si="58"/>
        <v>0</v>
      </c>
      <c r="N53" s="1494">
        <f t="shared" si="59"/>
        <v>0</v>
      </c>
      <c r="O53" s="1494">
        <f t="shared" si="60"/>
        <v>0</v>
      </c>
      <c r="P53" s="1494">
        <f t="shared" si="61"/>
        <v>0</v>
      </c>
      <c r="Q53" s="1494">
        <f t="shared" si="62"/>
        <v>0</v>
      </c>
    </row>
    <row r="54" spans="1:17" ht="17.100000000000001" customHeight="1" x14ac:dyDescent="0.25">
      <c r="A54" s="1478">
        <f>IF(SUM(G54:Q54)&lt;&gt;0,1,0)</f>
        <v>1</v>
      </c>
      <c r="B54" s="1552" t="s">
        <v>54</v>
      </c>
      <c r="C54" s="1553" t="s">
        <v>81</v>
      </c>
      <c r="D54" s="1537" t="s">
        <v>378</v>
      </c>
      <c r="E54" s="1481">
        <f>SUM(E55:E56)</f>
        <v>15.554763725999999</v>
      </c>
      <c r="F54" s="1481">
        <f t="shared" ref="F54:Q54" si="64">SUM(F55:F56)</f>
        <v>38.970384076999999</v>
      </c>
      <c r="G54" s="1481">
        <f t="shared" si="64"/>
        <v>38.989606172999999</v>
      </c>
      <c r="H54" s="1481">
        <f t="shared" si="64"/>
        <v>38.989606172999999</v>
      </c>
      <c r="I54" s="1481">
        <f t="shared" si="64"/>
        <v>38.989606172999999</v>
      </c>
      <c r="J54" s="1481">
        <f t="shared" si="64"/>
        <v>38.989606172999999</v>
      </c>
      <c r="K54" s="1481">
        <f t="shared" si="64"/>
        <v>38.989606172999999</v>
      </c>
      <c r="L54" s="1481">
        <f t="shared" si="64"/>
        <v>38.989606172999999</v>
      </c>
      <c r="M54" s="1481">
        <f t="shared" si="64"/>
        <v>38.989606172999999</v>
      </c>
      <c r="N54" s="1481">
        <f t="shared" si="64"/>
        <v>38.989606172999999</v>
      </c>
      <c r="O54" s="1481">
        <f t="shared" si="64"/>
        <v>38.989606172999999</v>
      </c>
      <c r="P54" s="1481">
        <f t="shared" si="64"/>
        <v>38.989606172999999</v>
      </c>
      <c r="Q54" s="1481">
        <f t="shared" si="64"/>
        <v>38.989606172999999</v>
      </c>
    </row>
    <row r="55" spans="1:17" ht="17.100000000000001" hidden="1" customHeight="1" x14ac:dyDescent="0.25">
      <c r="A55" s="1487">
        <f>IF(SUM(G55:Q55)&lt;&gt;0,1,0)</f>
        <v>0</v>
      </c>
      <c r="B55" s="1492" t="s">
        <v>29</v>
      </c>
      <c r="C55" s="1493" t="s">
        <v>82</v>
      </c>
      <c r="D55" s="1538" t="s">
        <v>380</v>
      </c>
      <c r="E55" s="1495">
        <f>'1.BC_Muc tieu (ty) '!K79</f>
        <v>0</v>
      </c>
      <c r="F55" s="1495">
        <f>'1.BC_Muc tieu (ty) '!R79</f>
        <v>0</v>
      </c>
      <c r="G55" s="1494">
        <f>'1.BC_Muc tieu (ty) '!AL79</f>
        <v>0</v>
      </c>
      <c r="H55" s="1495">
        <f>G55</f>
        <v>0</v>
      </c>
      <c r="I55" s="1495">
        <f t="shared" ref="I55:Q55" si="65">H55</f>
        <v>0</v>
      </c>
      <c r="J55" s="1495">
        <f t="shared" si="65"/>
        <v>0</v>
      </c>
      <c r="K55" s="1495">
        <f t="shared" si="65"/>
        <v>0</v>
      </c>
      <c r="L55" s="1495">
        <f t="shared" si="65"/>
        <v>0</v>
      </c>
      <c r="M55" s="1495">
        <f t="shared" si="65"/>
        <v>0</v>
      </c>
      <c r="N55" s="1495">
        <f t="shared" si="65"/>
        <v>0</v>
      </c>
      <c r="O55" s="1495">
        <f t="shared" si="65"/>
        <v>0</v>
      </c>
      <c r="P55" s="1495">
        <f t="shared" si="65"/>
        <v>0</v>
      </c>
      <c r="Q55" s="1495">
        <f t="shared" si="65"/>
        <v>0</v>
      </c>
    </row>
    <row r="56" spans="1:17" ht="17.100000000000001" customHeight="1" x14ac:dyDescent="0.25">
      <c r="A56" s="1478">
        <f>IF(SUM(G56:Q56)&lt;&gt;0,1,0)</f>
        <v>1</v>
      </c>
      <c r="B56" s="1554" t="s">
        <v>31</v>
      </c>
      <c r="C56" s="1555" t="s">
        <v>83</v>
      </c>
      <c r="D56" s="1538" t="s">
        <v>382</v>
      </c>
      <c r="E56" s="1550">
        <f>'1.BC_Muc tieu (ty) '!K80</f>
        <v>15.554763725999999</v>
      </c>
      <c r="F56" s="1550">
        <f>'1.BC_Muc tieu (ty) '!R80</f>
        <v>38.970384076999999</v>
      </c>
      <c r="G56" s="1551">
        <f>'1.BC_Muc tieu (ty) '!AL80</f>
        <v>38.989606172999999</v>
      </c>
      <c r="H56" s="1551">
        <f>G56</f>
        <v>38.989606172999999</v>
      </c>
      <c r="I56" s="1551">
        <f>H56</f>
        <v>38.989606172999999</v>
      </c>
      <c r="J56" s="1551">
        <f t="shared" ref="J56:L56" si="66">I56</f>
        <v>38.989606172999999</v>
      </c>
      <c r="K56" s="1551">
        <f t="shared" si="66"/>
        <v>38.989606172999999</v>
      </c>
      <c r="L56" s="1551">
        <f t="shared" si="66"/>
        <v>38.989606172999999</v>
      </c>
      <c r="M56" s="1551">
        <f t="shared" ref="M56" si="67">L56</f>
        <v>38.989606172999999</v>
      </c>
      <c r="N56" s="1551">
        <f t="shared" ref="N56" si="68">M56</f>
        <v>38.989606172999999</v>
      </c>
      <c r="O56" s="1551">
        <f t="shared" ref="O56" si="69">N56</f>
        <v>38.989606172999999</v>
      </c>
      <c r="P56" s="1551">
        <f t="shared" ref="P56" si="70">O56</f>
        <v>38.989606172999999</v>
      </c>
      <c r="Q56" s="1551">
        <f t="shared" ref="Q56" si="71">P56</f>
        <v>38.989606172999999</v>
      </c>
    </row>
    <row r="57" spans="1:17" ht="17.100000000000001" customHeight="1" x14ac:dyDescent="0.25">
      <c r="A57" s="1478">
        <v>1</v>
      </c>
      <c r="B57" s="1552" t="s">
        <v>57</v>
      </c>
      <c r="C57" s="1553" t="s">
        <v>84</v>
      </c>
      <c r="D57" s="1537" t="s">
        <v>384</v>
      </c>
      <c r="E57" s="1481">
        <f>SUM(E58:E62)</f>
        <v>0</v>
      </c>
      <c r="F57" s="1481">
        <f t="shared" ref="F57" si="72">SUM(F58:F62)</f>
        <v>-5.5096645009999996</v>
      </c>
      <c r="G57" s="1481">
        <f>SUM(G58:G62)</f>
        <v>-6.2512050500000003</v>
      </c>
      <c r="H57" s="1481">
        <f>SUM(H58:H62)</f>
        <v>-6.2512050500000003</v>
      </c>
      <c r="I57" s="1481">
        <f t="shared" ref="I57" si="73">SUM(I58:I62)</f>
        <v>-6.2512050500000003</v>
      </c>
      <c r="J57" s="1481">
        <f t="shared" ref="J57" si="74">SUM(J58:J62)</f>
        <v>-6.2512050500000003</v>
      </c>
      <c r="K57" s="1481">
        <f t="shared" ref="K57" si="75">SUM(K58:K62)</f>
        <v>-6.2512050500000003</v>
      </c>
      <c r="L57" s="1481">
        <f>SUM(L58:L62)</f>
        <v>-6.2512050500000003</v>
      </c>
      <c r="M57" s="1481">
        <f t="shared" ref="M57" si="76">SUM(M58:M62)</f>
        <v>-6.2512050500000003</v>
      </c>
      <c r="N57" s="1481">
        <f t="shared" ref="N57" si="77">SUM(N58:N62)</f>
        <v>-6.2512050500000003</v>
      </c>
      <c r="O57" s="1481">
        <f t="shared" ref="O57" si="78">SUM(O58:O62)</f>
        <v>-6.2512050500000003</v>
      </c>
      <c r="P57" s="1481">
        <f t="shared" ref="P57" si="79">SUM(P58:P62)</f>
        <v>-6.2512050500000003</v>
      </c>
      <c r="Q57" s="1481">
        <f t="shared" ref="Q57" si="80">SUM(Q58:Q62)</f>
        <v>-6.2512050500000003</v>
      </c>
    </row>
    <row r="58" spans="1:17" ht="17.100000000000001" hidden="1" customHeight="1" x14ac:dyDescent="0.25">
      <c r="A58" s="1487">
        <f>IF(SUM(G58:Q58)&lt;&gt;0,1,0)</f>
        <v>0</v>
      </c>
      <c r="B58" s="1492" t="s">
        <v>29</v>
      </c>
      <c r="C58" s="1493" t="s">
        <v>85</v>
      </c>
      <c r="D58" s="1538" t="s">
        <v>386</v>
      </c>
      <c r="E58" s="1495">
        <f>'1.BC_Muc tieu (ty) '!K82</f>
        <v>0</v>
      </c>
      <c r="F58" s="1495">
        <f>'1.BC_Muc tieu (ty) '!R82</f>
        <v>0</v>
      </c>
      <c r="G58" s="1494">
        <f>'1.BC_Muc tieu (ty) '!AL82</f>
        <v>0</v>
      </c>
      <c r="H58" s="1494"/>
      <c r="I58" s="1494"/>
      <c r="J58" s="1494"/>
      <c r="K58" s="1494"/>
      <c r="L58" s="1494"/>
      <c r="M58" s="1494"/>
      <c r="N58" s="1494"/>
      <c r="O58" s="1494"/>
      <c r="P58" s="1494"/>
      <c r="Q58" s="1494"/>
    </row>
    <row r="59" spans="1:17" ht="17.100000000000001" hidden="1" customHeight="1" x14ac:dyDescent="0.25">
      <c r="A59" s="1487">
        <f>IF(SUM(G59:Q59)&lt;&gt;0,1,0)</f>
        <v>0</v>
      </c>
      <c r="B59" s="1492" t="s">
        <v>31</v>
      </c>
      <c r="C59" s="1493" t="s">
        <v>86</v>
      </c>
      <c r="D59" s="1538" t="s">
        <v>388</v>
      </c>
      <c r="E59" s="1495">
        <f>'1.BC_Muc tieu (ty) '!K83</f>
        <v>0</v>
      </c>
      <c r="F59" s="1495">
        <f>'1.BC_Muc tieu (ty) '!R83</f>
        <v>0</v>
      </c>
      <c r="G59" s="1494">
        <f>'1.BC_Muc tieu (ty) '!AL83</f>
        <v>0</v>
      </c>
      <c r="H59" s="1494"/>
      <c r="I59" s="1494"/>
      <c r="J59" s="1494"/>
      <c r="K59" s="1494"/>
      <c r="L59" s="1494"/>
      <c r="M59" s="1494"/>
      <c r="N59" s="1494"/>
      <c r="O59" s="1494"/>
      <c r="P59" s="1494"/>
      <c r="Q59" s="1494"/>
    </row>
    <row r="60" spans="1:17" ht="17.100000000000001" hidden="1" customHeight="1" x14ac:dyDescent="0.25">
      <c r="A60" s="1487">
        <f>IF(SUM(G60:Q60)&lt;&gt;0,1,0)</f>
        <v>0</v>
      </c>
      <c r="B60" s="1492" t="s">
        <v>37</v>
      </c>
      <c r="C60" s="1493" t="s">
        <v>87</v>
      </c>
      <c r="D60" s="1538" t="s">
        <v>390</v>
      </c>
      <c r="E60" s="1495">
        <f>'1.BC_Muc tieu (ty) '!K84</f>
        <v>0</v>
      </c>
      <c r="F60" s="1495">
        <f>'1.BC_Muc tieu (ty) '!R84</f>
        <v>0</v>
      </c>
      <c r="G60" s="1494">
        <f>'1.BC_Muc tieu (ty) '!AL84</f>
        <v>0</v>
      </c>
      <c r="H60" s="1494">
        <f>G60</f>
        <v>0</v>
      </c>
      <c r="I60" s="1494">
        <f t="shared" ref="I60:Q60" si="81">H60</f>
        <v>0</v>
      </c>
      <c r="J60" s="1494">
        <f t="shared" si="81"/>
        <v>0</v>
      </c>
      <c r="K60" s="1494">
        <f t="shared" si="81"/>
        <v>0</v>
      </c>
      <c r="L60" s="1494">
        <f t="shared" si="81"/>
        <v>0</v>
      </c>
      <c r="M60" s="1494">
        <f t="shared" si="81"/>
        <v>0</v>
      </c>
      <c r="N60" s="1494">
        <f t="shared" si="81"/>
        <v>0</v>
      </c>
      <c r="O60" s="1494">
        <f t="shared" si="81"/>
        <v>0</v>
      </c>
      <c r="P60" s="1494">
        <f t="shared" si="81"/>
        <v>0</v>
      </c>
      <c r="Q60" s="1494">
        <f t="shared" si="81"/>
        <v>0</v>
      </c>
    </row>
    <row r="61" spans="1:17" ht="17.100000000000001" customHeight="1" x14ac:dyDescent="0.25">
      <c r="A61" s="1478">
        <f>IF(SUM(G61:Q61)&lt;&gt;0,1,0)</f>
        <v>1</v>
      </c>
      <c r="B61" s="1554" t="s">
        <v>44</v>
      </c>
      <c r="C61" s="1555" t="s">
        <v>88</v>
      </c>
      <c r="D61" s="1538" t="s">
        <v>392</v>
      </c>
      <c r="E61" s="1550">
        <f>'1.BC_Muc tieu (ty) '!K85</f>
        <v>0</v>
      </c>
      <c r="F61" s="1550">
        <f>'1.BC_Muc tieu (ty) '!R85</f>
        <v>-5.5096645009999996</v>
      </c>
      <c r="G61" s="1551">
        <f>'1.BC_Muc tieu (ty) '!AL85</f>
        <v>-6.2512050500000003</v>
      </c>
      <c r="H61" s="1551">
        <f>G61</f>
        <v>-6.2512050500000003</v>
      </c>
      <c r="I61" s="1551">
        <f t="shared" ref="I61:Q61" si="82">H61</f>
        <v>-6.2512050500000003</v>
      </c>
      <c r="J61" s="1551">
        <f t="shared" si="82"/>
        <v>-6.2512050500000003</v>
      </c>
      <c r="K61" s="1551">
        <f t="shared" si="82"/>
        <v>-6.2512050500000003</v>
      </c>
      <c r="L61" s="1551">
        <f t="shared" si="82"/>
        <v>-6.2512050500000003</v>
      </c>
      <c r="M61" s="1551">
        <f t="shared" si="82"/>
        <v>-6.2512050500000003</v>
      </c>
      <c r="N61" s="1551">
        <f t="shared" si="82"/>
        <v>-6.2512050500000003</v>
      </c>
      <c r="O61" s="1551">
        <f t="shared" si="82"/>
        <v>-6.2512050500000003</v>
      </c>
      <c r="P61" s="1551">
        <f t="shared" si="82"/>
        <v>-6.2512050500000003</v>
      </c>
      <c r="Q61" s="1551">
        <f t="shared" si="82"/>
        <v>-6.2512050500000003</v>
      </c>
    </row>
    <row r="62" spans="1:17" ht="17.100000000000001" hidden="1" customHeight="1" x14ac:dyDescent="0.25">
      <c r="A62" s="1487">
        <f>IF(SUM(G62:Q62)&lt;&gt;0,1,0)</f>
        <v>0</v>
      </c>
      <c r="B62" s="1492" t="s">
        <v>46</v>
      </c>
      <c r="C62" s="1493" t="s">
        <v>38</v>
      </c>
      <c r="D62" s="1538" t="s">
        <v>394</v>
      </c>
      <c r="E62" s="1495">
        <f>'1.BC_Muc tieu (ty) '!K86</f>
        <v>0</v>
      </c>
      <c r="F62" s="1495">
        <f>'1.BC_Muc tieu (ty) '!R86</f>
        <v>0</v>
      </c>
      <c r="G62" s="1494">
        <f>'1.BC_Muc tieu (ty) '!AL86</f>
        <v>0</v>
      </c>
      <c r="H62" s="1495"/>
      <c r="I62" s="1495"/>
      <c r="J62" s="1495"/>
      <c r="K62" s="1495"/>
      <c r="L62" s="1495"/>
      <c r="M62" s="1495"/>
      <c r="N62" s="1495"/>
      <c r="O62" s="1495"/>
      <c r="P62" s="1495"/>
      <c r="Q62" s="1495"/>
    </row>
    <row r="63" spans="1:17" ht="17.100000000000001" customHeight="1" x14ac:dyDescent="0.25">
      <c r="A63" s="1478">
        <v>1</v>
      </c>
      <c r="B63" s="1552" t="s">
        <v>89</v>
      </c>
      <c r="C63" s="1553" t="s">
        <v>90</v>
      </c>
      <c r="D63" s="1537" t="s">
        <v>396</v>
      </c>
      <c r="E63" s="1481">
        <f t="shared" ref="E63:Q63" si="83">SUM(E64:E67)</f>
        <v>0</v>
      </c>
      <c r="F63" s="1481">
        <f t="shared" si="83"/>
        <v>0</v>
      </c>
      <c r="G63" s="1481">
        <f t="shared" si="83"/>
        <v>0</v>
      </c>
      <c r="H63" s="1481">
        <f t="shared" si="83"/>
        <v>0</v>
      </c>
      <c r="I63" s="1481">
        <f t="shared" si="83"/>
        <v>0</v>
      </c>
      <c r="J63" s="1481">
        <f t="shared" si="83"/>
        <v>0</v>
      </c>
      <c r="K63" s="1481">
        <f t="shared" si="83"/>
        <v>0</v>
      </c>
      <c r="L63" s="1481">
        <f>SUM(L64:L67)</f>
        <v>0</v>
      </c>
      <c r="M63" s="1481">
        <f t="shared" si="83"/>
        <v>0</v>
      </c>
      <c r="N63" s="1481">
        <f t="shared" si="83"/>
        <v>0</v>
      </c>
      <c r="O63" s="1481">
        <f t="shared" si="83"/>
        <v>0</v>
      </c>
      <c r="P63" s="1481">
        <f t="shared" si="83"/>
        <v>0</v>
      </c>
      <c r="Q63" s="1481">
        <f t="shared" si="83"/>
        <v>0</v>
      </c>
    </row>
    <row r="64" spans="1:17" ht="17.100000000000001" hidden="1" customHeight="1" x14ac:dyDescent="0.25">
      <c r="A64" s="1487">
        <f>IF(SUM(G64:Q64)&lt;&gt;0,1,0)</f>
        <v>0</v>
      </c>
      <c r="B64" s="1492" t="s">
        <v>29</v>
      </c>
      <c r="C64" s="1493" t="s">
        <v>91</v>
      </c>
      <c r="D64" s="1538" t="s">
        <v>398</v>
      </c>
      <c r="E64" s="1495">
        <f>'1.BC_Muc tieu (ty) '!K88</f>
        <v>0</v>
      </c>
      <c r="F64" s="1495">
        <f>'1.BC_Muc tieu (ty) '!R88</f>
        <v>0</v>
      </c>
      <c r="G64" s="1494">
        <f>'1.BC_Muc tieu (ty) '!AL88</f>
        <v>0</v>
      </c>
      <c r="H64" s="1494">
        <f>G64</f>
        <v>0</v>
      </c>
      <c r="I64" s="1494">
        <f t="shared" ref="I64:Q64" si="84">H64</f>
        <v>0</v>
      </c>
      <c r="J64" s="1494">
        <f>I64</f>
        <v>0</v>
      </c>
      <c r="K64" s="1494">
        <f t="shared" si="84"/>
        <v>0</v>
      </c>
      <c r="L64" s="1494">
        <f t="shared" si="84"/>
        <v>0</v>
      </c>
      <c r="M64" s="1494">
        <f t="shared" si="84"/>
        <v>0</v>
      </c>
      <c r="N64" s="1494">
        <f t="shared" si="84"/>
        <v>0</v>
      </c>
      <c r="O64" s="1494">
        <f t="shared" si="84"/>
        <v>0</v>
      </c>
      <c r="P64" s="1494">
        <f t="shared" si="84"/>
        <v>0</v>
      </c>
      <c r="Q64" s="1494">
        <f t="shared" si="84"/>
        <v>0</v>
      </c>
    </row>
    <row r="65" spans="1:17" ht="17.100000000000001" hidden="1" customHeight="1" x14ac:dyDescent="0.25">
      <c r="A65" s="1487">
        <f>IF(SUM(G65:Q65)&lt;&gt;0,1,0)</f>
        <v>0</v>
      </c>
      <c r="B65" s="1492" t="s">
        <v>31</v>
      </c>
      <c r="C65" s="1493" t="s">
        <v>92</v>
      </c>
      <c r="D65" s="1538" t="s">
        <v>400</v>
      </c>
      <c r="E65" s="1495">
        <f>'1.BC_Muc tieu (ty) '!K89</f>
        <v>0</v>
      </c>
      <c r="F65" s="1495">
        <f>'1.BC_Muc tieu (ty) '!R89</f>
        <v>0</v>
      </c>
      <c r="G65" s="1494">
        <f>'1.BC_Muc tieu (ty) '!AL89</f>
        <v>0</v>
      </c>
      <c r="H65" s="1494"/>
      <c r="I65" s="1494"/>
      <c r="J65" s="1494"/>
      <c r="K65" s="1494"/>
      <c r="L65" s="1494"/>
      <c r="M65" s="1494"/>
      <c r="N65" s="1494"/>
      <c r="O65" s="1494"/>
      <c r="P65" s="1494"/>
      <c r="Q65" s="1494"/>
    </row>
    <row r="66" spans="1:17" ht="17.100000000000001" hidden="1" customHeight="1" x14ac:dyDescent="0.25">
      <c r="A66" s="1487">
        <f>IF(SUM(G66:Q66)&lt;&gt;0,1,0)</f>
        <v>0</v>
      </c>
      <c r="B66" s="1492" t="s">
        <v>37</v>
      </c>
      <c r="C66" s="1493" t="s">
        <v>93</v>
      </c>
      <c r="D66" s="1538" t="s">
        <v>402</v>
      </c>
      <c r="E66" s="1495">
        <f>'1.BC_Muc tieu (ty) '!K90</f>
        <v>0</v>
      </c>
      <c r="F66" s="1495">
        <f>'1.BC_Muc tieu (ty) '!R90</f>
        <v>0</v>
      </c>
      <c r="G66" s="1494">
        <f>'1.BC_Muc tieu (ty) '!AL90</f>
        <v>0</v>
      </c>
      <c r="H66" s="1495"/>
      <c r="I66" s="1495"/>
      <c r="J66" s="1495"/>
      <c r="K66" s="1495"/>
      <c r="L66" s="1495"/>
      <c r="M66" s="1495"/>
      <c r="N66" s="1495"/>
      <c r="O66" s="1495"/>
      <c r="P66" s="1495"/>
      <c r="Q66" s="1495"/>
    </row>
    <row r="67" spans="1:17" ht="17.100000000000001" hidden="1" customHeight="1" x14ac:dyDescent="0.25">
      <c r="A67" s="1487">
        <f>IF(SUM(G67:Q67)&lt;&gt;0,1,0)</f>
        <v>0</v>
      </c>
      <c r="B67" s="1492" t="s">
        <v>44</v>
      </c>
      <c r="C67" s="1493" t="s">
        <v>90</v>
      </c>
      <c r="D67" s="1538" t="s">
        <v>404</v>
      </c>
      <c r="E67" s="1495">
        <f>'1.BC_Muc tieu (ty) '!K91</f>
        <v>0</v>
      </c>
      <c r="F67" s="1495">
        <f>'1.BC_Muc tieu (ty) '!R91</f>
        <v>0</v>
      </c>
      <c r="G67" s="1494">
        <f>'1.BC_Muc tieu (ty) '!AL91</f>
        <v>0</v>
      </c>
      <c r="H67" s="1495">
        <f>G67</f>
        <v>0</v>
      </c>
      <c r="I67" s="1495">
        <f t="shared" ref="I67:Q67" si="85">H67</f>
        <v>0</v>
      </c>
      <c r="J67" s="1495">
        <f t="shared" si="85"/>
        <v>0</v>
      </c>
      <c r="K67" s="1495">
        <f t="shared" si="85"/>
        <v>0</v>
      </c>
      <c r="L67" s="1495">
        <f>K67</f>
        <v>0</v>
      </c>
      <c r="M67" s="1495">
        <f t="shared" si="85"/>
        <v>0</v>
      </c>
      <c r="N67" s="1495">
        <f t="shared" si="85"/>
        <v>0</v>
      </c>
      <c r="O67" s="1495">
        <f t="shared" si="85"/>
        <v>0</v>
      </c>
      <c r="P67" s="1495">
        <f t="shared" si="85"/>
        <v>0</v>
      </c>
      <c r="Q67" s="1495">
        <f t="shared" si="85"/>
        <v>0</v>
      </c>
    </row>
    <row r="68" spans="1:17" ht="17.100000000000001" customHeight="1" x14ac:dyDescent="0.25">
      <c r="A68" s="1478">
        <f ca="1">IF(SUM(G68:Q68)&lt;&gt;0,1,0)</f>
        <v>1</v>
      </c>
      <c r="B68" s="1485"/>
      <c r="C68" s="1572" t="s">
        <v>94</v>
      </c>
      <c r="D68" s="1573" t="s">
        <v>405</v>
      </c>
      <c r="E68" s="1574">
        <f>SUM(E32,E6)</f>
        <v>327.86350123599999</v>
      </c>
      <c r="F68" s="1574">
        <f t="shared" ref="F68:G68" si="86">SUM(F32,F6)</f>
        <v>414.60034310199995</v>
      </c>
      <c r="G68" s="1574">
        <f t="shared" si="86"/>
        <v>623.39642434899997</v>
      </c>
      <c r="H68" s="1574">
        <f ca="1">H32+H6</f>
        <v>290.50637707201145</v>
      </c>
      <c r="I68" s="1574">
        <f t="shared" ref="I68:Q68" ca="1" si="87">SUM(I32,I6)</f>
        <v>277.12695272807207</v>
      </c>
      <c r="J68" s="1574">
        <f t="shared" ca="1" si="87"/>
        <v>262.62542453850915</v>
      </c>
      <c r="K68" s="1574">
        <f t="shared" ca="1" si="87"/>
        <v>262.35276015665062</v>
      </c>
      <c r="L68" s="1574">
        <f t="shared" ca="1" si="87"/>
        <v>293.71353244173065</v>
      </c>
      <c r="M68" s="1574">
        <f t="shared" ca="1" si="87"/>
        <v>327.29625584435001</v>
      </c>
      <c r="N68" s="1574">
        <f t="shared" ca="1" si="87"/>
        <v>361.31300826625494</v>
      </c>
      <c r="O68" s="1574">
        <f t="shared" ca="1" si="87"/>
        <v>396.168968072506</v>
      </c>
      <c r="P68" s="1574">
        <f t="shared" ca="1" si="87"/>
        <v>431.96419571156406</v>
      </c>
      <c r="Q68" s="1575">
        <f t="shared" ca="1" si="87"/>
        <v>468.4302219206532</v>
      </c>
    </row>
    <row r="69" spans="1:17" x14ac:dyDescent="0.25">
      <c r="A69" s="1478">
        <v>1</v>
      </c>
      <c r="B69" s="1485"/>
      <c r="C69" s="1559"/>
      <c r="D69" s="1559"/>
      <c r="E69" s="1560">
        <f>E68-E123</f>
        <v>0</v>
      </c>
      <c r="F69" s="1560">
        <f>F68-F123</f>
        <v>2.8327999990551689E-4</v>
      </c>
      <c r="G69" s="1560">
        <f t="shared" ref="G69:L69" si="88">G68-G123</f>
        <v>48.579898930000013</v>
      </c>
      <c r="H69" s="1560">
        <f t="shared" ca="1" si="88"/>
        <v>48.579898930000013</v>
      </c>
      <c r="I69" s="1560">
        <f t="shared" ca="1" si="88"/>
        <v>48.579898929999956</v>
      </c>
      <c r="J69" s="1560">
        <f t="shared" ca="1" si="88"/>
        <v>48.579898929999899</v>
      </c>
      <c r="K69" s="1560">
        <f t="shared" ca="1" si="88"/>
        <v>48.579898929999842</v>
      </c>
      <c r="L69" s="1560">
        <f t="shared" ca="1" si="88"/>
        <v>48.579898929999871</v>
      </c>
      <c r="M69" s="1560">
        <f t="shared" ref="M69:Q69" ca="1" si="89">M68-M123</f>
        <v>48.579898929999786</v>
      </c>
      <c r="N69" s="1560">
        <f t="shared" ca="1" si="89"/>
        <v>48.579898929999786</v>
      </c>
      <c r="O69" s="1560">
        <f t="shared" ca="1" si="89"/>
        <v>48.579898929999786</v>
      </c>
      <c r="P69" s="1560">
        <f t="shared" ca="1" si="89"/>
        <v>48.579898929999786</v>
      </c>
      <c r="Q69" s="1560">
        <f t="shared" ca="1" si="89"/>
        <v>48.579898929999672</v>
      </c>
    </row>
    <row r="70" spans="1:17" x14ac:dyDescent="0.25">
      <c r="A70" s="1478">
        <v>1</v>
      </c>
      <c r="B70" s="1485"/>
      <c r="C70" s="1561"/>
      <c r="D70" s="1561"/>
      <c r="E70" s="1562"/>
      <c r="F70" s="1562"/>
      <c r="G70" s="1562"/>
      <c r="H70" s="1562"/>
      <c r="I70" s="1562"/>
      <c r="J70" s="1562"/>
      <c r="K70" s="1562"/>
      <c r="L70" s="1562"/>
      <c r="M70" s="1562"/>
      <c r="N70" s="1562"/>
      <c r="O70" s="1562"/>
      <c r="P70" s="1562"/>
      <c r="Q70" s="1562"/>
    </row>
    <row r="71" spans="1:17" ht="17.100000000000001" customHeight="1" x14ac:dyDescent="0.25">
      <c r="A71" s="1478">
        <v>1</v>
      </c>
      <c r="B71" s="1545"/>
      <c r="C71" s="1563" t="s">
        <v>95</v>
      </c>
      <c r="D71" s="1537"/>
      <c r="E71" s="922"/>
      <c r="F71" s="922"/>
      <c r="G71" s="1564"/>
      <c r="H71" s="1564"/>
      <c r="I71" s="1564"/>
      <c r="J71" s="1564"/>
      <c r="K71" s="1564"/>
      <c r="L71" s="1564"/>
      <c r="M71" s="1564"/>
      <c r="N71" s="1564"/>
      <c r="O71" s="1564"/>
      <c r="P71" s="1564"/>
      <c r="Q71" s="1564"/>
    </row>
    <row r="72" spans="1:17" ht="17.100000000000001" customHeight="1" x14ac:dyDescent="0.25">
      <c r="A72" s="1478">
        <f t="shared" ref="A72:A119" ca="1" si="90">IF(SUM(G72:Q72)&lt;&gt;0,1,0)</f>
        <v>1</v>
      </c>
      <c r="B72" s="1552" t="s">
        <v>96</v>
      </c>
      <c r="C72" s="1553" t="s">
        <v>97</v>
      </c>
      <c r="D72" s="1537" t="s">
        <v>406</v>
      </c>
      <c r="E72" s="1481">
        <f t="shared" ref="E72" si="91">E73+E88</f>
        <v>262.986739086</v>
      </c>
      <c r="F72" s="1481">
        <f t="shared" ref="F72:Q72" si="92">F73+F88</f>
        <v>339.34042362500003</v>
      </c>
      <c r="G72" s="1481">
        <f t="shared" si="92"/>
        <v>519.55710894999993</v>
      </c>
      <c r="H72" s="1481">
        <f t="shared" ca="1" si="92"/>
        <v>181.26099868411603</v>
      </c>
      <c r="I72" s="1481">
        <f t="shared" ca="1" si="92"/>
        <v>155.01971609923552</v>
      </c>
      <c r="J72" s="1481">
        <f t="shared" ca="1" si="92"/>
        <v>121.34570743199578</v>
      </c>
      <c r="K72" s="1481">
        <f t="shared" ca="1" si="92"/>
        <v>92.803463575782843</v>
      </c>
      <c r="L72" s="1481">
        <f t="shared" ca="1" si="92"/>
        <v>92.82343083059294</v>
      </c>
      <c r="M72" s="1481">
        <f ca="1">M73+M88</f>
        <v>92.834928024717343</v>
      </c>
      <c r="N72" s="1481">
        <f t="shared" ca="1" si="92"/>
        <v>92.858282359869307</v>
      </c>
      <c r="O72" s="1481">
        <f t="shared" ca="1" si="92"/>
        <v>92.880786109422644</v>
      </c>
      <c r="P72" s="1481">
        <f t="shared" ca="1" si="92"/>
        <v>92.901196772428932</v>
      </c>
      <c r="Q72" s="523">
        <f t="shared" ca="1" si="92"/>
        <v>92.924416804508084</v>
      </c>
    </row>
    <row r="73" spans="1:17" ht="17.100000000000001" customHeight="1" x14ac:dyDescent="0.25">
      <c r="A73" s="1478">
        <f t="shared" ca="1" si="90"/>
        <v>1</v>
      </c>
      <c r="B73" s="1552" t="s">
        <v>27</v>
      </c>
      <c r="C73" s="1553" t="s">
        <v>98</v>
      </c>
      <c r="D73" s="1537" t="s">
        <v>408</v>
      </c>
      <c r="E73" s="1481">
        <f t="shared" ref="E73" si="93">SUM(E74:E87)</f>
        <v>262.986739086</v>
      </c>
      <c r="F73" s="1481">
        <f t="shared" ref="F73:Q73" si="94">SUM(F74:F87)</f>
        <v>339.34042362500003</v>
      </c>
      <c r="G73" s="1481">
        <f t="shared" si="94"/>
        <v>487.63170225199997</v>
      </c>
      <c r="H73" s="1481">
        <f t="shared" ca="1" si="94"/>
        <v>162.20407744211604</v>
      </c>
      <c r="I73" s="1481">
        <f ca="1">SUM(I74:I87)</f>
        <v>146.15770857823551</v>
      </c>
      <c r="J73" s="1481">
        <f t="shared" ca="1" si="94"/>
        <v>118.97075742999577</v>
      </c>
      <c r="K73" s="1481">
        <f t="shared" ca="1" si="94"/>
        <v>92.803463575782843</v>
      </c>
      <c r="L73" s="1481">
        <f t="shared" ca="1" si="94"/>
        <v>92.82343083059294</v>
      </c>
      <c r="M73" s="1481">
        <f t="shared" ca="1" si="94"/>
        <v>92.834928024717343</v>
      </c>
      <c r="N73" s="1481">
        <f t="shared" ca="1" si="94"/>
        <v>92.858282359869307</v>
      </c>
      <c r="O73" s="1481">
        <f ca="1">SUM(O74:O87)</f>
        <v>92.880786109422644</v>
      </c>
      <c r="P73" s="1481">
        <f t="shared" ca="1" si="94"/>
        <v>92.901196772428932</v>
      </c>
      <c r="Q73" s="523">
        <f t="shared" ca="1" si="94"/>
        <v>92.924416804508084</v>
      </c>
    </row>
    <row r="74" spans="1:17" ht="17.100000000000001" customHeight="1" x14ac:dyDescent="0.25">
      <c r="A74" s="1478">
        <f t="shared" ca="1" si="90"/>
        <v>1</v>
      </c>
      <c r="B74" s="1554" t="s">
        <v>29</v>
      </c>
      <c r="C74" s="1540" t="s">
        <v>409</v>
      </c>
      <c r="D74" s="1538" t="s">
        <v>410</v>
      </c>
      <c r="E74" s="1550">
        <f>'1.BC_Muc tieu (ty) '!K99</f>
        <v>45.384768324999996</v>
      </c>
      <c r="F74" s="1550">
        <f>'1.BC_Muc tieu (ty) '!R99</f>
        <v>81.222388960000004</v>
      </c>
      <c r="G74" s="1551">
        <f>'1.BC_Muc tieu (ty) '!AL99</f>
        <v>204.94595830900002</v>
      </c>
      <c r="H74" s="1551">
        <f ca="1">'3.CP-TC'!F51</f>
        <v>2.2073735726171093</v>
      </c>
      <c r="I74" s="1551">
        <f ca="1">'3.CP-TC'!G51</f>
        <v>2.2314655959874798</v>
      </c>
      <c r="J74" s="1551">
        <f ca="1">'3.CP-TC'!H51</f>
        <v>2.2499011831794915</v>
      </c>
      <c r="K74" s="1551">
        <f ca="1">'3.CP-TC'!I51</f>
        <v>2.2660829867828411</v>
      </c>
      <c r="L74" s="1551">
        <f ca="1">'3.CP-TC'!J51</f>
        <v>2.2860502415929358</v>
      </c>
      <c r="M74" s="1551">
        <f ca="1">'3.CP-TC'!K51</f>
        <v>2.2975474357173407</v>
      </c>
      <c r="N74" s="1551">
        <f ca="1">'3.CP-TC'!L51</f>
        <v>2.3209017708693045</v>
      </c>
      <c r="O74" s="1551">
        <f ca="1">'3.CP-TC'!M51</f>
        <v>2.3434055204226532</v>
      </c>
      <c r="P74" s="1551">
        <f ca="1">'3.CP-TC'!N51</f>
        <v>2.363816183428924</v>
      </c>
      <c r="Q74" s="1551">
        <f ca="1">'3.CP-TC'!O51</f>
        <v>2.3870362155080826</v>
      </c>
    </row>
    <row r="75" spans="1:17" ht="17.100000000000001" customHeight="1" x14ac:dyDescent="0.25">
      <c r="A75" s="1478">
        <f t="shared" si="90"/>
        <v>1</v>
      </c>
      <c r="B75" s="1554" t="s">
        <v>31</v>
      </c>
      <c r="C75" s="1540" t="s">
        <v>411</v>
      </c>
      <c r="D75" s="1538" t="s">
        <v>412</v>
      </c>
      <c r="E75" s="1550">
        <f>'1.BC_Muc tieu (ty) '!K100</f>
        <v>1.2771877</v>
      </c>
      <c r="F75" s="1550">
        <f>'1.BC_Muc tieu (ty) '!R100</f>
        <v>12.397577113000001</v>
      </c>
      <c r="G75" s="1551">
        <f>'1.BC_Muc tieu (ty) '!AL100</f>
        <v>58.195116415000001</v>
      </c>
      <c r="H75" s="1551">
        <f t="shared" ref="H75:Q87" si="95">G75</f>
        <v>58.195116415000001</v>
      </c>
      <c r="I75" s="1551">
        <f t="shared" si="95"/>
        <v>58.195116415000001</v>
      </c>
      <c r="J75" s="1551">
        <f t="shared" si="95"/>
        <v>58.195116415000001</v>
      </c>
      <c r="K75" s="1551">
        <f t="shared" si="95"/>
        <v>58.195116415000001</v>
      </c>
      <c r="L75" s="1551">
        <f t="shared" si="95"/>
        <v>58.195116415000001</v>
      </c>
      <c r="M75" s="1551">
        <f t="shared" si="95"/>
        <v>58.195116415000001</v>
      </c>
      <c r="N75" s="1551">
        <f t="shared" si="95"/>
        <v>58.195116415000001</v>
      </c>
      <c r="O75" s="1551">
        <f t="shared" si="95"/>
        <v>58.195116415000001</v>
      </c>
      <c r="P75" s="1551">
        <f t="shared" si="95"/>
        <v>58.195116415000001</v>
      </c>
      <c r="Q75" s="1551">
        <f t="shared" si="95"/>
        <v>58.195116415000001</v>
      </c>
    </row>
    <row r="76" spans="1:17" ht="17.100000000000001" customHeight="1" x14ac:dyDescent="0.25">
      <c r="A76" s="1478">
        <f t="shared" si="90"/>
        <v>1</v>
      </c>
      <c r="B76" s="1554" t="s">
        <v>37</v>
      </c>
      <c r="C76" s="1540" t="s">
        <v>413</v>
      </c>
      <c r="D76" s="1538" t="s">
        <v>414</v>
      </c>
      <c r="E76" s="1550">
        <f>'1.BC_Muc tieu (ty) '!K101</f>
        <v>1.7927235379999997</v>
      </c>
      <c r="F76" s="1550">
        <f>'1.BC_Muc tieu (ty) '!R101</f>
        <v>1.7719731409999999</v>
      </c>
      <c r="G76" s="1551">
        <f>'1.BC_Muc tieu (ty) '!AL101</f>
        <v>0.48461812100000001</v>
      </c>
      <c r="H76" s="1551">
        <f t="shared" si="95"/>
        <v>0.48461812100000001</v>
      </c>
      <c r="I76" s="1551">
        <f t="shared" si="95"/>
        <v>0.48461812100000001</v>
      </c>
      <c r="J76" s="1551">
        <f t="shared" si="95"/>
        <v>0.48461812100000001</v>
      </c>
      <c r="K76" s="1551">
        <f t="shared" si="95"/>
        <v>0.48461812100000001</v>
      </c>
      <c r="L76" s="1551">
        <f t="shared" si="95"/>
        <v>0.48461812100000001</v>
      </c>
      <c r="M76" s="1551">
        <f t="shared" si="95"/>
        <v>0.48461812100000001</v>
      </c>
      <c r="N76" s="1551">
        <f t="shared" si="95"/>
        <v>0.48461812100000001</v>
      </c>
      <c r="O76" s="1551">
        <f t="shared" si="95"/>
        <v>0.48461812100000001</v>
      </c>
      <c r="P76" s="1551">
        <f t="shared" si="95"/>
        <v>0.48461812100000001</v>
      </c>
      <c r="Q76" s="1551">
        <f t="shared" si="95"/>
        <v>0.48461812100000001</v>
      </c>
    </row>
    <row r="77" spans="1:17" ht="17.100000000000001" customHeight="1" x14ac:dyDescent="0.25">
      <c r="A77" s="1478">
        <f t="shared" si="90"/>
        <v>1</v>
      </c>
      <c r="B77" s="1554" t="s">
        <v>44</v>
      </c>
      <c r="C77" s="1540" t="s">
        <v>415</v>
      </c>
      <c r="D77" s="1538" t="s">
        <v>416</v>
      </c>
      <c r="E77" s="1550">
        <f>'1.BC_Muc tieu (ty) '!K102</f>
        <v>0</v>
      </c>
      <c r="F77" s="1550">
        <f>'1.BC_Muc tieu (ty) '!R102</f>
        <v>0</v>
      </c>
      <c r="G77" s="1551">
        <f>'1.BC_Muc tieu (ty) '!AL102</f>
        <v>-1.265968</v>
      </c>
      <c r="H77" s="1551">
        <f t="shared" si="95"/>
        <v>-1.265968</v>
      </c>
      <c r="I77" s="1551">
        <f t="shared" si="95"/>
        <v>-1.265968</v>
      </c>
      <c r="J77" s="1551">
        <f t="shared" si="95"/>
        <v>-1.265968</v>
      </c>
      <c r="K77" s="1551">
        <f t="shared" si="95"/>
        <v>-1.265968</v>
      </c>
      <c r="L77" s="1551">
        <f t="shared" si="95"/>
        <v>-1.265968</v>
      </c>
      <c r="M77" s="1551">
        <f t="shared" si="95"/>
        <v>-1.265968</v>
      </c>
      <c r="N77" s="1551">
        <f t="shared" si="95"/>
        <v>-1.265968</v>
      </c>
      <c r="O77" s="1551">
        <f t="shared" si="95"/>
        <v>-1.265968</v>
      </c>
      <c r="P77" s="1551">
        <f t="shared" si="95"/>
        <v>-1.265968</v>
      </c>
      <c r="Q77" s="1551">
        <f t="shared" si="95"/>
        <v>-1.265968</v>
      </c>
    </row>
    <row r="78" spans="1:17" ht="17.100000000000001" hidden="1" customHeight="1" x14ac:dyDescent="0.25">
      <c r="A78" s="1487">
        <f t="shared" si="90"/>
        <v>0</v>
      </c>
      <c r="B78" s="1492" t="s">
        <v>46</v>
      </c>
      <c r="C78" s="1540" t="s">
        <v>417</v>
      </c>
      <c r="D78" s="1538" t="s">
        <v>418</v>
      </c>
      <c r="E78" s="1495">
        <f>'1.BC_Muc tieu (ty) '!K103</f>
        <v>0</v>
      </c>
      <c r="F78" s="1495">
        <f>'1.BC_Muc tieu (ty) '!R103</f>
        <v>0</v>
      </c>
      <c r="G78" s="1494">
        <f>'1.BC_Muc tieu (ty) '!AL103</f>
        <v>0</v>
      </c>
      <c r="H78" s="1494">
        <f t="shared" si="95"/>
        <v>0</v>
      </c>
      <c r="I78" s="1494">
        <f t="shared" si="95"/>
        <v>0</v>
      </c>
      <c r="J78" s="1494">
        <f t="shared" si="95"/>
        <v>0</v>
      </c>
      <c r="K78" s="1494">
        <f t="shared" si="95"/>
        <v>0</v>
      </c>
      <c r="L78" s="1494">
        <f t="shared" si="95"/>
        <v>0</v>
      </c>
      <c r="M78" s="1494">
        <f t="shared" si="95"/>
        <v>0</v>
      </c>
      <c r="N78" s="1494">
        <f t="shared" si="95"/>
        <v>0</v>
      </c>
      <c r="O78" s="1494">
        <f t="shared" si="95"/>
        <v>0</v>
      </c>
      <c r="P78" s="1494">
        <f t="shared" si="95"/>
        <v>0</v>
      </c>
      <c r="Q78" s="1494">
        <f t="shared" si="95"/>
        <v>0</v>
      </c>
    </row>
    <row r="79" spans="1:17" ht="17.100000000000001" hidden="1" customHeight="1" x14ac:dyDescent="0.25">
      <c r="A79" s="1487">
        <f t="shared" si="90"/>
        <v>0</v>
      </c>
      <c r="B79" s="1492" t="s">
        <v>48</v>
      </c>
      <c r="C79" s="1540" t="s">
        <v>419</v>
      </c>
      <c r="D79" s="1538" t="s">
        <v>420</v>
      </c>
      <c r="E79" s="1495">
        <f>'1.BC_Muc tieu (ty) '!K104</f>
        <v>0</v>
      </c>
      <c r="F79" s="1495">
        <f>'1.BC_Muc tieu (ty) '!R104</f>
        <v>0</v>
      </c>
      <c r="G79" s="1494">
        <f>'1.BC_Muc tieu (ty) '!AL104</f>
        <v>0</v>
      </c>
      <c r="H79" s="1494">
        <f t="shared" si="95"/>
        <v>0</v>
      </c>
      <c r="I79" s="1494">
        <f t="shared" si="95"/>
        <v>0</v>
      </c>
      <c r="J79" s="1494">
        <f t="shared" si="95"/>
        <v>0</v>
      </c>
      <c r="K79" s="1494">
        <f t="shared" si="95"/>
        <v>0</v>
      </c>
      <c r="L79" s="1494">
        <f t="shared" si="95"/>
        <v>0</v>
      </c>
      <c r="M79" s="1494">
        <f t="shared" si="95"/>
        <v>0</v>
      </c>
      <c r="N79" s="1494">
        <f t="shared" si="95"/>
        <v>0</v>
      </c>
      <c r="O79" s="1494">
        <f t="shared" si="95"/>
        <v>0</v>
      </c>
      <c r="P79" s="1494">
        <f t="shared" si="95"/>
        <v>0</v>
      </c>
      <c r="Q79" s="1494">
        <f t="shared" si="95"/>
        <v>0</v>
      </c>
    </row>
    <row r="80" spans="1:17" ht="17.100000000000001" hidden="1" customHeight="1" x14ac:dyDescent="0.25">
      <c r="A80" s="1487">
        <f t="shared" si="90"/>
        <v>0</v>
      </c>
      <c r="B80" s="1492" t="s">
        <v>50</v>
      </c>
      <c r="C80" s="1540" t="s">
        <v>421</v>
      </c>
      <c r="D80" s="1538" t="s">
        <v>422</v>
      </c>
      <c r="E80" s="1495">
        <f>'1.BC_Muc tieu (ty) '!K105</f>
        <v>0</v>
      </c>
      <c r="F80" s="1495">
        <f>'1.BC_Muc tieu (ty) '!R105</f>
        <v>0</v>
      </c>
      <c r="G80" s="1494">
        <f>'1.BC_Muc tieu (ty) '!AL105</f>
        <v>0</v>
      </c>
      <c r="H80" s="1494">
        <f t="shared" si="95"/>
        <v>0</v>
      </c>
      <c r="I80" s="1494">
        <f t="shared" si="95"/>
        <v>0</v>
      </c>
      <c r="J80" s="1494">
        <f t="shared" si="95"/>
        <v>0</v>
      </c>
      <c r="K80" s="1494">
        <f t="shared" si="95"/>
        <v>0</v>
      </c>
      <c r="L80" s="1494">
        <f t="shared" si="95"/>
        <v>0</v>
      </c>
      <c r="M80" s="1494">
        <f t="shared" si="95"/>
        <v>0</v>
      </c>
      <c r="N80" s="1494">
        <f t="shared" si="95"/>
        <v>0</v>
      </c>
      <c r="O80" s="1494">
        <f t="shared" si="95"/>
        <v>0</v>
      </c>
      <c r="P80" s="1494">
        <f t="shared" si="95"/>
        <v>0</v>
      </c>
      <c r="Q80" s="1494">
        <f t="shared" si="95"/>
        <v>0</v>
      </c>
    </row>
    <row r="81" spans="1:17" ht="17.100000000000001" hidden="1" customHeight="1" x14ac:dyDescent="0.25">
      <c r="A81" s="1487">
        <f t="shared" si="90"/>
        <v>0</v>
      </c>
      <c r="B81" s="1492" t="s">
        <v>52</v>
      </c>
      <c r="C81" s="1540" t="s">
        <v>423</v>
      </c>
      <c r="D81" s="1538" t="s">
        <v>424</v>
      </c>
      <c r="E81" s="1495">
        <f>'1.BC_Muc tieu (ty) '!K106</f>
        <v>0</v>
      </c>
      <c r="F81" s="1495">
        <f>'1.BC_Muc tieu (ty) '!R106</f>
        <v>0</v>
      </c>
      <c r="G81" s="1494">
        <f>'1.BC_Muc tieu (ty) '!AL106</f>
        <v>0</v>
      </c>
      <c r="H81" s="1494">
        <f t="shared" si="95"/>
        <v>0</v>
      </c>
      <c r="I81" s="1494">
        <f t="shared" si="95"/>
        <v>0</v>
      </c>
      <c r="J81" s="1494">
        <f t="shared" si="95"/>
        <v>0</v>
      </c>
      <c r="K81" s="1494">
        <f t="shared" si="95"/>
        <v>0</v>
      </c>
      <c r="L81" s="1494">
        <f t="shared" si="95"/>
        <v>0</v>
      </c>
      <c r="M81" s="1494">
        <f t="shared" si="95"/>
        <v>0</v>
      </c>
      <c r="N81" s="1494">
        <f t="shared" si="95"/>
        <v>0</v>
      </c>
      <c r="O81" s="1494">
        <f t="shared" si="95"/>
        <v>0</v>
      </c>
      <c r="P81" s="1494">
        <f t="shared" si="95"/>
        <v>0</v>
      </c>
      <c r="Q81" s="1494">
        <f t="shared" si="95"/>
        <v>0</v>
      </c>
    </row>
    <row r="82" spans="1:17" ht="17.100000000000001" customHeight="1" x14ac:dyDescent="0.25">
      <c r="A82" s="1478">
        <f t="shared" si="90"/>
        <v>1</v>
      </c>
      <c r="B82" s="1554" t="s">
        <v>99</v>
      </c>
      <c r="C82" s="1540" t="s">
        <v>425</v>
      </c>
      <c r="D82" s="1538" t="s">
        <v>426</v>
      </c>
      <c r="E82" s="1550">
        <f>'1.BC_Muc tieu (ty) '!K107</f>
        <v>0</v>
      </c>
      <c r="F82" s="1550">
        <f>'1.BC_Muc tieu (ty) '!R107</f>
        <v>1</v>
      </c>
      <c r="G82" s="1551">
        <f>'1.BC_Muc tieu (ty) '!AL107</f>
        <v>33.123614053000004</v>
      </c>
      <c r="H82" s="1551">
        <f t="shared" si="95"/>
        <v>33.123614053000004</v>
      </c>
      <c r="I82" s="1551">
        <f t="shared" si="95"/>
        <v>33.123614053000004</v>
      </c>
      <c r="J82" s="1551">
        <f t="shared" si="95"/>
        <v>33.123614053000004</v>
      </c>
      <c r="K82" s="1551">
        <f t="shared" si="95"/>
        <v>33.123614053000004</v>
      </c>
      <c r="L82" s="1551">
        <f t="shared" si="95"/>
        <v>33.123614053000004</v>
      </c>
      <c r="M82" s="1551">
        <f t="shared" si="95"/>
        <v>33.123614053000004</v>
      </c>
      <c r="N82" s="1551">
        <f t="shared" si="95"/>
        <v>33.123614053000004</v>
      </c>
      <c r="O82" s="1551">
        <f t="shared" si="95"/>
        <v>33.123614053000004</v>
      </c>
      <c r="P82" s="1551">
        <f t="shared" si="95"/>
        <v>33.123614053000004</v>
      </c>
      <c r="Q82" s="1551">
        <f t="shared" si="95"/>
        <v>33.123614053000004</v>
      </c>
    </row>
    <row r="83" spans="1:17" ht="17.100000000000001" customHeight="1" x14ac:dyDescent="0.25">
      <c r="A83" s="1478">
        <f t="shared" ca="1" si="90"/>
        <v>1</v>
      </c>
      <c r="B83" s="1565" t="s">
        <v>101</v>
      </c>
      <c r="C83" s="1540" t="s">
        <v>427</v>
      </c>
      <c r="D83" s="1538" t="s">
        <v>428</v>
      </c>
      <c r="E83" s="1550">
        <f>'1.BC_Muc tieu (ty) '!K108</f>
        <v>214.53205952299999</v>
      </c>
      <c r="F83" s="1550">
        <f>'1.BC_Muc tieu (ty) '!R108</f>
        <v>242.94848441100001</v>
      </c>
      <c r="G83" s="1551">
        <f>'1.BC_Muc tieu (ty) '!AL108</f>
        <v>192.148363354</v>
      </c>
      <c r="H83" s="1551">
        <f>'3.CP-TC'!F72</f>
        <v>69.459323280498921</v>
      </c>
      <c r="I83" s="1551">
        <f ca="1">'3.CP-TC'!G72</f>
        <v>53.388862393248033</v>
      </c>
      <c r="J83" s="1551">
        <f ca="1">'3.CP-TC'!H72</f>
        <v>26.183475657816288</v>
      </c>
      <c r="K83" s="1551">
        <f ca="1">'3.CP-TC'!I72</f>
        <v>0</v>
      </c>
      <c r="L83" s="1551">
        <f ca="1">'3.CP-TC'!J72</f>
        <v>0</v>
      </c>
      <c r="M83" s="1551">
        <f ca="1">'3.CP-TC'!K72</f>
        <v>0</v>
      </c>
      <c r="N83" s="1551">
        <f ca="1">'3.CP-TC'!L72</f>
        <v>0</v>
      </c>
      <c r="O83" s="1551">
        <f ca="1">'3.CP-TC'!M72</f>
        <v>0</v>
      </c>
      <c r="P83" s="1551">
        <f ca="1">'3.CP-TC'!N72</f>
        <v>0</v>
      </c>
      <c r="Q83" s="1551">
        <f ca="1">'3.CP-TC'!O72</f>
        <v>0</v>
      </c>
    </row>
    <row r="84" spans="1:17" ht="17.100000000000001" hidden="1" customHeight="1" x14ac:dyDescent="0.25">
      <c r="A84" s="1487">
        <f t="shared" si="90"/>
        <v>0</v>
      </c>
      <c r="B84" s="1492" t="s">
        <v>102</v>
      </c>
      <c r="C84" s="1540" t="s">
        <v>429</v>
      </c>
      <c r="D84" s="1538" t="s">
        <v>430</v>
      </c>
      <c r="E84" s="1495">
        <f>'1.BC_Muc tieu (ty) '!K109</f>
        <v>0</v>
      </c>
      <c r="F84" s="1495">
        <f>'1.BC_Muc tieu (ty) '!R109</f>
        <v>0</v>
      </c>
      <c r="G84" s="1494">
        <f>'1.BC_Muc tieu (ty) '!AL109</f>
        <v>0</v>
      </c>
      <c r="H84" s="1494">
        <f t="shared" si="95"/>
        <v>0</v>
      </c>
      <c r="I84" s="1494">
        <f t="shared" si="95"/>
        <v>0</v>
      </c>
      <c r="J84" s="1494">
        <f t="shared" si="95"/>
        <v>0</v>
      </c>
      <c r="K84" s="1494">
        <f t="shared" si="95"/>
        <v>0</v>
      </c>
      <c r="L84" s="1494">
        <f t="shared" si="95"/>
        <v>0</v>
      </c>
      <c r="M84" s="1494">
        <f t="shared" si="95"/>
        <v>0</v>
      </c>
      <c r="N84" s="1494">
        <f t="shared" si="95"/>
        <v>0</v>
      </c>
      <c r="O84" s="1494">
        <f t="shared" si="95"/>
        <v>0</v>
      </c>
      <c r="P84" s="1494">
        <f t="shared" si="95"/>
        <v>0</v>
      </c>
      <c r="Q84" s="1494">
        <f t="shared" si="95"/>
        <v>0</v>
      </c>
    </row>
    <row r="85" spans="1:17" ht="17.100000000000001" hidden="1" customHeight="1" x14ac:dyDescent="0.25">
      <c r="A85" s="1487">
        <f t="shared" si="90"/>
        <v>0</v>
      </c>
      <c r="B85" s="1492" t="s">
        <v>103</v>
      </c>
      <c r="C85" s="1540" t="s">
        <v>431</v>
      </c>
      <c r="D85" s="1538" t="s">
        <v>432</v>
      </c>
      <c r="E85" s="1495">
        <f>'1.BC_Muc tieu (ty) '!K110</f>
        <v>0</v>
      </c>
      <c r="F85" s="1495">
        <f>'1.BC_Muc tieu (ty) '!R110</f>
        <v>0</v>
      </c>
      <c r="G85" s="1494">
        <f>'1.BC_Muc tieu (ty) '!AL110</f>
        <v>0</v>
      </c>
      <c r="H85" s="1494">
        <f t="shared" si="95"/>
        <v>0</v>
      </c>
      <c r="I85" s="1494">
        <f t="shared" si="95"/>
        <v>0</v>
      </c>
      <c r="J85" s="1494">
        <f t="shared" si="95"/>
        <v>0</v>
      </c>
      <c r="K85" s="1494">
        <f t="shared" si="95"/>
        <v>0</v>
      </c>
      <c r="L85" s="1494">
        <f t="shared" si="95"/>
        <v>0</v>
      </c>
      <c r="M85" s="1494">
        <f t="shared" si="95"/>
        <v>0</v>
      </c>
      <c r="N85" s="1494">
        <f t="shared" si="95"/>
        <v>0</v>
      </c>
      <c r="O85" s="1494">
        <f t="shared" si="95"/>
        <v>0</v>
      </c>
      <c r="P85" s="1494">
        <f t="shared" si="95"/>
        <v>0</v>
      </c>
      <c r="Q85" s="1494">
        <f t="shared" si="95"/>
        <v>0</v>
      </c>
    </row>
    <row r="86" spans="1:17" ht="17.100000000000001" hidden="1" customHeight="1" x14ac:dyDescent="0.25">
      <c r="A86" s="1487">
        <f t="shared" si="90"/>
        <v>0</v>
      </c>
      <c r="B86" s="1492" t="s">
        <v>104</v>
      </c>
      <c r="C86" s="1540" t="s">
        <v>433</v>
      </c>
      <c r="D86" s="1538" t="s">
        <v>434</v>
      </c>
      <c r="E86" s="1495">
        <f>'1.BC_Muc tieu (ty) '!K111</f>
        <v>0</v>
      </c>
      <c r="F86" s="1495">
        <f>'1.BC_Muc tieu (ty) '!R111</f>
        <v>0</v>
      </c>
      <c r="G86" s="1494">
        <f>'1.BC_Muc tieu (ty) '!AL111</f>
        <v>0</v>
      </c>
      <c r="H86" s="1494">
        <f t="shared" si="95"/>
        <v>0</v>
      </c>
      <c r="I86" s="1494">
        <f t="shared" si="95"/>
        <v>0</v>
      </c>
      <c r="J86" s="1494">
        <f t="shared" si="95"/>
        <v>0</v>
      </c>
      <c r="K86" s="1494">
        <f t="shared" si="95"/>
        <v>0</v>
      </c>
      <c r="L86" s="1494">
        <f t="shared" si="95"/>
        <v>0</v>
      </c>
      <c r="M86" s="1494">
        <f t="shared" si="95"/>
        <v>0</v>
      </c>
      <c r="N86" s="1494">
        <f t="shared" si="95"/>
        <v>0</v>
      </c>
      <c r="O86" s="1494">
        <f t="shared" si="95"/>
        <v>0</v>
      </c>
      <c r="P86" s="1494">
        <f t="shared" si="95"/>
        <v>0</v>
      </c>
      <c r="Q86" s="1494">
        <f t="shared" si="95"/>
        <v>0</v>
      </c>
    </row>
    <row r="87" spans="1:17" ht="17.100000000000001" hidden="1" customHeight="1" x14ac:dyDescent="0.25">
      <c r="A87" s="1487">
        <f t="shared" si="90"/>
        <v>0</v>
      </c>
      <c r="B87" s="1498" t="s">
        <v>242</v>
      </c>
      <c r="C87" s="1540" t="s">
        <v>435</v>
      </c>
      <c r="D87" s="1538" t="s">
        <v>436</v>
      </c>
      <c r="E87" s="1495">
        <f>'1.BC_Muc tieu (ty) '!K112</f>
        <v>0</v>
      </c>
      <c r="F87" s="1495">
        <f>'1.BC_Muc tieu (ty) '!R112</f>
        <v>0</v>
      </c>
      <c r="G87" s="1494">
        <f>'1.BC_Muc tieu (ty) '!AL112</f>
        <v>0</v>
      </c>
      <c r="H87" s="1494">
        <f t="shared" si="95"/>
        <v>0</v>
      </c>
      <c r="I87" s="1494">
        <f t="shared" si="95"/>
        <v>0</v>
      </c>
      <c r="J87" s="1494">
        <f t="shared" si="95"/>
        <v>0</v>
      </c>
      <c r="K87" s="1494">
        <f t="shared" si="95"/>
        <v>0</v>
      </c>
      <c r="L87" s="1494">
        <f t="shared" si="95"/>
        <v>0</v>
      </c>
      <c r="M87" s="1494">
        <f t="shared" si="95"/>
        <v>0</v>
      </c>
      <c r="N87" s="1494">
        <f t="shared" si="95"/>
        <v>0</v>
      </c>
      <c r="O87" s="1494">
        <f t="shared" si="95"/>
        <v>0</v>
      </c>
      <c r="P87" s="1494">
        <f t="shared" si="95"/>
        <v>0</v>
      </c>
      <c r="Q87" s="1494">
        <f t="shared" si="95"/>
        <v>0</v>
      </c>
    </row>
    <row r="88" spans="1:17" ht="17.100000000000001" customHeight="1" x14ac:dyDescent="0.25">
      <c r="A88" s="1478">
        <f t="shared" si="90"/>
        <v>1</v>
      </c>
      <c r="B88" s="1552" t="s">
        <v>33</v>
      </c>
      <c r="C88" s="1553" t="s">
        <v>105</v>
      </c>
      <c r="D88" s="1537" t="s">
        <v>438</v>
      </c>
      <c r="E88" s="1481">
        <f t="shared" ref="E88:Q88" si="96">SUM(E89:E101)</f>
        <v>0</v>
      </c>
      <c r="F88" s="1481">
        <f t="shared" si="96"/>
        <v>0</v>
      </c>
      <c r="G88" s="1481">
        <f t="shared" si="96"/>
        <v>31.925406698000003</v>
      </c>
      <c r="H88" s="1481">
        <f t="shared" si="96"/>
        <v>19.056921242000001</v>
      </c>
      <c r="I88" s="1481">
        <f t="shared" si="96"/>
        <v>8.8620075210000007</v>
      </c>
      <c r="J88" s="1481">
        <f t="shared" si="96"/>
        <v>2.3749500020000003</v>
      </c>
      <c r="K88" s="1481">
        <f t="shared" si="96"/>
        <v>0</v>
      </c>
      <c r="L88" s="1481">
        <f t="shared" si="96"/>
        <v>0</v>
      </c>
      <c r="M88" s="1481">
        <f t="shared" si="96"/>
        <v>0</v>
      </c>
      <c r="N88" s="1481">
        <f t="shared" si="96"/>
        <v>0</v>
      </c>
      <c r="O88" s="1481">
        <f t="shared" si="96"/>
        <v>0</v>
      </c>
      <c r="P88" s="1481">
        <f t="shared" si="96"/>
        <v>0</v>
      </c>
      <c r="Q88" s="523">
        <f t="shared" si="96"/>
        <v>0</v>
      </c>
    </row>
    <row r="89" spans="1:17" ht="17.100000000000001" hidden="1" customHeight="1" x14ac:dyDescent="0.25">
      <c r="A89" s="1487">
        <f t="shared" si="90"/>
        <v>0</v>
      </c>
      <c r="B89" s="1492" t="s">
        <v>29</v>
      </c>
      <c r="C89" s="1493" t="s">
        <v>106</v>
      </c>
      <c r="D89" s="1538" t="s">
        <v>440</v>
      </c>
      <c r="E89" s="1495">
        <f>'1.BC_Muc tieu (ty) '!K114</f>
        <v>0</v>
      </c>
      <c r="F89" s="1495">
        <f>'1.BC_Muc tieu (ty) '!R114</f>
        <v>0</v>
      </c>
      <c r="G89" s="1494">
        <f>'1.BC_Muc tieu (ty) '!AL114</f>
        <v>0</v>
      </c>
      <c r="H89" s="1495">
        <f>G89</f>
        <v>0</v>
      </c>
      <c r="I89" s="1495">
        <f t="shared" ref="I89:Q89" si="97">H89</f>
        <v>0</v>
      </c>
      <c r="J89" s="1495">
        <f t="shared" si="97"/>
        <v>0</v>
      </c>
      <c r="K89" s="1495">
        <f t="shared" si="97"/>
        <v>0</v>
      </c>
      <c r="L89" s="1495">
        <f t="shared" si="97"/>
        <v>0</v>
      </c>
      <c r="M89" s="1495">
        <f t="shared" si="97"/>
        <v>0</v>
      </c>
      <c r="N89" s="1495">
        <f t="shared" si="97"/>
        <v>0</v>
      </c>
      <c r="O89" s="1495">
        <f t="shared" si="97"/>
        <v>0</v>
      </c>
      <c r="P89" s="1495">
        <f t="shared" si="97"/>
        <v>0</v>
      </c>
      <c r="Q89" s="1495">
        <f t="shared" si="97"/>
        <v>0</v>
      </c>
    </row>
    <row r="90" spans="1:17" ht="17.100000000000001" hidden="1" customHeight="1" x14ac:dyDescent="0.25">
      <c r="A90" s="1487">
        <f t="shared" si="90"/>
        <v>0</v>
      </c>
      <c r="B90" s="1492" t="s">
        <v>31</v>
      </c>
      <c r="C90" s="1493" t="s">
        <v>107</v>
      </c>
      <c r="D90" s="1538" t="s">
        <v>442</v>
      </c>
      <c r="E90" s="1495">
        <f>'1.BC_Muc tieu (ty) '!K115</f>
        <v>0</v>
      </c>
      <c r="F90" s="1495">
        <f>'1.BC_Muc tieu (ty) '!R115</f>
        <v>0</v>
      </c>
      <c r="G90" s="1494">
        <f>'1.BC_Muc tieu (ty) '!AL115</f>
        <v>0</v>
      </c>
      <c r="H90" s="1495">
        <f t="shared" ref="H90:Q95" si="98">G90</f>
        <v>0</v>
      </c>
      <c r="I90" s="1495">
        <f t="shared" si="98"/>
        <v>0</v>
      </c>
      <c r="J90" s="1495">
        <f t="shared" si="98"/>
        <v>0</v>
      </c>
      <c r="K90" s="1495">
        <f t="shared" si="98"/>
        <v>0</v>
      </c>
      <c r="L90" s="1495">
        <f t="shared" si="98"/>
        <v>0</v>
      </c>
      <c r="M90" s="1495">
        <f t="shared" si="98"/>
        <v>0</v>
      </c>
      <c r="N90" s="1495">
        <f t="shared" si="98"/>
        <v>0</v>
      </c>
      <c r="O90" s="1495">
        <f t="shared" si="98"/>
        <v>0</v>
      </c>
      <c r="P90" s="1495">
        <f t="shared" si="98"/>
        <v>0</v>
      </c>
      <c r="Q90" s="1495">
        <f t="shared" si="98"/>
        <v>0</v>
      </c>
    </row>
    <row r="91" spans="1:17" ht="17.100000000000001" hidden="1" customHeight="1" x14ac:dyDescent="0.25">
      <c r="A91" s="1487">
        <f t="shared" si="90"/>
        <v>0</v>
      </c>
      <c r="B91" s="1492" t="s">
        <v>37</v>
      </c>
      <c r="C91" s="1493" t="s">
        <v>108</v>
      </c>
      <c r="D91" s="1538" t="s">
        <v>444</v>
      </c>
      <c r="E91" s="1495">
        <f>'1.BC_Muc tieu (ty) '!K116</f>
        <v>0</v>
      </c>
      <c r="F91" s="1495">
        <f>'1.BC_Muc tieu (ty) '!R116</f>
        <v>0</v>
      </c>
      <c r="G91" s="1494">
        <f>'1.BC_Muc tieu (ty) '!AL116</f>
        <v>0</v>
      </c>
      <c r="H91" s="1495">
        <f t="shared" si="98"/>
        <v>0</v>
      </c>
      <c r="I91" s="1495">
        <f t="shared" si="98"/>
        <v>0</v>
      </c>
      <c r="J91" s="1495">
        <f t="shared" si="98"/>
        <v>0</v>
      </c>
      <c r="K91" s="1495">
        <f t="shared" si="98"/>
        <v>0</v>
      </c>
      <c r="L91" s="1495">
        <f t="shared" si="98"/>
        <v>0</v>
      </c>
      <c r="M91" s="1495">
        <f t="shared" si="98"/>
        <v>0</v>
      </c>
      <c r="N91" s="1495">
        <f t="shared" si="98"/>
        <v>0</v>
      </c>
      <c r="O91" s="1495">
        <f t="shared" si="98"/>
        <v>0</v>
      </c>
      <c r="P91" s="1495">
        <f t="shared" si="98"/>
        <v>0</v>
      </c>
      <c r="Q91" s="1495">
        <f t="shared" si="98"/>
        <v>0</v>
      </c>
    </row>
    <row r="92" spans="1:17" ht="17.100000000000001" hidden="1" customHeight="1" x14ac:dyDescent="0.25">
      <c r="A92" s="1487">
        <f t="shared" si="90"/>
        <v>0</v>
      </c>
      <c r="B92" s="1492" t="s">
        <v>44</v>
      </c>
      <c r="C92" s="1493" t="s">
        <v>109</v>
      </c>
      <c r="D92" s="1538" t="s">
        <v>446</v>
      </c>
      <c r="E92" s="1495">
        <f>'1.BC_Muc tieu (ty) '!K117</f>
        <v>0</v>
      </c>
      <c r="F92" s="1495">
        <f>'1.BC_Muc tieu (ty) '!R117</f>
        <v>0</v>
      </c>
      <c r="G92" s="1494">
        <f>'1.BC_Muc tieu (ty) '!AL117</f>
        <v>0</v>
      </c>
      <c r="H92" s="1495">
        <f t="shared" si="98"/>
        <v>0</v>
      </c>
      <c r="I92" s="1495">
        <f t="shared" si="98"/>
        <v>0</v>
      </c>
      <c r="J92" s="1495">
        <f t="shared" si="98"/>
        <v>0</v>
      </c>
      <c r="K92" s="1495">
        <f t="shared" si="98"/>
        <v>0</v>
      </c>
      <c r="L92" s="1495">
        <f t="shared" si="98"/>
        <v>0</v>
      </c>
      <c r="M92" s="1495">
        <f t="shared" si="98"/>
        <v>0</v>
      </c>
      <c r="N92" s="1495">
        <f t="shared" si="98"/>
        <v>0</v>
      </c>
      <c r="O92" s="1495">
        <f t="shared" si="98"/>
        <v>0</v>
      </c>
      <c r="P92" s="1495">
        <f t="shared" si="98"/>
        <v>0</v>
      </c>
      <c r="Q92" s="1495">
        <f t="shared" si="98"/>
        <v>0</v>
      </c>
    </row>
    <row r="93" spans="1:17" ht="17.100000000000001" hidden="1" customHeight="1" x14ac:dyDescent="0.25">
      <c r="A93" s="1487">
        <f t="shared" si="90"/>
        <v>0</v>
      </c>
      <c r="B93" s="1492" t="s">
        <v>46</v>
      </c>
      <c r="C93" s="1493" t="s">
        <v>110</v>
      </c>
      <c r="D93" s="1538" t="s">
        <v>448</v>
      </c>
      <c r="E93" s="1495">
        <f>'1.BC_Muc tieu (ty) '!K118</f>
        <v>0</v>
      </c>
      <c r="F93" s="1495">
        <f>'1.BC_Muc tieu (ty) '!R118</f>
        <v>0</v>
      </c>
      <c r="G93" s="1494">
        <f>'1.BC_Muc tieu (ty) '!AL118</f>
        <v>0</v>
      </c>
      <c r="H93" s="1495">
        <f t="shared" si="98"/>
        <v>0</v>
      </c>
      <c r="I93" s="1495">
        <f t="shared" si="98"/>
        <v>0</v>
      </c>
      <c r="J93" s="1495">
        <f t="shared" si="98"/>
        <v>0</v>
      </c>
      <c r="K93" s="1495">
        <f t="shared" si="98"/>
        <v>0</v>
      </c>
      <c r="L93" s="1495">
        <f t="shared" si="98"/>
        <v>0</v>
      </c>
      <c r="M93" s="1495">
        <f t="shared" si="98"/>
        <v>0</v>
      </c>
      <c r="N93" s="1495">
        <f t="shared" si="98"/>
        <v>0</v>
      </c>
      <c r="O93" s="1495">
        <f t="shared" si="98"/>
        <v>0</v>
      </c>
      <c r="P93" s="1495">
        <f t="shared" si="98"/>
        <v>0</v>
      </c>
      <c r="Q93" s="1495">
        <f t="shared" si="98"/>
        <v>0</v>
      </c>
    </row>
    <row r="94" spans="1:17" ht="17.100000000000001" hidden="1" customHeight="1" x14ac:dyDescent="0.25">
      <c r="A94" s="1487">
        <f t="shared" si="90"/>
        <v>0</v>
      </c>
      <c r="B94" s="1492" t="s">
        <v>48</v>
      </c>
      <c r="C94" s="1493" t="s">
        <v>111</v>
      </c>
      <c r="D94" s="1538" t="s">
        <v>450</v>
      </c>
      <c r="E94" s="1495">
        <f>'1.BC_Muc tieu (ty) '!K119</f>
        <v>0</v>
      </c>
      <c r="F94" s="1495">
        <f>'1.BC_Muc tieu (ty) '!R119</f>
        <v>0</v>
      </c>
      <c r="G94" s="1494">
        <f>'1.BC_Muc tieu (ty) '!AL119</f>
        <v>0</v>
      </c>
      <c r="H94" s="1495">
        <f t="shared" si="98"/>
        <v>0</v>
      </c>
      <c r="I94" s="1495">
        <f t="shared" si="98"/>
        <v>0</v>
      </c>
      <c r="J94" s="1495">
        <f t="shared" si="98"/>
        <v>0</v>
      </c>
      <c r="K94" s="1495">
        <f t="shared" si="98"/>
        <v>0</v>
      </c>
      <c r="L94" s="1495">
        <f t="shared" si="98"/>
        <v>0</v>
      </c>
      <c r="M94" s="1495">
        <f t="shared" si="98"/>
        <v>0</v>
      </c>
      <c r="N94" s="1495">
        <f t="shared" si="98"/>
        <v>0</v>
      </c>
      <c r="O94" s="1495">
        <f t="shared" si="98"/>
        <v>0</v>
      </c>
      <c r="P94" s="1495">
        <f t="shared" si="98"/>
        <v>0</v>
      </c>
      <c r="Q94" s="1495">
        <f t="shared" si="98"/>
        <v>0</v>
      </c>
    </row>
    <row r="95" spans="1:17" ht="17.100000000000001" hidden="1" customHeight="1" x14ac:dyDescent="0.25">
      <c r="A95" s="1487">
        <f t="shared" si="90"/>
        <v>0</v>
      </c>
      <c r="B95" s="1492" t="s">
        <v>50</v>
      </c>
      <c r="C95" s="1493" t="s">
        <v>112</v>
      </c>
      <c r="D95" s="1538" t="s">
        <v>452</v>
      </c>
      <c r="E95" s="1495">
        <f>'1.BC_Muc tieu (ty) '!K120</f>
        <v>0</v>
      </c>
      <c r="F95" s="1495">
        <f>'1.BC_Muc tieu (ty) '!R120</f>
        <v>0</v>
      </c>
      <c r="G95" s="1494">
        <f>'1.BC_Muc tieu (ty) '!AL120</f>
        <v>0</v>
      </c>
      <c r="H95" s="1495">
        <f t="shared" si="98"/>
        <v>0</v>
      </c>
      <c r="I95" s="1495">
        <f t="shared" si="98"/>
        <v>0</v>
      </c>
      <c r="J95" s="1495">
        <f t="shared" si="98"/>
        <v>0</v>
      </c>
      <c r="K95" s="1495">
        <f t="shared" si="98"/>
        <v>0</v>
      </c>
      <c r="L95" s="1495">
        <f t="shared" si="98"/>
        <v>0</v>
      </c>
      <c r="M95" s="1495">
        <f t="shared" si="98"/>
        <v>0</v>
      </c>
      <c r="N95" s="1495">
        <f t="shared" si="98"/>
        <v>0</v>
      </c>
      <c r="O95" s="1495">
        <f t="shared" si="98"/>
        <v>0</v>
      </c>
      <c r="P95" s="1495">
        <f t="shared" si="98"/>
        <v>0</v>
      </c>
      <c r="Q95" s="1495">
        <f t="shared" si="98"/>
        <v>0</v>
      </c>
    </row>
    <row r="96" spans="1:17" ht="17.100000000000001" customHeight="1" x14ac:dyDescent="0.25">
      <c r="A96" s="1478">
        <f t="shared" si="90"/>
        <v>1</v>
      </c>
      <c r="B96" s="1554" t="s">
        <v>52</v>
      </c>
      <c r="C96" s="1555" t="s">
        <v>113</v>
      </c>
      <c r="D96" s="1538" t="s">
        <v>454</v>
      </c>
      <c r="E96" s="1550">
        <f>'1.BC_Muc tieu (ty) '!K121</f>
        <v>0</v>
      </c>
      <c r="F96" s="1550">
        <f>'1.BC_Muc tieu (ty) '!R121</f>
        <v>0</v>
      </c>
      <c r="G96" s="1551">
        <f>'1.BC_Muc tieu (ty) '!AL121</f>
        <v>31.925406698000003</v>
      </c>
      <c r="H96" s="1551">
        <f>'3.CP-TC'!F28</f>
        <v>19.056921242000001</v>
      </c>
      <c r="I96" s="1551">
        <f>'3.CP-TC'!G28</f>
        <v>8.8620075210000007</v>
      </c>
      <c r="J96" s="1551">
        <f>'3.CP-TC'!H28</f>
        <v>2.3749500020000003</v>
      </c>
      <c r="K96" s="1551">
        <f>'3.CP-TC'!I28</f>
        <v>0</v>
      </c>
      <c r="L96" s="1551">
        <f>'3.CP-TC'!J28</f>
        <v>0</v>
      </c>
      <c r="M96" s="1551">
        <f>'3.CP-TC'!K28</f>
        <v>0</v>
      </c>
      <c r="N96" s="1551">
        <f>'3.CP-TC'!L28</f>
        <v>0</v>
      </c>
      <c r="O96" s="1551">
        <f>'3.CP-TC'!M28</f>
        <v>0</v>
      </c>
      <c r="P96" s="1551">
        <f>'3.CP-TC'!N28</f>
        <v>0</v>
      </c>
      <c r="Q96" s="1551">
        <f>'3.CP-TC'!O28</f>
        <v>0</v>
      </c>
    </row>
    <row r="97" spans="1:17" ht="17.100000000000001" hidden="1" customHeight="1" x14ac:dyDescent="0.25">
      <c r="A97" s="1487">
        <f t="shared" si="90"/>
        <v>0</v>
      </c>
      <c r="B97" s="1492" t="s">
        <v>99</v>
      </c>
      <c r="C97" s="1493" t="s">
        <v>114</v>
      </c>
      <c r="D97" s="1538" t="s">
        <v>456</v>
      </c>
      <c r="E97" s="1495">
        <f>'1.BC_Muc tieu (ty) '!K122</f>
        <v>0</v>
      </c>
      <c r="F97" s="1495">
        <f>'1.BC_Muc tieu (ty) '!R122</f>
        <v>0</v>
      </c>
      <c r="G97" s="1494">
        <f>'1.BC_Muc tieu (ty) '!AL122</f>
        <v>0</v>
      </c>
      <c r="H97" s="1495">
        <f>G97</f>
        <v>0</v>
      </c>
      <c r="I97" s="1495">
        <f t="shared" ref="I97:Q97" si="99">H97</f>
        <v>0</v>
      </c>
      <c r="J97" s="1495">
        <f t="shared" si="99"/>
        <v>0</v>
      </c>
      <c r="K97" s="1495">
        <f t="shared" si="99"/>
        <v>0</v>
      </c>
      <c r="L97" s="1495">
        <f t="shared" si="99"/>
        <v>0</v>
      </c>
      <c r="M97" s="1495">
        <f t="shared" si="99"/>
        <v>0</v>
      </c>
      <c r="N97" s="1495">
        <f t="shared" si="99"/>
        <v>0</v>
      </c>
      <c r="O97" s="1495">
        <f t="shared" si="99"/>
        <v>0</v>
      </c>
      <c r="P97" s="1495">
        <f t="shared" si="99"/>
        <v>0</v>
      </c>
      <c r="Q97" s="1495">
        <f t="shared" si="99"/>
        <v>0</v>
      </c>
    </row>
    <row r="98" spans="1:17" ht="17.100000000000001" hidden="1" customHeight="1" x14ac:dyDescent="0.25">
      <c r="A98" s="1487">
        <f t="shared" si="90"/>
        <v>0</v>
      </c>
      <c r="B98" s="1492" t="s">
        <v>100</v>
      </c>
      <c r="C98" s="1493" t="s">
        <v>115</v>
      </c>
      <c r="D98" s="1538" t="s">
        <v>458</v>
      </c>
      <c r="E98" s="1495">
        <f>'1.BC_Muc tieu (ty) '!K123</f>
        <v>0</v>
      </c>
      <c r="F98" s="1495">
        <f>'1.BC_Muc tieu (ty) '!R123</f>
        <v>0</v>
      </c>
      <c r="G98" s="1494">
        <f>'1.BC_Muc tieu (ty) '!AL123</f>
        <v>0</v>
      </c>
      <c r="H98" s="1495">
        <f t="shared" ref="H98:Q101" si="100">G98</f>
        <v>0</v>
      </c>
      <c r="I98" s="1495">
        <f t="shared" si="100"/>
        <v>0</v>
      </c>
      <c r="J98" s="1495">
        <f t="shared" si="100"/>
        <v>0</v>
      </c>
      <c r="K98" s="1495">
        <f t="shared" si="100"/>
        <v>0</v>
      </c>
      <c r="L98" s="1495">
        <f t="shared" si="100"/>
        <v>0</v>
      </c>
      <c r="M98" s="1495">
        <f t="shared" si="100"/>
        <v>0</v>
      </c>
      <c r="N98" s="1495">
        <f t="shared" si="100"/>
        <v>0</v>
      </c>
      <c r="O98" s="1495">
        <f t="shared" si="100"/>
        <v>0</v>
      </c>
      <c r="P98" s="1495">
        <f t="shared" si="100"/>
        <v>0</v>
      </c>
      <c r="Q98" s="1495">
        <f t="shared" si="100"/>
        <v>0</v>
      </c>
    </row>
    <row r="99" spans="1:17" ht="17.100000000000001" hidden="1" customHeight="1" x14ac:dyDescent="0.25">
      <c r="A99" s="1487">
        <f t="shared" si="90"/>
        <v>0</v>
      </c>
      <c r="B99" s="1492" t="s">
        <v>101</v>
      </c>
      <c r="C99" s="1493" t="s">
        <v>116</v>
      </c>
      <c r="D99" s="1538" t="s">
        <v>459</v>
      </c>
      <c r="E99" s="1495">
        <f>'1.BC_Muc tieu (ty) '!K124</f>
        <v>0</v>
      </c>
      <c r="F99" s="1495">
        <f>'1.BC_Muc tieu (ty) '!R124</f>
        <v>0</v>
      </c>
      <c r="G99" s="1494">
        <f>'1.BC_Muc tieu (ty) '!AL124</f>
        <v>0</v>
      </c>
      <c r="H99" s="1495">
        <f t="shared" si="100"/>
        <v>0</v>
      </c>
      <c r="I99" s="1495">
        <f t="shared" si="100"/>
        <v>0</v>
      </c>
      <c r="J99" s="1495">
        <f t="shared" si="100"/>
        <v>0</v>
      </c>
      <c r="K99" s="1495">
        <f t="shared" si="100"/>
        <v>0</v>
      </c>
      <c r="L99" s="1495">
        <f t="shared" si="100"/>
        <v>0</v>
      </c>
      <c r="M99" s="1495">
        <f t="shared" si="100"/>
        <v>0</v>
      </c>
      <c r="N99" s="1495">
        <f t="shared" si="100"/>
        <v>0</v>
      </c>
      <c r="O99" s="1495">
        <f t="shared" si="100"/>
        <v>0</v>
      </c>
      <c r="P99" s="1495">
        <f t="shared" si="100"/>
        <v>0</v>
      </c>
      <c r="Q99" s="1495">
        <f t="shared" si="100"/>
        <v>0</v>
      </c>
    </row>
    <row r="100" spans="1:17" ht="17.100000000000001" hidden="1" customHeight="1" x14ac:dyDescent="0.25">
      <c r="A100" s="1487">
        <f t="shared" si="90"/>
        <v>0</v>
      </c>
      <c r="B100" s="1492" t="s">
        <v>102</v>
      </c>
      <c r="C100" s="1493" t="s">
        <v>117</v>
      </c>
      <c r="D100" s="1538" t="s">
        <v>461</v>
      </c>
      <c r="E100" s="1495">
        <f>'1.BC_Muc tieu (ty) '!K125</f>
        <v>0</v>
      </c>
      <c r="F100" s="1495">
        <f>'1.BC_Muc tieu (ty) '!R125</f>
        <v>0</v>
      </c>
      <c r="G100" s="1494">
        <f>'1.BC_Muc tieu (ty) '!AL125</f>
        <v>0</v>
      </c>
      <c r="H100" s="1495">
        <f t="shared" si="100"/>
        <v>0</v>
      </c>
      <c r="I100" s="1495">
        <f t="shared" si="100"/>
        <v>0</v>
      </c>
      <c r="J100" s="1495">
        <f t="shared" si="100"/>
        <v>0</v>
      </c>
      <c r="K100" s="1495">
        <f t="shared" si="100"/>
        <v>0</v>
      </c>
      <c r="L100" s="1495">
        <f t="shared" si="100"/>
        <v>0</v>
      </c>
      <c r="M100" s="1495">
        <f t="shared" si="100"/>
        <v>0</v>
      </c>
      <c r="N100" s="1495">
        <f t="shared" si="100"/>
        <v>0</v>
      </c>
      <c r="O100" s="1495">
        <f t="shared" si="100"/>
        <v>0</v>
      </c>
      <c r="P100" s="1495">
        <f t="shared" si="100"/>
        <v>0</v>
      </c>
      <c r="Q100" s="1495">
        <f t="shared" si="100"/>
        <v>0</v>
      </c>
    </row>
    <row r="101" spans="1:17" ht="17.100000000000001" hidden="1" customHeight="1" x14ac:dyDescent="0.25">
      <c r="A101" s="1487">
        <f t="shared" si="90"/>
        <v>0</v>
      </c>
      <c r="B101" s="1492" t="s">
        <v>103</v>
      </c>
      <c r="C101" s="1493" t="s">
        <v>118</v>
      </c>
      <c r="D101" s="1538" t="s">
        <v>463</v>
      </c>
      <c r="E101" s="1495">
        <f>'1.BC_Muc tieu (ty) '!K126</f>
        <v>0</v>
      </c>
      <c r="F101" s="1495">
        <f>'1.BC_Muc tieu (ty) '!R126</f>
        <v>0</v>
      </c>
      <c r="G101" s="1494">
        <f>'1.BC_Muc tieu (ty) '!AL126</f>
        <v>0</v>
      </c>
      <c r="H101" s="1495">
        <f t="shared" si="100"/>
        <v>0</v>
      </c>
      <c r="I101" s="1495">
        <f t="shared" si="100"/>
        <v>0</v>
      </c>
      <c r="J101" s="1495">
        <f t="shared" si="100"/>
        <v>0</v>
      </c>
      <c r="K101" s="1495">
        <f t="shared" si="100"/>
        <v>0</v>
      </c>
      <c r="L101" s="1495">
        <f t="shared" si="100"/>
        <v>0</v>
      </c>
      <c r="M101" s="1495">
        <f t="shared" si="100"/>
        <v>0</v>
      </c>
      <c r="N101" s="1495">
        <f t="shared" si="100"/>
        <v>0</v>
      </c>
      <c r="O101" s="1495">
        <f t="shared" si="100"/>
        <v>0</v>
      </c>
      <c r="P101" s="1495">
        <f t="shared" si="100"/>
        <v>0</v>
      </c>
      <c r="Q101" s="1495">
        <f t="shared" si="100"/>
        <v>0</v>
      </c>
    </row>
    <row r="102" spans="1:17" ht="17.100000000000001" customHeight="1" x14ac:dyDescent="0.25">
      <c r="A102" s="1478">
        <f t="shared" ca="1" si="90"/>
        <v>1</v>
      </c>
      <c r="B102" s="1552" t="s">
        <v>119</v>
      </c>
      <c r="C102" s="1553" t="s">
        <v>120</v>
      </c>
      <c r="D102" s="1537" t="s">
        <v>464</v>
      </c>
      <c r="E102" s="1481">
        <f t="shared" ref="E102" si="101">SUM(E103,E120)</f>
        <v>64.876762150000005</v>
      </c>
      <c r="F102" s="1481">
        <f t="shared" ref="F102:P102" si="102">SUM(F103,F120)</f>
        <v>75.259636196999992</v>
      </c>
      <c r="G102" s="1481">
        <f t="shared" si="102"/>
        <v>55.259416469000001</v>
      </c>
      <c r="H102" s="1481">
        <f ca="1">SUM(H103,H120)</f>
        <v>60.665479457895387</v>
      </c>
      <c r="I102" s="1481">
        <f t="shared" ca="1" si="102"/>
        <v>73.52733769883659</v>
      </c>
      <c r="J102" s="1481">
        <f t="shared" ca="1" si="102"/>
        <v>92.699818176513475</v>
      </c>
      <c r="K102" s="1481">
        <f t="shared" ca="1" si="102"/>
        <v>120.96939765086793</v>
      </c>
      <c r="L102" s="1481">
        <f t="shared" ca="1" si="102"/>
        <v>152.31020268113784</v>
      </c>
      <c r="M102" s="1481">
        <f t="shared" ca="1" si="102"/>
        <v>185.88142888963287</v>
      </c>
      <c r="N102" s="1481">
        <f t="shared" ca="1" si="102"/>
        <v>219.87482697638586</v>
      </c>
      <c r="O102" s="1481">
        <f t="shared" ca="1" si="102"/>
        <v>254.7082830330836</v>
      </c>
      <c r="P102" s="1481">
        <f t="shared" ca="1" si="102"/>
        <v>290.48310000913534</v>
      </c>
      <c r="Q102" s="523">
        <f ca="1">SUM(Q103,Q120)</f>
        <v>326.92590618614543</v>
      </c>
    </row>
    <row r="103" spans="1:17" ht="17.100000000000001" customHeight="1" x14ac:dyDescent="0.25">
      <c r="A103" s="1478">
        <f t="shared" ca="1" si="90"/>
        <v>1</v>
      </c>
      <c r="B103" s="1552" t="s">
        <v>27</v>
      </c>
      <c r="C103" s="1553" t="s">
        <v>121</v>
      </c>
      <c r="D103" s="1537" t="s">
        <v>466</v>
      </c>
      <c r="E103" s="1481">
        <f t="shared" ref="E103" si="103">SUM(E104,E107,E108,E109,E110,E111,E112,E113,E114,E115,E116,E119)</f>
        <v>64.876762150000005</v>
      </c>
      <c r="F103" s="1481">
        <f t="shared" ref="F103:Q103" si="104">SUM(F104,F107,F108,F109,F110,F111,F112,F113,F114,F115,F116,F119)</f>
        <v>75.259636196999992</v>
      </c>
      <c r="G103" s="1481">
        <f t="shared" si="104"/>
        <v>55.259416469000001</v>
      </c>
      <c r="H103" s="1481">
        <f ca="1">SUM(H104,H107,H108,H109,H110,H111,H112,H113,H114,H115,H116,H119)</f>
        <v>60.665479457895387</v>
      </c>
      <c r="I103" s="1481">
        <f t="shared" ca="1" si="104"/>
        <v>73.52733769883659</v>
      </c>
      <c r="J103" s="1481">
        <f t="shared" ca="1" si="104"/>
        <v>92.699818176513475</v>
      </c>
      <c r="K103" s="1481">
        <f t="shared" ca="1" si="104"/>
        <v>120.96939765086793</v>
      </c>
      <c r="L103" s="1481">
        <f t="shared" ca="1" si="104"/>
        <v>152.31020268113784</v>
      </c>
      <c r="M103" s="1481">
        <f t="shared" ca="1" si="104"/>
        <v>185.88142888963287</v>
      </c>
      <c r="N103" s="1481">
        <f t="shared" ca="1" si="104"/>
        <v>219.87482697638586</v>
      </c>
      <c r="O103" s="1481">
        <f t="shared" ca="1" si="104"/>
        <v>254.7082830330836</v>
      </c>
      <c r="P103" s="1481">
        <f t="shared" ca="1" si="104"/>
        <v>290.48310000913534</v>
      </c>
      <c r="Q103" s="523">
        <f t="shared" ca="1" si="104"/>
        <v>326.92590618614543</v>
      </c>
    </row>
    <row r="104" spans="1:17" ht="17.100000000000001" customHeight="1" x14ac:dyDescent="0.25">
      <c r="A104" s="1478">
        <f t="shared" si="90"/>
        <v>1</v>
      </c>
      <c r="B104" s="1554" t="s">
        <v>29</v>
      </c>
      <c r="C104" s="1555" t="s">
        <v>122</v>
      </c>
      <c r="D104" s="1538" t="s">
        <v>468</v>
      </c>
      <c r="E104" s="1550">
        <f t="shared" ref="E104:F104" si="105">SUM(E105:E106)</f>
        <v>66</v>
      </c>
      <c r="F104" s="1550">
        <f t="shared" si="105"/>
        <v>97</v>
      </c>
      <c r="G104" s="1550">
        <f t="shared" ref="G104:L104" si="106">SUM(G105:G106)</f>
        <v>97</v>
      </c>
      <c r="H104" s="1550">
        <f t="shared" si="106"/>
        <v>97</v>
      </c>
      <c r="I104" s="1550">
        <f t="shared" si="106"/>
        <v>97</v>
      </c>
      <c r="J104" s="1550">
        <f t="shared" si="106"/>
        <v>97</v>
      </c>
      <c r="K104" s="1550">
        <f t="shared" si="106"/>
        <v>97</v>
      </c>
      <c r="L104" s="1550">
        <f t="shared" si="106"/>
        <v>97</v>
      </c>
      <c r="M104" s="1550">
        <f t="shared" ref="M104:Q104" si="107">SUM(M105:M106)</f>
        <v>97</v>
      </c>
      <c r="N104" s="1550">
        <f t="shared" si="107"/>
        <v>97</v>
      </c>
      <c r="O104" s="1550">
        <f t="shared" si="107"/>
        <v>97</v>
      </c>
      <c r="P104" s="1550">
        <f t="shared" si="107"/>
        <v>97</v>
      </c>
      <c r="Q104" s="306">
        <f t="shared" si="107"/>
        <v>97</v>
      </c>
    </row>
    <row r="105" spans="1:17" s="610" customFormat="1" ht="17.100000000000001" customHeight="1" x14ac:dyDescent="0.25">
      <c r="A105" s="1566">
        <f t="shared" si="90"/>
        <v>1</v>
      </c>
      <c r="B105" s="1567" t="s">
        <v>75</v>
      </c>
      <c r="C105" s="1558" t="s">
        <v>123</v>
      </c>
      <c r="D105" s="1538" t="s">
        <v>535</v>
      </c>
      <c r="E105" s="1550">
        <f>'1.BC_Muc tieu (ty) '!K130</f>
        <v>66</v>
      </c>
      <c r="F105" s="1550">
        <f>'1.BC_Muc tieu (ty) '!R130</f>
        <v>97</v>
      </c>
      <c r="G105" s="1551">
        <f>'1.BC_Muc tieu (ty) '!AL130</f>
        <v>97</v>
      </c>
      <c r="H105" s="1568">
        <f>G105</f>
        <v>97</v>
      </c>
      <c r="I105" s="1568">
        <f>H105</f>
        <v>97</v>
      </c>
      <c r="J105" s="1568">
        <f t="shared" ref="J105:K105" si="108">I105</f>
        <v>97</v>
      </c>
      <c r="K105" s="1568">
        <f t="shared" si="108"/>
        <v>97</v>
      </c>
      <c r="L105" s="1568">
        <f>K105</f>
        <v>97</v>
      </c>
      <c r="M105" s="1568">
        <f t="shared" ref="M105" si="109">L105</f>
        <v>97</v>
      </c>
      <c r="N105" s="1568">
        <f t="shared" ref="N105" si="110">M105</f>
        <v>97</v>
      </c>
      <c r="O105" s="1568">
        <f t="shared" ref="O105" si="111">N105</f>
        <v>97</v>
      </c>
      <c r="P105" s="1568">
        <f t="shared" ref="P105" si="112">O105</f>
        <v>97</v>
      </c>
      <c r="Q105" s="1569">
        <f t="shared" ref="Q105" si="113">P105</f>
        <v>97</v>
      </c>
    </row>
    <row r="106" spans="1:17" s="610" customFormat="1" ht="17.100000000000001" hidden="1" customHeight="1" x14ac:dyDescent="0.25">
      <c r="A106" s="1499">
        <f t="shared" si="90"/>
        <v>0</v>
      </c>
      <c r="B106" s="1500" t="s">
        <v>75</v>
      </c>
      <c r="C106" s="1497" t="s">
        <v>115</v>
      </c>
      <c r="D106" s="1538" t="s">
        <v>536</v>
      </c>
      <c r="E106" s="1495">
        <f>'1.BC_Muc tieu (ty) '!K131</f>
        <v>0</v>
      </c>
      <c r="F106" s="1495">
        <f>'1.BC_Muc tieu (ty) '!R131</f>
        <v>0</v>
      </c>
      <c r="G106" s="1494">
        <f>'1.BC_Muc tieu (ty) '!AL131</f>
        <v>0</v>
      </c>
      <c r="H106" s="1503">
        <f>G106</f>
        <v>0</v>
      </c>
      <c r="I106" s="1503"/>
      <c r="J106" s="1503"/>
      <c r="K106" s="1503"/>
      <c r="L106" s="1503"/>
      <c r="M106" s="1503"/>
      <c r="N106" s="1503"/>
      <c r="O106" s="1503"/>
      <c r="P106" s="1503"/>
      <c r="Q106" s="1126"/>
    </row>
    <row r="107" spans="1:17" ht="17.100000000000001" hidden="1" customHeight="1" x14ac:dyDescent="0.25">
      <c r="A107" s="1487">
        <f t="shared" si="90"/>
        <v>0</v>
      </c>
      <c r="B107" s="1492" t="s">
        <v>31</v>
      </c>
      <c r="C107" s="1493" t="s">
        <v>124</v>
      </c>
      <c r="D107" s="1538" t="s">
        <v>470</v>
      </c>
      <c r="E107" s="1495">
        <f>'1.BC_Muc tieu (ty) '!K132</f>
        <v>0</v>
      </c>
      <c r="F107" s="1495">
        <f>'1.BC_Muc tieu (ty) '!R132</f>
        <v>0</v>
      </c>
      <c r="G107" s="1494">
        <f>'1.BC_Muc tieu (ty) '!AL132</f>
        <v>0</v>
      </c>
      <c r="H107" s="1494">
        <f>G107</f>
        <v>0</v>
      </c>
      <c r="I107" s="1494">
        <f t="shared" ref="I107:Q107" si="114">H107</f>
        <v>0</v>
      </c>
      <c r="J107" s="1494">
        <f t="shared" si="114"/>
        <v>0</v>
      </c>
      <c r="K107" s="1494">
        <f t="shared" si="114"/>
        <v>0</v>
      </c>
      <c r="L107" s="1494">
        <f t="shared" si="114"/>
        <v>0</v>
      </c>
      <c r="M107" s="1494">
        <f t="shared" si="114"/>
        <v>0</v>
      </c>
      <c r="N107" s="1494">
        <f t="shared" si="114"/>
        <v>0</v>
      </c>
      <c r="O107" s="1494">
        <f t="shared" si="114"/>
        <v>0</v>
      </c>
      <c r="P107" s="1494">
        <f t="shared" si="114"/>
        <v>0</v>
      </c>
      <c r="Q107" s="1494">
        <f t="shared" si="114"/>
        <v>0</v>
      </c>
    </row>
    <row r="108" spans="1:17" ht="17.100000000000001" hidden="1" customHeight="1" x14ac:dyDescent="0.25">
      <c r="A108" s="1487">
        <f t="shared" si="90"/>
        <v>0</v>
      </c>
      <c r="B108" s="1492" t="s">
        <v>37</v>
      </c>
      <c r="C108" s="1493" t="s">
        <v>125</v>
      </c>
      <c r="D108" s="1538" t="s">
        <v>472</v>
      </c>
      <c r="E108" s="1495">
        <f>'1.BC_Muc tieu (ty) '!K133</f>
        <v>0</v>
      </c>
      <c r="F108" s="1495">
        <f>'1.BC_Muc tieu (ty) '!R133</f>
        <v>0</v>
      </c>
      <c r="G108" s="1494">
        <f>'1.BC_Muc tieu (ty) '!AL133</f>
        <v>0</v>
      </c>
      <c r="H108" s="1494">
        <f t="shared" ref="H108:Q115" si="115">G108</f>
        <v>0</v>
      </c>
      <c r="I108" s="1494">
        <f t="shared" si="115"/>
        <v>0</v>
      </c>
      <c r="J108" s="1494">
        <f t="shared" si="115"/>
        <v>0</v>
      </c>
      <c r="K108" s="1494">
        <f t="shared" si="115"/>
        <v>0</v>
      </c>
      <c r="L108" s="1494">
        <f t="shared" si="115"/>
        <v>0</v>
      </c>
      <c r="M108" s="1494">
        <f t="shared" si="115"/>
        <v>0</v>
      </c>
      <c r="N108" s="1494">
        <f t="shared" si="115"/>
        <v>0</v>
      </c>
      <c r="O108" s="1494">
        <f t="shared" si="115"/>
        <v>0</v>
      </c>
      <c r="P108" s="1494">
        <f t="shared" si="115"/>
        <v>0</v>
      </c>
      <c r="Q108" s="1494">
        <f t="shared" si="115"/>
        <v>0</v>
      </c>
    </row>
    <row r="109" spans="1:17" ht="17.100000000000001" hidden="1" customHeight="1" x14ac:dyDescent="0.25">
      <c r="A109" s="1487">
        <f t="shared" si="90"/>
        <v>0</v>
      </c>
      <c r="B109" s="1492" t="s">
        <v>44</v>
      </c>
      <c r="C109" s="1493" t="s">
        <v>126</v>
      </c>
      <c r="D109" s="1538" t="s">
        <v>474</v>
      </c>
      <c r="E109" s="1495">
        <f>'1.BC_Muc tieu (ty) '!K134</f>
        <v>0</v>
      </c>
      <c r="F109" s="1495">
        <f>'1.BC_Muc tieu (ty) '!R134</f>
        <v>0</v>
      </c>
      <c r="G109" s="1494">
        <f>'1.BC_Muc tieu (ty) '!AL134</f>
        <v>0</v>
      </c>
      <c r="H109" s="1494">
        <f t="shared" si="115"/>
        <v>0</v>
      </c>
      <c r="I109" s="1494">
        <f t="shared" si="115"/>
        <v>0</v>
      </c>
      <c r="J109" s="1494">
        <f t="shared" si="115"/>
        <v>0</v>
      </c>
      <c r="K109" s="1494">
        <f t="shared" si="115"/>
        <v>0</v>
      </c>
      <c r="L109" s="1494">
        <f t="shared" si="115"/>
        <v>0</v>
      </c>
      <c r="M109" s="1494">
        <f t="shared" si="115"/>
        <v>0</v>
      </c>
      <c r="N109" s="1494">
        <f t="shared" si="115"/>
        <v>0</v>
      </c>
      <c r="O109" s="1494">
        <f t="shared" si="115"/>
        <v>0</v>
      </c>
      <c r="P109" s="1494">
        <f t="shared" si="115"/>
        <v>0</v>
      </c>
      <c r="Q109" s="1494">
        <f t="shared" si="115"/>
        <v>0</v>
      </c>
    </row>
    <row r="110" spans="1:17" ht="17.100000000000001" hidden="1" customHeight="1" x14ac:dyDescent="0.25">
      <c r="A110" s="1487">
        <f t="shared" si="90"/>
        <v>0</v>
      </c>
      <c r="B110" s="1492" t="s">
        <v>46</v>
      </c>
      <c r="C110" s="1493" t="s">
        <v>127</v>
      </c>
      <c r="D110" s="1538" t="s">
        <v>476</v>
      </c>
      <c r="E110" s="1495">
        <f>'1.BC_Muc tieu (ty) '!K135</f>
        <v>0</v>
      </c>
      <c r="F110" s="1495">
        <f>'1.BC_Muc tieu (ty) '!R135</f>
        <v>0</v>
      </c>
      <c r="G110" s="1494">
        <f>'1.BC_Muc tieu (ty) '!AL135</f>
        <v>0</v>
      </c>
      <c r="H110" s="1494">
        <f t="shared" si="115"/>
        <v>0</v>
      </c>
      <c r="I110" s="1494">
        <f t="shared" si="115"/>
        <v>0</v>
      </c>
      <c r="J110" s="1494">
        <f t="shared" si="115"/>
        <v>0</v>
      </c>
      <c r="K110" s="1494">
        <f t="shared" si="115"/>
        <v>0</v>
      </c>
      <c r="L110" s="1494">
        <f t="shared" si="115"/>
        <v>0</v>
      </c>
      <c r="M110" s="1494">
        <f t="shared" si="115"/>
        <v>0</v>
      </c>
      <c r="N110" s="1494">
        <f t="shared" si="115"/>
        <v>0</v>
      </c>
      <c r="O110" s="1494">
        <f t="shared" si="115"/>
        <v>0</v>
      </c>
      <c r="P110" s="1494">
        <f t="shared" si="115"/>
        <v>0</v>
      </c>
      <c r="Q110" s="1494">
        <f t="shared" si="115"/>
        <v>0</v>
      </c>
    </row>
    <row r="111" spans="1:17" ht="17.100000000000001" hidden="1" customHeight="1" x14ac:dyDescent="0.25">
      <c r="A111" s="1487">
        <f t="shared" si="90"/>
        <v>0</v>
      </c>
      <c r="B111" s="1492" t="s">
        <v>48</v>
      </c>
      <c r="C111" s="1493" t="s">
        <v>128</v>
      </c>
      <c r="D111" s="1538" t="s">
        <v>478</v>
      </c>
      <c r="E111" s="1495">
        <f>'1.BC_Muc tieu (ty) '!K136</f>
        <v>0</v>
      </c>
      <c r="F111" s="1495">
        <f>'1.BC_Muc tieu (ty) '!R136</f>
        <v>0</v>
      </c>
      <c r="G111" s="1494">
        <f>'1.BC_Muc tieu (ty) '!AL136</f>
        <v>0</v>
      </c>
      <c r="H111" s="1494">
        <f t="shared" si="115"/>
        <v>0</v>
      </c>
      <c r="I111" s="1494">
        <f t="shared" si="115"/>
        <v>0</v>
      </c>
      <c r="J111" s="1494">
        <f t="shared" si="115"/>
        <v>0</v>
      </c>
      <c r="K111" s="1494">
        <f t="shared" si="115"/>
        <v>0</v>
      </c>
      <c r="L111" s="1494">
        <f t="shared" si="115"/>
        <v>0</v>
      </c>
      <c r="M111" s="1494">
        <f t="shared" si="115"/>
        <v>0</v>
      </c>
      <c r="N111" s="1494">
        <f t="shared" si="115"/>
        <v>0</v>
      </c>
      <c r="O111" s="1494">
        <f t="shared" si="115"/>
        <v>0</v>
      </c>
      <c r="P111" s="1494">
        <f t="shared" si="115"/>
        <v>0</v>
      </c>
      <c r="Q111" s="1494">
        <f t="shared" si="115"/>
        <v>0</v>
      </c>
    </row>
    <row r="112" spans="1:17" ht="17.100000000000001" hidden="1" customHeight="1" x14ac:dyDescent="0.25">
      <c r="A112" s="1487">
        <f t="shared" si="90"/>
        <v>0</v>
      </c>
      <c r="B112" s="1492" t="s">
        <v>50</v>
      </c>
      <c r="C112" s="1493" t="s">
        <v>129</v>
      </c>
      <c r="D112" s="1538" t="s">
        <v>480</v>
      </c>
      <c r="E112" s="1495">
        <f>'1.BC_Muc tieu (ty) '!K137</f>
        <v>0</v>
      </c>
      <c r="F112" s="1495">
        <f>'1.BC_Muc tieu (ty) '!R137</f>
        <v>0</v>
      </c>
      <c r="G112" s="1494">
        <f>'1.BC_Muc tieu (ty) '!AL137</f>
        <v>0</v>
      </c>
      <c r="H112" s="1494">
        <f t="shared" si="115"/>
        <v>0</v>
      </c>
      <c r="I112" s="1494">
        <f t="shared" si="115"/>
        <v>0</v>
      </c>
      <c r="J112" s="1494">
        <f t="shared" si="115"/>
        <v>0</v>
      </c>
      <c r="K112" s="1494">
        <f t="shared" si="115"/>
        <v>0</v>
      </c>
      <c r="L112" s="1494">
        <f t="shared" si="115"/>
        <v>0</v>
      </c>
      <c r="M112" s="1494">
        <f t="shared" si="115"/>
        <v>0</v>
      </c>
      <c r="N112" s="1494">
        <f t="shared" si="115"/>
        <v>0</v>
      </c>
      <c r="O112" s="1494">
        <f t="shared" si="115"/>
        <v>0</v>
      </c>
      <c r="P112" s="1494">
        <f t="shared" si="115"/>
        <v>0</v>
      </c>
      <c r="Q112" s="1494">
        <f t="shared" si="115"/>
        <v>0</v>
      </c>
    </row>
    <row r="113" spans="1:17" ht="17.100000000000001" hidden="1" customHeight="1" x14ac:dyDescent="0.25">
      <c r="A113" s="1487">
        <f t="shared" si="90"/>
        <v>0</v>
      </c>
      <c r="B113" s="1492" t="s">
        <v>52</v>
      </c>
      <c r="C113" s="1493" t="s">
        <v>130</v>
      </c>
      <c r="D113" s="1538" t="s">
        <v>482</v>
      </c>
      <c r="E113" s="1495">
        <f>'1.BC_Muc tieu (ty) '!K138</f>
        <v>0</v>
      </c>
      <c r="F113" s="1495">
        <f>'1.BC_Muc tieu (ty) '!R138</f>
        <v>0</v>
      </c>
      <c r="G113" s="1494">
        <f>'1.BC_Muc tieu (ty) '!AL138</f>
        <v>0</v>
      </c>
      <c r="H113" s="1494">
        <f t="shared" si="115"/>
        <v>0</v>
      </c>
      <c r="I113" s="1494">
        <f t="shared" si="115"/>
        <v>0</v>
      </c>
      <c r="J113" s="1494">
        <f t="shared" si="115"/>
        <v>0</v>
      </c>
      <c r="K113" s="1494">
        <f t="shared" si="115"/>
        <v>0</v>
      </c>
      <c r="L113" s="1494">
        <f t="shared" si="115"/>
        <v>0</v>
      </c>
      <c r="M113" s="1494">
        <f t="shared" si="115"/>
        <v>0</v>
      </c>
      <c r="N113" s="1494">
        <f t="shared" si="115"/>
        <v>0</v>
      </c>
      <c r="O113" s="1494">
        <f t="shared" si="115"/>
        <v>0</v>
      </c>
      <c r="P113" s="1494">
        <f t="shared" si="115"/>
        <v>0</v>
      </c>
      <c r="Q113" s="1494">
        <f t="shared" si="115"/>
        <v>0</v>
      </c>
    </row>
    <row r="114" spans="1:17" ht="17.100000000000001" hidden="1" customHeight="1" x14ac:dyDescent="0.25">
      <c r="A114" s="1487">
        <f t="shared" si="90"/>
        <v>0</v>
      </c>
      <c r="B114" s="1492" t="s">
        <v>99</v>
      </c>
      <c r="C114" s="1493" t="s">
        <v>131</v>
      </c>
      <c r="D114" s="1538" t="s">
        <v>484</v>
      </c>
      <c r="E114" s="1495">
        <f>'1.BC_Muc tieu (ty) '!K139</f>
        <v>0</v>
      </c>
      <c r="F114" s="1495">
        <f>'1.BC_Muc tieu (ty) '!R139</f>
        <v>0</v>
      </c>
      <c r="G114" s="1494">
        <f>'1.BC_Muc tieu (ty) '!AL139</f>
        <v>0</v>
      </c>
      <c r="H114" s="1494">
        <f t="shared" si="115"/>
        <v>0</v>
      </c>
      <c r="I114" s="1494">
        <f t="shared" si="115"/>
        <v>0</v>
      </c>
      <c r="J114" s="1494">
        <f t="shared" si="115"/>
        <v>0</v>
      </c>
      <c r="K114" s="1494">
        <f t="shared" si="115"/>
        <v>0</v>
      </c>
      <c r="L114" s="1494">
        <f t="shared" si="115"/>
        <v>0</v>
      </c>
      <c r="M114" s="1494">
        <f t="shared" si="115"/>
        <v>0</v>
      </c>
      <c r="N114" s="1494">
        <f t="shared" si="115"/>
        <v>0</v>
      </c>
      <c r="O114" s="1494">
        <f t="shared" si="115"/>
        <v>0</v>
      </c>
      <c r="P114" s="1494">
        <f t="shared" si="115"/>
        <v>0</v>
      </c>
      <c r="Q114" s="1494">
        <f t="shared" si="115"/>
        <v>0</v>
      </c>
    </row>
    <row r="115" spans="1:17" ht="17.100000000000001" hidden="1" customHeight="1" x14ac:dyDescent="0.25">
      <c r="A115" s="1487">
        <f t="shared" si="90"/>
        <v>0</v>
      </c>
      <c r="B115" s="1492" t="s">
        <v>100</v>
      </c>
      <c r="C115" s="1493" t="s">
        <v>132</v>
      </c>
      <c r="D115" s="1538" t="s">
        <v>486</v>
      </c>
      <c r="E115" s="1495">
        <f>'1.BC_Muc tieu (ty) '!K140</f>
        <v>0</v>
      </c>
      <c r="F115" s="1495">
        <f>'1.BC_Muc tieu (ty) '!R140</f>
        <v>0</v>
      </c>
      <c r="G115" s="1494">
        <f>'1.BC_Muc tieu (ty) '!AL140</f>
        <v>0</v>
      </c>
      <c r="H115" s="1494">
        <f t="shared" si="115"/>
        <v>0</v>
      </c>
      <c r="I115" s="1494">
        <f t="shared" si="115"/>
        <v>0</v>
      </c>
      <c r="J115" s="1494">
        <f t="shared" si="115"/>
        <v>0</v>
      </c>
      <c r="K115" s="1494">
        <f t="shared" si="115"/>
        <v>0</v>
      </c>
      <c r="L115" s="1494">
        <f t="shared" si="115"/>
        <v>0</v>
      </c>
      <c r="M115" s="1494">
        <f t="shared" si="115"/>
        <v>0</v>
      </c>
      <c r="N115" s="1494">
        <f t="shared" si="115"/>
        <v>0</v>
      </c>
      <c r="O115" s="1494">
        <f t="shared" si="115"/>
        <v>0</v>
      </c>
      <c r="P115" s="1494">
        <f t="shared" si="115"/>
        <v>0</v>
      </c>
      <c r="Q115" s="1494">
        <f t="shared" si="115"/>
        <v>0</v>
      </c>
    </row>
    <row r="116" spans="1:17" ht="17.100000000000001" customHeight="1" x14ac:dyDescent="0.25">
      <c r="A116" s="1478">
        <f t="shared" ca="1" si="90"/>
        <v>1</v>
      </c>
      <c r="B116" s="1565" t="s">
        <v>101</v>
      </c>
      <c r="C116" s="1555" t="s">
        <v>133</v>
      </c>
      <c r="D116" s="1538" t="s">
        <v>488</v>
      </c>
      <c r="E116" s="1550">
        <f>'1.BC_Muc tieu (ty) '!K141</f>
        <v>-1.12323785</v>
      </c>
      <c r="F116" s="1550">
        <f>'1.BC_Muc tieu (ty) '!R141</f>
        <v>-21.740363803000001</v>
      </c>
      <c r="G116" s="1551">
        <f>'1.BC_Muc tieu (ty) '!AL141</f>
        <v>-41.740583530999999</v>
      </c>
      <c r="H116" s="1550">
        <f ca="1">SUM(H117:H118)</f>
        <v>-36.334520542104613</v>
      </c>
      <c r="I116" s="1550">
        <f t="shared" ref="I116:Q116" ca="1" si="116">SUM(I117:I118)</f>
        <v>-23.472662301163403</v>
      </c>
      <c r="J116" s="1550">
        <f t="shared" ca="1" si="116"/>
        <v>-4.300181823486529</v>
      </c>
      <c r="K116" s="1550">
        <f t="shared" ca="1" si="116"/>
        <v>23.969397650867926</v>
      </c>
      <c r="L116" s="1550">
        <f t="shared" ca="1" si="116"/>
        <v>55.310202681137831</v>
      </c>
      <c r="M116" s="1550">
        <f t="shared" ca="1" si="116"/>
        <v>88.881428889632872</v>
      </c>
      <c r="N116" s="1550">
        <f t="shared" ca="1" si="116"/>
        <v>122.87482697638585</v>
      </c>
      <c r="O116" s="1550">
        <f ca="1">SUM(O117:O118)</f>
        <v>157.7082830330836</v>
      </c>
      <c r="P116" s="1550">
        <f t="shared" ca="1" si="116"/>
        <v>193.48310000913537</v>
      </c>
      <c r="Q116" s="1550">
        <f t="shared" ca="1" si="116"/>
        <v>229.92590618614543</v>
      </c>
    </row>
    <row r="117" spans="1:17" s="610" customFormat="1" ht="17.100000000000001" customHeight="1" x14ac:dyDescent="0.25">
      <c r="A117" s="1478">
        <f t="shared" ca="1" si="90"/>
        <v>1</v>
      </c>
      <c r="B117" s="1557" t="s">
        <v>75</v>
      </c>
      <c r="C117" s="1558" t="s">
        <v>134</v>
      </c>
      <c r="D117" s="1538" t="s">
        <v>537</v>
      </c>
      <c r="E117" s="1550">
        <f>'1.BC_Muc tieu (ty) '!K142</f>
        <v>0</v>
      </c>
      <c r="F117" s="1550">
        <f>'1.BC_Muc tieu (ty) '!R142</f>
        <v>0</v>
      </c>
      <c r="G117" s="1551">
        <f>'1.BC_Muc tieu (ty) '!AL142</f>
        <v>0</v>
      </c>
      <c r="H117" s="1568">
        <f>G116</f>
        <v>-41.740583530999999</v>
      </c>
      <c r="I117" s="1568">
        <f ca="1">H116</f>
        <v>-36.334520542104613</v>
      </c>
      <c r="J117" s="1568">
        <f t="shared" ref="J117:Q117" ca="1" si="117">I116</f>
        <v>-23.472662301163403</v>
      </c>
      <c r="K117" s="1568">
        <f t="shared" ca="1" si="117"/>
        <v>-4.300181823486529</v>
      </c>
      <c r="L117" s="1568">
        <f t="shared" ca="1" si="117"/>
        <v>23.969397650867926</v>
      </c>
      <c r="M117" s="1568">
        <f t="shared" ca="1" si="117"/>
        <v>55.310202681137831</v>
      </c>
      <c r="N117" s="1568">
        <f t="shared" ca="1" si="117"/>
        <v>88.881428889632872</v>
      </c>
      <c r="O117" s="1568">
        <f ca="1">N116</f>
        <v>122.87482697638585</v>
      </c>
      <c r="P117" s="1568">
        <f t="shared" ca="1" si="117"/>
        <v>157.7082830330836</v>
      </c>
      <c r="Q117" s="1569">
        <f t="shared" ca="1" si="117"/>
        <v>193.48310000913537</v>
      </c>
    </row>
    <row r="118" spans="1:17" s="610" customFormat="1" ht="17.100000000000001" customHeight="1" x14ac:dyDescent="0.25">
      <c r="A118" s="1478">
        <f t="shared" ca="1" si="90"/>
        <v>1</v>
      </c>
      <c r="B118" s="1567" t="s">
        <v>647</v>
      </c>
      <c r="C118" s="1558" t="s">
        <v>135</v>
      </c>
      <c r="D118" s="1538" t="s">
        <v>538</v>
      </c>
      <c r="E118" s="1550">
        <f>'1.BC_Muc tieu (ty) '!K143</f>
        <v>0</v>
      </c>
      <c r="F118" s="1550">
        <f>'1.BC_Muc tieu (ty) '!R143</f>
        <v>0</v>
      </c>
      <c r="G118" s="1551">
        <f>'1.BC_Muc tieu (ty) '!AL143</f>
        <v>0</v>
      </c>
      <c r="H118" s="1568">
        <f ca="1">'4. KQ-PL'!I58</f>
        <v>5.4060629888953873</v>
      </c>
      <c r="I118" s="1568">
        <f ca="1">'4. KQ-PL'!J58</f>
        <v>12.86185824094121</v>
      </c>
      <c r="J118" s="1568">
        <f ca="1">'4. KQ-PL'!K58</f>
        <v>19.172480477676874</v>
      </c>
      <c r="K118" s="1568">
        <f ca="1">'4. KQ-PL'!L58</f>
        <v>28.269579474354455</v>
      </c>
      <c r="L118" s="1568">
        <f ca="1">'4. KQ-PL'!M58</f>
        <v>31.340805030269905</v>
      </c>
      <c r="M118" s="1568">
        <f ca="1">'4. KQ-PL'!N58</f>
        <v>33.571226208495048</v>
      </c>
      <c r="N118" s="1568">
        <f ca="1">'4. KQ-PL'!O58</f>
        <v>33.993398086752975</v>
      </c>
      <c r="O118" s="1568">
        <f ca="1">'4. KQ-PL'!P58</f>
        <v>34.833456056697749</v>
      </c>
      <c r="P118" s="1568">
        <f ca="1">'4. KQ-PL'!Q58</f>
        <v>35.774816976051767</v>
      </c>
      <c r="Q118" s="1568">
        <f ca="1">'4. KQ-PL'!R58</f>
        <v>36.44280617701007</v>
      </c>
    </row>
    <row r="119" spans="1:17" ht="17.100000000000001" hidden="1" customHeight="1" x14ac:dyDescent="0.25">
      <c r="A119" s="1487">
        <f t="shared" si="90"/>
        <v>0</v>
      </c>
      <c r="B119" s="1498" t="s">
        <v>102</v>
      </c>
      <c r="C119" s="1493" t="s">
        <v>136</v>
      </c>
      <c r="D119" s="1538" t="s">
        <v>491</v>
      </c>
      <c r="E119" s="1495">
        <f>'1.BC_Muc tieu (ty) '!K144</f>
        <v>0</v>
      </c>
      <c r="F119" s="1495">
        <f>'1.BC_Muc tieu (ty) '!R144</f>
        <v>0</v>
      </c>
      <c r="G119" s="1494">
        <f>'1.BC_Muc tieu (ty) '!AL144</f>
        <v>0</v>
      </c>
      <c r="H119" s="1495"/>
      <c r="I119" s="1495"/>
      <c r="J119" s="1495"/>
      <c r="K119" s="1495"/>
      <c r="L119" s="1495"/>
      <c r="M119" s="1495"/>
      <c r="N119" s="1495"/>
      <c r="O119" s="1495"/>
      <c r="P119" s="1495"/>
      <c r="Q119" s="1121"/>
    </row>
    <row r="120" spans="1:17" ht="17.100000000000001" customHeight="1" x14ac:dyDescent="0.25">
      <c r="A120" s="1478">
        <v>1</v>
      </c>
      <c r="B120" s="1552" t="s">
        <v>33</v>
      </c>
      <c r="C120" s="1553" t="s">
        <v>137</v>
      </c>
      <c r="D120" s="1537" t="s">
        <v>493</v>
      </c>
      <c r="E120" s="1481">
        <f t="shared" ref="E120:L120" si="118">SUM(E121:E122)</f>
        <v>0</v>
      </c>
      <c r="F120" s="1481">
        <f t="shared" si="118"/>
        <v>0</v>
      </c>
      <c r="G120" s="1481">
        <f t="shared" si="118"/>
        <v>0</v>
      </c>
      <c r="H120" s="1481">
        <f t="shared" si="118"/>
        <v>0</v>
      </c>
      <c r="I120" s="1481">
        <f t="shared" si="118"/>
        <v>0</v>
      </c>
      <c r="J120" s="1481">
        <f t="shared" si="118"/>
        <v>0</v>
      </c>
      <c r="K120" s="1481">
        <f t="shared" si="118"/>
        <v>0</v>
      </c>
      <c r="L120" s="1481">
        <f t="shared" si="118"/>
        <v>0</v>
      </c>
      <c r="M120" s="1481">
        <f t="shared" ref="M120:Q120" si="119">SUM(M121:M122)</f>
        <v>0</v>
      </c>
      <c r="N120" s="1481">
        <f t="shared" si="119"/>
        <v>0</v>
      </c>
      <c r="O120" s="1481">
        <f t="shared" si="119"/>
        <v>0</v>
      </c>
      <c r="P120" s="1481">
        <f t="shared" si="119"/>
        <v>0</v>
      </c>
      <c r="Q120" s="523">
        <f t="shared" si="119"/>
        <v>0</v>
      </c>
    </row>
    <row r="121" spans="1:17" ht="17.100000000000001" hidden="1" customHeight="1" x14ac:dyDescent="0.25">
      <c r="A121" s="1502">
        <f>IF(SUM(G121:Q121)&lt;&gt;0,1,0)</f>
        <v>0</v>
      </c>
      <c r="B121" s="1492" t="s">
        <v>29</v>
      </c>
      <c r="C121" s="1493" t="s">
        <v>138</v>
      </c>
      <c r="D121" s="1538" t="s">
        <v>495</v>
      </c>
      <c r="E121" s="1495">
        <f>'1.BC_Muc tieu (ty) '!K146</f>
        <v>0</v>
      </c>
      <c r="F121" s="1495">
        <f>'1.BC_Muc tieu (ty) '!R146</f>
        <v>0</v>
      </c>
      <c r="G121" s="1494">
        <f>'1.BC_Muc tieu (ty) '!AL146</f>
        <v>0</v>
      </c>
      <c r="H121" s="1495"/>
      <c r="I121" s="1495"/>
      <c r="J121" s="1495"/>
      <c r="K121" s="1495"/>
      <c r="L121" s="1495"/>
      <c r="M121" s="1495"/>
      <c r="N121" s="1495"/>
      <c r="O121" s="1495"/>
      <c r="P121" s="1495"/>
      <c r="Q121" s="1121"/>
    </row>
    <row r="122" spans="1:17" ht="17.100000000000001" hidden="1" customHeight="1" x14ac:dyDescent="0.25">
      <c r="A122" s="1502">
        <f>IF(SUM(G122:Q122)&lt;&gt;0,1,0)</f>
        <v>0</v>
      </c>
      <c r="B122" s="1492" t="s">
        <v>31</v>
      </c>
      <c r="C122" s="1493" t="s">
        <v>139</v>
      </c>
      <c r="D122" s="1538" t="s">
        <v>497</v>
      </c>
      <c r="E122" s="1495">
        <f>'1.BC_Muc tieu (ty) '!K147</f>
        <v>0</v>
      </c>
      <c r="F122" s="1495">
        <f>'1.BC_Muc tieu (ty) '!R147</f>
        <v>0</v>
      </c>
      <c r="G122" s="1494">
        <f>'1.BC_Muc tieu (ty) '!AL147</f>
        <v>0</v>
      </c>
      <c r="H122" s="1495"/>
      <c r="I122" s="1495"/>
      <c r="J122" s="1495"/>
      <c r="K122" s="1495"/>
      <c r="L122" s="1495"/>
      <c r="M122" s="1495"/>
      <c r="N122" s="1495"/>
      <c r="O122" s="1495"/>
      <c r="P122" s="1495"/>
      <c r="Q122" s="1121"/>
    </row>
    <row r="123" spans="1:17" ht="17.100000000000001" customHeight="1" x14ac:dyDescent="0.25">
      <c r="A123" s="1478">
        <f ca="1">IF(SUM(G123:Q123)&lt;&gt;0,1,0)</f>
        <v>1</v>
      </c>
      <c r="B123" s="1485"/>
      <c r="C123" s="1572" t="s">
        <v>140</v>
      </c>
      <c r="D123" s="1573" t="s">
        <v>498</v>
      </c>
      <c r="E123" s="1574">
        <f t="shared" ref="E123:F123" si="120">SUM(E72,E102)</f>
        <v>327.86350123599999</v>
      </c>
      <c r="F123" s="1574">
        <f t="shared" si="120"/>
        <v>414.60005982200005</v>
      </c>
      <c r="G123" s="1574">
        <f t="shared" ref="G123:L123" si="121">SUM(G72,G102)</f>
        <v>574.81652541899996</v>
      </c>
      <c r="H123" s="1574">
        <f ca="1">SUM(H72,H102)</f>
        <v>241.92647814201143</v>
      </c>
      <c r="I123" s="1574">
        <f t="shared" ca="1" si="121"/>
        <v>228.54705379807211</v>
      </c>
      <c r="J123" s="1574">
        <f t="shared" ca="1" si="121"/>
        <v>214.04552560850925</v>
      </c>
      <c r="K123" s="1574">
        <f t="shared" ca="1" si="121"/>
        <v>213.77286122665078</v>
      </c>
      <c r="L123" s="1574">
        <f t="shared" ca="1" si="121"/>
        <v>245.13363351173078</v>
      </c>
      <c r="M123" s="1574">
        <f t="shared" ref="M123:Q123" ca="1" si="122">SUM(M72,M102)</f>
        <v>278.71635691435023</v>
      </c>
      <c r="N123" s="1574">
        <f ca="1">SUM(N72,N102)</f>
        <v>312.73310933625515</v>
      </c>
      <c r="O123" s="1574">
        <f ca="1">SUM(O72,O102)</f>
        <v>347.58906914250622</v>
      </c>
      <c r="P123" s="1574">
        <f t="shared" ca="1" si="122"/>
        <v>383.38429678156427</v>
      </c>
      <c r="Q123" s="1575">
        <f t="shared" ca="1" si="122"/>
        <v>419.85032299065352</v>
      </c>
    </row>
    <row r="124" spans="1:17" x14ac:dyDescent="0.25">
      <c r="A124" s="1486">
        <v>1</v>
      </c>
      <c r="B124" s="1485"/>
      <c r="C124" s="303"/>
      <c r="D124" s="303"/>
      <c r="E124" s="1481">
        <f>E123-'1.BC_Muc tieu (ty) '!K148</f>
        <v>0</v>
      </c>
      <c r="F124" s="1481">
        <f>F123-'1.BC_Muc tieu (ty) '!R148</f>
        <v>0</v>
      </c>
      <c r="G124" s="1481">
        <f>G123-'1.BC_Muc tieu (ty) '!AL148</f>
        <v>0</v>
      </c>
      <c r="H124" s="1481">
        <f ca="1">H123-H68</f>
        <v>-48.579898930000013</v>
      </c>
      <c r="I124" s="1481">
        <f t="shared" ref="I124:L124" ca="1" si="123">I123-I68</f>
        <v>-48.579898929999956</v>
      </c>
      <c r="J124" s="1481">
        <f t="shared" ca="1" si="123"/>
        <v>-48.579898929999899</v>
      </c>
      <c r="K124" s="1481">
        <f t="shared" ca="1" si="123"/>
        <v>-48.579898929999842</v>
      </c>
      <c r="L124" s="1481">
        <f t="shared" ca="1" si="123"/>
        <v>-48.579898929999871</v>
      </c>
      <c r="M124" s="1481">
        <f t="shared" ref="M124:Q124" ca="1" si="124">M123-M68</f>
        <v>-48.579898929999786</v>
      </c>
      <c r="N124" s="1481">
        <f t="shared" ca="1" si="124"/>
        <v>-48.579898929999786</v>
      </c>
      <c r="O124" s="523">
        <f t="shared" ca="1" si="124"/>
        <v>-48.579898929999786</v>
      </c>
      <c r="P124" s="1481">
        <f t="shared" ca="1" si="124"/>
        <v>-48.579898929999786</v>
      </c>
      <c r="Q124" s="1481">
        <f t="shared" ca="1" si="124"/>
        <v>-48.579898929999672</v>
      </c>
    </row>
    <row r="125" spans="1:17" s="1578" customFormat="1" x14ac:dyDescent="0.25">
      <c r="A125" s="1486"/>
      <c r="B125" s="1548"/>
      <c r="C125" s="1549"/>
      <c r="D125" s="1549"/>
      <c r="E125" s="306"/>
      <c r="F125" s="1550">
        <f>F117-E116</f>
        <v>1.12323785</v>
      </c>
      <c r="G125" s="1541"/>
      <c r="H125" s="1541"/>
      <c r="I125" s="1541"/>
      <c r="J125" s="1541"/>
      <c r="K125" s="1541"/>
      <c r="L125" s="1541"/>
      <c r="M125" s="1541"/>
      <c r="N125" s="1570">
        <f ca="1">O102-N102</f>
        <v>34.833456056697742</v>
      </c>
      <c r="O125" s="1570">
        <f ca="1">N72-O72</f>
        <v>-2.2503749553337116E-2</v>
      </c>
      <c r="P125" s="1541"/>
      <c r="Q125" s="1541"/>
    </row>
    <row r="126" spans="1:17" x14ac:dyDescent="0.25">
      <c r="B126" s="55"/>
      <c r="C126" s="11"/>
      <c r="D126" s="11"/>
      <c r="E126" s="10"/>
      <c r="F126" s="10"/>
    </row>
    <row r="127" spans="1:17" x14ac:dyDescent="0.25">
      <c r="B127" s="55"/>
      <c r="C127" s="11"/>
      <c r="D127" s="11"/>
      <c r="E127" s="10"/>
      <c r="F127" s="151"/>
      <c r="G127" s="1581"/>
      <c r="H127" s="1580"/>
      <c r="I127" s="1580"/>
      <c r="J127" s="1580"/>
      <c r="K127" s="1580"/>
      <c r="L127" s="1580"/>
      <c r="M127" s="1580"/>
      <c r="N127" s="1580"/>
      <c r="O127" s="1580"/>
      <c r="P127" s="1580"/>
      <c r="Q127" s="1580"/>
    </row>
    <row r="128" spans="1:17" x14ac:dyDescent="0.25">
      <c r="B128" s="55"/>
      <c r="C128" s="13"/>
      <c r="D128" s="13"/>
      <c r="E128" s="119"/>
      <c r="F128" s="119"/>
      <c r="H128" s="1582"/>
      <c r="I128" s="1582"/>
      <c r="J128" s="1582"/>
      <c r="K128" s="1582"/>
      <c r="L128" s="1582"/>
      <c r="M128" s="1582"/>
      <c r="N128" s="1582"/>
      <c r="O128" s="1582"/>
      <c r="P128" s="1582"/>
      <c r="Q128" s="1582"/>
    </row>
    <row r="129" spans="2:6" x14ac:dyDescent="0.25">
      <c r="B129" s="55"/>
      <c r="C129" s="11"/>
      <c r="D129" s="11"/>
      <c r="E129" s="10"/>
      <c r="F129" s="10"/>
    </row>
    <row r="130" spans="2:6" x14ac:dyDescent="0.25">
      <c r="B130" s="55"/>
      <c r="C130" s="11"/>
      <c r="D130" s="11"/>
      <c r="E130" s="10"/>
      <c r="F130" s="10"/>
    </row>
    <row r="131" spans="2:6" x14ac:dyDescent="0.25">
      <c r="B131" s="55"/>
      <c r="C131" s="11"/>
      <c r="D131" s="11"/>
      <c r="E131" s="10"/>
      <c r="F131" s="10"/>
    </row>
    <row r="132" spans="2:6" x14ac:dyDescent="0.25">
      <c r="B132" s="55"/>
      <c r="C132" s="11"/>
      <c r="D132" s="11"/>
      <c r="E132" s="10"/>
      <c r="F132" s="10"/>
    </row>
    <row r="133" spans="2:6" x14ac:dyDescent="0.25">
      <c r="B133" s="55"/>
      <c r="C133" s="11"/>
      <c r="D133" s="11"/>
      <c r="E133" s="10"/>
      <c r="F133" s="10"/>
    </row>
    <row r="134" spans="2:6" x14ac:dyDescent="0.25">
      <c r="B134" s="55"/>
      <c r="C134" s="11"/>
      <c r="D134" s="11"/>
      <c r="E134" s="10"/>
      <c r="F134" s="10"/>
    </row>
    <row r="135" spans="2:6" x14ac:dyDescent="0.25">
      <c r="B135" s="55"/>
      <c r="C135" s="11"/>
      <c r="D135" s="11"/>
      <c r="E135" s="10"/>
      <c r="F135" s="10"/>
    </row>
    <row r="136" spans="2:6" x14ac:dyDescent="0.25">
      <c r="B136" s="55"/>
      <c r="C136" s="11"/>
      <c r="D136" s="11"/>
      <c r="E136" s="10"/>
      <c r="F136" s="10"/>
    </row>
    <row r="137" spans="2:6" x14ac:dyDescent="0.25">
      <c r="B137" s="55"/>
      <c r="C137" s="11"/>
      <c r="D137" s="11"/>
      <c r="E137" s="10"/>
      <c r="F137" s="10"/>
    </row>
    <row r="138" spans="2:6" x14ac:dyDescent="0.25">
      <c r="B138" s="55"/>
      <c r="C138" s="11"/>
      <c r="D138" s="11"/>
      <c r="E138" s="10"/>
      <c r="F138" s="10"/>
    </row>
    <row r="139" spans="2:6" x14ac:dyDescent="0.25">
      <c r="B139" s="55"/>
      <c r="C139" s="11"/>
      <c r="D139" s="11"/>
      <c r="E139" s="10"/>
      <c r="F139" s="10"/>
    </row>
    <row r="140" spans="2:6" x14ac:dyDescent="0.25">
      <c r="B140" s="55"/>
      <c r="C140" s="11"/>
      <c r="D140" s="11"/>
      <c r="E140" s="10"/>
      <c r="F140" s="10"/>
    </row>
    <row r="141" spans="2:6" x14ac:dyDescent="0.25">
      <c r="B141" s="55"/>
      <c r="C141" s="11"/>
      <c r="D141" s="11"/>
      <c r="E141" s="10"/>
      <c r="F141" s="10"/>
    </row>
    <row r="142" spans="2:6" x14ac:dyDescent="0.25">
      <c r="B142" s="55"/>
      <c r="C142" s="11"/>
      <c r="D142" s="11"/>
      <c r="E142" s="10"/>
      <c r="F142" s="10"/>
    </row>
    <row r="143" spans="2:6" x14ac:dyDescent="0.25">
      <c r="B143" s="55"/>
      <c r="C143" s="11"/>
      <c r="D143" s="11"/>
      <c r="E143" s="10"/>
      <c r="F143" s="10"/>
    </row>
    <row r="144" spans="2:6" x14ac:dyDescent="0.25">
      <c r="B144" s="55"/>
      <c r="C144" s="11"/>
      <c r="D144" s="11"/>
      <c r="E144" s="10"/>
      <c r="F144" s="10"/>
    </row>
    <row r="145" spans="2:6" x14ac:dyDescent="0.25">
      <c r="B145" s="55"/>
      <c r="C145" s="11"/>
      <c r="D145" s="11"/>
      <c r="E145" s="10"/>
      <c r="F145" s="10"/>
    </row>
    <row r="146" spans="2:6" x14ac:dyDescent="0.25">
      <c r="B146" s="55"/>
      <c r="C146" s="11"/>
      <c r="D146" s="11"/>
      <c r="E146" s="10"/>
      <c r="F146" s="10"/>
    </row>
    <row r="147" spans="2:6" x14ac:dyDescent="0.25">
      <c r="B147" s="55"/>
      <c r="C147" s="11"/>
      <c r="D147" s="11"/>
      <c r="E147" s="10"/>
      <c r="F147" s="10"/>
    </row>
    <row r="148" spans="2:6" x14ac:dyDescent="0.25">
      <c r="B148" s="55"/>
      <c r="C148" s="11"/>
      <c r="D148" s="11"/>
      <c r="E148" s="10"/>
      <c r="F148" s="10"/>
    </row>
    <row r="149" spans="2:6" x14ac:dyDescent="0.25">
      <c r="B149" s="55"/>
      <c r="C149" s="11"/>
      <c r="D149" s="11"/>
      <c r="E149" s="10"/>
      <c r="F149" s="10"/>
    </row>
    <row r="150" spans="2:6" x14ac:dyDescent="0.25">
      <c r="B150" s="55"/>
      <c r="C150" s="11"/>
      <c r="D150" s="11"/>
      <c r="E150" s="10"/>
      <c r="F150" s="10"/>
    </row>
    <row r="151" spans="2:6" x14ac:dyDescent="0.25">
      <c r="B151" s="55"/>
      <c r="C151" s="11"/>
      <c r="D151" s="11"/>
      <c r="E151" s="10"/>
      <c r="F151" s="10"/>
    </row>
    <row r="152" spans="2:6" x14ac:dyDescent="0.25">
      <c r="B152" s="55"/>
      <c r="C152" s="11"/>
      <c r="D152" s="11"/>
      <c r="E152" s="10"/>
      <c r="F152" s="10"/>
    </row>
    <row r="153" spans="2:6" x14ac:dyDescent="0.25">
      <c r="B153" s="55"/>
      <c r="C153" s="11"/>
      <c r="D153" s="11"/>
      <c r="E153" s="10"/>
      <c r="F153" s="10"/>
    </row>
    <row r="154" spans="2:6" x14ac:dyDescent="0.25">
      <c r="B154" s="55"/>
      <c r="C154" s="11"/>
      <c r="D154" s="11"/>
      <c r="E154" s="10"/>
      <c r="F154" s="10"/>
    </row>
    <row r="155" spans="2:6" x14ac:dyDescent="0.25">
      <c r="B155" s="55"/>
      <c r="C155" s="11"/>
      <c r="D155" s="11"/>
      <c r="E155" s="10"/>
      <c r="F155" s="10"/>
    </row>
    <row r="156" spans="2:6" x14ac:dyDescent="0.25">
      <c r="B156" s="55"/>
      <c r="C156" s="11"/>
      <c r="D156" s="11"/>
      <c r="E156" s="10"/>
      <c r="F156" s="10"/>
    </row>
    <row r="157" spans="2:6" x14ac:dyDescent="0.25">
      <c r="B157" s="55"/>
      <c r="C157" s="11"/>
      <c r="D157" s="11"/>
      <c r="E157" s="10"/>
      <c r="F157" s="10"/>
    </row>
    <row r="158" spans="2:6" x14ac:dyDescent="0.25">
      <c r="B158" s="55"/>
      <c r="C158" s="11"/>
      <c r="D158" s="11"/>
      <c r="E158" s="10"/>
      <c r="F158" s="10"/>
    </row>
    <row r="159" spans="2:6" x14ac:dyDescent="0.25">
      <c r="B159" s="55"/>
      <c r="C159" s="11"/>
      <c r="D159" s="11"/>
      <c r="E159" s="10"/>
      <c r="F159" s="10"/>
    </row>
    <row r="160" spans="2:6" x14ac:dyDescent="0.25">
      <c r="B160" s="55"/>
      <c r="C160" s="11"/>
      <c r="D160" s="11"/>
      <c r="E160" s="10"/>
      <c r="F160" s="10"/>
    </row>
    <row r="161" spans="2:6" x14ac:dyDescent="0.25">
      <c r="B161" s="55"/>
      <c r="C161" s="11"/>
      <c r="D161" s="11"/>
      <c r="E161" s="10"/>
      <c r="F161" s="10"/>
    </row>
    <row r="162" spans="2:6" x14ac:dyDescent="0.25">
      <c r="B162" s="55"/>
      <c r="C162" s="11"/>
      <c r="D162" s="11"/>
      <c r="E162" s="10"/>
      <c r="F162" s="10"/>
    </row>
    <row r="163" spans="2:6" x14ac:dyDescent="0.25">
      <c r="B163" s="55"/>
      <c r="C163" s="11"/>
      <c r="D163" s="11"/>
      <c r="E163" s="10"/>
      <c r="F163" s="10"/>
    </row>
    <row r="164" spans="2:6" x14ac:dyDescent="0.25">
      <c r="B164" s="55"/>
      <c r="C164" s="11"/>
      <c r="D164" s="11"/>
      <c r="E164" s="10"/>
      <c r="F164" s="10"/>
    </row>
    <row r="165" spans="2:6" x14ac:dyDescent="0.25">
      <c r="B165" s="55"/>
      <c r="C165" s="11"/>
      <c r="D165" s="11"/>
      <c r="E165" s="10"/>
      <c r="F165" s="10"/>
    </row>
    <row r="166" spans="2:6" x14ac:dyDescent="0.25">
      <c r="B166" s="55"/>
      <c r="C166" s="11"/>
      <c r="D166" s="11"/>
      <c r="E166" s="10"/>
      <c r="F166" s="10"/>
    </row>
    <row r="167" spans="2:6" x14ac:dyDescent="0.25">
      <c r="B167" s="55"/>
      <c r="C167" s="11"/>
      <c r="D167" s="11"/>
      <c r="E167" s="10"/>
      <c r="F167" s="10"/>
    </row>
    <row r="168" spans="2:6" x14ac:dyDescent="0.25">
      <c r="B168" s="55"/>
      <c r="C168" s="11"/>
      <c r="D168" s="11"/>
      <c r="E168" s="10"/>
      <c r="F168" s="10"/>
    </row>
    <row r="169" spans="2:6" x14ac:dyDescent="0.25">
      <c r="B169" s="55"/>
      <c r="C169" s="11"/>
      <c r="D169" s="11"/>
      <c r="E169" s="10"/>
      <c r="F169" s="10"/>
    </row>
    <row r="170" spans="2:6" x14ac:dyDescent="0.25">
      <c r="B170" s="55"/>
      <c r="C170" s="11"/>
      <c r="D170" s="11"/>
      <c r="E170" s="10"/>
      <c r="F170" s="10"/>
    </row>
    <row r="171" spans="2:6" x14ac:dyDescent="0.25">
      <c r="B171" s="55"/>
      <c r="C171" s="11"/>
      <c r="D171" s="11"/>
      <c r="E171" s="10"/>
      <c r="F171" s="10"/>
    </row>
    <row r="172" spans="2:6" x14ac:dyDescent="0.25">
      <c r="B172" s="55"/>
      <c r="C172" s="11"/>
      <c r="D172" s="11"/>
      <c r="E172" s="10"/>
      <c r="F172" s="10"/>
    </row>
    <row r="173" spans="2:6" x14ac:dyDescent="0.25">
      <c r="B173" s="55"/>
      <c r="C173" s="11"/>
      <c r="D173" s="11"/>
      <c r="E173" s="10"/>
      <c r="F173" s="10"/>
    </row>
    <row r="174" spans="2:6" x14ac:dyDescent="0.25">
      <c r="B174" s="55"/>
      <c r="C174" s="11"/>
      <c r="D174" s="11"/>
      <c r="E174" s="10"/>
      <c r="F174" s="10"/>
    </row>
    <row r="175" spans="2:6" x14ac:dyDescent="0.25">
      <c r="B175" s="55"/>
      <c r="C175" s="11"/>
      <c r="D175" s="11"/>
      <c r="E175" s="10"/>
      <c r="F175" s="10"/>
    </row>
    <row r="176" spans="2:6" x14ac:dyDescent="0.25">
      <c r="B176" s="55"/>
      <c r="C176" s="11"/>
      <c r="D176" s="11"/>
      <c r="E176" s="10"/>
      <c r="F176" s="10"/>
    </row>
    <row r="177" spans="2:6" x14ac:dyDescent="0.25">
      <c r="B177" s="55"/>
      <c r="C177" s="11"/>
      <c r="D177" s="11"/>
      <c r="E177" s="10"/>
      <c r="F177" s="10"/>
    </row>
    <row r="178" spans="2:6" x14ac:dyDescent="0.25">
      <c r="B178" s="55"/>
      <c r="C178" s="11"/>
      <c r="D178" s="11"/>
      <c r="E178" s="10"/>
      <c r="F178" s="10"/>
    </row>
    <row r="179" spans="2:6" x14ac:dyDescent="0.25">
      <c r="B179" s="55"/>
      <c r="C179" s="11"/>
      <c r="D179" s="11"/>
      <c r="E179" s="10"/>
      <c r="F179" s="10"/>
    </row>
    <row r="180" spans="2:6" x14ac:dyDescent="0.25">
      <c r="B180" s="55"/>
      <c r="C180" s="11"/>
      <c r="D180" s="11"/>
      <c r="E180" s="10"/>
      <c r="F180" s="10"/>
    </row>
    <row r="181" spans="2:6" x14ac:dyDescent="0.25">
      <c r="B181" s="55"/>
      <c r="C181" s="11"/>
      <c r="D181" s="11"/>
      <c r="E181" s="10"/>
      <c r="F181" s="10"/>
    </row>
    <row r="182" spans="2:6" x14ac:dyDescent="0.25">
      <c r="B182" s="55"/>
      <c r="C182" s="11"/>
      <c r="D182" s="11"/>
      <c r="E182" s="10"/>
      <c r="F182" s="10"/>
    </row>
    <row r="183" spans="2:6" x14ac:dyDescent="0.25">
      <c r="B183" s="55"/>
      <c r="C183" s="11"/>
      <c r="D183" s="11"/>
      <c r="E183" s="10"/>
      <c r="F183" s="10"/>
    </row>
    <row r="184" spans="2:6" x14ac:dyDescent="0.25">
      <c r="B184" s="55"/>
      <c r="C184" s="11"/>
      <c r="D184" s="11"/>
      <c r="E184" s="10"/>
      <c r="F184" s="10"/>
    </row>
    <row r="185" spans="2:6" x14ac:dyDescent="0.25">
      <c r="B185" s="55"/>
      <c r="C185" s="11"/>
      <c r="D185" s="11"/>
      <c r="E185" s="10"/>
      <c r="F185" s="10"/>
    </row>
    <row r="186" spans="2:6" x14ac:dyDescent="0.25">
      <c r="B186" s="55"/>
      <c r="C186" s="11"/>
      <c r="D186" s="11"/>
      <c r="E186" s="10"/>
      <c r="F186" s="10"/>
    </row>
    <row r="187" spans="2:6" x14ac:dyDescent="0.25">
      <c r="B187" s="55"/>
      <c r="C187" s="11"/>
      <c r="D187" s="11"/>
      <c r="E187" s="10"/>
      <c r="F187" s="10"/>
    </row>
    <row r="188" spans="2:6" x14ac:dyDescent="0.25">
      <c r="B188" s="55"/>
      <c r="C188" s="11"/>
      <c r="D188" s="11"/>
      <c r="E188" s="10"/>
      <c r="F188" s="10"/>
    </row>
    <row r="189" spans="2:6" x14ac:dyDescent="0.25">
      <c r="B189" s="55"/>
      <c r="C189" s="11"/>
      <c r="D189" s="11"/>
      <c r="E189" s="10"/>
      <c r="F189" s="10"/>
    </row>
    <row r="190" spans="2:6" x14ac:dyDescent="0.25">
      <c r="B190" s="55"/>
      <c r="C190" s="11"/>
      <c r="D190" s="11"/>
      <c r="E190" s="10"/>
      <c r="F190" s="10"/>
    </row>
    <row r="191" spans="2:6" x14ac:dyDescent="0.25">
      <c r="B191" s="55"/>
      <c r="C191" s="11"/>
      <c r="D191" s="11"/>
      <c r="E191" s="10"/>
      <c r="F191" s="10"/>
    </row>
    <row r="192" spans="2:6" x14ac:dyDescent="0.25">
      <c r="B192" s="55"/>
      <c r="C192" s="11"/>
      <c r="D192" s="11"/>
      <c r="E192" s="10"/>
      <c r="F192" s="10"/>
    </row>
    <row r="193" spans="2:6" x14ac:dyDescent="0.25">
      <c r="B193" s="55"/>
      <c r="C193" s="11"/>
      <c r="D193" s="11"/>
      <c r="E193" s="10"/>
      <c r="F193" s="10"/>
    </row>
    <row r="194" spans="2:6" x14ac:dyDescent="0.25">
      <c r="B194" s="55"/>
      <c r="C194" s="11"/>
      <c r="D194" s="11"/>
      <c r="E194" s="10"/>
      <c r="F194" s="10"/>
    </row>
    <row r="195" spans="2:6" x14ac:dyDescent="0.25">
      <c r="B195" s="55"/>
      <c r="C195" s="11"/>
      <c r="D195" s="11"/>
      <c r="E195" s="10"/>
      <c r="F195" s="10"/>
    </row>
    <row r="196" spans="2:6" x14ac:dyDescent="0.25">
      <c r="B196" s="55"/>
      <c r="C196" s="11"/>
      <c r="D196" s="11"/>
      <c r="E196" s="10"/>
      <c r="F196" s="10"/>
    </row>
    <row r="197" spans="2:6" x14ac:dyDescent="0.25">
      <c r="B197" s="55"/>
      <c r="C197" s="11"/>
      <c r="D197" s="11"/>
      <c r="E197" s="10"/>
      <c r="F197" s="10"/>
    </row>
    <row r="198" spans="2:6" x14ac:dyDescent="0.25">
      <c r="B198" s="55"/>
      <c r="C198" s="11"/>
      <c r="D198" s="11"/>
      <c r="E198" s="10"/>
      <c r="F198" s="10"/>
    </row>
    <row r="199" spans="2:6" x14ac:dyDescent="0.25">
      <c r="B199" s="55"/>
      <c r="C199" s="11"/>
      <c r="D199" s="11"/>
      <c r="E199" s="10"/>
      <c r="F199" s="10"/>
    </row>
    <row r="200" spans="2:6" x14ac:dyDescent="0.25">
      <c r="B200" s="55"/>
      <c r="C200" s="11"/>
      <c r="D200" s="11"/>
      <c r="E200" s="10"/>
      <c r="F200" s="10"/>
    </row>
    <row r="201" spans="2:6" x14ac:dyDescent="0.25">
      <c r="B201" s="55"/>
      <c r="C201" s="11"/>
      <c r="D201" s="11"/>
      <c r="E201" s="10"/>
      <c r="F201" s="10"/>
    </row>
    <row r="202" spans="2:6" x14ac:dyDescent="0.25">
      <c r="B202" s="55"/>
      <c r="C202" s="11"/>
      <c r="D202" s="11"/>
      <c r="E202" s="10"/>
      <c r="F202" s="10"/>
    </row>
    <row r="203" spans="2:6" x14ac:dyDescent="0.25">
      <c r="B203" s="55"/>
      <c r="C203" s="11"/>
      <c r="D203" s="11"/>
      <c r="E203" s="10"/>
      <c r="F203" s="10"/>
    </row>
    <row r="204" spans="2:6" x14ac:dyDescent="0.25">
      <c r="B204" s="55"/>
      <c r="C204" s="11"/>
      <c r="D204" s="11"/>
      <c r="E204" s="10"/>
      <c r="F204" s="10"/>
    </row>
    <row r="205" spans="2:6" x14ac:dyDescent="0.25">
      <c r="B205" s="55"/>
      <c r="C205" s="11"/>
      <c r="D205" s="11"/>
      <c r="E205" s="10"/>
      <c r="F205" s="10"/>
    </row>
    <row r="206" spans="2:6" x14ac:dyDescent="0.25">
      <c r="B206" s="55"/>
      <c r="C206" s="11"/>
      <c r="D206" s="11"/>
      <c r="E206" s="10"/>
      <c r="F206" s="10"/>
    </row>
    <row r="207" spans="2:6" x14ac:dyDescent="0.25">
      <c r="B207" s="55"/>
      <c r="C207" s="11"/>
      <c r="D207" s="11"/>
      <c r="E207" s="10"/>
      <c r="F207" s="10"/>
    </row>
    <row r="208" spans="2:6" x14ac:dyDescent="0.25">
      <c r="B208" s="55"/>
      <c r="C208" s="11"/>
      <c r="D208" s="11"/>
      <c r="E208" s="10"/>
      <c r="F208" s="10"/>
    </row>
    <row r="209" spans="2:6" x14ac:dyDescent="0.25">
      <c r="B209" s="55"/>
      <c r="C209" s="11"/>
      <c r="D209" s="11"/>
      <c r="E209" s="10"/>
      <c r="F209" s="10"/>
    </row>
    <row r="210" spans="2:6" x14ac:dyDescent="0.25">
      <c r="B210" s="55"/>
      <c r="C210" s="11"/>
      <c r="D210" s="11"/>
      <c r="E210" s="10"/>
      <c r="F210" s="10"/>
    </row>
    <row r="211" spans="2:6" x14ac:dyDescent="0.25">
      <c r="B211" s="55"/>
      <c r="C211" s="11"/>
      <c r="D211" s="11"/>
      <c r="E211" s="10"/>
      <c r="F211" s="10"/>
    </row>
    <row r="212" spans="2:6" x14ac:dyDescent="0.25">
      <c r="B212" s="55"/>
      <c r="C212" s="11"/>
      <c r="D212" s="11"/>
      <c r="E212" s="10"/>
      <c r="F212" s="10"/>
    </row>
    <row r="213" spans="2:6" x14ac:dyDescent="0.25">
      <c r="B213" s="55"/>
      <c r="C213" s="11"/>
      <c r="D213" s="11"/>
      <c r="E213" s="10"/>
      <c r="F213" s="10"/>
    </row>
    <row r="214" spans="2:6" x14ac:dyDescent="0.25">
      <c r="B214" s="55"/>
      <c r="C214" s="11"/>
      <c r="D214" s="11"/>
      <c r="E214" s="10"/>
      <c r="F214" s="10"/>
    </row>
    <row r="215" spans="2:6" x14ac:dyDescent="0.25">
      <c r="B215" s="55"/>
      <c r="C215" s="11"/>
      <c r="D215" s="11"/>
      <c r="E215" s="10"/>
      <c r="F215" s="10"/>
    </row>
    <row r="216" spans="2:6" x14ac:dyDescent="0.25">
      <c r="B216" s="55"/>
      <c r="C216" s="11"/>
      <c r="D216" s="11"/>
      <c r="E216" s="10"/>
      <c r="F216" s="10"/>
    </row>
    <row r="217" spans="2:6" x14ac:dyDescent="0.25">
      <c r="B217" s="55"/>
      <c r="C217" s="11"/>
      <c r="D217" s="11"/>
      <c r="E217" s="10"/>
      <c r="F217" s="10"/>
    </row>
    <row r="218" spans="2:6" x14ac:dyDescent="0.25">
      <c r="B218" s="55"/>
      <c r="C218" s="11"/>
      <c r="D218" s="11"/>
      <c r="E218" s="10"/>
      <c r="F218" s="10"/>
    </row>
    <row r="219" spans="2:6" x14ac:dyDescent="0.25">
      <c r="B219" s="55"/>
      <c r="C219" s="11"/>
      <c r="D219" s="11"/>
      <c r="E219" s="10"/>
      <c r="F219" s="10"/>
    </row>
    <row r="220" spans="2:6" x14ac:dyDescent="0.25">
      <c r="B220" s="55"/>
      <c r="C220" s="11"/>
      <c r="D220" s="11"/>
      <c r="E220" s="10"/>
      <c r="F220" s="10"/>
    </row>
    <row r="221" spans="2:6" x14ac:dyDescent="0.25">
      <c r="B221" s="55"/>
      <c r="C221" s="11"/>
      <c r="D221" s="11"/>
      <c r="E221" s="10"/>
      <c r="F221" s="10"/>
    </row>
    <row r="222" spans="2:6" x14ac:dyDescent="0.25">
      <c r="B222" s="55"/>
      <c r="C222" s="11"/>
      <c r="D222" s="11"/>
      <c r="E222" s="10"/>
      <c r="F222" s="10"/>
    </row>
    <row r="223" spans="2:6" x14ac:dyDescent="0.25">
      <c r="B223" s="55"/>
      <c r="C223" s="11"/>
      <c r="D223" s="11"/>
      <c r="E223" s="10"/>
      <c r="F223" s="10"/>
    </row>
    <row r="224" spans="2:6" x14ac:dyDescent="0.25">
      <c r="B224" s="55"/>
      <c r="C224" s="11"/>
      <c r="D224" s="11"/>
      <c r="E224" s="10"/>
      <c r="F224" s="10"/>
    </row>
    <row r="225" spans="2:6" x14ac:dyDescent="0.25">
      <c r="B225" s="55"/>
      <c r="C225" s="11"/>
      <c r="D225" s="11"/>
      <c r="E225" s="10"/>
      <c r="F225" s="10"/>
    </row>
    <row r="226" spans="2:6" x14ac:dyDescent="0.25">
      <c r="B226" s="55"/>
      <c r="C226" s="11"/>
      <c r="D226" s="11"/>
      <c r="E226" s="10"/>
      <c r="F226" s="10"/>
    </row>
    <row r="227" spans="2:6" x14ac:dyDescent="0.25">
      <c r="B227" s="55"/>
      <c r="C227" s="11"/>
      <c r="D227" s="11"/>
      <c r="E227" s="10"/>
      <c r="F227" s="10"/>
    </row>
    <row r="228" spans="2:6" x14ac:dyDescent="0.25">
      <c r="B228" s="55"/>
      <c r="C228" s="11"/>
      <c r="D228" s="11"/>
      <c r="E228" s="10"/>
      <c r="F228" s="10"/>
    </row>
    <row r="229" spans="2:6" x14ac:dyDescent="0.25">
      <c r="B229" s="55"/>
      <c r="C229" s="11"/>
      <c r="D229" s="11"/>
      <c r="E229" s="10"/>
      <c r="F229" s="10"/>
    </row>
    <row r="230" spans="2:6" x14ac:dyDescent="0.25">
      <c r="B230" s="55"/>
      <c r="C230" s="11"/>
      <c r="D230" s="11"/>
      <c r="E230" s="10"/>
      <c r="F230" s="10"/>
    </row>
    <row r="231" spans="2:6" x14ac:dyDescent="0.25">
      <c r="B231" s="55"/>
      <c r="C231" s="11"/>
      <c r="D231" s="11"/>
      <c r="E231" s="10"/>
      <c r="F231" s="10"/>
    </row>
    <row r="232" spans="2:6" x14ac:dyDescent="0.25">
      <c r="B232" s="55"/>
      <c r="C232" s="11"/>
      <c r="D232" s="11"/>
      <c r="E232" s="10"/>
      <c r="F232" s="10"/>
    </row>
    <row r="233" spans="2:6" x14ac:dyDescent="0.25">
      <c r="B233" s="55"/>
      <c r="C233" s="11"/>
      <c r="D233" s="11"/>
      <c r="E233" s="10"/>
      <c r="F233" s="10"/>
    </row>
    <row r="234" spans="2:6" x14ac:dyDescent="0.25">
      <c r="B234" s="55"/>
      <c r="C234" s="11"/>
      <c r="D234" s="11"/>
      <c r="E234" s="10"/>
      <c r="F234" s="10"/>
    </row>
    <row r="235" spans="2:6" x14ac:dyDescent="0.25">
      <c r="B235" s="55"/>
      <c r="C235" s="11"/>
      <c r="D235" s="11"/>
      <c r="E235" s="10"/>
      <c r="F235" s="10"/>
    </row>
    <row r="236" spans="2:6" x14ac:dyDescent="0.25">
      <c r="B236" s="55"/>
      <c r="C236" s="11"/>
      <c r="D236" s="11"/>
      <c r="E236" s="10"/>
      <c r="F236" s="10"/>
    </row>
    <row r="237" spans="2:6" x14ac:dyDescent="0.25">
      <c r="B237" s="55"/>
      <c r="C237" s="11"/>
      <c r="D237" s="11"/>
      <c r="E237" s="10"/>
      <c r="F237" s="10"/>
    </row>
    <row r="238" spans="2:6" x14ac:dyDescent="0.25">
      <c r="B238" s="55"/>
      <c r="C238" s="11"/>
      <c r="D238" s="11"/>
      <c r="E238" s="10"/>
      <c r="F238" s="10"/>
    </row>
    <row r="239" spans="2:6" x14ac:dyDescent="0.25">
      <c r="B239" s="55"/>
      <c r="C239" s="11"/>
      <c r="D239" s="11"/>
      <c r="E239" s="10"/>
      <c r="F239" s="10"/>
    </row>
    <row r="240" spans="2:6" x14ac:dyDescent="0.25">
      <c r="B240" s="55"/>
      <c r="C240" s="11"/>
      <c r="D240" s="11"/>
      <c r="E240" s="10"/>
      <c r="F240" s="10"/>
    </row>
    <row r="241" spans="2:6" x14ac:dyDescent="0.25">
      <c r="B241" s="55"/>
      <c r="C241" s="11"/>
      <c r="D241" s="11"/>
      <c r="E241" s="10"/>
      <c r="F241" s="10"/>
    </row>
    <row r="242" spans="2:6" x14ac:dyDescent="0.25">
      <c r="B242" s="55"/>
      <c r="C242" s="11"/>
      <c r="D242" s="11"/>
      <c r="E242" s="10"/>
      <c r="F242" s="10"/>
    </row>
    <row r="243" spans="2:6" x14ac:dyDescent="0.25">
      <c r="B243" s="55"/>
      <c r="C243" s="11"/>
      <c r="D243" s="11"/>
      <c r="E243" s="10"/>
      <c r="F243" s="10"/>
    </row>
    <row r="244" spans="2:6" x14ac:dyDescent="0.25">
      <c r="B244" s="55"/>
      <c r="C244" s="11"/>
      <c r="D244" s="11"/>
      <c r="E244" s="10"/>
      <c r="F244" s="10"/>
    </row>
    <row r="245" spans="2:6" x14ac:dyDescent="0.25">
      <c r="B245" s="55"/>
      <c r="C245" s="11"/>
      <c r="D245" s="11"/>
      <c r="E245" s="10"/>
      <c r="F245" s="10"/>
    </row>
    <row r="246" spans="2:6" x14ac:dyDescent="0.25">
      <c r="B246" s="55"/>
      <c r="C246" s="11"/>
      <c r="D246" s="11"/>
      <c r="E246" s="10"/>
      <c r="F246" s="10"/>
    </row>
    <row r="247" spans="2:6" x14ac:dyDescent="0.25">
      <c r="B247" s="55"/>
      <c r="C247" s="11"/>
      <c r="D247" s="11"/>
      <c r="E247" s="10"/>
      <c r="F247" s="10"/>
    </row>
    <row r="248" spans="2:6" x14ac:dyDescent="0.25">
      <c r="B248" s="55"/>
      <c r="C248" s="11"/>
      <c r="D248" s="11"/>
      <c r="E248" s="10"/>
      <c r="F248" s="10"/>
    </row>
    <row r="249" spans="2:6" x14ac:dyDescent="0.25">
      <c r="B249" s="55"/>
      <c r="C249" s="11"/>
      <c r="D249" s="11"/>
      <c r="E249" s="10"/>
      <c r="F249" s="10"/>
    </row>
    <row r="250" spans="2:6" x14ac:dyDescent="0.25">
      <c r="B250" s="55"/>
      <c r="C250" s="11"/>
      <c r="D250" s="11"/>
      <c r="E250" s="10"/>
      <c r="F250" s="10"/>
    </row>
    <row r="251" spans="2:6" x14ac:dyDescent="0.25">
      <c r="B251" s="55"/>
      <c r="C251" s="11"/>
      <c r="D251" s="11"/>
      <c r="E251" s="10"/>
      <c r="F251" s="10"/>
    </row>
    <row r="252" spans="2:6" x14ac:dyDescent="0.25">
      <c r="B252" s="55"/>
      <c r="C252" s="11"/>
      <c r="D252" s="11"/>
      <c r="E252" s="10"/>
      <c r="F252" s="10"/>
    </row>
    <row r="253" spans="2:6" x14ac:dyDescent="0.25">
      <c r="B253" s="55"/>
      <c r="C253" s="11"/>
      <c r="D253" s="11"/>
      <c r="E253" s="10"/>
      <c r="F253" s="10"/>
    </row>
    <row r="254" spans="2:6" x14ac:dyDescent="0.25">
      <c r="B254" s="55"/>
      <c r="C254" s="11"/>
      <c r="D254" s="11"/>
      <c r="E254" s="10"/>
      <c r="F254" s="10"/>
    </row>
    <row r="255" spans="2:6" x14ac:dyDescent="0.25">
      <c r="B255" s="55"/>
      <c r="C255" s="11"/>
      <c r="D255" s="11"/>
      <c r="E255" s="10"/>
      <c r="F255" s="10"/>
    </row>
    <row r="256" spans="2:6" x14ac:dyDescent="0.25">
      <c r="B256" s="55"/>
      <c r="C256" s="11"/>
      <c r="D256" s="11"/>
      <c r="E256" s="10"/>
      <c r="F256" s="10"/>
    </row>
    <row r="257" spans="2:6" x14ac:dyDescent="0.25">
      <c r="B257" s="55"/>
      <c r="C257" s="11"/>
      <c r="D257" s="11"/>
      <c r="E257" s="10"/>
      <c r="F257" s="10"/>
    </row>
    <row r="258" spans="2:6" x14ac:dyDescent="0.25">
      <c r="B258" s="55"/>
      <c r="C258" s="11"/>
      <c r="D258" s="11"/>
      <c r="E258" s="10"/>
      <c r="F258" s="10"/>
    </row>
    <row r="259" spans="2:6" x14ac:dyDescent="0.25">
      <c r="B259" s="55"/>
      <c r="C259" s="11"/>
      <c r="D259" s="11"/>
      <c r="E259" s="10"/>
      <c r="F259" s="10"/>
    </row>
    <row r="260" spans="2:6" x14ac:dyDescent="0.25">
      <c r="B260" s="55"/>
      <c r="C260" s="11"/>
      <c r="D260" s="11"/>
      <c r="E260" s="10"/>
      <c r="F260" s="10"/>
    </row>
    <row r="261" spans="2:6" x14ac:dyDescent="0.25">
      <c r="B261" s="55"/>
      <c r="C261" s="11"/>
      <c r="D261" s="11"/>
      <c r="E261" s="10"/>
      <c r="F261" s="10"/>
    </row>
    <row r="262" spans="2:6" x14ac:dyDescent="0.25">
      <c r="B262" s="55"/>
      <c r="C262" s="11"/>
      <c r="D262" s="11"/>
      <c r="E262" s="10"/>
      <c r="F262" s="10"/>
    </row>
    <row r="263" spans="2:6" x14ac:dyDescent="0.25">
      <c r="B263" s="55"/>
      <c r="C263" s="11"/>
      <c r="D263" s="11"/>
      <c r="E263" s="10"/>
      <c r="F263" s="10"/>
    </row>
    <row r="264" spans="2:6" x14ac:dyDescent="0.25">
      <c r="B264" s="55"/>
      <c r="C264" s="11"/>
      <c r="D264" s="11"/>
      <c r="E264" s="10"/>
      <c r="F264" s="10"/>
    </row>
    <row r="265" spans="2:6" x14ac:dyDescent="0.25">
      <c r="B265" s="55"/>
      <c r="C265" s="11"/>
      <c r="D265" s="11"/>
      <c r="E265" s="10"/>
      <c r="F265" s="10"/>
    </row>
    <row r="266" spans="2:6" x14ac:dyDescent="0.25">
      <c r="B266" s="55"/>
      <c r="C266" s="11"/>
      <c r="D266" s="11"/>
      <c r="E266" s="10"/>
      <c r="F266" s="10"/>
    </row>
    <row r="267" spans="2:6" x14ac:dyDescent="0.25">
      <c r="B267" s="55"/>
      <c r="C267" s="11"/>
      <c r="D267" s="11"/>
      <c r="E267" s="10"/>
      <c r="F267" s="10"/>
    </row>
    <row r="268" spans="2:6" x14ac:dyDescent="0.25">
      <c r="B268" s="55"/>
      <c r="C268" s="11"/>
      <c r="D268" s="11"/>
      <c r="E268" s="10"/>
      <c r="F268" s="10"/>
    </row>
    <row r="269" spans="2:6" x14ac:dyDescent="0.25">
      <c r="B269" s="55"/>
      <c r="C269" s="11"/>
      <c r="D269" s="11"/>
      <c r="E269" s="10"/>
      <c r="F269" s="10"/>
    </row>
    <row r="270" spans="2:6" x14ac:dyDescent="0.25">
      <c r="B270" s="55"/>
      <c r="C270" s="11"/>
      <c r="D270" s="11"/>
      <c r="E270" s="10"/>
      <c r="F270" s="10"/>
    </row>
    <row r="271" spans="2:6" x14ac:dyDescent="0.25">
      <c r="B271" s="55"/>
      <c r="C271" s="11"/>
      <c r="D271" s="11"/>
      <c r="E271" s="10"/>
      <c r="F271" s="10"/>
    </row>
    <row r="272" spans="2:6" x14ac:dyDescent="0.25">
      <c r="B272" s="55"/>
      <c r="C272" s="11"/>
      <c r="D272" s="11"/>
      <c r="E272" s="10"/>
      <c r="F272" s="10"/>
    </row>
    <row r="273" spans="2:6" x14ac:dyDescent="0.25">
      <c r="B273" s="55"/>
      <c r="C273" s="11"/>
      <c r="D273" s="11"/>
      <c r="E273" s="10"/>
      <c r="F273" s="10"/>
    </row>
    <row r="274" spans="2:6" x14ac:dyDescent="0.25">
      <c r="B274" s="55"/>
      <c r="C274" s="11"/>
      <c r="D274" s="11"/>
      <c r="E274" s="10"/>
      <c r="F274" s="10"/>
    </row>
    <row r="275" spans="2:6" x14ac:dyDescent="0.25">
      <c r="B275" s="55"/>
      <c r="C275" s="11"/>
      <c r="D275" s="11"/>
      <c r="E275" s="10"/>
      <c r="F275" s="10"/>
    </row>
    <row r="276" spans="2:6" x14ac:dyDescent="0.25">
      <c r="B276" s="55"/>
      <c r="C276" s="11"/>
      <c r="D276" s="11"/>
      <c r="E276" s="10"/>
      <c r="F276" s="10"/>
    </row>
    <row r="277" spans="2:6" x14ac:dyDescent="0.25">
      <c r="B277" s="55"/>
      <c r="C277" s="11"/>
      <c r="D277" s="11"/>
      <c r="E277" s="10"/>
      <c r="F277" s="10"/>
    </row>
    <row r="278" spans="2:6" x14ac:dyDescent="0.25">
      <c r="B278" s="55"/>
      <c r="C278" s="11"/>
      <c r="D278" s="11"/>
      <c r="E278" s="10"/>
      <c r="F278" s="10"/>
    </row>
    <row r="279" spans="2:6" x14ac:dyDescent="0.25">
      <c r="B279" s="55"/>
      <c r="C279" s="11"/>
      <c r="D279" s="11"/>
      <c r="E279" s="10"/>
      <c r="F279" s="10"/>
    </row>
    <row r="280" spans="2:6" x14ac:dyDescent="0.25">
      <c r="B280" s="55"/>
      <c r="C280" s="11"/>
      <c r="D280" s="11"/>
      <c r="E280" s="10"/>
      <c r="F280" s="10"/>
    </row>
    <row r="281" spans="2:6" x14ac:dyDescent="0.25">
      <c r="B281" s="55"/>
      <c r="C281" s="11"/>
      <c r="D281" s="11"/>
      <c r="E281" s="10"/>
      <c r="F281" s="10"/>
    </row>
    <row r="282" spans="2:6" x14ac:dyDescent="0.25">
      <c r="B282" s="55"/>
      <c r="C282" s="11"/>
      <c r="D282" s="11"/>
      <c r="E282" s="10"/>
      <c r="F282" s="10"/>
    </row>
    <row r="283" spans="2:6" x14ac:dyDescent="0.25">
      <c r="B283" s="55"/>
      <c r="C283" s="11"/>
      <c r="D283" s="11"/>
      <c r="E283" s="10"/>
      <c r="F283" s="10"/>
    </row>
    <row r="284" spans="2:6" x14ac:dyDescent="0.25">
      <c r="B284" s="55"/>
      <c r="C284" s="11"/>
      <c r="D284" s="11"/>
      <c r="E284" s="10"/>
      <c r="F284" s="10"/>
    </row>
    <row r="285" spans="2:6" x14ac:dyDescent="0.25">
      <c r="B285" s="55"/>
      <c r="C285" s="11"/>
      <c r="D285" s="11"/>
      <c r="E285" s="10"/>
      <c r="F285" s="10"/>
    </row>
    <row r="286" spans="2:6" x14ac:dyDescent="0.25">
      <c r="B286" s="55"/>
      <c r="C286" s="11"/>
      <c r="D286" s="11"/>
      <c r="E286" s="10"/>
      <c r="F286" s="10"/>
    </row>
    <row r="287" spans="2:6" x14ac:dyDescent="0.25">
      <c r="B287" s="55"/>
      <c r="C287" s="11"/>
      <c r="D287" s="11"/>
      <c r="E287" s="10"/>
      <c r="F287" s="10"/>
    </row>
    <row r="288" spans="2:6" x14ac:dyDescent="0.25">
      <c r="B288" s="55"/>
      <c r="C288" s="11"/>
      <c r="D288" s="11"/>
      <c r="E288" s="10"/>
      <c r="F288" s="10"/>
    </row>
    <row r="289" spans="2:6" x14ac:dyDescent="0.25">
      <c r="B289" s="55"/>
      <c r="C289" s="11"/>
      <c r="D289" s="11"/>
      <c r="E289" s="10"/>
      <c r="F289" s="10"/>
    </row>
    <row r="290" spans="2:6" x14ac:dyDescent="0.25">
      <c r="B290" s="55"/>
      <c r="C290" s="11"/>
      <c r="D290" s="11"/>
      <c r="E290" s="10"/>
      <c r="F290" s="10"/>
    </row>
    <row r="291" spans="2:6" x14ac:dyDescent="0.25">
      <c r="B291" s="55"/>
      <c r="C291" s="11"/>
      <c r="D291" s="11"/>
      <c r="E291" s="10"/>
      <c r="F291" s="10"/>
    </row>
    <row r="292" spans="2:6" x14ac:dyDescent="0.25">
      <c r="B292" s="55"/>
      <c r="C292" s="11"/>
      <c r="D292" s="11"/>
      <c r="E292" s="10"/>
      <c r="F292" s="10"/>
    </row>
    <row r="293" spans="2:6" x14ac:dyDescent="0.25">
      <c r="B293" s="55"/>
      <c r="C293" s="11"/>
      <c r="D293" s="11"/>
      <c r="E293" s="10"/>
      <c r="F293" s="10"/>
    </row>
    <row r="294" spans="2:6" x14ac:dyDescent="0.25">
      <c r="B294" s="55"/>
      <c r="C294" s="11"/>
      <c r="D294" s="11"/>
      <c r="E294" s="10"/>
      <c r="F294" s="10"/>
    </row>
    <row r="295" spans="2:6" x14ac:dyDescent="0.25">
      <c r="B295" s="55"/>
      <c r="C295" s="11"/>
      <c r="D295" s="11"/>
      <c r="E295" s="10"/>
      <c r="F295" s="10"/>
    </row>
    <row r="296" spans="2:6" x14ac:dyDescent="0.25">
      <c r="B296" s="55"/>
      <c r="C296" s="11"/>
      <c r="D296" s="11"/>
      <c r="E296" s="10"/>
      <c r="F296" s="10"/>
    </row>
    <row r="297" spans="2:6" x14ac:dyDescent="0.25">
      <c r="B297" s="55"/>
      <c r="C297" s="11"/>
      <c r="D297" s="11"/>
      <c r="E297" s="10"/>
      <c r="F297" s="10"/>
    </row>
    <row r="298" spans="2:6" x14ac:dyDescent="0.25">
      <c r="B298" s="55"/>
      <c r="C298" s="11"/>
      <c r="D298" s="11"/>
      <c r="E298" s="10"/>
      <c r="F298" s="10"/>
    </row>
    <row r="299" spans="2:6" x14ac:dyDescent="0.25">
      <c r="B299" s="55"/>
      <c r="C299" s="11"/>
      <c r="D299" s="11"/>
      <c r="E299" s="10"/>
      <c r="F299" s="10"/>
    </row>
    <row r="300" spans="2:6" x14ac:dyDescent="0.25">
      <c r="B300" s="55"/>
      <c r="C300" s="11"/>
      <c r="D300" s="11"/>
      <c r="E300" s="10"/>
      <c r="F300" s="10"/>
    </row>
    <row r="301" spans="2:6" x14ac:dyDescent="0.25">
      <c r="B301" s="55"/>
      <c r="C301" s="11"/>
      <c r="D301" s="11"/>
      <c r="E301" s="10"/>
      <c r="F301" s="10"/>
    </row>
    <row r="302" spans="2:6" x14ac:dyDescent="0.25">
      <c r="B302" s="55"/>
      <c r="C302" s="11"/>
      <c r="D302" s="11"/>
      <c r="E302" s="10"/>
      <c r="F302" s="10"/>
    </row>
    <row r="303" spans="2:6" x14ac:dyDescent="0.25">
      <c r="B303" s="55"/>
      <c r="C303" s="11"/>
      <c r="D303" s="11"/>
      <c r="E303" s="10"/>
      <c r="F303" s="10"/>
    </row>
    <row r="304" spans="2:6" x14ac:dyDescent="0.25">
      <c r="B304" s="55"/>
      <c r="C304" s="11"/>
      <c r="D304" s="11"/>
      <c r="E304" s="10"/>
      <c r="F304" s="10"/>
    </row>
    <row r="305" spans="2:6" x14ac:dyDescent="0.25">
      <c r="B305" s="55"/>
      <c r="C305" s="11"/>
      <c r="D305" s="11"/>
      <c r="E305" s="10"/>
      <c r="F305" s="10"/>
    </row>
    <row r="306" spans="2:6" x14ac:dyDescent="0.25">
      <c r="B306" s="55"/>
      <c r="C306" s="11"/>
      <c r="D306" s="11"/>
      <c r="E306" s="10"/>
      <c r="F306" s="10"/>
    </row>
    <row r="307" spans="2:6" x14ac:dyDescent="0.25">
      <c r="B307" s="55"/>
      <c r="C307" s="11"/>
      <c r="D307" s="11"/>
      <c r="E307" s="10"/>
      <c r="F307" s="10"/>
    </row>
    <row r="308" spans="2:6" x14ac:dyDescent="0.25">
      <c r="B308" s="55"/>
      <c r="C308" s="11"/>
      <c r="D308" s="11"/>
      <c r="E308" s="10"/>
      <c r="F308" s="10"/>
    </row>
    <row r="309" spans="2:6" x14ac:dyDescent="0.25">
      <c r="B309" s="55"/>
      <c r="C309" s="11"/>
      <c r="D309" s="11"/>
      <c r="E309" s="10"/>
      <c r="F309" s="10"/>
    </row>
    <row r="310" spans="2:6" x14ac:dyDescent="0.25">
      <c r="B310" s="55"/>
      <c r="C310" s="11"/>
      <c r="D310" s="11"/>
      <c r="E310" s="10"/>
      <c r="F310" s="10"/>
    </row>
    <row r="311" spans="2:6" x14ac:dyDescent="0.25">
      <c r="B311" s="55"/>
      <c r="C311" s="11"/>
      <c r="D311" s="11"/>
      <c r="E311" s="10"/>
      <c r="F311" s="10"/>
    </row>
    <row r="312" spans="2:6" x14ac:dyDescent="0.25">
      <c r="B312" s="55"/>
      <c r="C312" s="11"/>
      <c r="D312" s="11"/>
      <c r="E312" s="10"/>
      <c r="F312" s="10"/>
    </row>
    <row r="313" spans="2:6" x14ac:dyDescent="0.25">
      <c r="B313" s="55"/>
      <c r="C313" s="11"/>
      <c r="D313" s="11"/>
      <c r="E313" s="10"/>
      <c r="F313" s="10"/>
    </row>
    <row r="314" spans="2:6" x14ac:dyDescent="0.25">
      <c r="B314" s="55"/>
      <c r="C314" s="11"/>
      <c r="D314" s="11"/>
      <c r="E314" s="10"/>
      <c r="F314" s="10"/>
    </row>
    <row r="315" spans="2:6" x14ac:dyDescent="0.25">
      <c r="B315" s="55"/>
      <c r="C315" s="11"/>
      <c r="D315" s="11"/>
      <c r="E315" s="10"/>
      <c r="F315" s="10"/>
    </row>
    <row r="316" spans="2:6" x14ac:dyDescent="0.25">
      <c r="B316" s="55"/>
      <c r="C316" s="11"/>
      <c r="D316" s="11"/>
      <c r="E316" s="10"/>
      <c r="F316" s="10"/>
    </row>
    <row r="317" spans="2:6" x14ac:dyDescent="0.25">
      <c r="B317" s="55"/>
      <c r="C317" s="11"/>
      <c r="D317" s="11"/>
      <c r="E317" s="10"/>
      <c r="F317" s="10"/>
    </row>
    <row r="318" spans="2:6" x14ac:dyDescent="0.25">
      <c r="B318" s="55"/>
      <c r="C318" s="11"/>
      <c r="D318" s="11"/>
      <c r="E318" s="10"/>
      <c r="F318" s="10"/>
    </row>
    <row r="319" spans="2:6" x14ac:dyDescent="0.25">
      <c r="B319" s="55"/>
      <c r="C319" s="11"/>
      <c r="D319" s="11"/>
      <c r="E319" s="10"/>
      <c r="F319" s="10"/>
    </row>
    <row r="320" spans="2:6" x14ac:dyDescent="0.25">
      <c r="B320" s="55"/>
      <c r="C320" s="11"/>
      <c r="D320" s="11"/>
      <c r="E320" s="10"/>
      <c r="F320" s="10"/>
    </row>
    <row r="321" spans="2:6" x14ac:dyDescent="0.25">
      <c r="B321" s="55"/>
      <c r="C321" s="11"/>
      <c r="D321" s="11"/>
      <c r="E321" s="10"/>
      <c r="F321" s="10"/>
    </row>
    <row r="322" spans="2:6" x14ac:dyDescent="0.25">
      <c r="B322" s="55"/>
      <c r="C322" s="11"/>
      <c r="D322" s="11"/>
      <c r="E322" s="10"/>
      <c r="F322" s="10"/>
    </row>
    <row r="323" spans="2:6" x14ac:dyDescent="0.25">
      <c r="B323" s="55"/>
      <c r="C323" s="11"/>
      <c r="D323" s="11"/>
      <c r="E323" s="10"/>
      <c r="F323" s="10"/>
    </row>
    <row r="324" spans="2:6" x14ac:dyDescent="0.25">
      <c r="B324" s="55"/>
      <c r="C324" s="11"/>
      <c r="D324" s="11"/>
      <c r="E324" s="10"/>
      <c r="F324" s="10"/>
    </row>
    <row r="325" spans="2:6" x14ac:dyDescent="0.25">
      <c r="B325" s="55"/>
      <c r="C325" s="11"/>
      <c r="D325" s="11"/>
      <c r="E325" s="10"/>
      <c r="F325" s="10"/>
    </row>
    <row r="326" spans="2:6" x14ac:dyDescent="0.25">
      <c r="B326" s="55"/>
      <c r="C326" s="11"/>
      <c r="D326" s="11"/>
      <c r="E326" s="10"/>
      <c r="F326" s="10"/>
    </row>
    <row r="327" spans="2:6" x14ac:dyDescent="0.25">
      <c r="B327" s="55"/>
      <c r="C327" s="11"/>
      <c r="D327" s="11"/>
      <c r="E327" s="10"/>
      <c r="F327" s="10"/>
    </row>
    <row r="328" spans="2:6" x14ac:dyDescent="0.25">
      <c r="B328" s="55"/>
      <c r="C328" s="11"/>
      <c r="D328" s="11"/>
      <c r="E328" s="10"/>
      <c r="F328" s="10"/>
    </row>
    <row r="329" spans="2:6" x14ac:dyDescent="0.25">
      <c r="B329" s="55"/>
      <c r="C329" s="11"/>
      <c r="D329" s="11"/>
      <c r="E329" s="10"/>
      <c r="F329" s="10"/>
    </row>
    <row r="330" spans="2:6" x14ac:dyDescent="0.25">
      <c r="B330" s="55"/>
      <c r="C330" s="11"/>
      <c r="D330" s="11"/>
      <c r="E330" s="10"/>
      <c r="F330" s="10"/>
    </row>
    <row r="331" spans="2:6" x14ac:dyDescent="0.25">
      <c r="B331" s="55"/>
      <c r="C331" s="11"/>
      <c r="D331" s="11"/>
      <c r="E331" s="10"/>
      <c r="F331" s="10"/>
    </row>
    <row r="332" spans="2:6" x14ac:dyDescent="0.25">
      <c r="B332" s="55"/>
      <c r="C332" s="11"/>
      <c r="D332" s="11"/>
      <c r="E332" s="10"/>
      <c r="F332" s="10"/>
    </row>
    <row r="333" spans="2:6" x14ac:dyDescent="0.25">
      <c r="B333" s="55"/>
      <c r="C333" s="11"/>
      <c r="D333" s="11"/>
      <c r="E333" s="10"/>
      <c r="F333" s="10"/>
    </row>
    <row r="334" spans="2:6" x14ac:dyDescent="0.25">
      <c r="B334" s="55"/>
      <c r="C334" s="11"/>
      <c r="D334" s="11"/>
      <c r="E334" s="10"/>
      <c r="F334" s="10"/>
    </row>
    <row r="335" spans="2:6" x14ac:dyDescent="0.25">
      <c r="B335" s="55"/>
      <c r="C335" s="11"/>
      <c r="D335" s="11"/>
      <c r="E335" s="10"/>
      <c r="F335" s="10"/>
    </row>
    <row r="336" spans="2:6" x14ac:dyDescent="0.25">
      <c r="B336" s="55"/>
      <c r="C336" s="11"/>
      <c r="D336" s="11"/>
      <c r="E336" s="10"/>
      <c r="F336" s="10"/>
    </row>
    <row r="337" spans="2:6" x14ac:dyDescent="0.25">
      <c r="B337" s="55"/>
      <c r="C337" s="11"/>
      <c r="D337" s="11"/>
      <c r="E337" s="10"/>
      <c r="F337" s="10"/>
    </row>
    <row r="338" spans="2:6" x14ac:dyDescent="0.25">
      <c r="B338" s="55"/>
      <c r="C338" s="11"/>
      <c r="D338" s="11"/>
      <c r="E338" s="10"/>
      <c r="F338" s="10"/>
    </row>
    <row r="339" spans="2:6" x14ac:dyDescent="0.25">
      <c r="B339" s="55"/>
      <c r="C339" s="11"/>
      <c r="D339" s="11"/>
      <c r="E339" s="10"/>
      <c r="F339" s="10"/>
    </row>
    <row r="340" spans="2:6" x14ac:dyDescent="0.25">
      <c r="B340" s="55"/>
      <c r="C340" s="11"/>
      <c r="D340" s="11"/>
      <c r="E340" s="10"/>
      <c r="F340" s="10"/>
    </row>
    <row r="341" spans="2:6" x14ac:dyDescent="0.25">
      <c r="B341" s="55"/>
      <c r="C341" s="11"/>
      <c r="D341" s="11"/>
      <c r="E341" s="10"/>
      <c r="F341" s="10"/>
    </row>
    <row r="342" spans="2:6" x14ac:dyDescent="0.25">
      <c r="B342" s="55"/>
      <c r="C342" s="11"/>
      <c r="D342" s="11"/>
      <c r="E342" s="10"/>
      <c r="F342" s="10"/>
    </row>
    <row r="343" spans="2:6" x14ac:dyDescent="0.25">
      <c r="B343" s="55"/>
      <c r="C343" s="11"/>
      <c r="D343" s="11"/>
      <c r="E343" s="10"/>
      <c r="F343" s="10"/>
    </row>
    <row r="344" spans="2:6" x14ac:dyDescent="0.25">
      <c r="B344" s="55"/>
      <c r="C344" s="11"/>
      <c r="D344" s="11"/>
      <c r="E344" s="10"/>
      <c r="F344" s="10"/>
    </row>
    <row r="345" spans="2:6" x14ac:dyDescent="0.25">
      <c r="B345" s="55"/>
      <c r="C345" s="11"/>
      <c r="D345" s="11"/>
      <c r="E345" s="10"/>
      <c r="F345" s="10"/>
    </row>
    <row r="346" spans="2:6" x14ac:dyDescent="0.25">
      <c r="B346" s="55"/>
      <c r="C346" s="11"/>
      <c r="D346" s="11"/>
      <c r="E346" s="10"/>
      <c r="F346" s="10"/>
    </row>
    <row r="347" spans="2:6" x14ac:dyDescent="0.25">
      <c r="B347" s="55"/>
      <c r="C347" s="11"/>
      <c r="D347" s="11"/>
      <c r="E347" s="10"/>
      <c r="F347" s="10"/>
    </row>
    <row r="348" spans="2:6" x14ac:dyDescent="0.25">
      <c r="B348" s="55"/>
      <c r="C348" s="11"/>
      <c r="D348" s="11"/>
      <c r="E348" s="10"/>
      <c r="F348" s="10"/>
    </row>
    <row r="349" spans="2:6" x14ac:dyDescent="0.25">
      <c r="B349" s="55"/>
      <c r="C349" s="11"/>
      <c r="D349" s="11"/>
      <c r="E349" s="10"/>
      <c r="F349" s="10"/>
    </row>
    <row r="350" spans="2:6" x14ac:dyDescent="0.25">
      <c r="B350" s="55"/>
      <c r="C350" s="11"/>
      <c r="D350" s="11"/>
      <c r="E350" s="10"/>
      <c r="F350" s="10"/>
    </row>
    <row r="351" spans="2:6" x14ac:dyDescent="0.25">
      <c r="B351" s="55"/>
      <c r="C351" s="11"/>
      <c r="D351" s="11"/>
      <c r="E351" s="10"/>
      <c r="F351" s="10"/>
    </row>
    <row r="352" spans="2:6" x14ac:dyDescent="0.25">
      <c r="B352" s="55"/>
      <c r="C352" s="11"/>
      <c r="D352" s="11"/>
      <c r="E352" s="10"/>
      <c r="F352" s="10"/>
    </row>
    <row r="353" spans="2:6" x14ac:dyDescent="0.25">
      <c r="B353" s="55"/>
      <c r="C353" s="11"/>
      <c r="D353" s="11"/>
      <c r="E353" s="10"/>
      <c r="F353" s="10"/>
    </row>
    <row r="354" spans="2:6" x14ac:dyDescent="0.25">
      <c r="B354" s="55"/>
      <c r="C354" s="11"/>
      <c r="D354" s="11"/>
      <c r="E354" s="10"/>
      <c r="F354" s="10"/>
    </row>
    <row r="355" spans="2:6" x14ac:dyDescent="0.25">
      <c r="B355" s="55"/>
      <c r="C355" s="11"/>
      <c r="D355" s="11"/>
      <c r="E355" s="10"/>
      <c r="F355" s="10"/>
    </row>
    <row r="356" spans="2:6" x14ac:dyDescent="0.25">
      <c r="B356" s="55"/>
      <c r="C356" s="11"/>
      <c r="D356" s="11"/>
      <c r="E356" s="10"/>
      <c r="F356" s="10"/>
    </row>
    <row r="357" spans="2:6" x14ac:dyDescent="0.25">
      <c r="B357" s="55"/>
      <c r="C357" s="11"/>
      <c r="D357" s="11"/>
      <c r="E357" s="10"/>
      <c r="F357" s="10"/>
    </row>
    <row r="358" spans="2:6" x14ac:dyDescent="0.25">
      <c r="B358" s="55"/>
      <c r="C358" s="11"/>
      <c r="D358" s="11"/>
      <c r="E358" s="10"/>
      <c r="F358" s="10"/>
    </row>
    <row r="359" spans="2:6" x14ac:dyDescent="0.25">
      <c r="B359" s="55"/>
      <c r="C359" s="11"/>
      <c r="D359" s="11"/>
      <c r="E359" s="10"/>
      <c r="F359" s="10"/>
    </row>
    <row r="360" spans="2:6" x14ac:dyDescent="0.25">
      <c r="B360" s="55"/>
      <c r="C360" s="11"/>
      <c r="D360" s="11"/>
      <c r="E360" s="10"/>
      <c r="F360" s="10"/>
    </row>
    <row r="361" spans="2:6" x14ac:dyDescent="0.25">
      <c r="B361" s="55"/>
      <c r="C361" s="11"/>
      <c r="D361" s="11"/>
      <c r="E361" s="10"/>
      <c r="F361" s="10"/>
    </row>
    <row r="362" spans="2:6" x14ac:dyDescent="0.25">
      <c r="B362" s="55"/>
      <c r="C362" s="11"/>
      <c r="D362" s="11"/>
      <c r="E362" s="10"/>
      <c r="F362" s="10"/>
    </row>
    <row r="363" spans="2:6" x14ac:dyDescent="0.25">
      <c r="B363" s="55"/>
      <c r="C363" s="11"/>
      <c r="D363" s="11"/>
      <c r="E363" s="10"/>
      <c r="F363" s="10"/>
    </row>
    <row r="364" spans="2:6" x14ac:dyDescent="0.25">
      <c r="B364" s="55"/>
      <c r="C364" s="11"/>
      <c r="D364" s="11"/>
      <c r="E364" s="10"/>
      <c r="F364" s="10"/>
    </row>
    <row r="365" spans="2:6" x14ac:dyDescent="0.25">
      <c r="B365" s="55"/>
      <c r="C365" s="11"/>
      <c r="D365" s="11"/>
      <c r="E365" s="10"/>
      <c r="F365" s="10"/>
    </row>
    <row r="366" spans="2:6" x14ac:dyDescent="0.25">
      <c r="B366" s="55"/>
      <c r="C366" s="11"/>
      <c r="D366" s="11"/>
      <c r="E366" s="10"/>
      <c r="F366" s="10"/>
    </row>
    <row r="367" spans="2:6" x14ac:dyDescent="0.25">
      <c r="B367" s="55"/>
      <c r="C367" s="11"/>
      <c r="D367" s="11"/>
      <c r="E367" s="10"/>
      <c r="F367" s="10"/>
    </row>
    <row r="368" spans="2:6" x14ac:dyDescent="0.25">
      <c r="B368" s="55"/>
      <c r="C368" s="11"/>
      <c r="D368" s="11"/>
      <c r="E368" s="10"/>
      <c r="F368" s="10"/>
    </row>
    <row r="369" spans="2:6" x14ac:dyDescent="0.25">
      <c r="B369" s="55"/>
      <c r="C369" s="11"/>
      <c r="D369" s="11"/>
      <c r="E369" s="10"/>
      <c r="F369" s="10"/>
    </row>
    <row r="370" spans="2:6" x14ac:dyDescent="0.25">
      <c r="B370" s="55"/>
      <c r="C370" s="11"/>
      <c r="D370" s="11"/>
      <c r="E370" s="10"/>
      <c r="F370" s="10"/>
    </row>
    <row r="371" spans="2:6" x14ac:dyDescent="0.25">
      <c r="B371" s="55"/>
      <c r="C371" s="11"/>
      <c r="D371" s="11"/>
      <c r="E371" s="10"/>
      <c r="F371" s="10"/>
    </row>
    <row r="372" spans="2:6" x14ac:dyDescent="0.25">
      <c r="B372" s="55"/>
      <c r="C372" s="11"/>
      <c r="D372" s="11"/>
      <c r="E372" s="10"/>
      <c r="F372" s="10"/>
    </row>
    <row r="373" spans="2:6" x14ac:dyDescent="0.25">
      <c r="B373" s="55"/>
      <c r="C373" s="11"/>
      <c r="D373" s="11"/>
      <c r="E373" s="10"/>
      <c r="F373" s="10"/>
    </row>
    <row r="374" spans="2:6" x14ac:dyDescent="0.25">
      <c r="B374" s="55"/>
      <c r="C374" s="11"/>
      <c r="D374" s="11"/>
      <c r="E374" s="10"/>
      <c r="F374" s="10"/>
    </row>
    <row r="375" spans="2:6" x14ac:dyDescent="0.25">
      <c r="B375" s="55"/>
      <c r="C375" s="11"/>
      <c r="D375" s="11"/>
      <c r="E375" s="10"/>
      <c r="F375" s="10"/>
    </row>
    <row r="376" spans="2:6" x14ac:dyDescent="0.25">
      <c r="B376" s="55"/>
      <c r="C376" s="11"/>
      <c r="D376" s="11"/>
      <c r="E376" s="10"/>
      <c r="F376" s="10"/>
    </row>
    <row r="377" spans="2:6" x14ac:dyDescent="0.25">
      <c r="B377" s="55"/>
      <c r="C377" s="11"/>
      <c r="D377" s="11"/>
      <c r="E377" s="10"/>
      <c r="F377" s="10"/>
    </row>
    <row r="378" spans="2:6" x14ac:dyDescent="0.25">
      <c r="B378" s="55"/>
      <c r="C378" s="11"/>
      <c r="D378" s="11"/>
      <c r="E378" s="10"/>
      <c r="F378" s="10"/>
    </row>
    <row r="379" spans="2:6" x14ac:dyDescent="0.25">
      <c r="B379" s="55"/>
      <c r="C379" s="11"/>
      <c r="D379" s="11"/>
      <c r="E379" s="10"/>
      <c r="F379" s="10"/>
    </row>
    <row r="380" spans="2:6" x14ac:dyDescent="0.25">
      <c r="B380" s="55"/>
      <c r="C380" s="11"/>
      <c r="D380" s="11"/>
      <c r="E380" s="10"/>
      <c r="F380" s="10"/>
    </row>
    <row r="381" spans="2:6" x14ac:dyDescent="0.25">
      <c r="B381" s="55"/>
      <c r="C381" s="11"/>
      <c r="D381" s="11"/>
      <c r="E381" s="10"/>
      <c r="F381" s="10"/>
    </row>
    <row r="382" spans="2:6" x14ac:dyDescent="0.25">
      <c r="B382" s="55"/>
      <c r="C382" s="11"/>
      <c r="D382" s="11"/>
      <c r="E382" s="10"/>
      <c r="F382" s="10"/>
    </row>
    <row r="383" spans="2:6" x14ac:dyDescent="0.25">
      <c r="B383" s="55"/>
      <c r="C383" s="11"/>
      <c r="D383" s="11"/>
      <c r="E383" s="10"/>
      <c r="F383" s="10"/>
    </row>
    <row r="384" spans="2:6" x14ac:dyDescent="0.25">
      <c r="B384" s="55"/>
      <c r="C384" s="11"/>
      <c r="D384" s="11"/>
      <c r="E384" s="10"/>
      <c r="F384" s="10"/>
    </row>
    <row r="385" spans="2:6" x14ac:dyDescent="0.25">
      <c r="B385" s="55"/>
      <c r="C385" s="11"/>
      <c r="D385" s="11"/>
      <c r="E385" s="10"/>
      <c r="F385" s="10"/>
    </row>
    <row r="386" spans="2:6" x14ac:dyDescent="0.25">
      <c r="B386" s="55"/>
      <c r="C386" s="11"/>
      <c r="D386" s="11"/>
      <c r="E386" s="10"/>
      <c r="F386" s="10"/>
    </row>
    <row r="387" spans="2:6" x14ac:dyDescent="0.25">
      <c r="B387" s="55"/>
      <c r="C387" s="11"/>
      <c r="D387" s="11"/>
      <c r="E387" s="10"/>
      <c r="F387" s="10"/>
    </row>
    <row r="388" spans="2:6" x14ac:dyDescent="0.25">
      <c r="B388" s="55"/>
      <c r="C388" s="11"/>
      <c r="D388" s="11"/>
      <c r="E388" s="10"/>
      <c r="F388" s="10"/>
    </row>
    <row r="389" spans="2:6" x14ac:dyDescent="0.25">
      <c r="B389" s="55"/>
      <c r="C389" s="11"/>
      <c r="D389" s="11"/>
      <c r="E389" s="10"/>
      <c r="F389" s="10"/>
    </row>
    <row r="390" spans="2:6" x14ac:dyDescent="0.25">
      <c r="B390" s="55"/>
      <c r="C390" s="11"/>
      <c r="D390" s="11"/>
      <c r="E390" s="10"/>
      <c r="F390" s="10"/>
    </row>
    <row r="391" spans="2:6" x14ac:dyDescent="0.25">
      <c r="B391" s="55"/>
      <c r="C391" s="11"/>
      <c r="D391" s="11"/>
      <c r="E391" s="10"/>
      <c r="F391" s="10"/>
    </row>
    <row r="392" spans="2:6" x14ac:dyDescent="0.25">
      <c r="B392" s="55"/>
      <c r="C392" s="11"/>
      <c r="D392" s="11"/>
      <c r="E392" s="10"/>
      <c r="F392" s="10"/>
    </row>
    <row r="393" spans="2:6" x14ac:dyDescent="0.25">
      <c r="B393" s="55"/>
      <c r="C393" s="11"/>
      <c r="D393" s="11"/>
      <c r="E393" s="10"/>
      <c r="F393" s="10"/>
    </row>
    <row r="394" spans="2:6" x14ac:dyDescent="0.25">
      <c r="B394" s="55"/>
      <c r="C394" s="11"/>
      <c r="D394" s="11"/>
      <c r="E394" s="10"/>
      <c r="F394" s="10"/>
    </row>
    <row r="395" spans="2:6" x14ac:dyDescent="0.25">
      <c r="B395" s="55"/>
      <c r="C395" s="11"/>
      <c r="D395" s="11"/>
      <c r="E395" s="10"/>
      <c r="F395" s="10"/>
    </row>
    <row r="396" spans="2:6" x14ac:dyDescent="0.25">
      <c r="B396" s="55"/>
      <c r="C396" s="11"/>
      <c r="D396" s="11"/>
      <c r="E396" s="10"/>
      <c r="F396" s="10"/>
    </row>
    <row r="397" spans="2:6" x14ac:dyDescent="0.25">
      <c r="B397" s="55"/>
      <c r="C397" s="11"/>
      <c r="D397" s="11"/>
      <c r="E397" s="10"/>
      <c r="F397" s="10"/>
    </row>
    <row r="398" spans="2:6" x14ac:dyDescent="0.25">
      <c r="B398" s="55"/>
      <c r="C398" s="11"/>
      <c r="D398" s="11"/>
      <c r="E398" s="10"/>
      <c r="F398" s="10"/>
    </row>
    <row r="399" spans="2:6" x14ac:dyDescent="0.25">
      <c r="B399" s="55"/>
      <c r="C399" s="11"/>
      <c r="D399" s="11"/>
      <c r="E399" s="10"/>
      <c r="F399" s="10"/>
    </row>
    <row r="400" spans="2:6" x14ac:dyDescent="0.25">
      <c r="B400" s="55"/>
      <c r="C400" s="11"/>
      <c r="D400" s="11"/>
      <c r="E400" s="10"/>
      <c r="F400" s="10"/>
    </row>
    <row r="401" spans="2:6" x14ac:dyDescent="0.25">
      <c r="B401" s="55"/>
      <c r="C401" s="11"/>
      <c r="D401" s="11"/>
      <c r="E401" s="10"/>
      <c r="F401" s="10"/>
    </row>
    <row r="402" spans="2:6" x14ac:dyDescent="0.25">
      <c r="B402" s="55"/>
      <c r="C402" s="11"/>
      <c r="D402" s="11"/>
      <c r="E402" s="10"/>
      <c r="F402" s="10"/>
    </row>
    <row r="403" spans="2:6" x14ac:dyDescent="0.25">
      <c r="B403" s="55"/>
      <c r="C403" s="11"/>
      <c r="D403" s="11"/>
      <c r="E403" s="10"/>
      <c r="F403" s="10"/>
    </row>
    <row r="404" spans="2:6" x14ac:dyDescent="0.25">
      <c r="B404" s="55"/>
      <c r="C404" s="11"/>
      <c r="D404" s="11"/>
      <c r="E404" s="10"/>
      <c r="F404" s="10"/>
    </row>
    <row r="405" spans="2:6" x14ac:dyDescent="0.25">
      <c r="B405" s="55"/>
      <c r="C405" s="11"/>
      <c r="D405" s="11"/>
      <c r="E405" s="10"/>
      <c r="F405" s="10"/>
    </row>
    <row r="406" spans="2:6" x14ac:dyDescent="0.25">
      <c r="B406" s="55"/>
      <c r="C406" s="11"/>
      <c r="D406" s="11"/>
      <c r="E406" s="10"/>
      <c r="F406" s="10"/>
    </row>
    <row r="407" spans="2:6" x14ac:dyDescent="0.25">
      <c r="B407" s="55"/>
      <c r="C407" s="11"/>
      <c r="D407" s="11"/>
      <c r="E407" s="10"/>
      <c r="F407" s="10"/>
    </row>
    <row r="408" spans="2:6" x14ac:dyDescent="0.25">
      <c r="B408" s="55"/>
      <c r="C408" s="11"/>
      <c r="D408" s="11"/>
      <c r="E408" s="10"/>
      <c r="F408" s="10"/>
    </row>
    <row r="409" spans="2:6" x14ac:dyDescent="0.25">
      <c r="B409" s="55"/>
      <c r="C409" s="11"/>
      <c r="D409" s="11"/>
      <c r="E409" s="10"/>
      <c r="F409" s="10"/>
    </row>
    <row r="410" spans="2:6" x14ac:dyDescent="0.25">
      <c r="B410" s="55"/>
      <c r="C410" s="11"/>
      <c r="D410" s="11"/>
      <c r="E410" s="10"/>
      <c r="F410" s="10"/>
    </row>
    <row r="411" spans="2:6" x14ac:dyDescent="0.25">
      <c r="B411" s="55"/>
      <c r="C411" s="11"/>
      <c r="D411" s="11"/>
      <c r="E411" s="10"/>
      <c r="F411" s="10"/>
    </row>
    <row r="412" spans="2:6" x14ac:dyDescent="0.25">
      <c r="B412" s="55"/>
      <c r="C412" s="11"/>
      <c r="D412" s="11"/>
      <c r="E412" s="10"/>
      <c r="F412" s="10"/>
    </row>
    <row r="413" spans="2:6" x14ac:dyDescent="0.25">
      <c r="B413" s="55"/>
      <c r="C413" s="11"/>
      <c r="D413" s="11"/>
      <c r="E413" s="10"/>
      <c r="F413" s="10"/>
    </row>
    <row r="414" spans="2:6" x14ac:dyDescent="0.25">
      <c r="B414" s="55"/>
      <c r="C414" s="11"/>
      <c r="D414" s="11"/>
      <c r="E414" s="10"/>
      <c r="F414" s="10"/>
    </row>
    <row r="415" spans="2:6" x14ac:dyDescent="0.25">
      <c r="B415" s="55"/>
      <c r="C415" s="11"/>
      <c r="D415" s="11"/>
      <c r="E415" s="10"/>
      <c r="F415" s="10"/>
    </row>
    <row r="416" spans="2:6" x14ac:dyDescent="0.25">
      <c r="B416" s="55"/>
      <c r="C416" s="11"/>
      <c r="D416" s="11"/>
      <c r="E416" s="10"/>
      <c r="F416" s="10"/>
    </row>
    <row r="417" spans="2:6" x14ac:dyDescent="0.25">
      <c r="B417" s="55"/>
      <c r="C417" s="11"/>
      <c r="D417" s="11"/>
      <c r="E417" s="10"/>
      <c r="F417" s="10"/>
    </row>
    <row r="418" spans="2:6" x14ac:dyDescent="0.25">
      <c r="B418" s="55"/>
      <c r="C418" s="11"/>
      <c r="D418" s="11"/>
      <c r="E418" s="10"/>
      <c r="F418" s="10"/>
    </row>
    <row r="419" spans="2:6" x14ac:dyDescent="0.25">
      <c r="B419" s="55"/>
      <c r="C419" s="11"/>
      <c r="D419" s="11"/>
      <c r="E419" s="10"/>
      <c r="F419" s="10"/>
    </row>
    <row r="420" spans="2:6" x14ac:dyDescent="0.25">
      <c r="B420" s="55"/>
      <c r="C420" s="11"/>
      <c r="D420" s="11"/>
      <c r="E420" s="10"/>
      <c r="F420" s="10"/>
    </row>
    <row r="421" spans="2:6" x14ac:dyDescent="0.25">
      <c r="B421" s="55"/>
      <c r="C421" s="11"/>
      <c r="D421" s="11"/>
      <c r="E421" s="10"/>
      <c r="F421" s="10"/>
    </row>
    <row r="422" spans="2:6" x14ac:dyDescent="0.25">
      <c r="B422" s="55"/>
      <c r="C422" s="11"/>
      <c r="D422" s="11"/>
      <c r="E422" s="10"/>
      <c r="F422" s="10"/>
    </row>
    <row r="423" spans="2:6" x14ac:dyDescent="0.25">
      <c r="B423" s="55"/>
      <c r="C423" s="11"/>
      <c r="D423" s="11"/>
      <c r="E423" s="10"/>
      <c r="F423" s="10"/>
    </row>
    <row r="424" spans="2:6" x14ac:dyDescent="0.25">
      <c r="B424" s="55"/>
      <c r="C424" s="11"/>
      <c r="D424" s="11"/>
      <c r="E424" s="10"/>
      <c r="F424" s="10"/>
    </row>
    <row r="425" spans="2:6" x14ac:dyDescent="0.25">
      <c r="B425" s="55"/>
      <c r="C425" s="11"/>
      <c r="D425" s="11"/>
      <c r="E425" s="10"/>
      <c r="F425" s="10"/>
    </row>
    <row r="426" spans="2:6" x14ac:dyDescent="0.25">
      <c r="B426" s="55"/>
      <c r="C426" s="11"/>
      <c r="D426" s="11"/>
      <c r="E426" s="10"/>
      <c r="F426" s="10"/>
    </row>
    <row r="427" spans="2:6" x14ac:dyDescent="0.25">
      <c r="B427" s="55"/>
      <c r="C427" s="11"/>
      <c r="D427" s="11"/>
      <c r="E427" s="10"/>
      <c r="F427" s="10"/>
    </row>
    <row r="428" spans="2:6" x14ac:dyDescent="0.25">
      <c r="B428" s="55"/>
      <c r="C428" s="11"/>
      <c r="D428" s="11"/>
      <c r="E428" s="10"/>
      <c r="F428" s="10"/>
    </row>
    <row r="429" spans="2:6" x14ac:dyDescent="0.25">
      <c r="B429" s="55"/>
      <c r="C429" s="11"/>
      <c r="D429" s="11"/>
      <c r="E429" s="10"/>
      <c r="F429" s="10"/>
    </row>
    <row r="430" spans="2:6" x14ac:dyDescent="0.25">
      <c r="B430" s="55"/>
      <c r="C430" s="11"/>
      <c r="D430" s="11"/>
      <c r="E430" s="10"/>
      <c r="F430" s="10"/>
    </row>
    <row r="431" spans="2:6" x14ac:dyDescent="0.25">
      <c r="B431" s="55"/>
      <c r="C431" s="11"/>
      <c r="D431" s="11"/>
      <c r="E431" s="10"/>
      <c r="F431" s="10"/>
    </row>
    <row r="432" spans="2:6" x14ac:dyDescent="0.25">
      <c r="B432" s="55"/>
      <c r="C432" s="11"/>
      <c r="D432" s="11"/>
      <c r="E432" s="10"/>
      <c r="F432" s="10"/>
    </row>
    <row r="433" spans="2:6" x14ac:dyDescent="0.25">
      <c r="B433" s="55"/>
      <c r="C433" s="11"/>
      <c r="D433" s="11"/>
      <c r="E433" s="10"/>
      <c r="F433" s="10"/>
    </row>
    <row r="434" spans="2:6" x14ac:dyDescent="0.25">
      <c r="B434" s="55"/>
      <c r="C434" s="11"/>
      <c r="D434" s="11"/>
      <c r="E434" s="10"/>
      <c r="F434" s="10"/>
    </row>
    <row r="435" spans="2:6" x14ac:dyDescent="0.25">
      <c r="B435" s="55"/>
      <c r="C435" s="11"/>
      <c r="D435" s="11"/>
      <c r="E435" s="10"/>
      <c r="F435" s="10"/>
    </row>
    <row r="436" spans="2:6" x14ac:dyDescent="0.25">
      <c r="B436" s="55"/>
      <c r="C436" s="11"/>
      <c r="D436" s="11"/>
      <c r="E436" s="10"/>
      <c r="F436" s="10"/>
    </row>
    <row r="437" spans="2:6" x14ac:dyDescent="0.25">
      <c r="B437" s="55"/>
      <c r="C437" s="11"/>
      <c r="D437" s="11"/>
      <c r="E437" s="10"/>
      <c r="F437" s="10"/>
    </row>
    <row r="438" spans="2:6" x14ac:dyDescent="0.25">
      <c r="B438" s="55"/>
      <c r="C438" s="11"/>
      <c r="D438" s="11"/>
      <c r="E438" s="10"/>
      <c r="F438" s="10"/>
    </row>
    <row r="439" spans="2:6" x14ac:dyDescent="0.25">
      <c r="B439" s="55"/>
      <c r="C439" s="11"/>
      <c r="D439" s="11"/>
      <c r="E439" s="10"/>
      <c r="F439" s="10"/>
    </row>
    <row r="440" spans="2:6" x14ac:dyDescent="0.25">
      <c r="B440" s="55"/>
      <c r="C440" s="11"/>
      <c r="D440" s="11"/>
      <c r="E440" s="10"/>
      <c r="F440" s="10"/>
    </row>
    <row r="441" spans="2:6" x14ac:dyDescent="0.25">
      <c r="B441" s="55"/>
      <c r="C441" s="11"/>
      <c r="D441" s="11"/>
      <c r="E441" s="10"/>
      <c r="F441" s="10"/>
    </row>
    <row r="442" spans="2:6" x14ac:dyDescent="0.25">
      <c r="B442" s="55"/>
      <c r="C442" s="11"/>
      <c r="D442" s="11"/>
      <c r="E442" s="10"/>
      <c r="F442" s="10"/>
    </row>
    <row r="443" spans="2:6" x14ac:dyDescent="0.25">
      <c r="B443" s="55"/>
      <c r="C443" s="11"/>
      <c r="D443" s="11"/>
      <c r="E443" s="10"/>
      <c r="F443" s="10"/>
    </row>
    <row r="444" spans="2:6" x14ac:dyDescent="0.25">
      <c r="B444" s="55"/>
      <c r="C444" s="11"/>
      <c r="D444" s="11"/>
      <c r="E444" s="10"/>
      <c r="F444" s="10"/>
    </row>
    <row r="445" spans="2:6" x14ac:dyDescent="0.25">
      <c r="B445" s="55"/>
      <c r="C445" s="11"/>
      <c r="D445" s="11"/>
      <c r="E445" s="10"/>
      <c r="F445" s="10"/>
    </row>
    <row r="446" spans="2:6" x14ac:dyDescent="0.25">
      <c r="B446" s="55"/>
      <c r="C446" s="11"/>
      <c r="D446" s="11"/>
      <c r="E446" s="10"/>
      <c r="F446" s="10"/>
    </row>
    <row r="447" spans="2:6" x14ac:dyDescent="0.25">
      <c r="B447" s="55"/>
      <c r="C447" s="11"/>
      <c r="D447" s="11"/>
      <c r="E447" s="10"/>
      <c r="F447" s="10"/>
    </row>
    <row r="448" spans="2:6" x14ac:dyDescent="0.25">
      <c r="B448" s="55"/>
      <c r="C448" s="11"/>
      <c r="D448" s="11"/>
      <c r="E448" s="10"/>
      <c r="F448" s="10"/>
    </row>
    <row r="449" spans="2:6" x14ac:dyDescent="0.25">
      <c r="B449" s="55"/>
      <c r="C449" s="11"/>
      <c r="D449" s="11"/>
      <c r="E449" s="10"/>
      <c r="F449" s="10"/>
    </row>
    <row r="450" spans="2:6" x14ac:dyDescent="0.25">
      <c r="B450" s="55"/>
      <c r="C450" s="11"/>
      <c r="D450" s="11"/>
      <c r="E450" s="10"/>
      <c r="F450" s="10"/>
    </row>
    <row r="451" spans="2:6" x14ac:dyDescent="0.25">
      <c r="B451" s="55"/>
      <c r="C451" s="11"/>
      <c r="D451" s="11"/>
      <c r="E451" s="10"/>
      <c r="F451" s="10"/>
    </row>
    <row r="452" spans="2:6" x14ac:dyDescent="0.25">
      <c r="B452" s="55"/>
      <c r="C452" s="11"/>
      <c r="D452" s="11"/>
      <c r="E452" s="10"/>
      <c r="F452" s="10"/>
    </row>
    <row r="453" spans="2:6" x14ac:dyDescent="0.25">
      <c r="B453" s="55"/>
      <c r="C453" s="11"/>
      <c r="D453" s="11"/>
      <c r="E453" s="10"/>
      <c r="F453" s="10"/>
    </row>
    <row r="454" spans="2:6" x14ac:dyDescent="0.25">
      <c r="B454" s="55"/>
      <c r="C454" s="11"/>
      <c r="D454" s="11"/>
      <c r="E454" s="10"/>
      <c r="F454" s="10"/>
    </row>
    <row r="455" spans="2:6" x14ac:dyDescent="0.25">
      <c r="B455" s="55"/>
      <c r="C455" s="11"/>
      <c r="D455" s="11"/>
      <c r="E455" s="10"/>
      <c r="F455" s="10"/>
    </row>
    <row r="456" spans="2:6" x14ac:dyDescent="0.25">
      <c r="B456" s="55"/>
      <c r="C456" s="11"/>
      <c r="D456" s="11"/>
      <c r="E456" s="10"/>
      <c r="F456" s="10"/>
    </row>
    <row r="457" spans="2:6" x14ac:dyDescent="0.25">
      <c r="B457" s="55"/>
      <c r="C457" s="11"/>
      <c r="D457" s="11"/>
      <c r="E457" s="10"/>
      <c r="F457" s="10"/>
    </row>
    <row r="458" spans="2:6" x14ac:dyDescent="0.25">
      <c r="B458" s="55"/>
      <c r="C458" s="11"/>
      <c r="D458" s="11"/>
      <c r="E458" s="10"/>
      <c r="F458" s="10"/>
    </row>
    <row r="459" spans="2:6" x14ac:dyDescent="0.25">
      <c r="B459" s="55"/>
      <c r="C459" s="11"/>
      <c r="D459" s="11"/>
      <c r="E459" s="10"/>
      <c r="F459" s="10"/>
    </row>
    <row r="460" spans="2:6" x14ac:dyDescent="0.25">
      <c r="B460" s="55"/>
      <c r="C460" s="11"/>
      <c r="D460" s="11"/>
      <c r="E460" s="10"/>
      <c r="F460" s="10"/>
    </row>
    <row r="461" spans="2:6" x14ac:dyDescent="0.25">
      <c r="B461" s="55"/>
      <c r="C461" s="11"/>
      <c r="D461" s="11"/>
      <c r="E461" s="10"/>
      <c r="F461" s="10"/>
    </row>
    <row r="462" spans="2:6" x14ac:dyDescent="0.25">
      <c r="B462" s="55"/>
      <c r="C462" s="11"/>
      <c r="D462" s="11"/>
      <c r="E462" s="10"/>
      <c r="F462" s="10"/>
    </row>
    <row r="463" spans="2:6" x14ac:dyDescent="0.25">
      <c r="B463" s="55"/>
      <c r="C463" s="11"/>
      <c r="D463" s="11"/>
      <c r="E463" s="10"/>
      <c r="F463" s="10"/>
    </row>
    <row r="464" spans="2:6" x14ac:dyDescent="0.25">
      <c r="B464" s="55"/>
      <c r="C464" s="11"/>
      <c r="D464" s="11"/>
      <c r="E464" s="10"/>
      <c r="F464" s="10"/>
    </row>
    <row r="465" spans="2:6" x14ac:dyDescent="0.25">
      <c r="B465" s="55"/>
      <c r="C465" s="11"/>
      <c r="D465" s="11"/>
      <c r="E465" s="10"/>
      <c r="F465" s="10"/>
    </row>
    <row r="466" spans="2:6" x14ac:dyDescent="0.25">
      <c r="B466" s="55"/>
      <c r="C466" s="11"/>
      <c r="D466" s="11"/>
      <c r="E466" s="10"/>
      <c r="F466" s="10"/>
    </row>
    <row r="467" spans="2:6" x14ac:dyDescent="0.25">
      <c r="B467" s="55"/>
      <c r="C467" s="11"/>
      <c r="D467" s="11"/>
      <c r="E467" s="10"/>
      <c r="F467" s="10"/>
    </row>
    <row r="468" spans="2:6" x14ac:dyDescent="0.25">
      <c r="B468" s="55"/>
      <c r="C468" s="11"/>
      <c r="D468" s="11"/>
      <c r="E468" s="10"/>
      <c r="F468" s="10"/>
    </row>
    <row r="469" spans="2:6" x14ac:dyDescent="0.25">
      <c r="B469" s="55"/>
      <c r="C469" s="11"/>
      <c r="D469" s="11"/>
      <c r="E469" s="10"/>
      <c r="F469" s="10"/>
    </row>
    <row r="470" spans="2:6" x14ac:dyDescent="0.25">
      <c r="B470" s="55"/>
      <c r="C470" s="11"/>
      <c r="D470" s="11"/>
      <c r="E470" s="10"/>
      <c r="F470" s="10"/>
    </row>
    <row r="471" spans="2:6" x14ac:dyDescent="0.25">
      <c r="B471" s="55"/>
      <c r="C471" s="11"/>
      <c r="D471" s="11"/>
      <c r="E471" s="10"/>
      <c r="F471" s="10"/>
    </row>
    <row r="472" spans="2:6" x14ac:dyDescent="0.25">
      <c r="B472" s="55"/>
      <c r="C472" s="11"/>
      <c r="D472" s="11"/>
      <c r="E472" s="10"/>
      <c r="F472" s="10"/>
    </row>
    <row r="473" spans="2:6" x14ac:dyDescent="0.25">
      <c r="B473" s="55"/>
      <c r="C473" s="11"/>
      <c r="D473" s="11"/>
      <c r="E473" s="10"/>
      <c r="F473" s="10"/>
    </row>
    <row r="474" spans="2:6" x14ac:dyDescent="0.25">
      <c r="B474" s="55"/>
      <c r="C474" s="11"/>
      <c r="D474" s="11"/>
      <c r="E474" s="10"/>
      <c r="F474" s="10"/>
    </row>
    <row r="475" spans="2:6" x14ac:dyDescent="0.25">
      <c r="B475" s="55"/>
      <c r="C475" s="11"/>
      <c r="D475" s="11"/>
      <c r="E475" s="10"/>
      <c r="F475" s="10"/>
    </row>
    <row r="476" spans="2:6" x14ac:dyDescent="0.25">
      <c r="B476" s="55"/>
      <c r="C476" s="11"/>
      <c r="D476" s="11"/>
      <c r="E476" s="10"/>
      <c r="F476" s="10"/>
    </row>
    <row r="477" spans="2:6" x14ac:dyDescent="0.25">
      <c r="B477" s="55"/>
      <c r="C477" s="11"/>
      <c r="D477" s="11"/>
      <c r="E477" s="10"/>
      <c r="F477" s="10"/>
    </row>
    <row r="478" spans="2:6" x14ac:dyDescent="0.25">
      <c r="B478" s="55"/>
      <c r="C478" s="11"/>
      <c r="D478" s="11"/>
      <c r="E478" s="10"/>
      <c r="F478" s="10"/>
    </row>
    <row r="479" spans="2:6" x14ac:dyDescent="0.25">
      <c r="B479" s="55"/>
      <c r="C479" s="11"/>
      <c r="D479" s="11"/>
      <c r="E479" s="10"/>
      <c r="F479" s="10"/>
    </row>
    <row r="480" spans="2:6" x14ac:dyDescent="0.25">
      <c r="B480" s="55"/>
      <c r="C480" s="11"/>
      <c r="D480" s="11"/>
      <c r="E480" s="10"/>
      <c r="F480" s="10"/>
    </row>
    <row r="481" spans="2:6" x14ac:dyDescent="0.25">
      <c r="B481" s="55"/>
      <c r="C481" s="11"/>
      <c r="D481" s="11"/>
      <c r="E481" s="10"/>
      <c r="F481" s="10"/>
    </row>
    <row r="482" spans="2:6" x14ac:dyDescent="0.25">
      <c r="B482" s="55"/>
      <c r="C482" s="11"/>
      <c r="D482" s="11"/>
      <c r="E482" s="10"/>
      <c r="F482" s="10"/>
    </row>
    <row r="483" spans="2:6" x14ac:dyDescent="0.25">
      <c r="B483" s="55"/>
      <c r="C483" s="11"/>
      <c r="D483" s="11"/>
      <c r="E483" s="10"/>
      <c r="F483" s="10"/>
    </row>
    <row r="484" spans="2:6" x14ac:dyDescent="0.25">
      <c r="B484" s="55"/>
      <c r="C484" s="11"/>
      <c r="D484" s="11"/>
      <c r="E484" s="10"/>
      <c r="F484" s="10"/>
    </row>
    <row r="485" spans="2:6" x14ac:dyDescent="0.25">
      <c r="B485" s="55"/>
      <c r="C485" s="11"/>
      <c r="D485" s="11"/>
      <c r="E485" s="10"/>
      <c r="F485" s="10"/>
    </row>
    <row r="486" spans="2:6" x14ac:dyDescent="0.25">
      <c r="B486" s="55"/>
      <c r="C486" s="11"/>
      <c r="D486" s="11"/>
      <c r="E486" s="10"/>
      <c r="F486" s="10"/>
    </row>
    <row r="487" spans="2:6" x14ac:dyDescent="0.25">
      <c r="B487" s="55"/>
      <c r="C487" s="11"/>
      <c r="D487" s="11"/>
      <c r="E487" s="10"/>
      <c r="F487" s="10"/>
    </row>
    <row r="488" spans="2:6" x14ac:dyDescent="0.25">
      <c r="B488" s="55"/>
      <c r="C488" s="11"/>
      <c r="D488" s="11"/>
      <c r="E488" s="10"/>
      <c r="F488" s="10"/>
    </row>
    <row r="489" spans="2:6" x14ac:dyDescent="0.25">
      <c r="B489" s="55"/>
      <c r="C489" s="11"/>
      <c r="D489" s="11"/>
      <c r="E489" s="10"/>
      <c r="F489" s="10"/>
    </row>
    <row r="490" spans="2:6" x14ac:dyDescent="0.25">
      <c r="B490" s="55"/>
      <c r="C490" s="11"/>
      <c r="D490" s="11"/>
      <c r="E490" s="10"/>
      <c r="F490" s="10"/>
    </row>
    <row r="491" spans="2:6" x14ac:dyDescent="0.25">
      <c r="B491" s="55"/>
      <c r="C491" s="11"/>
      <c r="D491" s="11"/>
      <c r="E491" s="10"/>
      <c r="F491" s="10"/>
    </row>
    <row r="492" spans="2:6" x14ac:dyDescent="0.25">
      <c r="B492" s="55"/>
      <c r="C492" s="11"/>
      <c r="D492" s="11"/>
      <c r="E492" s="10"/>
      <c r="F492" s="10"/>
    </row>
    <row r="493" spans="2:6" x14ac:dyDescent="0.25">
      <c r="B493" s="55"/>
      <c r="C493" s="11"/>
      <c r="D493" s="11"/>
      <c r="E493" s="10"/>
      <c r="F493" s="10"/>
    </row>
    <row r="494" spans="2:6" x14ac:dyDescent="0.25">
      <c r="B494" s="55"/>
      <c r="C494" s="11"/>
      <c r="D494" s="11"/>
      <c r="E494" s="10"/>
      <c r="F494" s="10"/>
    </row>
    <row r="495" spans="2:6" x14ac:dyDescent="0.25">
      <c r="B495" s="55"/>
      <c r="C495" s="11"/>
      <c r="D495" s="11"/>
      <c r="E495" s="10"/>
      <c r="F495" s="10"/>
    </row>
    <row r="496" spans="2:6" x14ac:dyDescent="0.25">
      <c r="B496" s="55"/>
      <c r="C496" s="11"/>
      <c r="D496" s="11"/>
      <c r="E496" s="10"/>
      <c r="F496" s="10"/>
    </row>
    <row r="497" spans="2:6" x14ac:dyDescent="0.25">
      <c r="B497" s="55"/>
      <c r="C497" s="11"/>
      <c r="D497" s="11"/>
      <c r="E497" s="10"/>
      <c r="F497" s="10"/>
    </row>
    <row r="498" spans="2:6" x14ac:dyDescent="0.25">
      <c r="B498" s="55"/>
      <c r="C498" s="11"/>
      <c r="D498" s="11"/>
      <c r="E498" s="10"/>
      <c r="F498" s="10"/>
    </row>
    <row r="499" spans="2:6" x14ac:dyDescent="0.25">
      <c r="B499" s="55"/>
      <c r="C499" s="11"/>
      <c r="D499" s="11"/>
      <c r="E499" s="10"/>
      <c r="F499" s="10"/>
    </row>
    <row r="500" spans="2:6" x14ac:dyDescent="0.25">
      <c r="B500" s="55"/>
      <c r="C500" s="11"/>
      <c r="D500" s="11"/>
      <c r="E500" s="10"/>
      <c r="F500" s="10"/>
    </row>
    <row r="501" spans="2:6" x14ac:dyDescent="0.25">
      <c r="B501" s="55"/>
      <c r="C501" s="11"/>
      <c r="D501" s="11"/>
      <c r="E501" s="10"/>
      <c r="F501" s="10"/>
    </row>
    <row r="502" spans="2:6" x14ac:dyDescent="0.25">
      <c r="B502" s="55"/>
      <c r="C502" s="11"/>
      <c r="D502" s="11"/>
      <c r="E502" s="10"/>
      <c r="F502" s="10"/>
    </row>
    <row r="503" spans="2:6" x14ac:dyDescent="0.25">
      <c r="B503" s="55"/>
      <c r="C503" s="11"/>
      <c r="D503" s="11"/>
      <c r="E503" s="10"/>
      <c r="F503" s="10"/>
    </row>
    <row r="504" spans="2:6" x14ac:dyDescent="0.25">
      <c r="B504" s="55"/>
      <c r="C504" s="11"/>
      <c r="D504" s="11"/>
      <c r="E504" s="10"/>
      <c r="F504" s="10"/>
    </row>
    <row r="505" spans="2:6" x14ac:dyDescent="0.25">
      <c r="B505" s="55"/>
      <c r="C505" s="11"/>
      <c r="D505" s="11"/>
      <c r="E505" s="10"/>
      <c r="F505" s="10"/>
    </row>
    <row r="506" spans="2:6" x14ac:dyDescent="0.25">
      <c r="B506" s="55"/>
      <c r="C506" s="11"/>
      <c r="D506" s="11"/>
      <c r="E506" s="10"/>
      <c r="F506" s="10"/>
    </row>
    <row r="507" spans="2:6" x14ac:dyDescent="0.25">
      <c r="B507" s="55"/>
      <c r="C507" s="11"/>
      <c r="D507" s="11"/>
      <c r="E507" s="10"/>
      <c r="F507" s="10"/>
    </row>
    <row r="508" spans="2:6" x14ac:dyDescent="0.25">
      <c r="B508" s="55"/>
      <c r="C508" s="11"/>
      <c r="D508" s="11"/>
      <c r="E508" s="10"/>
      <c r="F508" s="10"/>
    </row>
    <row r="509" spans="2:6" x14ac:dyDescent="0.25">
      <c r="B509" s="55"/>
      <c r="C509" s="11"/>
      <c r="D509" s="11"/>
      <c r="E509" s="10"/>
      <c r="F509" s="10"/>
    </row>
    <row r="510" spans="2:6" x14ac:dyDescent="0.25">
      <c r="B510" s="55"/>
      <c r="C510" s="11"/>
      <c r="D510" s="11"/>
      <c r="E510" s="10"/>
      <c r="F510" s="10"/>
    </row>
    <row r="511" spans="2:6" x14ac:dyDescent="0.25">
      <c r="B511" s="55"/>
      <c r="C511" s="11"/>
      <c r="D511" s="11"/>
      <c r="E511" s="10"/>
      <c r="F511" s="10"/>
    </row>
    <row r="512" spans="2:6" x14ac:dyDescent="0.25">
      <c r="B512" s="55"/>
      <c r="C512" s="11"/>
      <c r="D512" s="11"/>
      <c r="E512" s="10"/>
      <c r="F512" s="10"/>
    </row>
    <row r="513" spans="2:6" x14ac:dyDescent="0.25">
      <c r="B513" s="55"/>
      <c r="C513" s="11"/>
      <c r="D513" s="11"/>
      <c r="E513" s="10"/>
      <c r="F513" s="10"/>
    </row>
    <row r="514" spans="2:6" x14ac:dyDescent="0.25">
      <c r="B514" s="55"/>
      <c r="C514" s="11"/>
      <c r="D514" s="11"/>
      <c r="E514" s="10"/>
      <c r="F514" s="10"/>
    </row>
    <row r="515" spans="2:6" x14ac:dyDescent="0.25">
      <c r="B515" s="55"/>
      <c r="C515" s="11"/>
      <c r="D515" s="11"/>
      <c r="E515" s="10"/>
      <c r="F515" s="10"/>
    </row>
    <row r="516" spans="2:6" x14ac:dyDescent="0.25">
      <c r="B516" s="55"/>
      <c r="C516" s="11"/>
      <c r="D516" s="11"/>
      <c r="E516" s="10"/>
      <c r="F516" s="10"/>
    </row>
    <row r="517" spans="2:6" x14ac:dyDescent="0.25">
      <c r="B517" s="55"/>
      <c r="C517" s="11"/>
      <c r="D517" s="11"/>
      <c r="E517" s="10"/>
      <c r="F517" s="10"/>
    </row>
    <row r="518" spans="2:6" x14ac:dyDescent="0.25">
      <c r="B518" s="55"/>
      <c r="C518" s="11"/>
      <c r="D518" s="11"/>
      <c r="E518" s="10"/>
      <c r="F518" s="10"/>
    </row>
    <row r="519" spans="2:6" x14ac:dyDescent="0.25">
      <c r="B519" s="55"/>
      <c r="C519" s="11"/>
      <c r="D519" s="11"/>
      <c r="E519" s="10"/>
      <c r="F519" s="10"/>
    </row>
    <row r="520" spans="2:6" x14ac:dyDescent="0.25">
      <c r="B520" s="55"/>
      <c r="C520" s="11"/>
      <c r="D520" s="11"/>
      <c r="E520" s="10"/>
      <c r="F520" s="10"/>
    </row>
    <row r="521" spans="2:6" x14ac:dyDescent="0.25">
      <c r="B521" s="55"/>
      <c r="C521" s="11"/>
      <c r="D521" s="11"/>
      <c r="E521" s="10"/>
      <c r="F521" s="10"/>
    </row>
    <row r="522" spans="2:6" x14ac:dyDescent="0.25">
      <c r="B522" s="55"/>
      <c r="C522" s="11"/>
      <c r="D522" s="11"/>
      <c r="E522" s="10"/>
      <c r="F522" s="10"/>
    </row>
    <row r="523" spans="2:6" x14ac:dyDescent="0.25">
      <c r="B523" s="55"/>
      <c r="C523" s="11"/>
      <c r="D523" s="11"/>
      <c r="E523" s="10"/>
      <c r="F523" s="10"/>
    </row>
    <row r="524" spans="2:6" x14ac:dyDescent="0.25">
      <c r="B524" s="55"/>
      <c r="C524" s="11"/>
      <c r="D524" s="11"/>
      <c r="E524" s="10"/>
      <c r="F524" s="10"/>
    </row>
    <row r="525" spans="2:6" x14ac:dyDescent="0.25">
      <c r="B525" s="55"/>
      <c r="C525" s="11"/>
      <c r="D525" s="11"/>
      <c r="E525" s="10"/>
      <c r="F525" s="10"/>
    </row>
    <row r="526" spans="2:6" x14ac:dyDescent="0.25">
      <c r="B526" s="55"/>
      <c r="C526" s="11"/>
      <c r="D526" s="11"/>
      <c r="E526" s="10"/>
      <c r="F526" s="10"/>
    </row>
    <row r="527" spans="2:6" x14ac:dyDescent="0.25">
      <c r="B527" s="55"/>
      <c r="C527" s="11"/>
      <c r="D527" s="11"/>
      <c r="E527" s="10"/>
      <c r="F527" s="10"/>
    </row>
    <row r="528" spans="2:6" x14ac:dyDescent="0.25">
      <c r="B528" s="55"/>
      <c r="C528" s="11"/>
      <c r="D528" s="11"/>
      <c r="E528" s="10"/>
      <c r="F528" s="10"/>
    </row>
    <row r="529" spans="2:6" x14ac:dyDescent="0.25">
      <c r="B529" s="55"/>
      <c r="C529" s="11"/>
      <c r="D529" s="11"/>
      <c r="E529" s="10"/>
      <c r="F529" s="10"/>
    </row>
    <row r="530" spans="2:6" x14ac:dyDescent="0.25">
      <c r="B530" s="55"/>
      <c r="C530" s="11"/>
      <c r="D530" s="11"/>
      <c r="E530" s="10"/>
      <c r="F530" s="10"/>
    </row>
    <row r="531" spans="2:6" x14ac:dyDescent="0.25">
      <c r="B531" s="55"/>
      <c r="C531" s="11"/>
      <c r="D531" s="11"/>
      <c r="E531" s="10"/>
      <c r="F531" s="10"/>
    </row>
    <row r="532" spans="2:6" x14ac:dyDescent="0.25">
      <c r="B532" s="55"/>
      <c r="C532" s="11"/>
      <c r="D532" s="11"/>
      <c r="E532" s="10"/>
      <c r="F532" s="10"/>
    </row>
    <row r="533" spans="2:6" x14ac:dyDescent="0.25">
      <c r="B533" s="55"/>
      <c r="C533" s="11"/>
      <c r="D533" s="11"/>
      <c r="E533" s="10"/>
      <c r="F533" s="10"/>
    </row>
    <row r="534" spans="2:6" x14ac:dyDescent="0.25">
      <c r="B534" s="55"/>
      <c r="C534" s="11"/>
      <c r="D534" s="11"/>
      <c r="E534" s="10"/>
      <c r="F534" s="10"/>
    </row>
    <row r="535" spans="2:6" x14ac:dyDescent="0.25">
      <c r="B535" s="55"/>
      <c r="C535" s="11"/>
      <c r="D535" s="11"/>
      <c r="E535" s="10"/>
      <c r="F535" s="10"/>
    </row>
    <row r="536" spans="2:6" x14ac:dyDescent="0.25">
      <c r="B536" s="55"/>
      <c r="C536" s="11"/>
      <c r="D536" s="11"/>
      <c r="E536" s="10"/>
      <c r="F536" s="10"/>
    </row>
    <row r="537" spans="2:6" x14ac:dyDescent="0.25">
      <c r="B537" s="55"/>
      <c r="C537" s="11"/>
      <c r="D537" s="11"/>
      <c r="E537" s="10"/>
      <c r="F537" s="10"/>
    </row>
    <row r="538" spans="2:6" x14ac:dyDescent="0.25">
      <c r="B538" s="55"/>
      <c r="C538" s="11"/>
      <c r="D538" s="11"/>
      <c r="E538" s="10"/>
      <c r="F538" s="10"/>
    </row>
    <row r="539" spans="2:6" x14ac:dyDescent="0.25">
      <c r="B539" s="55"/>
      <c r="C539" s="11"/>
      <c r="D539" s="11"/>
      <c r="E539" s="10"/>
      <c r="F539" s="10"/>
    </row>
    <row r="540" spans="2:6" x14ac:dyDescent="0.25">
      <c r="B540" s="55"/>
      <c r="C540" s="11"/>
      <c r="D540" s="11"/>
      <c r="E540" s="10"/>
      <c r="F540" s="10"/>
    </row>
    <row r="541" spans="2:6" x14ac:dyDescent="0.25">
      <c r="B541" s="55"/>
      <c r="C541" s="11"/>
      <c r="D541" s="11"/>
      <c r="E541" s="10"/>
      <c r="F541" s="10"/>
    </row>
    <row r="542" spans="2:6" x14ac:dyDescent="0.25">
      <c r="B542" s="55"/>
      <c r="C542" s="11"/>
      <c r="D542" s="11"/>
      <c r="E542" s="10"/>
      <c r="F542" s="10"/>
    </row>
    <row r="543" spans="2:6" x14ac:dyDescent="0.25">
      <c r="B543" s="55"/>
      <c r="C543" s="11"/>
      <c r="D543" s="11"/>
      <c r="E543" s="10"/>
      <c r="F543" s="10"/>
    </row>
    <row r="544" spans="2:6" x14ac:dyDescent="0.25">
      <c r="B544" s="55"/>
      <c r="C544" s="11"/>
      <c r="D544" s="11"/>
      <c r="E544" s="10"/>
      <c r="F544" s="10"/>
    </row>
    <row r="545" spans="2:6" x14ac:dyDescent="0.25">
      <c r="B545" s="55"/>
      <c r="C545" s="11"/>
      <c r="D545" s="11"/>
      <c r="E545" s="10"/>
      <c r="F545" s="10"/>
    </row>
    <row r="546" spans="2:6" x14ac:dyDescent="0.25">
      <c r="B546" s="55"/>
      <c r="C546" s="11"/>
      <c r="D546" s="11"/>
      <c r="E546" s="10"/>
      <c r="F546" s="10"/>
    </row>
    <row r="547" spans="2:6" x14ac:dyDescent="0.25">
      <c r="B547" s="55"/>
      <c r="C547" s="11"/>
      <c r="D547" s="11"/>
      <c r="E547" s="10"/>
      <c r="F547" s="10"/>
    </row>
    <row r="548" spans="2:6" x14ac:dyDescent="0.25">
      <c r="B548" s="55"/>
      <c r="C548" s="11"/>
      <c r="D548" s="11"/>
      <c r="E548" s="10"/>
      <c r="F548" s="10"/>
    </row>
    <row r="549" spans="2:6" x14ac:dyDescent="0.25">
      <c r="B549" s="55"/>
      <c r="C549" s="11"/>
      <c r="D549" s="11"/>
      <c r="E549" s="10"/>
      <c r="F549" s="10"/>
    </row>
    <row r="550" spans="2:6" x14ac:dyDescent="0.25">
      <c r="B550" s="55"/>
      <c r="C550" s="11"/>
      <c r="D550" s="11"/>
      <c r="E550" s="10"/>
      <c r="F550" s="10"/>
    </row>
    <row r="551" spans="2:6" x14ac:dyDescent="0.25">
      <c r="B551" s="55"/>
      <c r="C551" s="11"/>
      <c r="D551" s="11"/>
      <c r="E551" s="10"/>
      <c r="F551" s="10"/>
    </row>
    <row r="552" spans="2:6" x14ac:dyDescent="0.25">
      <c r="B552" s="55"/>
      <c r="C552" s="11"/>
      <c r="D552" s="11"/>
      <c r="E552" s="10"/>
      <c r="F552" s="10"/>
    </row>
    <row r="553" spans="2:6" x14ac:dyDescent="0.25">
      <c r="B553" s="55"/>
      <c r="C553" s="11"/>
      <c r="D553" s="11"/>
      <c r="E553" s="10"/>
      <c r="F553" s="10"/>
    </row>
    <row r="554" spans="2:6" x14ac:dyDescent="0.25">
      <c r="B554" s="55"/>
      <c r="C554" s="11"/>
      <c r="D554" s="11"/>
      <c r="E554" s="10"/>
      <c r="F554" s="10"/>
    </row>
    <row r="555" spans="2:6" x14ac:dyDescent="0.25">
      <c r="B555" s="55"/>
      <c r="C555" s="11"/>
      <c r="D555" s="11"/>
      <c r="E555" s="10"/>
      <c r="F555" s="10"/>
    </row>
    <row r="556" spans="2:6" x14ac:dyDescent="0.25">
      <c r="B556" s="55"/>
      <c r="C556" s="11"/>
      <c r="D556" s="11"/>
      <c r="E556" s="10"/>
      <c r="F556" s="10"/>
    </row>
    <row r="557" spans="2:6" x14ac:dyDescent="0.25">
      <c r="B557" s="55"/>
      <c r="C557" s="11"/>
      <c r="D557" s="11"/>
      <c r="E557" s="10"/>
      <c r="F557" s="10"/>
    </row>
    <row r="558" spans="2:6" x14ac:dyDescent="0.25">
      <c r="B558" s="55"/>
      <c r="C558" s="11"/>
      <c r="D558" s="11"/>
      <c r="E558" s="10"/>
      <c r="F558" s="10"/>
    </row>
    <row r="559" spans="2:6" x14ac:dyDescent="0.25">
      <c r="B559" s="55"/>
      <c r="C559" s="11"/>
      <c r="D559" s="11"/>
      <c r="E559" s="10"/>
      <c r="F559" s="10"/>
    </row>
    <row r="560" spans="2:6" x14ac:dyDescent="0.25">
      <c r="B560" s="55"/>
      <c r="C560" s="11"/>
      <c r="D560" s="11"/>
      <c r="E560" s="10"/>
      <c r="F560" s="10"/>
    </row>
    <row r="561" spans="2:6" x14ac:dyDescent="0.25">
      <c r="B561" s="55"/>
      <c r="C561" s="11"/>
      <c r="D561" s="11"/>
      <c r="E561" s="10"/>
      <c r="F561" s="10"/>
    </row>
    <row r="562" spans="2:6" x14ac:dyDescent="0.25">
      <c r="B562" s="55"/>
      <c r="C562" s="11"/>
      <c r="D562" s="11"/>
      <c r="E562" s="10"/>
      <c r="F562" s="10"/>
    </row>
    <row r="563" spans="2:6" x14ac:dyDescent="0.25">
      <c r="B563" s="55"/>
      <c r="C563" s="11"/>
      <c r="D563" s="11"/>
      <c r="E563" s="10"/>
      <c r="F563" s="10"/>
    </row>
    <row r="564" spans="2:6" x14ac:dyDescent="0.25">
      <c r="B564" s="55"/>
      <c r="C564" s="11"/>
      <c r="D564" s="11"/>
      <c r="E564" s="10"/>
      <c r="F564" s="10"/>
    </row>
    <row r="565" spans="2:6" x14ac:dyDescent="0.25">
      <c r="B565" s="55"/>
      <c r="C565" s="11"/>
      <c r="D565" s="11"/>
      <c r="E565" s="10"/>
      <c r="F565" s="10"/>
    </row>
    <row r="566" spans="2:6" x14ac:dyDescent="0.25">
      <c r="B566" s="55"/>
      <c r="C566" s="11"/>
      <c r="D566" s="11"/>
      <c r="E566" s="10"/>
      <c r="F566" s="10"/>
    </row>
    <row r="567" spans="2:6" x14ac:dyDescent="0.25">
      <c r="B567" s="55"/>
      <c r="C567" s="11"/>
      <c r="D567" s="11"/>
      <c r="E567" s="10"/>
      <c r="F567" s="10"/>
    </row>
    <row r="568" spans="2:6" x14ac:dyDescent="0.25">
      <c r="B568" s="55"/>
      <c r="C568" s="11"/>
      <c r="D568" s="11"/>
      <c r="E568" s="10"/>
      <c r="F568" s="10"/>
    </row>
    <row r="569" spans="2:6" x14ac:dyDescent="0.25">
      <c r="B569" s="55"/>
      <c r="C569" s="11"/>
      <c r="D569" s="11"/>
      <c r="E569" s="10"/>
      <c r="F569" s="10"/>
    </row>
    <row r="570" spans="2:6" x14ac:dyDescent="0.25">
      <c r="B570" s="55"/>
      <c r="C570" s="11"/>
      <c r="D570" s="11"/>
      <c r="E570" s="10"/>
      <c r="F570" s="10"/>
    </row>
    <row r="571" spans="2:6" x14ac:dyDescent="0.25">
      <c r="B571" s="55"/>
      <c r="C571" s="11"/>
      <c r="D571" s="11"/>
      <c r="E571" s="10"/>
      <c r="F571" s="10"/>
    </row>
    <row r="572" spans="2:6" x14ac:dyDescent="0.25">
      <c r="B572" s="55"/>
      <c r="C572" s="11"/>
      <c r="D572" s="11"/>
      <c r="E572" s="10"/>
      <c r="F572" s="10"/>
    </row>
    <row r="573" spans="2:6" x14ac:dyDescent="0.25">
      <c r="B573" s="55"/>
      <c r="C573" s="11"/>
      <c r="D573" s="11"/>
      <c r="E573" s="10"/>
      <c r="F573" s="10"/>
    </row>
    <row r="574" spans="2:6" x14ac:dyDescent="0.25">
      <c r="B574" s="55"/>
      <c r="C574" s="11"/>
      <c r="D574" s="11"/>
      <c r="E574" s="10"/>
      <c r="F574" s="10"/>
    </row>
    <row r="575" spans="2:6" x14ac:dyDescent="0.25">
      <c r="B575" s="55"/>
      <c r="C575" s="11"/>
      <c r="D575" s="11"/>
      <c r="E575" s="10"/>
      <c r="F575" s="10"/>
    </row>
    <row r="576" spans="2:6" x14ac:dyDescent="0.25">
      <c r="B576" s="55"/>
      <c r="C576" s="11"/>
      <c r="D576" s="11"/>
      <c r="E576" s="10"/>
      <c r="F576" s="10"/>
    </row>
    <row r="577" spans="2:6" x14ac:dyDescent="0.25">
      <c r="B577" s="55"/>
      <c r="C577" s="11"/>
      <c r="D577" s="11"/>
      <c r="E577" s="10"/>
      <c r="F577" s="10"/>
    </row>
    <row r="578" spans="2:6" x14ac:dyDescent="0.25">
      <c r="B578" s="55"/>
      <c r="C578" s="11"/>
      <c r="D578" s="11"/>
      <c r="E578" s="10"/>
      <c r="F578" s="10"/>
    </row>
    <row r="579" spans="2:6" x14ac:dyDescent="0.25">
      <c r="B579" s="55"/>
      <c r="C579" s="11"/>
      <c r="D579" s="11"/>
      <c r="E579" s="10"/>
      <c r="F579" s="10"/>
    </row>
    <row r="580" spans="2:6" x14ac:dyDescent="0.25">
      <c r="B580" s="55"/>
      <c r="C580" s="11"/>
      <c r="D580" s="11"/>
      <c r="E580" s="10"/>
      <c r="F580" s="10"/>
    </row>
    <row r="581" spans="2:6" x14ac:dyDescent="0.25">
      <c r="B581" s="55"/>
      <c r="C581" s="11"/>
      <c r="D581" s="11"/>
      <c r="E581" s="10"/>
      <c r="F581" s="10"/>
    </row>
    <row r="582" spans="2:6" x14ac:dyDescent="0.25">
      <c r="B582" s="55"/>
      <c r="C582" s="11"/>
      <c r="D582" s="11"/>
      <c r="E582" s="10"/>
      <c r="F582" s="10"/>
    </row>
    <row r="583" spans="2:6" x14ac:dyDescent="0.25">
      <c r="B583" s="55"/>
      <c r="C583" s="11"/>
      <c r="D583" s="11"/>
      <c r="E583" s="10"/>
      <c r="F583" s="10"/>
    </row>
    <row r="584" spans="2:6" x14ac:dyDescent="0.25">
      <c r="B584" s="55"/>
      <c r="C584" s="11"/>
      <c r="D584" s="11"/>
      <c r="E584" s="10"/>
      <c r="F584" s="10"/>
    </row>
    <row r="585" spans="2:6" x14ac:dyDescent="0.25">
      <c r="B585" s="55"/>
      <c r="C585" s="11"/>
      <c r="D585" s="11"/>
      <c r="E585" s="10"/>
      <c r="F585" s="10"/>
    </row>
    <row r="586" spans="2:6" x14ac:dyDescent="0.25">
      <c r="B586" s="55"/>
      <c r="C586" s="11"/>
      <c r="D586" s="11"/>
      <c r="E586" s="10"/>
      <c r="F586" s="10"/>
    </row>
    <row r="587" spans="2:6" x14ac:dyDescent="0.25">
      <c r="B587" s="55"/>
      <c r="C587" s="11"/>
      <c r="D587" s="11"/>
      <c r="E587" s="10"/>
      <c r="F587" s="10"/>
    </row>
    <row r="588" spans="2:6" x14ac:dyDescent="0.25">
      <c r="B588" s="55"/>
      <c r="C588" s="11"/>
      <c r="D588" s="11"/>
      <c r="E588" s="10"/>
      <c r="F588" s="10"/>
    </row>
    <row r="589" spans="2:6" x14ac:dyDescent="0.25">
      <c r="B589" s="55"/>
      <c r="C589" s="11"/>
      <c r="D589" s="11"/>
      <c r="E589" s="10"/>
      <c r="F589" s="10"/>
    </row>
    <row r="590" spans="2:6" x14ac:dyDescent="0.25">
      <c r="B590" s="55"/>
      <c r="C590" s="11"/>
      <c r="D590" s="11"/>
      <c r="E590" s="10"/>
      <c r="F590" s="10"/>
    </row>
    <row r="591" spans="2:6" x14ac:dyDescent="0.25">
      <c r="B591" s="55"/>
      <c r="C591" s="11"/>
      <c r="D591" s="11"/>
      <c r="E591" s="10"/>
      <c r="F591" s="10"/>
    </row>
    <row r="592" spans="2:6" x14ac:dyDescent="0.25">
      <c r="B592" s="55"/>
      <c r="C592" s="11"/>
      <c r="D592" s="11"/>
      <c r="E592" s="10"/>
      <c r="F592" s="10"/>
    </row>
    <row r="593" spans="2:6" x14ac:dyDescent="0.25">
      <c r="B593" s="55"/>
      <c r="C593" s="11"/>
      <c r="D593" s="11"/>
      <c r="E593" s="10"/>
      <c r="F593" s="10"/>
    </row>
    <row r="594" spans="2:6" x14ac:dyDescent="0.25">
      <c r="B594" s="55"/>
      <c r="C594" s="11"/>
      <c r="D594" s="11"/>
      <c r="E594" s="10"/>
      <c r="F594" s="10"/>
    </row>
    <row r="595" spans="2:6" x14ac:dyDescent="0.25">
      <c r="B595" s="55"/>
      <c r="C595" s="11"/>
      <c r="D595" s="11"/>
      <c r="E595" s="10"/>
      <c r="F595" s="10"/>
    </row>
    <row r="596" spans="2:6" x14ac:dyDescent="0.25">
      <c r="B596" s="55"/>
      <c r="C596" s="11"/>
      <c r="D596" s="11"/>
      <c r="E596" s="10"/>
      <c r="F596" s="10"/>
    </row>
    <row r="597" spans="2:6" x14ac:dyDescent="0.25">
      <c r="B597" s="55"/>
      <c r="C597" s="11"/>
      <c r="D597" s="11"/>
      <c r="E597" s="10"/>
      <c r="F597" s="10"/>
    </row>
    <row r="598" spans="2:6" x14ac:dyDescent="0.25">
      <c r="B598" s="55"/>
      <c r="C598" s="11"/>
      <c r="D598" s="11"/>
      <c r="E598" s="10"/>
      <c r="F598" s="10"/>
    </row>
    <row r="599" spans="2:6" x14ac:dyDescent="0.25">
      <c r="B599" s="55"/>
      <c r="C599" s="11"/>
      <c r="D599" s="11"/>
      <c r="E599" s="10"/>
      <c r="F599" s="10"/>
    </row>
    <row r="600" spans="2:6" x14ac:dyDescent="0.25">
      <c r="B600" s="55"/>
      <c r="C600" s="11"/>
      <c r="D600" s="11"/>
      <c r="E600" s="10"/>
      <c r="F600" s="10"/>
    </row>
    <row r="601" spans="2:6" x14ac:dyDescent="0.25">
      <c r="B601" s="55"/>
      <c r="C601" s="11"/>
      <c r="D601" s="11"/>
      <c r="E601" s="10"/>
      <c r="F601" s="10"/>
    </row>
    <row r="602" spans="2:6" x14ac:dyDescent="0.25">
      <c r="B602" s="55"/>
      <c r="C602" s="11"/>
      <c r="D602" s="11"/>
      <c r="E602" s="10"/>
      <c r="F602" s="10"/>
    </row>
    <row r="603" spans="2:6" x14ac:dyDescent="0.25">
      <c r="B603" s="55"/>
      <c r="C603" s="11"/>
      <c r="D603" s="11"/>
      <c r="E603" s="10"/>
      <c r="F603" s="10"/>
    </row>
    <row r="604" spans="2:6" x14ac:dyDescent="0.25">
      <c r="B604" s="55"/>
      <c r="C604" s="11"/>
      <c r="D604" s="11"/>
      <c r="E604" s="10"/>
      <c r="F604" s="10"/>
    </row>
    <row r="605" spans="2:6" x14ac:dyDescent="0.25">
      <c r="B605" s="55"/>
      <c r="C605" s="11"/>
      <c r="D605" s="11"/>
      <c r="E605" s="10"/>
      <c r="F605" s="10"/>
    </row>
    <row r="606" spans="2:6" x14ac:dyDescent="0.25">
      <c r="B606" s="55"/>
      <c r="C606" s="11"/>
      <c r="D606" s="11"/>
      <c r="E606" s="10"/>
      <c r="F606" s="10"/>
    </row>
    <row r="607" spans="2:6" x14ac:dyDescent="0.25">
      <c r="B607" s="55"/>
      <c r="C607" s="11"/>
      <c r="D607" s="11"/>
      <c r="E607" s="10"/>
      <c r="F607" s="10"/>
    </row>
    <row r="608" spans="2:6" x14ac:dyDescent="0.25">
      <c r="B608" s="55"/>
      <c r="C608" s="11"/>
      <c r="D608" s="11"/>
      <c r="E608" s="10"/>
      <c r="F608" s="10"/>
    </row>
    <row r="609" spans="2:6" x14ac:dyDescent="0.25">
      <c r="B609" s="55"/>
      <c r="C609" s="11"/>
      <c r="D609" s="11"/>
      <c r="E609" s="10"/>
      <c r="F609" s="10"/>
    </row>
    <row r="610" spans="2:6" x14ac:dyDescent="0.25">
      <c r="B610" s="55"/>
      <c r="C610" s="11"/>
      <c r="D610" s="11"/>
      <c r="E610" s="10"/>
      <c r="F610" s="10"/>
    </row>
    <row r="611" spans="2:6" x14ac:dyDescent="0.25">
      <c r="B611" s="55"/>
      <c r="C611" s="11"/>
      <c r="D611" s="11"/>
      <c r="E611" s="10"/>
      <c r="F611" s="10"/>
    </row>
    <row r="612" spans="2:6" x14ac:dyDescent="0.25">
      <c r="B612" s="55"/>
      <c r="C612" s="11"/>
      <c r="D612" s="11"/>
      <c r="E612" s="10"/>
      <c r="F612" s="10"/>
    </row>
    <row r="613" spans="2:6" x14ac:dyDescent="0.25">
      <c r="B613" s="55"/>
      <c r="C613" s="11"/>
      <c r="D613" s="11"/>
      <c r="E613" s="10"/>
      <c r="F613" s="10"/>
    </row>
    <row r="614" spans="2:6" x14ac:dyDescent="0.25">
      <c r="B614" s="55"/>
      <c r="C614" s="11"/>
      <c r="D614" s="11"/>
      <c r="E614" s="10"/>
      <c r="F614" s="10"/>
    </row>
    <row r="615" spans="2:6" x14ac:dyDescent="0.25">
      <c r="B615" s="55"/>
      <c r="C615" s="11"/>
      <c r="D615" s="11"/>
      <c r="E615" s="10"/>
      <c r="F615" s="10"/>
    </row>
    <row r="616" spans="2:6" x14ac:dyDescent="0.25">
      <c r="B616" s="55"/>
      <c r="C616" s="11"/>
      <c r="D616" s="11"/>
      <c r="E616" s="10"/>
      <c r="F616" s="10"/>
    </row>
    <row r="617" spans="2:6" x14ac:dyDescent="0.25">
      <c r="B617" s="55"/>
      <c r="C617" s="11"/>
      <c r="D617" s="11"/>
      <c r="E617" s="10"/>
      <c r="F617" s="10"/>
    </row>
    <row r="618" spans="2:6" x14ac:dyDescent="0.25">
      <c r="B618" s="55"/>
      <c r="C618" s="11"/>
      <c r="D618" s="11"/>
      <c r="E618" s="10"/>
      <c r="F618" s="10"/>
    </row>
    <row r="619" spans="2:6" x14ac:dyDescent="0.25">
      <c r="B619" s="55"/>
      <c r="C619" s="11"/>
      <c r="D619" s="11"/>
      <c r="E619" s="10"/>
      <c r="F619" s="10"/>
    </row>
    <row r="620" spans="2:6" x14ac:dyDescent="0.25">
      <c r="B620" s="55"/>
      <c r="C620" s="11"/>
      <c r="D620" s="11"/>
      <c r="E620" s="10"/>
      <c r="F620" s="10"/>
    </row>
    <row r="621" spans="2:6" x14ac:dyDescent="0.25">
      <c r="B621" s="55"/>
      <c r="C621" s="11"/>
      <c r="D621" s="11"/>
      <c r="E621" s="10"/>
      <c r="F621" s="10"/>
    </row>
    <row r="622" spans="2:6" x14ac:dyDescent="0.25">
      <c r="B622" s="55"/>
      <c r="C622" s="11"/>
      <c r="D622" s="11"/>
      <c r="E622" s="10"/>
      <c r="F622" s="10"/>
    </row>
    <row r="623" spans="2:6" x14ac:dyDescent="0.25">
      <c r="B623" s="55"/>
      <c r="C623" s="11"/>
      <c r="D623" s="11"/>
      <c r="E623" s="10"/>
      <c r="F623" s="10"/>
    </row>
    <row r="624" spans="2:6" x14ac:dyDescent="0.25">
      <c r="B624" s="55"/>
      <c r="C624" s="11"/>
      <c r="D624" s="11"/>
      <c r="E624" s="10"/>
      <c r="F624" s="10"/>
    </row>
    <row r="625" spans="2:6" x14ac:dyDescent="0.25">
      <c r="B625" s="55"/>
      <c r="C625" s="11"/>
      <c r="D625" s="11"/>
      <c r="E625" s="10"/>
      <c r="F625" s="10"/>
    </row>
    <row r="626" spans="2:6" x14ac:dyDescent="0.25">
      <c r="B626" s="55"/>
      <c r="C626" s="11"/>
      <c r="D626" s="11"/>
      <c r="E626" s="10"/>
      <c r="F626" s="10"/>
    </row>
    <row r="627" spans="2:6" x14ac:dyDescent="0.25">
      <c r="B627" s="55"/>
      <c r="C627" s="11"/>
      <c r="D627" s="11"/>
      <c r="E627" s="10"/>
      <c r="F627" s="10"/>
    </row>
    <row r="628" spans="2:6" x14ac:dyDescent="0.25">
      <c r="B628" s="55"/>
      <c r="C628" s="11"/>
      <c r="D628" s="11"/>
      <c r="E628" s="10"/>
      <c r="F628" s="10"/>
    </row>
    <row r="629" spans="2:6" x14ac:dyDescent="0.25">
      <c r="B629" s="55"/>
      <c r="C629" s="11"/>
      <c r="D629" s="11"/>
      <c r="E629" s="10"/>
      <c r="F629" s="10"/>
    </row>
    <row r="630" spans="2:6" x14ac:dyDescent="0.25">
      <c r="B630" s="55"/>
      <c r="C630" s="11"/>
      <c r="D630" s="11"/>
      <c r="E630" s="10"/>
      <c r="F630" s="10"/>
    </row>
    <row r="631" spans="2:6" x14ac:dyDescent="0.25">
      <c r="B631" s="55"/>
      <c r="C631" s="11"/>
      <c r="D631" s="11"/>
      <c r="E631" s="10"/>
      <c r="F631" s="10"/>
    </row>
    <row r="632" spans="2:6" x14ac:dyDescent="0.25">
      <c r="B632" s="55"/>
      <c r="C632" s="11"/>
      <c r="D632" s="11"/>
      <c r="E632" s="10"/>
      <c r="F632" s="10"/>
    </row>
    <row r="633" spans="2:6" x14ac:dyDescent="0.25">
      <c r="B633" s="55"/>
      <c r="C633" s="11"/>
      <c r="D633" s="11"/>
      <c r="E633" s="10"/>
      <c r="F633" s="10"/>
    </row>
    <row r="634" spans="2:6" x14ac:dyDescent="0.25">
      <c r="B634" s="55"/>
      <c r="C634" s="11"/>
      <c r="D634" s="11"/>
      <c r="E634" s="10"/>
      <c r="F634" s="10"/>
    </row>
    <row r="635" spans="2:6" x14ac:dyDescent="0.25">
      <c r="B635" s="55"/>
      <c r="C635" s="11"/>
      <c r="D635" s="11"/>
      <c r="E635" s="10"/>
      <c r="F635" s="10"/>
    </row>
    <row r="636" spans="2:6" x14ac:dyDescent="0.25">
      <c r="B636" s="55"/>
      <c r="C636" s="11"/>
      <c r="D636" s="11"/>
      <c r="E636" s="10"/>
      <c r="F636" s="10"/>
    </row>
    <row r="637" spans="2:6" x14ac:dyDescent="0.25">
      <c r="B637" s="55"/>
      <c r="C637" s="11"/>
      <c r="D637" s="11"/>
      <c r="E637" s="10"/>
      <c r="F637" s="10"/>
    </row>
    <row r="638" spans="2:6" x14ac:dyDescent="0.25">
      <c r="B638" s="55"/>
      <c r="C638" s="11"/>
      <c r="D638" s="11"/>
      <c r="E638" s="10"/>
      <c r="F638" s="10"/>
    </row>
    <row r="639" spans="2:6" x14ac:dyDescent="0.25">
      <c r="B639" s="55"/>
      <c r="C639" s="11"/>
      <c r="D639" s="11"/>
      <c r="E639" s="10"/>
      <c r="F639" s="10"/>
    </row>
    <row r="640" spans="2:6" x14ac:dyDescent="0.25">
      <c r="B640" s="55"/>
      <c r="C640" s="11"/>
      <c r="D640" s="11"/>
      <c r="E640" s="10"/>
      <c r="F640" s="10"/>
    </row>
    <row r="641" spans="2:6" x14ac:dyDescent="0.25">
      <c r="B641" s="55"/>
      <c r="C641" s="11"/>
      <c r="D641" s="11"/>
      <c r="E641" s="10"/>
      <c r="F641" s="10"/>
    </row>
    <row r="642" spans="2:6" x14ac:dyDescent="0.25">
      <c r="B642" s="55"/>
      <c r="C642" s="11"/>
      <c r="D642" s="11"/>
      <c r="E642" s="10"/>
      <c r="F642" s="10"/>
    </row>
    <row r="643" spans="2:6" x14ac:dyDescent="0.25">
      <c r="B643" s="55"/>
      <c r="C643" s="11"/>
      <c r="D643" s="11"/>
      <c r="E643" s="10"/>
      <c r="F643" s="10"/>
    </row>
    <row r="644" spans="2:6" x14ac:dyDescent="0.25">
      <c r="B644" s="55"/>
      <c r="C644" s="11"/>
      <c r="D644" s="11"/>
      <c r="E644" s="10"/>
      <c r="F644" s="10"/>
    </row>
    <row r="645" spans="2:6" x14ac:dyDescent="0.25">
      <c r="B645" s="55"/>
      <c r="C645" s="11"/>
      <c r="D645" s="11"/>
      <c r="E645" s="10"/>
      <c r="F645" s="10"/>
    </row>
    <row r="646" spans="2:6" x14ac:dyDescent="0.25">
      <c r="B646" s="55"/>
      <c r="C646" s="11"/>
      <c r="D646" s="11"/>
      <c r="E646" s="10"/>
      <c r="F646" s="10"/>
    </row>
    <row r="647" spans="2:6" x14ac:dyDescent="0.25">
      <c r="B647" s="55"/>
      <c r="C647" s="11"/>
      <c r="D647" s="11"/>
      <c r="E647" s="10"/>
      <c r="F647" s="10"/>
    </row>
    <row r="648" spans="2:6" x14ac:dyDescent="0.25">
      <c r="B648" s="55"/>
      <c r="C648" s="11"/>
      <c r="D648" s="11"/>
      <c r="E648" s="10"/>
      <c r="F648" s="10"/>
    </row>
    <row r="649" spans="2:6" x14ac:dyDescent="0.25">
      <c r="B649" s="55"/>
      <c r="C649" s="11"/>
      <c r="D649" s="11"/>
      <c r="E649" s="10"/>
      <c r="F649" s="10"/>
    </row>
    <row r="650" spans="2:6" x14ac:dyDescent="0.25">
      <c r="B650" s="55"/>
      <c r="C650" s="11"/>
      <c r="D650" s="11"/>
      <c r="E650" s="10"/>
      <c r="F650" s="10"/>
    </row>
    <row r="651" spans="2:6" x14ac:dyDescent="0.25">
      <c r="B651" s="55"/>
      <c r="C651" s="11"/>
      <c r="D651" s="11"/>
      <c r="E651" s="10"/>
      <c r="F651" s="10"/>
    </row>
    <row r="652" spans="2:6" x14ac:dyDescent="0.25">
      <c r="B652" s="55"/>
      <c r="C652" s="11"/>
      <c r="D652" s="11"/>
      <c r="E652" s="10"/>
      <c r="F652" s="10"/>
    </row>
    <row r="653" spans="2:6" x14ac:dyDescent="0.25">
      <c r="B653" s="55"/>
      <c r="C653" s="11"/>
      <c r="D653" s="11"/>
      <c r="E653" s="10"/>
      <c r="F653" s="10"/>
    </row>
    <row r="654" spans="2:6" x14ac:dyDescent="0.25">
      <c r="B654" s="55"/>
      <c r="C654" s="11"/>
      <c r="D654" s="11"/>
      <c r="E654" s="10"/>
      <c r="F654" s="10"/>
    </row>
    <row r="655" spans="2:6" x14ac:dyDescent="0.25">
      <c r="B655" s="55"/>
      <c r="C655" s="11"/>
      <c r="D655" s="11"/>
      <c r="E655" s="10"/>
      <c r="F655" s="10"/>
    </row>
    <row r="656" spans="2:6" x14ac:dyDescent="0.25">
      <c r="B656" s="55"/>
      <c r="C656" s="11"/>
      <c r="D656" s="11"/>
      <c r="E656" s="10"/>
      <c r="F656" s="10"/>
    </row>
    <row r="657" spans="2:6" x14ac:dyDescent="0.25">
      <c r="B657" s="55"/>
      <c r="C657" s="11"/>
      <c r="D657" s="11"/>
      <c r="E657" s="10"/>
      <c r="F657" s="10"/>
    </row>
    <row r="658" spans="2:6" x14ac:dyDescent="0.25">
      <c r="B658" s="55"/>
      <c r="C658" s="11"/>
      <c r="D658" s="11"/>
      <c r="E658" s="10"/>
      <c r="F658" s="10"/>
    </row>
    <row r="659" spans="2:6" x14ac:dyDescent="0.25">
      <c r="B659" s="55"/>
      <c r="C659" s="11"/>
      <c r="D659" s="11"/>
      <c r="E659" s="10"/>
      <c r="F659" s="10"/>
    </row>
    <row r="660" spans="2:6" x14ac:dyDescent="0.25">
      <c r="B660" s="55"/>
      <c r="C660" s="11"/>
      <c r="D660" s="11"/>
      <c r="E660" s="10"/>
      <c r="F660" s="10"/>
    </row>
    <row r="661" spans="2:6" x14ac:dyDescent="0.25">
      <c r="B661" s="55"/>
      <c r="C661" s="11"/>
      <c r="D661" s="11"/>
      <c r="E661" s="10"/>
      <c r="F661" s="10"/>
    </row>
    <row r="662" spans="2:6" x14ac:dyDescent="0.25">
      <c r="B662" s="55"/>
      <c r="C662" s="11"/>
      <c r="D662" s="11"/>
      <c r="E662" s="10"/>
      <c r="F662" s="10"/>
    </row>
    <row r="663" spans="2:6" x14ac:dyDescent="0.25">
      <c r="B663" s="55"/>
      <c r="C663" s="11"/>
      <c r="D663" s="11"/>
      <c r="E663" s="10"/>
      <c r="F663" s="10"/>
    </row>
    <row r="664" spans="2:6" x14ac:dyDescent="0.25">
      <c r="B664" s="55"/>
      <c r="C664" s="11"/>
      <c r="D664" s="11"/>
      <c r="E664" s="10"/>
      <c r="F664" s="10"/>
    </row>
    <row r="665" spans="2:6" x14ac:dyDescent="0.25">
      <c r="B665" s="55"/>
      <c r="C665" s="11"/>
      <c r="D665" s="11"/>
      <c r="E665" s="10"/>
      <c r="F665" s="10"/>
    </row>
    <row r="666" spans="2:6" x14ac:dyDescent="0.25">
      <c r="B666" s="55"/>
      <c r="C666" s="11"/>
      <c r="D666" s="11"/>
      <c r="E666" s="10"/>
      <c r="F666" s="10"/>
    </row>
    <row r="667" spans="2:6" x14ac:dyDescent="0.25">
      <c r="B667" s="55"/>
      <c r="C667" s="11"/>
      <c r="D667" s="11"/>
      <c r="E667" s="10"/>
      <c r="F667" s="10"/>
    </row>
    <row r="668" spans="2:6" x14ac:dyDescent="0.25">
      <c r="B668" s="55"/>
      <c r="C668" s="11"/>
      <c r="D668" s="11"/>
      <c r="E668" s="10"/>
      <c r="F668" s="10"/>
    </row>
    <row r="669" spans="2:6" x14ac:dyDescent="0.25">
      <c r="B669" s="55"/>
      <c r="C669" s="11"/>
      <c r="D669" s="11"/>
      <c r="E669" s="10"/>
      <c r="F669" s="10"/>
    </row>
    <row r="670" spans="2:6" x14ac:dyDescent="0.25">
      <c r="B670" s="55"/>
      <c r="C670" s="11"/>
      <c r="D670" s="11"/>
      <c r="E670" s="10"/>
      <c r="F670" s="10"/>
    </row>
    <row r="671" spans="2:6" x14ac:dyDescent="0.25">
      <c r="B671" s="55"/>
      <c r="C671" s="11"/>
      <c r="D671" s="11"/>
      <c r="E671" s="10"/>
      <c r="F671" s="10"/>
    </row>
    <row r="672" spans="2:6" x14ac:dyDescent="0.25">
      <c r="B672" s="55"/>
      <c r="C672" s="11"/>
      <c r="D672" s="11"/>
      <c r="E672" s="10"/>
      <c r="F672" s="10"/>
    </row>
    <row r="673" spans="2:6" x14ac:dyDescent="0.25">
      <c r="B673" s="55"/>
      <c r="C673" s="11"/>
      <c r="D673" s="11"/>
      <c r="E673" s="10"/>
      <c r="F673" s="10"/>
    </row>
    <row r="674" spans="2:6" x14ac:dyDescent="0.25">
      <c r="B674" s="55"/>
      <c r="C674" s="11"/>
      <c r="D674" s="11"/>
      <c r="E674" s="10"/>
      <c r="F674" s="10"/>
    </row>
    <row r="675" spans="2:6" x14ac:dyDescent="0.25">
      <c r="B675" s="55"/>
      <c r="C675" s="11"/>
      <c r="D675" s="11"/>
      <c r="E675" s="10"/>
      <c r="F675" s="10"/>
    </row>
    <row r="676" spans="2:6" x14ac:dyDescent="0.25">
      <c r="B676" s="55"/>
      <c r="C676" s="11"/>
      <c r="D676" s="11"/>
      <c r="E676" s="10"/>
      <c r="F676" s="10"/>
    </row>
    <row r="677" spans="2:6" x14ac:dyDescent="0.25">
      <c r="B677" s="55"/>
      <c r="C677" s="11"/>
      <c r="D677" s="11"/>
      <c r="E677" s="10"/>
      <c r="F677" s="10"/>
    </row>
    <row r="678" spans="2:6" x14ac:dyDescent="0.25">
      <c r="B678" s="55"/>
      <c r="C678" s="11"/>
      <c r="D678" s="11"/>
      <c r="E678" s="10"/>
      <c r="F678" s="10"/>
    </row>
    <row r="679" spans="2:6" x14ac:dyDescent="0.25">
      <c r="B679" s="55"/>
      <c r="C679" s="11"/>
      <c r="D679" s="11"/>
      <c r="E679" s="10"/>
      <c r="F679" s="10"/>
    </row>
    <row r="680" spans="2:6" x14ac:dyDescent="0.25">
      <c r="B680" s="55"/>
      <c r="C680" s="11"/>
      <c r="D680" s="11"/>
      <c r="E680" s="10"/>
      <c r="F680" s="10"/>
    </row>
    <row r="681" spans="2:6" x14ac:dyDescent="0.25">
      <c r="B681" s="55"/>
      <c r="C681" s="11"/>
      <c r="D681" s="11"/>
      <c r="E681" s="10"/>
      <c r="F681" s="10"/>
    </row>
    <row r="682" spans="2:6" x14ac:dyDescent="0.25">
      <c r="B682" s="55"/>
      <c r="C682" s="11"/>
      <c r="D682" s="11"/>
      <c r="E682" s="10"/>
      <c r="F682" s="10"/>
    </row>
    <row r="683" spans="2:6" x14ac:dyDescent="0.25">
      <c r="B683" s="55"/>
      <c r="C683" s="11"/>
      <c r="D683" s="11"/>
      <c r="E683" s="10"/>
      <c r="F683" s="10"/>
    </row>
    <row r="684" spans="2:6" x14ac:dyDescent="0.25">
      <c r="B684" s="55"/>
      <c r="C684" s="11"/>
      <c r="D684" s="11"/>
      <c r="E684" s="10"/>
      <c r="F684" s="10"/>
    </row>
    <row r="685" spans="2:6" x14ac:dyDescent="0.25">
      <c r="B685" s="55"/>
      <c r="C685" s="11"/>
      <c r="D685" s="11"/>
      <c r="E685" s="10"/>
      <c r="F685" s="10"/>
    </row>
    <row r="686" spans="2:6" x14ac:dyDescent="0.25">
      <c r="B686" s="55"/>
      <c r="C686" s="11"/>
      <c r="D686" s="11"/>
      <c r="E686" s="10"/>
      <c r="F686" s="10"/>
    </row>
    <row r="687" spans="2:6" x14ac:dyDescent="0.25">
      <c r="B687" s="55"/>
      <c r="C687" s="11"/>
      <c r="D687" s="11"/>
      <c r="E687" s="10"/>
      <c r="F687" s="10"/>
    </row>
    <row r="688" spans="2:6" x14ac:dyDescent="0.25">
      <c r="B688" s="55"/>
      <c r="C688" s="11"/>
      <c r="D688" s="11"/>
      <c r="E688" s="10"/>
      <c r="F688" s="10"/>
    </row>
    <row r="689" spans="2:6" x14ac:dyDescent="0.25">
      <c r="B689" s="55"/>
      <c r="C689" s="11"/>
      <c r="D689" s="11"/>
      <c r="E689" s="10"/>
      <c r="F689" s="10"/>
    </row>
    <row r="690" spans="2:6" x14ac:dyDescent="0.25">
      <c r="B690" s="55"/>
      <c r="C690" s="11"/>
      <c r="D690" s="11"/>
      <c r="E690" s="10"/>
      <c r="F690" s="10"/>
    </row>
    <row r="691" spans="2:6" x14ac:dyDescent="0.25">
      <c r="B691" s="55"/>
      <c r="C691" s="11"/>
      <c r="D691" s="11"/>
      <c r="E691" s="10"/>
      <c r="F691" s="10"/>
    </row>
    <row r="692" spans="2:6" x14ac:dyDescent="0.25">
      <c r="B692" s="55"/>
      <c r="C692" s="11"/>
      <c r="D692" s="11"/>
      <c r="E692" s="10"/>
      <c r="F692" s="10"/>
    </row>
    <row r="693" spans="2:6" x14ac:dyDescent="0.25">
      <c r="B693" s="55"/>
      <c r="C693" s="11"/>
      <c r="D693" s="11"/>
      <c r="E693" s="10"/>
      <c r="F693" s="10"/>
    </row>
    <row r="694" spans="2:6" x14ac:dyDescent="0.25">
      <c r="B694" s="55"/>
      <c r="C694" s="11"/>
      <c r="D694" s="11"/>
      <c r="E694" s="10"/>
      <c r="F694" s="10"/>
    </row>
    <row r="695" spans="2:6" x14ac:dyDescent="0.25">
      <c r="B695" s="55"/>
      <c r="C695" s="11"/>
      <c r="D695" s="11"/>
      <c r="E695" s="10"/>
      <c r="F695" s="10"/>
    </row>
    <row r="696" spans="2:6" x14ac:dyDescent="0.25">
      <c r="B696" s="55"/>
      <c r="C696" s="11"/>
      <c r="D696" s="11"/>
      <c r="E696" s="10"/>
      <c r="F696" s="10"/>
    </row>
    <row r="697" spans="2:6" x14ac:dyDescent="0.25">
      <c r="B697" s="55"/>
      <c r="C697" s="11"/>
      <c r="D697" s="11"/>
      <c r="E697" s="10"/>
      <c r="F697" s="10"/>
    </row>
    <row r="698" spans="2:6" x14ac:dyDescent="0.25">
      <c r="B698" s="55"/>
      <c r="C698" s="11"/>
      <c r="D698" s="11"/>
      <c r="E698" s="10"/>
      <c r="F698" s="10"/>
    </row>
    <row r="699" spans="2:6" x14ac:dyDescent="0.25">
      <c r="B699" s="55"/>
      <c r="C699" s="11"/>
      <c r="D699" s="11"/>
      <c r="E699" s="10"/>
      <c r="F699" s="10"/>
    </row>
    <row r="700" spans="2:6" x14ac:dyDescent="0.25">
      <c r="B700" s="55"/>
      <c r="C700" s="11"/>
      <c r="D700" s="11"/>
      <c r="E700" s="10"/>
      <c r="F700" s="10"/>
    </row>
    <row r="701" spans="2:6" x14ac:dyDescent="0.25">
      <c r="B701" s="55"/>
      <c r="C701" s="11"/>
      <c r="D701" s="11"/>
      <c r="E701" s="10"/>
      <c r="F701" s="10"/>
    </row>
    <row r="702" spans="2:6" x14ac:dyDescent="0.25">
      <c r="B702" s="55"/>
      <c r="C702" s="11"/>
      <c r="D702" s="11"/>
      <c r="E702" s="10"/>
      <c r="F702" s="10"/>
    </row>
    <row r="703" spans="2:6" x14ac:dyDescent="0.25">
      <c r="B703" s="55"/>
      <c r="C703" s="11"/>
      <c r="D703" s="11"/>
      <c r="E703" s="10"/>
      <c r="F703" s="10"/>
    </row>
    <row r="704" spans="2:6" x14ac:dyDescent="0.25">
      <c r="B704" s="55"/>
      <c r="C704" s="11"/>
      <c r="D704" s="11"/>
      <c r="E704" s="10"/>
      <c r="F704" s="10"/>
    </row>
    <row r="705" spans="2:6" x14ac:dyDescent="0.25">
      <c r="B705" s="55"/>
      <c r="C705" s="11"/>
      <c r="D705" s="11"/>
      <c r="E705" s="10"/>
      <c r="F705" s="10"/>
    </row>
    <row r="706" spans="2:6" x14ac:dyDescent="0.25">
      <c r="B706" s="55"/>
      <c r="C706" s="11"/>
      <c r="D706" s="11"/>
      <c r="E706" s="10"/>
      <c r="F706" s="10"/>
    </row>
    <row r="707" spans="2:6" x14ac:dyDescent="0.25">
      <c r="B707" s="55"/>
      <c r="C707" s="11"/>
      <c r="D707" s="11"/>
      <c r="E707" s="10"/>
      <c r="F707" s="10"/>
    </row>
    <row r="708" spans="2:6" x14ac:dyDescent="0.25">
      <c r="B708" s="55"/>
      <c r="C708" s="11"/>
      <c r="D708" s="11"/>
      <c r="E708" s="10"/>
      <c r="F708" s="10"/>
    </row>
    <row r="709" spans="2:6" x14ac:dyDescent="0.25">
      <c r="B709" s="55"/>
      <c r="C709" s="11"/>
      <c r="D709" s="11"/>
      <c r="E709" s="10"/>
      <c r="F709" s="10"/>
    </row>
    <row r="710" spans="2:6" x14ac:dyDescent="0.25">
      <c r="B710" s="55"/>
      <c r="C710" s="11"/>
      <c r="D710" s="11"/>
      <c r="E710" s="10"/>
      <c r="F710" s="10"/>
    </row>
    <row r="711" spans="2:6" x14ac:dyDescent="0.25">
      <c r="B711" s="55"/>
      <c r="C711" s="11"/>
      <c r="D711" s="11"/>
      <c r="E711" s="10"/>
      <c r="F711" s="10"/>
    </row>
    <row r="712" spans="2:6" x14ac:dyDescent="0.25">
      <c r="B712" s="55"/>
      <c r="C712" s="11"/>
      <c r="D712" s="11"/>
      <c r="E712" s="10"/>
      <c r="F712" s="10"/>
    </row>
    <row r="713" spans="2:6" x14ac:dyDescent="0.25">
      <c r="B713" s="55"/>
      <c r="C713" s="11"/>
      <c r="D713" s="11"/>
      <c r="E713" s="10"/>
      <c r="F713" s="10"/>
    </row>
    <row r="714" spans="2:6" x14ac:dyDescent="0.25">
      <c r="B714" s="55"/>
      <c r="C714" s="11"/>
      <c r="D714" s="11"/>
      <c r="E714" s="10"/>
      <c r="F714" s="10"/>
    </row>
    <row r="715" spans="2:6" x14ac:dyDescent="0.25">
      <c r="B715" s="55"/>
      <c r="C715" s="11"/>
      <c r="D715" s="11"/>
      <c r="E715" s="10"/>
      <c r="F715" s="10"/>
    </row>
    <row r="716" spans="2:6" x14ac:dyDescent="0.25">
      <c r="B716" s="55"/>
      <c r="C716" s="11"/>
      <c r="D716" s="11"/>
      <c r="E716" s="10"/>
      <c r="F716" s="10"/>
    </row>
    <row r="717" spans="2:6" x14ac:dyDescent="0.25">
      <c r="B717" s="55"/>
      <c r="C717" s="11"/>
      <c r="D717" s="11"/>
      <c r="E717" s="10"/>
      <c r="F717" s="10"/>
    </row>
    <row r="718" spans="2:6" x14ac:dyDescent="0.25">
      <c r="B718" s="55"/>
      <c r="C718" s="11"/>
      <c r="D718" s="11"/>
      <c r="E718" s="10"/>
      <c r="F718" s="10"/>
    </row>
    <row r="719" spans="2:6" x14ac:dyDescent="0.25">
      <c r="B719" s="55"/>
      <c r="C719" s="11"/>
      <c r="D719" s="11"/>
      <c r="E719" s="10"/>
      <c r="F719" s="10"/>
    </row>
    <row r="720" spans="2:6" x14ac:dyDescent="0.25">
      <c r="B720" s="55"/>
      <c r="C720" s="11"/>
      <c r="D720" s="11"/>
      <c r="E720" s="10"/>
      <c r="F720" s="10"/>
    </row>
    <row r="721" spans="2:6" x14ac:dyDescent="0.25">
      <c r="B721" s="55"/>
      <c r="C721" s="11"/>
      <c r="D721" s="11"/>
      <c r="E721" s="10"/>
      <c r="F721" s="10"/>
    </row>
    <row r="722" spans="2:6" x14ac:dyDescent="0.25">
      <c r="B722" s="55"/>
      <c r="C722" s="11"/>
      <c r="D722" s="11"/>
      <c r="E722" s="10"/>
      <c r="F722" s="10"/>
    </row>
    <row r="723" spans="2:6" x14ac:dyDescent="0.25">
      <c r="B723" s="55"/>
      <c r="C723" s="11"/>
      <c r="D723" s="11"/>
      <c r="E723" s="10"/>
      <c r="F723" s="10"/>
    </row>
    <row r="724" spans="2:6" x14ac:dyDescent="0.25">
      <c r="B724" s="55"/>
      <c r="C724" s="11"/>
      <c r="D724" s="11"/>
      <c r="E724" s="10"/>
      <c r="F724" s="10"/>
    </row>
    <row r="725" spans="2:6" x14ac:dyDescent="0.25">
      <c r="B725" s="55"/>
      <c r="C725" s="11"/>
      <c r="D725" s="11"/>
      <c r="E725" s="10"/>
      <c r="F725" s="10"/>
    </row>
    <row r="726" spans="2:6" x14ac:dyDescent="0.25">
      <c r="B726" s="55"/>
      <c r="C726" s="11"/>
      <c r="D726" s="11"/>
      <c r="E726" s="10"/>
      <c r="F726" s="10"/>
    </row>
    <row r="727" spans="2:6" x14ac:dyDescent="0.25">
      <c r="B727" s="55"/>
      <c r="C727" s="11"/>
      <c r="D727" s="11"/>
      <c r="E727" s="10"/>
      <c r="F727" s="10"/>
    </row>
    <row r="728" spans="2:6" x14ac:dyDescent="0.25">
      <c r="B728" s="55"/>
      <c r="C728" s="11"/>
      <c r="D728" s="11"/>
      <c r="E728" s="10"/>
      <c r="F728" s="10"/>
    </row>
    <row r="729" spans="2:6" x14ac:dyDescent="0.25">
      <c r="B729" s="55"/>
      <c r="C729" s="11"/>
      <c r="D729" s="11"/>
      <c r="E729" s="10"/>
      <c r="F729" s="10"/>
    </row>
    <row r="730" spans="2:6" x14ac:dyDescent="0.25">
      <c r="B730" s="55"/>
      <c r="C730" s="11"/>
      <c r="D730" s="11"/>
      <c r="E730" s="10"/>
      <c r="F730" s="10"/>
    </row>
    <row r="731" spans="2:6" x14ac:dyDescent="0.25">
      <c r="B731" s="55"/>
      <c r="C731" s="11"/>
      <c r="D731" s="11"/>
      <c r="E731" s="10"/>
      <c r="F731" s="10"/>
    </row>
    <row r="732" spans="2:6" x14ac:dyDescent="0.25">
      <c r="B732" s="55"/>
      <c r="C732" s="11"/>
      <c r="D732" s="11"/>
      <c r="E732" s="10"/>
      <c r="F732" s="10"/>
    </row>
    <row r="733" spans="2:6" x14ac:dyDescent="0.25">
      <c r="B733" s="55"/>
      <c r="C733" s="11"/>
      <c r="D733" s="11"/>
      <c r="E733" s="10"/>
      <c r="F733" s="10"/>
    </row>
    <row r="734" spans="2:6" x14ac:dyDescent="0.25">
      <c r="B734" s="55"/>
      <c r="C734" s="11"/>
      <c r="D734" s="11"/>
      <c r="E734" s="10"/>
      <c r="F734" s="10"/>
    </row>
    <row r="735" spans="2:6" x14ac:dyDescent="0.25">
      <c r="B735" s="55"/>
      <c r="C735" s="11"/>
      <c r="D735" s="11"/>
      <c r="E735" s="10"/>
      <c r="F735" s="10"/>
    </row>
    <row r="736" spans="2:6" x14ac:dyDescent="0.25">
      <c r="B736" s="55"/>
      <c r="C736" s="11"/>
      <c r="D736" s="11"/>
      <c r="E736" s="10"/>
      <c r="F736" s="10"/>
    </row>
    <row r="737" spans="2:6" x14ac:dyDescent="0.25">
      <c r="B737" s="55"/>
      <c r="C737" s="11"/>
      <c r="D737" s="11"/>
      <c r="E737" s="10"/>
      <c r="F737" s="10"/>
    </row>
    <row r="738" spans="2:6" x14ac:dyDescent="0.25">
      <c r="B738" s="55"/>
      <c r="C738" s="11"/>
      <c r="D738" s="11"/>
      <c r="E738" s="10"/>
      <c r="F738" s="10"/>
    </row>
    <row r="739" spans="2:6" x14ac:dyDescent="0.25">
      <c r="B739" s="55"/>
      <c r="C739" s="11"/>
      <c r="D739" s="11"/>
      <c r="E739" s="10"/>
      <c r="F739" s="10"/>
    </row>
    <row r="740" spans="2:6" x14ac:dyDescent="0.25">
      <c r="B740" s="55"/>
      <c r="C740" s="11"/>
      <c r="D740" s="11"/>
      <c r="E740" s="10"/>
      <c r="F740" s="10"/>
    </row>
    <row r="741" spans="2:6" x14ac:dyDescent="0.25">
      <c r="B741" s="55"/>
      <c r="C741" s="11"/>
      <c r="D741" s="11"/>
      <c r="E741" s="10"/>
      <c r="F741" s="10"/>
    </row>
    <row r="742" spans="2:6" x14ac:dyDescent="0.25">
      <c r="B742" s="55"/>
      <c r="C742" s="11"/>
      <c r="D742" s="11"/>
      <c r="E742" s="10"/>
      <c r="F742" s="10"/>
    </row>
    <row r="743" spans="2:6" x14ac:dyDescent="0.25">
      <c r="B743" s="55"/>
      <c r="C743" s="11"/>
      <c r="D743" s="11"/>
      <c r="E743" s="10"/>
      <c r="F743" s="10"/>
    </row>
    <row r="744" spans="2:6" x14ac:dyDescent="0.25">
      <c r="B744" s="55"/>
      <c r="C744" s="11"/>
      <c r="D744" s="11"/>
      <c r="E744" s="10"/>
      <c r="F744" s="10"/>
    </row>
    <row r="745" spans="2:6" x14ac:dyDescent="0.25">
      <c r="B745" s="55"/>
      <c r="C745" s="11"/>
      <c r="D745" s="11"/>
      <c r="E745" s="10"/>
      <c r="F745" s="10"/>
    </row>
    <row r="746" spans="2:6" x14ac:dyDescent="0.25">
      <c r="B746" s="55"/>
      <c r="C746" s="11"/>
      <c r="D746" s="11"/>
      <c r="E746" s="10"/>
      <c r="F746" s="10"/>
    </row>
    <row r="747" spans="2:6" x14ac:dyDescent="0.25">
      <c r="B747" s="55"/>
      <c r="C747" s="11"/>
      <c r="D747" s="11"/>
      <c r="E747" s="10"/>
      <c r="F747" s="10"/>
    </row>
    <row r="748" spans="2:6" x14ac:dyDescent="0.25">
      <c r="B748" s="55"/>
      <c r="C748" s="11"/>
      <c r="D748" s="11"/>
      <c r="E748" s="10"/>
      <c r="F748" s="10"/>
    </row>
    <row r="749" spans="2:6" x14ac:dyDescent="0.25">
      <c r="B749" s="55"/>
      <c r="C749" s="11"/>
      <c r="D749" s="11"/>
      <c r="E749" s="10"/>
      <c r="F749" s="10"/>
    </row>
    <row r="750" spans="2:6" x14ac:dyDescent="0.25">
      <c r="B750" s="55"/>
      <c r="C750" s="11"/>
      <c r="D750" s="11"/>
      <c r="E750" s="10"/>
      <c r="F750" s="10"/>
    </row>
    <row r="751" spans="2:6" x14ac:dyDescent="0.25">
      <c r="B751" s="55"/>
      <c r="C751" s="11"/>
      <c r="D751" s="11"/>
      <c r="E751" s="10"/>
      <c r="F751" s="10"/>
    </row>
    <row r="752" spans="2:6" x14ac:dyDescent="0.25">
      <c r="B752" s="55"/>
      <c r="C752" s="11"/>
      <c r="D752" s="11"/>
      <c r="E752" s="10"/>
      <c r="F752" s="10"/>
    </row>
    <row r="753" spans="2:6" x14ac:dyDescent="0.25">
      <c r="B753" s="55"/>
      <c r="C753" s="11"/>
      <c r="D753" s="11"/>
      <c r="E753" s="10"/>
      <c r="F753" s="10"/>
    </row>
    <row r="754" spans="2:6" x14ac:dyDescent="0.25">
      <c r="B754" s="55"/>
      <c r="C754" s="11"/>
      <c r="D754" s="11"/>
      <c r="E754" s="10"/>
      <c r="F754" s="10"/>
    </row>
    <row r="755" spans="2:6" x14ac:dyDescent="0.25">
      <c r="B755" s="55"/>
      <c r="C755" s="11"/>
      <c r="D755" s="11"/>
      <c r="E755" s="10"/>
      <c r="F755" s="10"/>
    </row>
    <row r="756" spans="2:6" x14ac:dyDescent="0.25">
      <c r="B756" s="55"/>
      <c r="C756" s="11"/>
      <c r="D756" s="11"/>
      <c r="E756" s="10"/>
      <c r="F756" s="10"/>
    </row>
    <row r="757" spans="2:6" x14ac:dyDescent="0.25">
      <c r="B757" s="55"/>
      <c r="C757" s="11"/>
      <c r="D757" s="11"/>
      <c r="E757" s="10"/>
      <c r="F757" s="10"/>
    </row>
    <row r="758" spans="2:6" x14ac:dyDescent="0.25">
      <c r="B758" s="55"/>
      <c r="C758" s="11"/>
      <c r="D758" s="11"/>
      <c r="E758" s="10"/>
      <c r="F758" s="10"/>
    </row>
    <row r="759" spans="2:6" x14ac:dyDescent="0.25">
      <c r="B759" s="55"/>
      <c r="C759" s="11"/>
      <c r="D759" s="11"/>
      <c r="E759" s="10"/>
      <c r="F759" s="10"/>
    </row>
    <row r="760" spans="2:6" x14ac:dyDescent="0.25">
      <c r="B760" s="55"/>
      <c r="C760" s="11"/>
      <c r="D760" s="11"/>
      <c r="E760" s="10"/>
      <c r="F760" s="10"/>
    </row>
    <row r="761" spans="2:6" x14ac:dyDescent="0.25">
      <c r="B761" s="55"/>
      <c r="C761" s="11"/>
      <c r="D761" s="11"/>
      <c r="E761" s="10"/>
      <c r="F761" s="10"/>
    </row>
    <row r="762" spans="2:6" x14ac:dyDescent="0.25">
      <c r="B762" s="55"/>
      <c r="C762" s="11"/>
      <c r="D762" s="11"/>
      <c r="E762" s="10"/>
      <c r="F762" s="10"/>
    </row>
    <row r="763" spans="2:6" x14ac:dyDescent="0.25">
      <c r="B763" s="55"/>
      <c r="C763" s="11"/>
      <c r="D763" s="11"/>
      <c r="E763" s="10"/>
      <c r="F763" s="10"/>
    </row>
    <row r="764" spans="2:6" x14ac:dyDescent="0.25">
      <c r="B764" s="55"/>
      <c r="C764" s="11"/>
      <c r="D764" s="11"/>
      <c r="E764" s="10"/>
      <c r="F764" s="10"/>
    </row>
    <row r="765" spans="2:6" x14ac:dyDescent="0.25">
      <c r="B765" s="55"/>
      <c r="C765" s="11"/>
      <c r="D765" s="11"/>
      <c r="E765" s="10"/>
      <c r="F765" s="10"/>
    </row>
    <row r="766" spans="2:6" x14ac:dyDescent="0.25">
      <c r="B766" s="55"/>
      <c r="C766" s="11"/>
      <c r="D766" s="11"/>
      <c r="E766" s="10"/>
      <c r="F766" s="10"/>
    </row>
    <row r="767" spans="2:6" x14ac:dyDescent="0.25">
      <c r="B767" s="55"/>
      <c r="C767" s="11"/>
      <c r="D767" s="11"/>
      <c r="E767" s="10"/>
      <c r="F767" s="10"/>
    </row>
    <row r="768" spans="2:6" x14ac:dyDescent="0.25">
      <c r="B768" s="55"/>
      <c r="C768" s="11"/>
      <c r="D768" s="11"/>
      <c r="E768" s="10"/>
      <c r="F768" s="10"/>
    </row>
    <row r="769" spans="2:6" x14ac:dyDescent="0.25">
      <c r="B769" s="55"/>
      <c r="C769" s="11"/>
      <c r="D769" s="11"/>
      <c r="E769" s="10"/>
      <c r="F769" s="10"/>
    </row>
    <row r="770" spans="2:6" x14ac:dyDescent="0.25">
      <c r="B770" s="55"/>
      <c r="C770" s="11"/>
      <c r="D770" s="11"/>
      <c r="E770" s="10"/>
      <c r="F770" s="10"/>
    </row>
    <row r="771" spans="2:6" x14ac:dyDescent="0.25">
      <c r="B771" s="55"/>
      <c r="C771" s="11"/>
      <c r="D771" s="11"/>
      <c r="E771" s="10"/>
      <c r="F771" s="10"/>
    </row>
    <row r="772" spans="2:6" x14ac:dyDescent="0.25">
      <c r="B772" s="55"/>
      <c r="C772" s="11"/>
      <c r="D772" s="11"/>
      <c r="E772" s="10"/>
      <c r="F772" s="10"/>
    </row>
    <row r="773" spans="2:6" x14ac:dyDescent="0.25">
      <c r="B773" s="55"/>
      <c r="C773" s="11"/>
      <c r="D773" s="11"/>
      <c r="E773" s="10"/>
      <c r="F773" s="10"/>
    </row>
    <row r="774" spans="2:6" x14ac:dyDescent="0.25">
      <c r="B774" s="55"/>
      <c r="C774" s="11"/>
      <c r="D774" s="11"/>
      <c r="E774" s="10"/>
      <c r="F774" s="10"/>
    </row>
    <row r="775" spans="2:6" x14ac:dyDescent="0.25">
      <c r="B775" s="55"/>
      <c r="C775" s="11"/>
      <c r="D775" s="11"/>
      <c r="E775" s="10"/>
      <c r="F775" s="10"/>
    </row>
    <row r="776" spans="2:6" x14ac:dyDescent="0.25">
      <c r="B776" s="55"/>
      <c r="C776" s="11"/>
      <c r="D776" s="11"/>
      <c r="E776" s="10"/>
      <c r="F776" s="10"/>
    </row>
    <row r="777" spans="2:6" x14ac:dyDescent="0.25">
      <c r="B777" s="55"/>
      <c r="C777" s="11"/>
      <c r="D777" s="11"/>
      <c r="E777" s="10"/>
      <c r="F777" s="10"/>
    </row>
    <row r="778" spans="2:6" x14ac:dyDescent="0.25">
      <c r="B778" s="55"/>
      <c r="C778" s="11"/>
      <c r="D778" s="11"/>
      <c r="E778" s="10"/>
      <c r="F778" s="10"/>
    </row>
    <row r="779" spans="2:6" x14ac:dyDescent="0.25">
      <c r="B779" s="55"/>
      <c r="C779" s="11"/>
      <c r="D779" s="11"/>
      <c r="E779" s="10"/>
      <c r="F779" s="10"/>
    </row>
    <row r="780" spans="2:6" x14ac:dyDescent="0.25">
      <c r="B780" s="55"/>
      <c r="C780" s="11"/>
      <c r="D780" s="11"/>
      <c r="E780" s="10"/>
      <c r="F780" s="10"/>
    </row>
    <row r="781" spans="2:6" x14ac:dyDescent="0.25">
      <c r="B781" s="55"/>
      <c r="C781" s="11"/>
      <c r="D781" s="11"/>
      <c r="E781" s="10"/>
      <c r="F781" s="10"/>
    </row>
    <row r="782" spans="2:6" x14ac:dyDescent="0.25">
      <c r="B782" s="55"/>
      <c r="C782" s="11"/>
      <c r="D782" s="11"/>
      <c r="E782" s="10"/>
      <c r="F782" s="10"/>
    </row>
    <row r="783" spans="2:6" x14ac:dyDescent="0.25">
      <c r="B783" s="55"/>
      <c r="C783" s="11"/>
      <c r="D783" s="11"/>
      <c r="E783" s="10"/>
      <c r="F783" s="10"/>
    </row>
    <row r="784" spans="2:6" x14ac:dyDescent="0.25">
      <c r="B784" s="55"/>
      <c r="C784" s="11"/>
      <c r="D784" s="11"/>
      <c r="E784" s="10"/>
      <c r="F784" s="10"/>
    </row>
    <row r="785" spans="2:6" x14ac:dyDescent="0.25">
      <c r="B785" s="55"/>
      <c r="C785" s="11"/>
      <c r="D785" s="11"/>
      <c r="E785" s="10"/>
      <c r="F785" s="10"/>
    </row>
    <row r="786" spans="2:6" x14ac:dyDescent="0.25">
      <c r="B786" s="55"/>
      <c r="C786" s="11"/>
      <c r="D786" s="11"/>
      <c r="E786" s="10"/>
      <c r="F786" s="10"/>
    </row>
    <row r="787" spans="2:6" x14ac:dyDescent="0.25">
      <c r="B787" s="55"/>
      <c r="C787" s="11"/>
      <c r="D787" s="11"/>
      <c r="E787" s="10"/>
      <c r="F787" s="10"/>
    </row>
    <row r="788" spans="2:6" x14ac:dyDescent="0.25">
      <c r="B788" s="55"/>
      <c r="C788" s="11"/>
      <c r="D788" s="11"/>
      <c r="E788" s="10"/>
      <c r="F788" s="10"/>
    </row>
    <row r="789" spans="2:6" x14ac:dyDescent="0.25">
      <c r="B789" s="55"/>
      <c r="C789" s="11"/>
      <c r="D789" s="11"/>
      <c r="E789" s="10"/>
      <c r="F789" s="10"/>
    </row>
    <row r="790" spans="2:6" x14ac:dyDescent="0.25">
      <c r="B790" s="55"/>
      <c r="C790" s="11"/>
      <c r="D790" s="11"/>
      <c r="E790" s="10"/>
      <c r="F790" s="10"/>
    </row>
    <row r="791" spans="2:6" x14ac:dyDescent="0.25">
      <c r="B791" s="55"/>
      <c r="C791" s="11"/>
      <c r="D791" s="11"/>
      <c r="E791" s="10"/>
      <c r="F791" s="10"/>
    </row>
    <row r="792" spans="2:6" x14ac:dyDescent="0.25">
      <c r="B792" s="55"/>
      <c r="C792" s="11"/>
      <c r="D792" s="11"/>
      <c r="E792" s="10"/>
      <c r="F792" s="10"/>
    </row>
    <row r="793" spans="2:6" x14ac:dyDescent="0.25">
      <c r="B793" s="55"/>
      <c r="C793" s="11"/>
      <c r="D793" s="11"/>
      <c r="E793" s="10"/>
      <c r="F793" s="10"/>
    </row>
    <row r="794" spans="2:6" x14ac:dyDescent="0.25">
      <c r="B794" s="55"/>
      <c r="C794" s="11"/>
      <c r="D794" s="11"/>
      <c r="E794" s="10"/>
      <c r="F794" s="10"/>
    </row>
    <row r="795" spans="2:6" x14ac:dyDescent="0.25">
      <c r="B795" s="55"/>
      <c r="C795" s="11"/>
      <c r="D795" s="11"/>
      <c r="E795" s="10"/>
      <c r="F795" s="10"/>
    </row>
    <row r="796" spans="2:6" x14ac:dyDescent="0.25">
      <c r="B796" s="55"/>
      <c r="C796" s="11"/>
      <c r="D796" s="11"/>
      <c r="E796" s="10"/>
      <c r="F796" s="10"/>
    </row>
    <row r="797" spans="2:6" x14ac:dyDescent="0.25">
      <c r="B797" s="55"/>
      <c r="C797" s="11"/>
      <c r="D797" s="11"/>
      <c r="E797" s="10"/>
      <c r="F797" s="10"/>
    </row>
    <row r="798" spans="2:6" x14ac:dyDescent="0.25">
      <c r="B798" s="55"/>
      <c r="C798" s="11"/>
      <c r="D798" s="11"/>
      <c r="E798" s="10"/>
      <c r="F798" s="10"/>
    </row>
    <row r="799" spans="2:6" x14ac:dyDescent="0.25">
      <c r="B799" s="55"/>
      <c r="C799" s="11"/>
      <c r="D799" s="11"/>
      <c r="E799" s="10"/>
      <c r="F799" s="10"/>
    </row>
    <row r="800" spans="2:6" x14ac:dyDescent="0.25">
      <c r="B800" s="55"/>
      <c r="C800" s="11"/>
      <c r="D800" s="11"/>
      <c r="E800" s="10"/>
      <c r="F800" s="10"/>
    </row>
    <row r="801" spans="2:6" x14ac:dyDescent="0.25">
      <c r="B801" s="55"/>
      <c r="C801" s="11"/>
      <c r="D801" s="11"/>
      <c r="E801" s="10"/>
      <c r="F801" s="10"/>
    </row>
    <row r="802" spans="2:6" x14ac:dyDescent="0.25">
      <c r="B802" s="55"/>
      <c r="C802" s="11"/>
      <c r="D802" s="11"/>
      <c r="E802" s="10"/>
      <c r="F802" s="10"/>
    </row>
    <row r="803" spans="2:6" x14ac:dyDescent="0.25">
      <c r="B803" s="55"/>
      <c r="C803" s="11"/>
      <c r="D803" s="11"/>
      <c r="E803" s="10"/>
      <c r="F803" s="10"/>
    </row>
    <row r="804" spans="2:6" x14ac:dyDescent="0.25">
      <c r="B804" s="55"/>
      <c r="C804" s="11"/>
      <c r="D804" s="11"/>
      <c r="E804" s="10"/>
      <c r="F804" s="10"/>
    </row>
    <row r="805" spans="2:6" x14ac:dyDescent="0.25">
      <c r="B805" s="55"/>
      <c r="C805" s="11"/>
      <c r="D805" s="11"/>
      <c r="E805" s="10"/>
      <c r="F805" s="10"/>
    </row>
    <row r="806" spans="2:6" x14ac:dyDescent="0.25">
      <c r="B806" s="55"/>
      <c r="C806" s="11"/>
      <c r="D806" s="11"/>
      <c r="E806" s="10"/>
      <c r="F806" s="10"/>
    </row>
    <row r="807" spans="2:6" x14ac:dyDescent="0.25">
      <c r="B807" s="55"/>
      <c r="C807" s="11"/>
      <c r="D807" s="11"/>
      <c r="E807" s="10"/>
      <c r="F807" s="10"/>
    </row>
    <row r="808" spans="2:6" x14ac:dyDescent="0.25">
      <c r="B808" s="55"/>
      <c r="C808" s="11"/>
      <c r="D808" s="11"/>
      <c r="E808" s="10"/>
      <c r="F808" s="10"/>
    </row>
    <row r="809" spans="2:6" x14ac:dyDescent="0.25">
      <c r="B809" s="55"/>
      <c r="C809" s="11"/>
      <c r="D809" s="11"/>
      <c r="E809" s="10"/>
      <c r="F809" s="10"/>
    </row>
    <row r="810" spans="2:6" x14ac:dyDescent="0.25">
      <c r="B810" s="55"/>
      <c r="C810" s="11"/>
      <c r="D810" s="11"/>
      <c r="E810" s="10"/>
      <c r="F810" s="10"/>
    </row>
    <row r="811" spans="2:6" x14ac:dyDescent="0.25">
      <c r="B811" s="55"/>
      <c r="C811" s="11"/>
      <c r="D811" s="11"/>
      <c r="E811" s="10"/>
      <c r="F811" s="10"/>
    </row>
    <row r="812" spans="2:6" x14ac:dyDescent="0.25">
      <c r="B812" s="55"/>
      <c r="C812" s="11"/>
      <c r="D812" s="11"/>
      <c r="E812" s="10"/>
      <c r="F812" s="10"/>
    </row>
    <row r="813" spans="2:6" x14ac:dyDescent="0.25">
      <c r="B813" s="55"/>
      <c r="C813" s="11"/>
      <c r="D813" s="11"/>
      <c r="E813" s="10"/>
      <c r="F813" s="10"/>
    </row>
    <row r="814" spans="2:6" x14ac:dyDescent="0.25">
      <c r="B814" s="55"/>
      <c r="C814" s="11"/>
      <c r="D814" s="11"/>
      <c r="E814" s="10"/>
      <c r="F814" s="10"/>
    </row>
    <row r="815" spans="2:6" x14ac:dyDescent="0.25">
      <c r="B815" s="55"/>
      <c r="C815" s="11"/>
      <c r="D815" s="11"/>
      <c r="E815" s="10"/>
      <c r="F815" s="10"/>
    </row>
    <row r="816" spans="2:6" x14ac:dyDescent="0.25">
      <c r="B816" s="55"/>
      <c r="C816" s="11"/>
      <c r="D816" s="11"/>
      <c r="E816" s="10"/>
      <c r="F816" s="10"/>
    </row>
    <row r="817" spans="2:6" x14ac:dyDescent="0.25">
      <c r="B817" s="55"/>
      <c r="C817" s="11"/>
      <c r="D817" s="11"/>
      <c r="E817" s="10"/>
      <c r="F817" s="10"/>
    </row>
    <row r="818" spans="2:6" x14ac:dyDescent="0.25">
      <c r="B818" s="55"/>
      <c r="C818" s="11"/>
      <c r="D818" s="11"/>
      <c r="E818" s="10"/>
      <c r="F818" s="10"/>
    </row>
    <row r="819" spans="2:6" x14ac:dyDescent="0.25">
      <c r="B819" s="55"/>
      <c r="C819" s="11"/>
      <c r="D819" s="11"/>
      <c r="E819" s="10"/>
      <c r="F819" s="10"/>
    </row>
    <row r="820" spans="2:6" x14ac:dyDescent="0.25">
      <c r="B820" s="55"/>
      <c r="C820" s="11"/>
      <c r="D820" s="11"/>
      <c r="E820" s="10"/>
      <c r="F820" s="10"/>
    </row>
    <row r="821" spans="2:6" x14ac:dyDescent="0.25">
      <c r="B821" s="55"/>
      <c r="C821" s="11"/>
      <c r="D821" s="11"/>
      <c r="E821" s="10"/>
      <c r="F821" s="10"/>
    </row>
    <row r="822" spans="2:6" x14ac:dyDescent="0.25">
      <c r="B822" s="55"/>
      <c r="C822" s="11"/>
      <c r="D822" s="11"/>
      <c r="E822" s="10"/>
      <c r="F822" s="10"/>
    </row>
    <row r="823" spans="2:6" x14ac:dyDescent="0.25">
      <c r="B823" s="55"/>
      <c r="C823" s="11"/>
      <c r="D823" s="11"/>
      <c r="E823" s="10"/>
      <c r="F823" s="10"/>
    </row>
    <row r="824" spans="2:6" x14ac:dyDescent="0.25">
      <c r="B824" s="55"/>
      <c r="C824" s="11"/>
      <c r="D824" s="11"/>
      <c r="E824" s="10"/>
      <c r="F824" s="10"/>
    </row>
    <row r="825" spans="2:6" x14ac:dyDescent="0.25">
      <c r="B825" s="55"/>
      <c r="C825" s="11"/>
      <c r="D825" s="11"/>
      <c r="E825" s="10"/>
      <c r="F825" s="10"/>
    </row>
    <row r="826" spans="2:6" x14ac:dyDescent="0.25">
      <c r="B826" s="55"/>
      <c r="C826" s="11"/>
      <c r="D826" s="11"/>
      <c r="E826" s="10"/>
      <c r="F826" s="10"/>
    </row>
    <row r="827" spans="2:6" x14ac:dyDescent="0.25">
      <c r="B827" s="55"/>
      <c r="C827" s="11"/>
      <c r="D827" s="11"/>
      <c r="E827" s="10"/>
      <c r="F827" s="10"/>
    </row>
    <row r="828" spans="2:6" x14ac:dyDescent="0.25">
      <c r="B828" s="55"/>
      <c r="C828" s="11"/>
      <c r="D828" s="11"/>
      <c r="E828" s="10"/>
      <c r="F828" s="10"/>
    </row>
    <row r="829" spans="2:6" x14ac:dyDescent="0.25">
      <c r="B829" s="55"/>
      <c r="C829" s="11"/>
      <c r="D829" s="11"/>
      <c r="E829" s="10"/>
      <c r="F829" s="10"/>
    </row>
    <row r="830" spans="2:6" x14ac:dyDescent="0.25">
      <c r="B830" s="55"/>
      <c r="C830" s="11"/>
      <c r="D830" s="11"/>
      <c r="E830" s="10"/>
      <c r="F830" s="10"/>
    </row>
    <row r="831" spans="2:6" x14ac:dyDescent="0.25">
      <c r="B831" s="55"/>
      <c r="C831" s="11"/>
      <c r="D831" s="11"/>
      <c r="E831" s="10"/>
      <c r="F831" s="10"/>
    </row>
    <row r="832" spans="2:6" x14ac:dyDescent="0.25">
      <c r="B832" s="55"/>
      <c r="C832" s="11"/>
      <c r="D832" s="11"/>
      <c r="E832" s="10"/>
      <c r="F832" s="10"/>
    </row>
    <row r="833" spans="2:6" x14ac:dyDescent="0.25">
      <c r="B833" s="55"/>
      <c r="C833" s="11"/>
      <c r="D833" s="11"/>
      <c r="E833" s="10"/>
      <c r="F833" s="10"/>
    </row>
    <row r="834" spans="2:6" x14ac:dyDescent="0.25">
      <c r="B834" s="55"/>
      <c r="C834" s="11"/>
      <c r="D834" s="11"/>
      <c r="E834" s="10"/>
      <c r="F834" s="10"/>
    </row>
    <row r="835" spans="2:6" x14ac:dyDescent="0.25">
      <c r="B835" s="55"/>
      <c r="C835" s="11"/>
      <c r="D835" s="11"/>
      <c r="E835" s="10"/>
      <c r="F835" s="10"/>
    </row>
    <row r="836" spans="2:6" x14ac:dyDescent="0.25">
      <c r="B836" s="55"/>
      <c r="C836" s="11"/>
      <c r="D836" s="11"/>
      <c r="E836" s="10"/>
      <c r="F836" s="10"/>
    </row>
    <row r="837" spans="2:6" x14ac:dyDescent="0.25">
      <c r="B837" s="55"/>
      <c r="C837" s="11"/>
      <c r="D837" s="11"/>
      <c r="E837" s="10"/>
      <c r="F837" s="10"/>
    </row>
    <row r="838" spans="2:6" x14ac:dyDescent="0.25">
      <c r="B838" s="55"/>
      <c r="C838" s="11"/>
      <c r="D838" s="11"/>
      <c r="E838" s="10"/>
      <c r="F838" s="10"/>
    </row>
    <row r="839" spans="2:6" x14ac:dyDescent="0.25">
      <c r="B839" s="55"/>
      <c r="C839" s="11"/>
      <c r="D839" s="11"/>
      <c r="E839" s="10"/>
      <c r="F839" s="10"/>
    </row>
    <row r="840" spans="2:6" x14ac:dyDescent="0.25">
      <c r="B840" s="55"/>
      <c r="C840" s="11"/>
      <c r="D840" s="11"/>
      <c r="E840" s="10"/>
      <c r="F840" s="10"/>
    </row>
    <row r="841" spans="2:6" x14ac:dyDescent="0.25">
      <c r="B841" s="55"/>
      <c r="C841" s="11"/>
      <c r="D841" s="11"/>
      <c r="E841" s="10"/>
      <c r="F841" s="10"/>
    </row>
    <row r="842" spans="2:6" x14ac:dyDescent="0.25">
      <c r="B842" s="55"/>
      <c r="C842" s="11"/>
      <c r="D842" s="11"/>
      <c r="E842" s="10"/>
      <c r="F842" s="10"/>
    </row>
    <row r="843" spans="2:6" x14ac:dyDescent="0.25">
      <c r="B843" s="55"/>
      <c r="C843" s="11"/>
      <c r="D843" s="11"/>
      <c r="E843" s="10"/>
      <c r="F843" s="10"/>
    </row>
    <row r="844" spans="2:6" x14ac:dyDescent="0.25">
      <c r="B844" s="55"/>
      <c r="C844" s="11"/>
      <c r="D844" s="11"/>
      <c r="E844" s="10"/>
      <c r="F844" s="10"/>
    </row>
    <row r="845" spans="2:6" x14ac:dyDescent="0.25">
      <c r="B845" s="55"/>
      <c r="C845" s="11"/>
      <c r="D845" s="11"/>
      <c r="E845" s="10"/>
      <c r="F845" s="10"/>
    </row>
    <row r="846" spans="2:6" x14ac:dyDescent="0.25">
      <c r="B846" s="55"/>
      <c r="C846" s="11"/>
      <c r="D846" s="11"/>
      <c r="E846" s="10"/>
      <c r="F846" s="10"/>
    </row>
    <row r="847" spans="2:6" x14ac:dyDescent="0.25">
      <c r="B847" s="55"/>
      <c r="C847" s="11"/>
      <c r="D847" s="11"/>
      <c r="E847" s="10"/>
      <c r="F847" s="10"/>
    </row>
    <row r="848" spans="2:6" x14ac:dyDescent="0.25">
      <c r="B848" s="55"/>
      <c r="C848" s="11"/>
      <c r="D848" s="11"/>
      <c r="E848" s="10"/>
      <c r="F848" s="10"/>
    </row>
    <row r="849" spans="2:6" x14ac:dyDescent="0.25">
      <c r="B849" s="55"/>
      <c r="C849" s="11"/>
      <c r="D849" s="11"/>
      <c r="E849" s="10"/>
      <c r="F849" s="10"/>
    </row>
    <row r="850" spans="2:6" x14ac:dyDescent="0.25">
      <c r="B850" s="55"/>
      <c r="C850" s="11"/>
      <c r="D850" s="11"/>
      <c r="E850" s="10"/>
      <c r="F850" s="10"/>
    </row>
    <row r="851" spans="2:6" x14ac:dyDescent="0.25">
      <c r="B851" s="55"/>
      <c r="C851" s="11"/>
      <c r="D851" s="11"/>
      <c r="E851" s="10"/>
      <c r="F851" s="10"/>
    </row>
    <row r="852" spans="2:6" x14ac:dyDescent="0.25">
      <c r="B852" s="55"/>
      <c r="C852" s="11"/>
      <c r="D852" s="11"/>
      <c r="E852" s="10"/>
      <c r="F852" s="10"/>
    </row>
    <row r="853" spans="2:6" x14ac:dyDescent="0.25">
      <c r="B853" s="55"/>
      <c r="C853" s="11"/>
      <c r="D853" s="11"/>
      <c r="E853" s="10"/>
      <c r="F853" s="10"/>
    </row>
    <row r="854" spans="2:6" x14ac:dyDescent="0.25">
      <c r="B854" s="55"/>
      <c r="C854" s="11"/>
      <c r="D854" s="11"/>
      <c r="E854" s="10"/>
      <c r="F854" s="10"/>
    </row>
    <row r="855" spans="2:6" x14ac:dyDescent="0.25">
      <c r="B855" s="55"/>
      <c r="C855" s="11"/>
      <c r="D855" s="11"/>
      <c r="E855" s="10"/>
      <c r="F855" s="10"/>
    </row>
    <row r="856" spans="2:6" x14ac:dyDescent="0.25">
      <c r="B856" s="55"/>
      <c r="C856" s="11"/>
      <c r="D856" s="11"/>
      <c r="E856" s="10"/>
      <c r="F856" s="10"/>
    </row>
    <row r="857" spans="2:6" x14ac:dyDescent="0.25">
      <c r="B857" s="55"/>
      <c r="C857" s="11"/>
      <c r="D857" s="11"/>
      <c r="E857" s="10"/>
      <c r="F857" s="10"/>
    </row>
    <row r="858" spans="2:6" x14ac:dyDescent="0.25">
      <c r="B858" s="55"/>
      <c r="C858" s="11"/>
      <c r="D858" s="11"/>
      <c r="E858" s="10"/>
      <c r="F858" s="10"/>
    </row>
    <row r="859" spans="2:6" x14ac:dyDescent="0.25">
      <c r="B859" s="55"/>
      <c r="C859" s="11"/>
      <c r="D859" s="11"/>
      <c r="E859" s="10"/>
      <c r="F859" s="10"/>
    </row>
    <row r="860" spans="2:6" x14ac:dyDescent="0.25">
      <c r="B860" s="55"/>
      <c r="C860" s="11"/>
      <c r="D860" s="11"/>
      <c r="E860" s="10"/>
      <c r="F860" s="10"/>
    </row>
    <row r="861" spans="2:6" x14ac:dyDescent="0.25">
      <c r="B861" s="55"/>
      <c r="C861" s="11"/>
      <c r="D861" s="11"/>
      <c r="E861" s="10"/>
      <c r="F861" s="10"/>
    </row>
    <row r="862" spans="2:6" x14ac:dyDescent="0.25">
      <c r="B862" s="55"/>
      <c r="C862" s="11"/>
      <c r="D862" s="11"/>
      <c r="E862" s="10"/>
      <c r="F862" s="10"/>
    </row>
    <row r="863" spans="2:6" x14ac:dyDescent="0.25">
      <c r="B863" s="55"/>
      <c r="C863" s="11"/>
      <c r="D863" s="11"/>
      <c r="E863" s="10"/>
      <c r="F863" s="10"/>
    </row>
    <row r="864" spans="2:6" x14ac:dyDescent="0.25">
      <c r="B864" s="55"/>
      <c r="C864" s="11"/>
      <c r="D864" s="11"/>
      <c r="E864" s="10"/>
      <c r="F864" s="10"/>
    </row>
    <row r="865" spans="2:6" x14ac:dyDescent="0.25">
      <c r="B865" s="55"/>
      <c r="C865" s="11"/>
      <c r="D865" s="11"/>
      <c r="E865" s="10"/>
      <c r="F865" s="10"/>
    </row>
    <row r="866" spans="2:6" x14ac:dyDescent="0.25">
      <c r="B866" s="55"/>
      <c r="C866" s="11"/>
      <c r="D866" s="11"/>
      <c r="E866" s="10"/>
      <c r="F866" s="10"/>
    </row>
    <row r="867" spans="2:6" x14ac:dyDescent="0.25">
      <c r="B867" s="55"/>
      <c r="C867" s="11"/>
      <c r="D867" s="11"/>
      <c r="E867" s="10"/>
      <c r="F867" s="10"/>
    </row>
    <row r="868" spans="2:6" x14ac:dyDescent="0.25">
      <c r="B868" s="55"/>
      <c r="C868" s="11"/>
      <c r="D868" s="11"/>
      <c r="E868" s="10"/>
      <c r="F868" s="10"/>
    </row>
    <row r="869" spans="2:6" x14ac:dyDescent="0.25">
      <c r="B869" s="55"/>
      <c r="C869" s="11"/>
      <c r="D869" s="11"/>
      <c r="E869" s="10"/>
      <c r="F869" s="10"/>
    </row>
    <row r="870" spans="2:6" x14ac:dyDescent="0.25">
      <c r="B870" s="55"/>
      <c r="C870" s="11"/>
      <c r="D870" s="11"/>
      <c r="E870" s="10"/>
      <c r="F870" s="10"/>
    </row>
    <row r="871" spans="2:6" x14ac:dyDescent="0.25">
      <c r="B871" s="55"/>
      <c r="C871" s="11"/>
      <c r="D871" s="11"/>
      <c r="E871" s="10"/>
      <c r="F871" s="10"/>
    </row>
    <row r="872" spans="2:6" x14ac:dyDescent="0.25">
      <c r="B872" s="55"/>
      <c r="C872" s="11"/>
      <c r="D872" s="11"/>
      <c r="E872" s="10"/>
      <c r="F872" s="10"/>
    </row>
    <row r="873" spans="2:6" x14ac:dyDescent="0.25">
      <c r="B873" s="55"/>
      <c r="C873" s="11"/>
      <c r="D873" s="11"/>
      <c r="E873" s="10"/>
      <c r="F873" s="10"/>
    </row>
    <row r="874" spans="2:6" x14ac:dyDescent="0.25">
      <c r="B874" s="55"/>
      <c r="C874" s="11"/>
      <c r="D874" s="11"/>
      <c r="E874" s="10"/>
      <c r="F874" s="10"/>
    </row>
    <row r="875" spans="2:6" x14ac:dyDescent="0.25">
      <c r="B875" s="55"/>
      <c r="C875" s="11"/>
      <c r="D875" s="11"/>
      <c r="E875" s="10"/>
      <c r="F875" s="10"/>
    </row>
    <row r="876" spans="2:6" x14ac:dyDescent="0.25">
      <c r="B876" s="55"/>
      <c r="C876" s="11"/>
      <c r="D876" s="11"/>
      <c r="E876" s="10"/>
      <c r="F876" s="10"/>
    </row>
    <row r="877" spans="2:6" x14ac:dyDescent="0.25">
      <c r="B877" s="55"/>
      <c r="C877" s="11"/>
      <c r="D877" s="11"/>
      <c r="E877" s="10"/>
      <c r="F877" s="10"/>
    </row>
    <row r="878" spans="2:6" x14ac:dyDescent="0.25">
      <c r="B878" s="55"/>
      <c r="C878" s="11"/>
      <c r="D878" s="11"/>
      <c r="E878" s="10"/>
      <c r="F878" s="10"/>
    </row>
    <row r="879" spans="2:6" x14ac:dyDescent="0.25">
      <c r="B879" s="55"/>
      <c r="C879" s="11"/>
      <c r="D879" s="11"/>
      <c r="E879" s="10"/>
      <c r="F879" s="10"/>
    </row>
    <row r="880" spans="2:6" x14ac:dyDescent="0.25">
      <c r="B880" s="55"/>
      <c r="C880" s="11"/>
      <c r="D880" s="11"/>
      <c r="E880" s="10"/>
      <c r="F880" s="10"/>
    </row>
    <row r="881" spans="2:6" x14ac:dyDescent="0.25">
      <c r="B881" s="55"/>
      <c r="C881" s="11"/>
      <c r="D881" s="11"/>
      <c r="E881" s="10"/>
      <c r="F881" s="10"/>
    </row>
    <row r="882" spans="2:6" x14ac:dyDescent="0.25">
      <c r="B882" s="55"/>
      <c r="C882" s="11"/>
      <c r="D882" s="11"/>
      <c r="E882" s="10"/>
      <c r="F882" s="10"/>
    </row>
    <row r="883" spans="2:6" x14ac:dyDescent="0.25">
      <c r="B883" s="55"/>
      <c r="C883" s="11"/>
      <c r="D883" s="11"/>
      <c r="E883" s="10"/>
      <c r="F883" s="10"/>
    </row>
    <row r="884" spans="2:6" x14ac:dyDescent="0.25">
      <c r="B884" s="55"/>
      <c r="C884" s="11"/>
      <c r="D884" s="11"/>
      <c r="E884" s="10"/>
      <c r="F884" s="10"/>
    </row>
    <row r="885" spans="2:6" x14ac:dyDescent="0.25">
      <c r="B885" s="55"/>
      <c r="C885" s="11"/>
      <c r="D885" s="11"/>
      <c r="E885" s="10"/>
      <c r="F885" s="10"/>
    </row>
    <row r="886" spans="2:6" x14ac:dyDescent="0.25">
      <c r="B886" s="55"/>
      <c r="C886" s="11"/>
      <c r="D886" s="11"/>
      <c r="E886" s="10"/>
      <c r="F886" s="10"/>
    </row>
    <row r="887" spans="2:6" x14ac:dyDescent="0.25">
      <c r="B887" s="55"/>
      <c r="C887" s="11"/>
      <c r="D887" s="11"/>
      <c r="E887" s="10"/>
      <c r="F887" s="10"/>
    </row>
    <row r="888" spans="2:6" x14ac:dyDescent="0.25">
      <c r="B888" s="55"/>
      <c r="C888" s="11"/>
      <c r="D888" s="11"/>
      <c r="E888" s="10"/>
      <c r="F888" s="10"/>
    </row>
    <row r="889" spans="2:6" x14ac:dyDescent="0.25">
      <c r="B889" s="55"/>
      <c r="C889" s="11"/>
      <c r="D889" s="11"/>
      <c r="E889" s="10"/>
      <c r="F889" s="10"/>
    </row>
    <row r="890" spans="2:6" x14ac:dyDescent="0.25">
      <c r="B890" s="55"/>
      <c r="C890" s="11"/>
      <c r="D890" s="11"/>
      <c r="E890" s="10"/>
      <c r="F890" s="10"/>
    </row>
    <row r="891" spans="2:6" x14ac:dyDescent="0.25">
      <c r="B891" s="55"/>
      <c r="C891" s="11"/>
      <c r="D891" s="11"/>
      <c r="E891" s="10"/>
      <c r="F891" s="10"/>
    </row>
    <row r="892" spans="2:6" x14ac:dyDescent="0.25">
      <c r="B892" s="55"/>
      <c r="C892" s="11"/>
      <c r="D892" s="11"/>
      <c r="E892" s="10"/>
      <c r="F892" s="10"/>
    </row>
    <row r="893" spans="2:6" x14ac:dyDescent="0.25">
      <c r="B893" s="55"/>
      <c r="C893" s="11"/>
      <c r="D893" s="11"/>
      <c r="E893" s="10"/>
      <c r="F893" s="10"/>
    </row>
    <row r="894" spans="2:6" x14ac:dyDescent="0.25">
      <c r="B894" s="55"/>
      <c r="C894" s="11"/>
      <c r="D894" s="11"/>
      <c r="E894" s="10"/>
      <c r="F894" s="10"/>
    </row>
    <row r="895" spans="2:6" x14ac:dyDescent="0.25">
      <c r="B895" s="55"/>
      <c r="C895" s="11"/>
      <c r="D895" s="11"/>
      <c r="E895" s="10"/>
      <c r="F895" s="10"/>
    </row>
    <row r="896" spans="2:6" x14ac:dyDescent="0.25">
      <c r="B896" s="55"/>
      <c r="C896" s="11"/>
      <c r="D896" s="11"/>
      <c r="E896" s="10"/>
      <c r="F896" s="10"/>
    </row>
    <row r="897" spans="2:6" x14ac:dyDescent="0.25">
      <c r="B897" s="55"/>
      <c r="C897" s="11"/>
      <c r="D897" s="11"/>
      <c r="E897" s="10"/>
      <c r="F897" s="10"/>
    </row>
    <row r="898" spans="2:6" x14ac:dyDescent="0.25">
      <c r="B898" s="55"/>
      <c r="C898" s="11"/>
      <c r="D898" s="11"/>
      <c r="E898" s="10"/>
      <c r="F898" s="10"/>
    </row>
    <row r="899" spans="2:6" x14ac:dyDescent="0.25">
      <c r="B899" s="55"/>
      <c r="C899" s="11"/>
      <c r="D899" s="11"/>
      <c r="E899" s="10"/>
      <c r="F899" s="10"/>
    </row>
    <row r="900" spans="2:6" x14ac:dyDescent="0.25">
      <c r="B900" s="55"/>
      <c r="C900" s="11"/>
      <c r="D900" s="11"/>
      <c r="E900" s="10"/>
      <c r="F900" s="10"/>
    </row>
    <row r="901" spans="2:6" x14ac:dyDescent="0.25">
      <c r="B901" s="55"/>
      <c r="C901" s="11"/>
      <c r="D901" s="11"/>
      <c r="E901" s="10"/>
      <c r="F901" s="10"/>
    </row>
    <row r="902" spans="2:6" x14ac:dyDescent="0.25">
      <c r="B902" s="55"/>
      <c r="C902" s="11"/>
      <c r="D902" s="11"/>
      <c r="E902" s="10"/>
      <c r="F902" s="10"/>
    </row>
    <row r="903" spans="2:6" x14ac:dyDescent="0.25">
      <c r="B903" s="55"/>
      <c r="C903" s="11"/>
      <c r="D903" s="11"/>
      <c r="E903" s="10"/>
      <c r="F903" s="10"/>
    </row>
    <row r="904" spans="2:6" x14ac:dyDescent="0.25">
      <c r="B904" s="55"/>
      <c r="C904" s="11"/>
      <c r="D904" s="11"/>
      <c r="E904" s="10"/>
      <c r="F904" s="10"/>
    </row>
    <row r="905" spans="2:6" x14ac:dyDescent="0.25">
      <c r="B905" s="55"/>
      <c r="C905" s="11"/>
      <c r="D905" s="11"/>
      <c r="E905" s="10"/>
      <c r="F905" s="10"/>
    </row>
    <row r="906" spans="2:6" x14ac:dyDescent="0.25">
      <c r="B906" s="55"/>
      <c r="C906" s="11"/>
      <c r="D906" s="11"/>
      <c r="E906" s="10"/>
      <c r="F906" s="10"/>
    </row>
    <row r="907" spans="2:6" x14ac:dyDescent="0.25">
      <c r="B907" s="55"/>
      <c r="C907" s="11"/>
      <c r="D907" s="11"/>
      <c r="E907" s="10"/>
      <c r="F907" s="10"/>
    </row>
    <row r="908" spans="2:6" x14ac:dyDescent="0.25">
      <c r="B908" s="55"/>
      <c r="C908" s="11"/>
      <c r="D908" s="11"/>
      <c r="E908" s="10"/>
      <c r="F908" s="10"/>
    </row>
    <row r="909" spans="2:6" x14ac:dyDescent="0.25">
      <c r="B909" s="55"/>
      <c r="C909" s="11"/>
      <c r="D909" s="11"/>
      <c r="E909" s="10"/>
      <c r="F909" s="10"/>
    </row>
    <row r="910" spans="2:6" x14ac:dyDescent="0.25">
      <c r="B910" s="55"/>
      <c r="C910" s="11"/>
      <c r="D910" s="11"/>
      <c r="E910" s="10"/>
      <c r="F910" s="10"/>
    </row>
    <row r="911" spans="2:6" x14ac:dyDescent="0.25">
      <c r="B911" s="55"/>
      <c r="C911" s="11"/>
      <c r="D911" s="11"/>
      <c r="E911" s="10"/>
      <c r="F911" s="10"/>
    </row>
    <row r="912" spans="2:6" x14ac:dyDescent="0.25">
      <c r="B912" s="55"/>
      <c r="C912" s="11"/>
      <c r="D912" s="11"/>
      <c r="E912" s="10"/>
      <c r="F912" s="10"/>
    </row>
    <row r="913" spans="2:6" x14ac:dyDescent="0.25">
      <c r="B913" s="55"/>
      <c r="C913" s="11"/>
      <c r="D913" s="11"/>
      <c r="E913" s="10"/>
      <c r="F913" s="10"/>
    </row>
    <row r="914" spans="2:6" x14ac:dyDescent="0.25">
      <c r="B914" s="55"/>
      <c r="C914" s="11"/>
      <c r="D914" s="11"/>
      <c r="E914" s="10"/>
      <c r="F914" s="10"/>
    </row>
    <row r="915" spans="2:6" x14ac:dyDescent="0.25">
      <c r="B915" s="55"/>
      <c r="C915" s="11"/>
      <c r="D915" s="11"/>
      <c r="E915" s="10"/>
      <c r="F915" s="10"/>
    </row>
    <row r="916" spans="2:6" x14ac:dyDescent="0.25">
      <c r="B916" s="55"/>
      <c r="C916" s="11"/>
      <c r="D916" s="11"/>
      <c r="E916" s="10"/>
      <c r="F916" s="10"/>
    </row>
    <row r="917" spans="2:6" x14ac:dyDescent="0.25">
      <c r="B917" s="55"/>
      <c r="C917" s="11"/>
      <c r="D917" s="11"/>
      <c r="E917" s="10"/>
      <c r="F917" s="10"/>
    </row>
    <row r="918" spans="2:6" x14ac:dyDescent="0.25">
      <c r="B918" s="55"/>
      <c r="C918" s="11"/>
      <c r="D918" s="11"/>
      <c r="E918" s="10"/>
      <c r="F918" s="10"/>
    </row>
    <row r="919" spans="2:6" x14ac:dyDescent="0.25">
      <c r="B919" s="55"/>
      <c r="C919" s="11"/>
      <c r="D919" s="11"/>
      <c r="E919" s="10"/>
      <c r="F919" s="10"/>
    </row>
    <row r="920" spans="2:6" x14ac:dyDescent="0.25">
      <c r="B920" s="55"/>
      <c r="C920" s="11"/>
      <c r="D920" s="11"/>
      <c r="E920" s="10"/>
      <c r="F920" s="10"/>
    </row>
    <row r="921" spans="2:6" x14ac:dyDescent="0.25">
      <c r="B921" s="55"/>
      <c r="C921" s="11"/>
      <c r="D921" s="11"/>
      <c r="E921" s="10"/>
      <c r="F921" s="10"/>
    </row>
    <row r="922" spans="2:6" x14ac:dyDescent="0.25">
      <c r="B922" s="55"/>
      <c r="C922" s="11"/>
      <c r="D922" s="11"/>
      <c r="E922" s="10"/>
      <c r="F922" s="10"/>
    </row>
    <row r="923" spans="2:6" x14ac:dyDescent="0.25">
      <c r="B923" s="55"/>
      <c r="C923" s="11"/>
      <c r="D923" s="11"/>
      <c r="E923" s="10"/>
      <c r="F923" s="10"/>
    </row>
    <row r="924" spans="2:6" x14ac:dyDescent="0.25">
      <c r="B924" s="55"/>
      <c r="C924" s="11"/>
      <c r="D924" s="11"/>
      <c r="E924" s="10"/>
      <c r="F924" s="10"/>
    </row>
    <row r="925" spans="2:6" x14ac:dyDescent="0.25">
      <c r="B925" s="55"/>
      <c r="C925" s="11"/>
      <c r="D925" s="11"/>
      <c r="E925" s="10"/>
      <c r="F925" s="10"/>
    </row>
    <row r="926" spans="2:6" x14ac:dyDescent="0.25">
      <c r="B926" s="55"/>
      <c r="C926" s="11"/>
      <c r="D926" s="11"/>
      <c r="E926" s="10"/>
      <c r="F926" s="10"/>
    </row>
    <row r="927" spans="2:6" x14ac:dyDescent="0.25">
      <c r="B927" s="55"/>
      <c r="C927" s="11"/>
      <c r="D927" s="11"/>
      <c r="E927" s="10"/>
      <c r="F927" s="10"/>
    </row>
    <row r="928" spans="2:6" x14ac:dyDescent="0.25">
      <c r="B928" s="55"/>
      <c r="C928" s="11"/>
      <c r="D928" s="11"/>
      <c r="E928" s="10"/>
      <c r="F928" s="10"/>
    </row>
    <row r="929" spans="2:6" x14ac:dyDescent="0.25">
      <c r="B929" s="55"/>
      <c r="C929" s="11"/>
      <c r="D929" s="11"/>
      <c r="E929" s="10"/>
      <c r="F929" s="10"/>
    </row>
    <row r="930" spans="2:6" x14ac:dyDescent="0.25">
      <c r="B930" s="55"/>
      <c r="C930" s="11"/>
      <c r="D930" s="11"/>
      <c r="E930" s="10"/>
      <c r="F930" s="10"/>
    </row>
    <row r="931" spans="2:6" x14ac:dyDescent="0.25">
      <c r="B931" s="55"/>
      <c r="C931" s="11"/>
      <c r="D931" s="11"/>
      <c r="E931" s="10"/>
      <c r="F931" s="10"/>
    </row>
    <row r="932" spans="2:6" x14ac:dyDescent="0.25">
      <c r="B932" s="55"/>
      <c r="C932" s="11"/>
      <c r="D932" s="11"/>
      <c r="E932" s="10"/>
      <c r="F932" s="10"/>
    </row>
    <row r="933" spans="2:6" x14ac:dyDescent="0.25">
      <c r="B933" s="55"/>
      <c r="C933" s="11"/>
      <c r="D933" s="11"/>
      <c r="E933" s="10"/>
      <c r="F933" s="10"/>
    </row>
    <row r="934" spans="2:6" x14ac:dyDescent="0.25">
      <c r="B934" s="55"/>
      <c r="C934" s="11"/>
      <c r="D934" s="11"/>
      <c r="E934" s="10"/>
      <c r="F934" s="10"/>
    </row>
    <row r="935" spans="2:6" x14ac:dyDescent="0.25">
      <c r="B935" s="55"/>
      <c r="C935" s="11"/>
      <c r="D935" s="11"/>
      <c r="E935" s="10"/>
      <c r="F935" s="10"/>
    </row>
    <row r="936" spans="2:6" x14ac:dyDescent="0.25">
      <c r="B936" s="55"/>
      <c r="C936" s="11"/>
      <c r="D936" s="11"/>
      <c r="E936" s="10"/>
      <c r="F936" s="10"/>
    </row>
    <row r="937" spans="2:6" x14ac:dyDescent="0.25">
      <c r="B937" s="55"/>
      <c r="C937" s="11"/>
      <c r="D937" s="11"/>
      <c r="E937" s="10"/>
      <c r="F937" s="10"/>
    </row>
    <row r="938" spans="2:6" x14ac:dyDescent="0.25">
      <c r="B938" s="55"/>
      <c r="C938" s="11"/>
      <c r="D938" s="11"/>
      <c r="E938" s="10"/>
      <c r="F938" s="10"/>
    </row>
    <row r="939" spans="2:6" x14ac:dyDescent="0.25">
      <c r="B939" s="55"/>
      <c r="C939" s="11"/>
      <c r="D939" s="11"/>
      <c r="E939" s="10"/>
      <c r="F939" s="10"/>
    </row>
    <row r="940" spans="2:6" x14ac:dyDescent="0.25">
      <c r="B940" s="55"/>
      <c r="C940" s="11"/>
      <c r="D940" s="11"/>
      <c r="E940" s="10"/>
      <c r="F940" s="10"/>
    </row>
    <row r="941" spans="2:6" x14ac:dyDescent="0.25">
      <c r="B941" s="55"/>
      <c r="C941" s="11"/>
      <c r="D941" s="11"/>
      <c r="E941" s="10"/>
      <c r="F941" s="10"/>
    </row>
    <row r="942" spans="2:6" x14ac:dyDescent="0.25">
      <c r="B942" s="55"/>
      <c r="C942" s="11"/>
      <c r="D942" s="11"/>
      <c r="E942" s="10"/>
      <c r="F942" s="10"/>
    </row>
    <row r="943" spans="2:6" x14ac:dyDescent="0.25">
      <c r="B943" s="55"/>
      <c r="C943" s="11"/>
      <c r="D943" s="11"/>
      <c r="E943" s="10"/>
      <c r="F943" s="10"/>
    </row>
    <row r="944" spans="2:6" x14ac:dyDescent="0.25">
      <c r="B944" s="55"/>
      <c r="C944" s="11"/>
      <c r="D944" s="11"/>
      <c r="E944" s="10"/>
      <c r="F944" s="10"/>
    </row>
    <row r="945" spans="2:6" x14ac:dyDescent="0.25">
      <c r="B945" s="55"/>
      <c r="C945" s="11"/>
      <c r="D945" s="11"/>
      <c r="E945" s="10"/>
      <c r="F945" s="10"/>
    </row>
    <row r="946" spans="2:6" x14ac:dyDescent="0.25">
      <c r="B946" s="55"/>
      <c r="C946" s="11"/>
      <c r="D946" s="11"/>
      <c r="E946" s="10"/>
      <c r="F946" s="10"/>
    </row>
    <row r="947" spans="2:6" x14ac:dyDescent="0.25">
      <c r="B947" s="55"/>
      <c r="C947" s="11"/>
      <c r="D947" s="11"/>
      <c r="E947" s="10"/>
      <c r="F947" s="10"/>
    </row>
    <row r="948" spans="2:6" x14ac:dyDescent="0.25">
      <c r="B948" s="55"/>
      <c r="C948" s="11"/>
      <c r="D948" s="11"/>
      <c r="E948" s="10"/>
      <c r="F948" s="10"/>
    </row>
    <row r="949" spans="2:6" x14ac:dyDescent="0.25">
      <c r="B949" s="55"/>
      <c r="C949" s="11"/>
      <c r="D949" s="11"/>
      <c r="E949" s="10"/>
      <c r="F949" s="10"/>
    </row>
    <row r="950" spans="2:6" x14ac:dyDescent="0.25">
      <c r="B950" s="55"/>
      <c r="C950" s="11"/>
      <c r="D950" s="11"/>
      <c r="E950" s="10"/>
      <c r="F950" s="10"/>
    </row>
  </sheetData>
  <autoFilter ref="A4:A125" xr:uid="{00000000-0009-0000-0000-000027000000}">
    <filterColumn colId="0">
      <filters blank="1">
        <filter val="1"/>
      </filters>
    </filterColumn>
  </autoFilter>
  <pageMargins left="0.2" right="0.2" top="0.25" bottom="0.25" header="0.3" footer="0.3"/>
  <pageSetup paperSize="9" scale="24" fitToHeight="0"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6F52C-EF86-4462-89A3-E32E9308621C}">
  <sheetPr>
    <tabColor theme="7" tint="-0.249977111117893"/>
  </sheetPr>
  <dimension ref="B3:L15"/>
  <sheetViews>
    <sheetView showGridLines="0" zoomScale="85" zoomScaleNormal="85" workbookViewId="0">
      <selection activeCell="B4" sqref="B4:D7"/>
    </sheetView>
  </sheetViews>
  <sheetFormatPr defaultColWidth="8.85546875" defaultRowHeight="15" x14ac:dyDescent="0.25"/>
  <cols>
    <col min="1" max="1" width="4.85546875" style="506" customWidth="1"/>
    <col min="2" max="2" width="27.28515625" style="506" bestFit="1" customWidth="1"/>
    <col min="3" max="12" width="14.85546875" style="506" customWidth="1"/>
    <col min="13" max="16384" width="8.85546875" style="506"/>
  </cols>
  <sheetData>
    <row r="3" spans="2:12" x14ac:dyDescent="0.25">
      <c r="C3" s="2000" t="s">
        <v>151</v>
      </c>
      <c r="D3" s="2000" t="s">
        <v>152</v>
      </c>
      <c r="E3" s="2000" t="s">
        <v>153</v>
      </c>
      <c r="F3" s="2000" t="s">
        <v>154</v>
      </c>
      <c r="G3" s="2000" t="s">
        <v>155</v>
      </c>
      <c r="H3" s="2000" t="s">
        <v>252</v>
      </c>
      <c r="I3" s="2000" t="s">
        <v>253</v>
      </c>
      <c r="J3" s="2000" t="s">
        <v>254</v>
      </c>
      <c r="K3" s="2000" t="s">
        <v>255</v>
      </c>
      <c r="L3" s="2000" t="s">
        <v>256</v>
      </c>
    </row>
    <row r="4" spans="2:12" x14ac:dyDescent="0.25">
      <c r="C4" s="2000"/>
      <c r="D4" s="2000"/>
      <c r="E4" s="2000"/>
      <c r="F4" s="2000"/>
      <c r="G4" s="2000"/>
      <c r="H4" s="2000"/>
      <c r="I4" s="2000"/>
      <c r="J4" s="2000"/>
      <c r="K4" s="2000"/>
      <c r="L4" s="2000"/>
    </row>
    <row r="5" spans="2:12" s="693" customFormat="1" x14ac:dyDescent="0.25">
      <c r="B5" s="693" t="s">
        <v>742</v>
      </c>
      <c r="C5" s="2000" t="e">
        <f>C7+C10</f>
        <v>#REF!</v>
      </c>
      <c r="D5" s="2000">
        <f t="shared" ref="D5:L5" ca="1" si="0">D7+D10</f>
        <v>53.388862393248033</v>
      </c>
      <c r="E5" s="2000">
        <f t="shared" ca="1" si="0"/>
        <v>26.183475657816288</v>
      </c>
      <c r="F5" s="2000">
        <f t="shared" ca="1" si="0"/>
        <v>0</v>
      </c>
      <c r="G5" s="2000">
        <f t="shared" ca="1" si="0"/>
        <v>0</v>
      </c>
      <c r="H5" s="2000">
        <f t="shared" ca="1" si="0"/>
        <v>0</v>
      </c>
      <c r="I5" s="2000">
        <f t="shared" ca="1" si="0"/>
        <v>0</v>
      </c>
      <c r="J5" s="2000">
        <f t="shared" ca="1" si="0"/>
        <v>0</v>
      </c>
      <c r="K5" s="2000">
        <f t="shared" ca="1" si="0"/>
        <v>0</v>
      </c>
      <c r="L5" s="2000">
        <f t="shared" ca="1" si="0"/>
        <v>0</v>
      </c>
    </row>
    <row r="6" spans="2:12" s="693" customFormat="1" x14ac:dyDescent="0.25">
      <c r="C6" s="2000"/>
      <c r="D6" s="2000"/>
      <c r="E6" s="2000"/>
      <c r="F6" s="2000"/>
      <c r="G6" s="2000"/>
      <c r="H6" s="2000"/>
      <c r="I6" s="2000"/>
      <c r="J6" s="2000"/>
      <c r="K6" s="2000"/>
      <c r="L6" s="2000"/>
    </row>
    <row r="7" spans="2:12" s="693" customFormat="1" x14ac:dyDescent="0.25">
      <c r="B7" s="693" t="s">
        <v>743</v>
      </c>
      <c r="C7" s="2001">
        <f>'3.CP-TC'!F72</f>
        <v>69.459323280498921</v>
      </c>
      <c r="D7" s="2001">
        <f ca="1">'3.CP-TC'!G72</f>
        <v>53.388862393248033</v>
      </c>
      <c r="E7" s="2001">
        <f ca="1">'3.CP-TC'!H72</f>
        <v>26.183475657816288</v>
      </c>
      <c r="F7" s="2001">
        <f ca="1">'3.CP-TC'!I72</f>
        <v>0</v>
      </c>
      <c r="G7" s="2001">
        <f ca="1">'3.CP-TC'!J72</f>
        <v>0</v>
      </c>
      <c r="H7" s="2001">
        <f ca="1">'3.CP-TC'!K72</f>
        <v>0</v>
      </c>
      <c r="I7" s="2001">
        <f ca="1">'3.CP-TC'!L72</f>
        <v>0</v>
      </c>
      <c r="J7" s="2001">
        <f ca="1">'3.CP-TC'!M72</f>
        <v>0</v>
      </c>
      <c r="K7" s="2001">
        <f ca="1">'3.CP-TC'!N72</f>
        <v>0</v>
      </c>
      <c r="L7" s="2001">
        <f ca="1">'3.CP-TC'!O72</f>
        <v>0</v>
      </c>
    </row>
    <row r="9" spans="2:12" s="693" customFormat="1" x14ac:dyDescent="0.25">
      <c r="B9" s="693" t="s">
        <v>744</v>
      </c>
      <c r="C9" s="693" t="e">
        <f>C10+C13</f>
        <v>#REF!</v>
      </c>
      <c r="D9" s="693">
        <f t="shared" ref="D9:L9" si="1">D10+D13</f>
        <v>0</v>
      </c>
      <c r="E9" s="693">
        <f t="shared" si="1"/>
        <v>0</v>
      </c>
      <c r="F9" s="693">
        <f t="shared" si="1"/>
        <v>0</v>
      </c>
      <c r="G9" s="693">
        <f t="shared" si="1"/>
        <v>0</v>
      </c>
      <c r="H9" s="693">
        <f t="shared" si="1"/>
        <v>0</v>
      </c>
      <c r="I9" s="693">
        <f t="shared" si="1"/>
        <v>0</v>
      </c>
      <c r="J9" s="693">
        <f t="shared" si="1"/>
        <v>0</v>
      </c>
      <c r="K9" s="693">
        <f t="shared" si="1"/>
        <v>0</v>
      </c>
      <c r="L9" s="693">
        <f t="shared" si="1"/>
        <v>0</v>
      </c>
    </row>
    <row r="10" spans="2:12" s="507" customFormat="1" x14ac:dyDescent="0.25">
      <c r="B10" s="507" t="s">
        <v>745</v>
      </c>
      <c r="C10" s="507" t="e">
        <f>C11+C12</f>
        <v>#REF!</v>
      </c>
    </row>
    <row r="11" spans="2:12" s="507" customFormat="1" x14ac:dyDescent="0.25">
      <c r="B11" s="507" t="s">
        <v>740</v>
      </c>
      <c r="C11" s="507" t="e">
        <f>#REF!</f>
        <v>#REF!</v>
      </c>
    </row>
    <row r="12" spans="2:12" s="507" customFormat="1" x14ac:dyDescent="0.25">
      <c r="B12" s="507" t="s">
        <v>741</v>
      </c>
      <c r="C12" s="507" t="e">
        <f>#REF!</f>
        <v>#REF!</v>
      </c>
    </row>
    <row r="13" spans="2:12" s="507" customFormat="1" x14ac:dyDescent="0.25">
      <c r="B13" s="507" t="s">
        <v>746</v>
      </c>
      <c r="C13" s="507">
        <f>C14+C15</f>
        <v>0</v>
      </c>
      <c r="D13" s="507">
        <f t="shared" ref="D13:L13" si="2">D14+D15</f>
        <v>0</v>
      </c>
      <c r="E13" s="507">
        <f t="shared" si="2"/>
        <v>0</v>
      </c>
      <c r="F13" s="507">
        <f t="shared" si="2"/>
        <v>0</v>
      </c>
      <c r="G13" s="507">
        <f t="shared" si="2"/>
        <v>0</v>
      </c>
      <c r="H13" s="507">
        <f t="shared" si="2"/>
        <v>0</v>
      </c>
      <c r="I13" s="507">
        <f t="shared" si="2"/>
        <v>0</v>
      </c>
      <c r="J13" s="507">
        <f t="shared" si="2"/>
        <v>0</v>
      </c>
      <c r="K13" s="507">
        <f t="shared" si="2"/>
        <v>0</v>
      </c>
      <c r="L13" s="507">
        <f t="shared" si="2"/>
        <v>0</v>
      </c>
    </row>
    <row r="14" spans="2:12" s="507" customFormat="1" x14ac:dyDescent="0.25">
      <c r="B14" s="507" t="s">
        <v>740</v>
      </c>
      <c r="D14" s="507">
        <v>0</v>
      </c>
    </row>
    <row r="15" spans="2:12" s="507" customFormat="1" x14ac:dyDescent="0.25">
      <c r="B15" s="507" t="s">
        <v>741</v>
      </c>
      <c r="D15" s="507">
        <v>0</v>
      </c>
    </row>
  </sheetData>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73B81-6210-49D7-8AAF-A12AED43F70F}">
  <sheetPr>
    <tabColor rgb="FF006934"/>
  </sheetPr>
  <dimension ref="A2:W182"/>
  <sheetViews>
    <sheetView showGridLines="0" zoomScale="85" zoomScaleNormal="85" workbookViewId="0">
      <selection activeCell="M7" sqref="M7"/>
    </sheetView>
  </sheetViews>
  <sheetFormatPr defaultColWidth="8.85546875" defaultRowHeight="12.75" outlineLevelRow="1" x14ac:dyDescent="0.2"/>
  <cols>
    <col min="1" max="1" width="8.85546875" style="2029" customWidth="1"/>
    <col min="2" max="2" width="5" style="2029" customWidth="1"/>
    <col min="3" max="3" width="18.28515625" style="2029" bestFit="1" customWidth="1"/>
    <col min="4" max="11" width="9.5703125" style="2029" customWidth="1"/>
    <col min="12" max="16384" width="8.85546875" style="2029"/>
  </cols>
  <sheetData>
    <row r="2" spans="1:23" x14ac:dyDescent="0.2">
      <c r="A2" s="2041"/>
      <c r="B2" s="2048" t="s">
        <v>596</v>
      </c>
      <c r="C2" s="2042" t="s">
        <v>2060</v>
      </c>
      <c r="D2" s="2041"/>
      <c r="E2" s="2041"/>
      <c r="F2" s="2041"/>
      <c r="G2" s="2041"/>
      <c r="H2" s="2041"/>
      <c r="I2" s="2041"/>
      <c r="J2" s="2041"/>
      <c r="K2" s="2041"/>
      <c r="L2" s="2041"/>
      <c r="M2" s="2041"/>
      <c r="N2" s="2041"/>
      <c r="O2" s="2041"/>
      <c r="P2" s="2041"/>
      <c r="Q2" s="2041"/>
      <c r="R2" s="2041"/>
      <c r="S2" s="2041"/>
      <c r="T2" s="2041"/>
      <c r="U2" s="2041"/>
      <c r="V2" s="2041"/>
      <c r="W2" s="2041"/>
    </row>
    <row r="3" spans="1:23" x14ac:dyDescent="0.2">
      <c r="B3" s="2040" t="s">
        <v>2051</v>
      </c>
      <c r="C3" s="2039" t="s">
        <v>2059</v>
      </c>
      <c r="D3" s="2038"/>
      <c r="E3" s="2038"/>
      <c r="F3" s="2038"/>
      <c r="G3" s="2038"/>
      <c r="H3" s="2038"/>
      <c r="I3" s="2038"/>
      <c r="J3" s="2038"/>
      <c r="K3" s="2038"/>
      <c r="L3" s="2038"/>
      <c r="M3" s="2038"/>
      <c r="N3" s="2038"/>
      <c r="O3" s="2038"/>
      <c r="P3" s="2038"/>
      <c r="Q3" s="2038"/>
      <c r="R3" s="2038"/>
      <c r="S3" s="2038"/>
      <c r="T3" s="2038"/>
      <c r="U3" s="2038"/>
      <c r="V3" s="2038"/>
      <c r="W3" s="2038"/>
    </row>
    <row r="4" spans="1:23" x14ac:dyDescent="0.2">
      <c r="B4" s="2043"/>
      <c r="C4" s="2037"/>
    </row>
    <row r="5" spans="1:23" ht="15" x14ac:dyDescent="0.2">
      <c r="B5" s="2043"/>
      <c r="C5" s="2013"/>
      <c r="D5" s="2012">
        <v>2020</v>
      </c>
      <c r="E5" s="2012">
        <v>2021</v>
      </c>
      <c r="F5" s="2012">
        <v>2022</v>
      </c>
      <c r="G5" s="2012">
        <v>2023</v>
      </c>
      <c r="H5" s="2012">
        <v>2024</v>
      </c>
      <c r="I5" s="2012">
        <v>2025</v>
      </c>
      <c r="J5" s="2012">
        <v>2026</v>
      </c>
      <c r="K5" s="2012">
        <v>2027</v>
      </c>
      <c r="L5" s="2012">
        <v>2028</v>
      </c>
      <c r="M5" s="2012">
        <v>2029</v>
      </c>
      <c r="N5" s="2012">
        <v>2030</v>
      </c>
      <c r="O5" s="2012">
        <v>2031</v>
      </c>
      <c r="P5" s="2012">
        <v>2032</v>
      </c>
      <c r="Q5" s="2012">
        <v>2033</v>
      </c>
    </row>
    <row r="6" spans="1:23" ht="15" x14ac:dyDescent="0.2">
      <c r="B6" s="2043"/>
      <c r="C6" s="2011" t="s">
        <v>2046</v>
      </c>
      <c r="D6" s="2015"/>
      <c r="E6" s="2135">
        <f>'1.BC_Muc tieu (ty) '!K7</f>
        <v>501.60306679300004</v>
      </c>
      <c r="F6" s="2135">
        <f>'1.BC_Muc tieu (ty) '!R7</f>
        <v>505.49590928699996</v>
      </c>
      <c r="G6" s="2135">
        <f>'1.BC_Muc tieu (ty) '!AL9</f>
        <v>531.99834997300002</v>
      </c>
      <c r="H6" s="2135">
        <f>'4. KQ-PL'!I17</f>
        <v>472.69443724311299</v>
      </c>
      <c r="I6" s="2135">
        <f>'4. KQ-PL'!J17</f>
        <v>477.52465779160076</v>
      </c>
      <c r="J6" s="2135">
        <f>'4. KQ-PL'!K17</f>
        <v>482.40525639671222</v>
      </c>
      <c r="K6" s="2135">
        <f>'4. KQ-PL'!L17</f>
        <v>487.33677856362141</v>
      </c>
      <c r="L6" s="2135">
        <f>'4. KQ-PL'!M17</f>
        <v>492.31977609121873</v>
      </c>
      <c r="M6" s="2135">
        <f>'4. KQ-PL'!N17</f>
        <v>497.3548071519055</v>
      </c>
      <c r="N6" s="2135">
        <f>'4. KQ-PL'!O17</f>
        <v>502.4424363725247</v>
      </c>
      <c r="O6" s="2135">
        <f>'4. KQ-PL'!P17</f>
        <v>507.58323491644688</v>
      </c>
      <c r="P6" s="2135">
        <f>'4. KQ-PL'!Q17</f>
        <v>512.7777805668303</v>
      </c>
      <c r="Q6" s="2135">
        <f>'4. KQ-PL'!R17</f>
        <v>518.02665781107203</v>
      </c>
    </row>
    <row r="7" spans="1:23" ht="15" x14ac:dyDescent="0.2">
      <c r="B7" s="2043"/>
      <c r="C7" s="2065" t="s">
        <v>2047</v>
      </c>
      <c r="D7" s="2089"/>
      <c r="E7" s="2136"/>
      <c r="F7" s="2010">
        <f t="shared" ref="F7:Q7" si="0">(F6-E6)/E6</f>
        <v>7.7608028174325494E-3</v>
      </c>
      <c r="G7" s="2010">
        <f t="shared" si="0"/>
        <v>5.2428595759324043E-2</v>
      </c>
      <c r="H7" s="2010">
        <f t="shared" si="0"/>
        <v>-0.11147386591123229</v>
      </c>
      <c r="I7" s="2010">
        <f t="shared" si="0"/>
        <v>1.0218484009794951E-2</v>
      </c>
      <c r="J7" s="2010">
        <f t="shared" si="0"/>
        <v>1.0220621124954407E-2</v>
      </c>
      <c r="K7" s="2010">
        <f t="shared" si="0"/>
        <v>1.0222778673152948E-2</v>
      </c>
      <c r="L7" s="2010">
        <f t="shared" si="0"/>
        <v>1.0224956840491762E-2</v>
      </c>
      <c r="M7" s="2010">
        <f t="shared" si="0"/>
        <v>1.0227155814585576E-2</v>
      </c>
      <c r="N7" s="2010">
        <f t="shared" si="0"/>
        <v>1.0229375784570015E-2</v>
      </c>
      <c r="O7" s="2010">
        <f t="shared" si="0"/>
        <v>1.0231616941110957E-2</v>
      </c>
      <c r="P7" s="2010">
        <f t="shared" si="0"/>
        <v>1.0233879476414328E-2</v>
      </c>
      <c r="Q7" s="2010">
        <f t="shared" si="0"/>
        <v>1.0236163584232448E-2</v>
      </c>
    </row>
    <row r="8" spans="1:23" ht="15" x14ac:dyDescent="0.2">
      <c r="B8" s="2043"/>
      <c r="D8" s="2014"/>
      <c r="E8" s="2014"/>
      <c r="F8" s="2014"/>
      <c r="G8" s="2014"/>
      <c r="H8" s="2014"/>
      <c r="I8" s="2014"/>
      <c r="J8" s="2014"/>
      <c r="K8" s="2014"/>
      <c r="L8" s="2014"/>
      <c r="M8" s="2014"/>
      <c r="N8" s="2014"/>
      <c r="O8" s="2014"/>
      <c r="P8" s="2014"/>
      <c r="Q8" s="2014"/>
    </row>
    <row r="9" spans="1:23" x14ac:dyDescent="0.2">
      <c r="B9" s="2043"/>
      <c r="C9" s="2037"/>
    </row>
    <row r="10" spans="1:23" x14ac:dyDescent="0.2">
      <c r="B10" s="2043"/>
      <c r="C10" s="2037"/>
    </row>
    <row r="11" spans="1:23" x14ac:dyDescent="0.2">
      <c r="B11" s="2043"/>
      <c r="C11" s="2037"/>
    </row>
    <row r="12" spans="1:23" x14ac:dyDescent="0.2">
      <c r="B12" s="2043"/>
      <c r="C12" s="2037"/>
    </row>
    <row r="13" spans="1:23" x14ac:dyDescent="0.2">
      <c r="B13" s="2043"/>
      <c r="C13" s="2037"/>
    </row>
    <row r="14" spans="1:23" x14ac:dyDescent="0.2">
      <c r="B14" s="2043"/>
      <c r="C14" s="2037"/>
    </row>
    <row r="15" spans="1:23" x14ac:dyDescent="0.2">
      <c r="B15" s="2043"/>
      <c r="C15" s="2037"/>
    </row>
    <row r="16" spans="1:23" x14ac:dyDescent="0.2">
      <c r="B16" s="2043"/>
      <c r="C16" s="2037"/>
    </row>
    <row r="17" spans="2:23" x14ac:dyDescent="0.2">
      <c r="B17" s="2043"/>
      <c r="C17" s="2037"/>
    </row>
    <row r="18" spans="2:23" x14ac:dyDescent="0.2">
      <c r="B18" s="2043"/>
      <c r="C18" s="2037"/>
    </row>
    <row r="19" spans="2:23" x14ac:dyDescent="0.2">
      <c r="B19" s="2043"/>
      <c r="C19" s="2037"/>
    </row>
    <row r="20" spans="2:23" x14ac:dyDescent="0.2">
      <c r="B20" s="2043"/>
      <c r="C20" s="2037"/>
    </row>
    <row r="21" spans="2:23" x14ac:dyDescent="0.2">
      <c r="B21" s="2043"/>
      <c r="C21" s="2037"/>
    </row>
    <row r="22" spans="2:23" x14ac:dyDescent="0.2">
      <c r="B22" s="2043"/>
      <c r="C22" s="2037"/>
    </row>
    <row r="23" spans="2:23" x14ac:dyDescent="0.2">
      <c r="B23" s="2043"/>
      <c r="C23" s="2037"/>
    </row>
    <row r="24" spans="2:23" x14ac:dyDescent="0.2">
      <c r="B24" s="2043"/>
      <c r="C24" s="2037"/>
    </row>
    <row r="25" spans="2:23" x14ac:dyDescent="0.2">
      <c r="B25" s="2043"/>
      <c r="C25" s="2037"/>
    </row>
    <row r="26" spans="2:23" x14ac:dyDescent="0.2">
      <c r="B26" s="2043"/>
      <c r="C26" s="2037"/>
    </row>
    <row r="27" spans="2:23" x14ac:dyDescent="0.2">
      <c r="B27" s="2043"/>
      <c r="C27" s="2037"/>
    </row>
    <row r="28" spans="2:23" x14ac:dyDescent="0.2">
      <c r="B28" s="2043"/>
      <c r="C28" s="2037"/>
    </row>
    <row r="29" spans="2:23" x14ac:dyDescent="0.2">
      <c r="B29" s="2043"/>
      <c r="C29" s="2037"/>
    </row>
    <row r="30" spans="2:23" x14ac:dyDescent="0.2">
      <c r="B30" s="2043"/>
      <c r="C30" s="2037"/>
    </row>
    <row r="31" spans="2:23" x14ac:dyDescent="0.2">
      <c r="B31" s="2163"/>
      <c r="C31" s="2164" t="s">
        <v>2102</v>
      </c>
      <c r="D31" s="2165"/>
      <c r="E31" s="2165"/>
      <c r="F31" s="2165"/>
      <c r="G31" s="2165"/>
      <c r="H31" s="2165"/>
      <c r="I31" s="2165"/>
      <c r="J31" s="2165"/>
      <c r="K31" s="2165"/>
      <c r="L31" s="2165"/>
      <c r="M31" s="2165"/>
      <c r="N31" s="2165"/>
      <c r="O31" s="2165"/>
      <c r="P31" s="2165"/>
      <c r="Q31" s="2165"/>
      <c r="R31" s="2165"/>
      <c r="S31" s="2165"/>
      <c r="T31" s="2165"/>
      <c r="U31" s="2165"/>
      <c r="V31" s="2165"/>
      <c r="W31" s="2165"/>
    </row>
    <row r="32" spans="2:23" x14ac:dyDescent="0.2">
      <c r="B32" s="2043"/>
      <c r="C32" s="2037"/>
    </row>
    <row r="33" spans="2:17" ht="15" x14ac:dyDescent="0.2">
      <c r="B33" s="2043"/>
      <c r="C33" s="2013" t="s">
        <v>2045</v>
      </c>
      <c r="D33" s="2012">
        <f>D5</f>
        <v>2020</v>
      </c>
      <c r="E33" s="2012">
        <f t="shared" ref="E33:Q33" si="1">E5</f>
        <v>2021</v>
      </c>
      <c r="F33" s="2012">
        <f t="shared" si="1"/>
        <v>2022</v>
      </c>
      <c r="G33" s="2012">
        <f t="shared" si="1"/>
        <v>2023</v>
      </c>
      <c r="H33" s="2012">
        <f t="shared" si="1"/>
        <v>2024</v>
      </c>
      <c r="I33" s="2012">
        <f t="shared" si="1"/>
        <v>2025</v>
      </c>
      <c r="J33" s="2012">
        <f t="shared" si="1"/>
        <v>2026</v>
      </c>
      <c r="K33" s="2012">
        <f t="shared" si="1"/>
        <v>2027</v>
      </c>
      <c r="L33" s="2012">
        <f t="shared" si="1"/>
        <v>2028</v>
      </c>
      <c r="M33" s="2012">
        <f t="shared" si="1"/>
        <v>2029</v>
      </c>
      <c r="N33" s="2012">
        <f t="shared" si="1"/>
        <v>2030</v>
      </c>
      <c r="O33" s="2012">
        <f t="shared" si="1"/>
        <v>2031</v>
      </c>
      <c r="P33" s="2012">
        <f t="shared" si="1"/>
        <v>2032</v>
      </c>
      <c r="Q33" s="2012">
        <f t="shared" si="1"/>
        <v>2033</v>
      </c>
    </row>
    <row r="34" spans="2:17" ht="15" x14ac:dyDescent="0.2">
      <c r="B34" s="2043"/>
      <c r="C34" s="2011" t="str">
        <f>[31]Input_Cty!$D$4</f>
        <v>1. Quang Phát</v>
      </c>
      <c r="D34" s="2015">
        <v>272.81550909800001</v>
      </c>
      <c r="E34" s="2015">
        <f>'1.BC_Muc tieu (ty) '!E9</f>
        <v>361.22590755700003</v>
      </c>
      <c r="F34" s="2015">
        <f>'1.BC_Muc tieu (ty) '!L9</f>
        <v>423.367804949</v>
      </c>
      <c r="G34" s="2015">
        <f>'1.BC_Muc tieu (ty) '!S7</f>
        <v>441.34407631400001</v>
      </c>
      <c r="H34" s="2015">
        <f>'3. Doanh thu'!E22</f>
        <v>349.83798795437713</v>
      </c>
      <c r="I34" s="2015">
        <f>'3. Doanh thu'!F22</f>
        <v>353.33636783392092</v>
      </c>
      <c r="J34" s="2015">
        <f>'3. Doanh thu'!G22</f>
        <v>356.86973151226016</v>
      </c>
      <c r="K34" s="2015">
        <f>'3. Doanh thu'!H22</f>
        <v>360.43842882738278</v>
      </c>
      <c r="L34" s="2015">
        <f>'3. Doanh thu'!I22</f>
        <v>364.0428131156566</v>
      </c>
      <c r="M34" s="2015">
        <f>'3. Doanh thu'!J22</f>
        <v>367.68324124681317</v>
      </c>
      <c r="N34" s="2015">
        <f>'3. Doanh thu'!K22</f>
        <v>371.36007365928128</v>
      </c>
      <c r="O34" s="2015">
        <f>'3. Doanh thu'!L22</f>
        <v>375.07367439587415</v>
      </c>
      <c r="P34" s="2015">
        <f>'3. Doanh thu'!M22</f>
        <v>378.82441113983288</v>
      </c>
      <c r="Q34" s="2015">
        <f>'3. Doanh thu'!N22</f>
        <v>382.61265525123127</v>
      </c>
    </row>
    <row r="35" spans="2:17" ht="15" x14ac:dyDescent="0.2">
      <c r="B35" s="2043"/>
      <c r="C35" s="2011" t="str">
        <f>[31]Input_Cty!$I$4</f>
        <v>2. Bê tông QP</v>
      </c>
      <c r="D35" s="2015">
        <v>0</v>
      </c>
      <c r="E35" s="2015">
        <f>'1.BC_Muc tieu (ty) '!F9</f>
        <v>41.462536712999999</v>
      </c>
      <c r="F35" s="2015">
        <f>'1.BC_Muc tieu (ty) '!M9</f>
        <v>69.811635749000004</v>
      </c>
      <c r="G35" s="2015">
        <f>'1.BC_Muc tieu (ty) '!T9</f>
        <v>74.678752638000006</v>
      </c>
      <c r="H35" s="2015">
        <f>'3. Doanh thu'!E23</f>
        <v>99.869508176654264</v>
      </c>
      <c r="I35" s="2015">
        <f>'3. Doanh thu'!F23</f>
        <v>100.86820325842081</v>
      </c>
      <c r="J35" s="2015">
        <f>'3. Doanh thu'!G23</f>
        <v>101.87688529100501</v>
      </c>
      <c r="K35" s="2015">
        <f>'3. Doanh thu'!H23</f>
        <v>102.89565414391507</v>
      </c>
      <c r="L35" s="2015">
        <f>'3. Doanh thu'!I23</f>
        <v>103.92461068535422</v>
      </c>
      <c r="M35" s="2015">
        <f>'3. Doanh thu'!J23</f>
        <v>104.96385679220776</v>
      </c>
      <c r="N35" s="2015">
        <f>'3. Doanh thu'!K23</f>
        <v>106.01349536012984</v>
      </c>
      <c r="O35" s="2015">
        <f>'3. Doanh thu'!L23</f>
        <v>107.07363031373116</v>
      </c>
      <c r="P35" s="2015">
        <f>'3. Doanh thu'!M23</f>
        <v>108.14436661686847</v>
      </c>
      <c r="Q35" s="2015">
        <f>'3. Doanh thu'!N23</f>
        <v>109.22581028303716</v>
      </c>
    </row>
    <row r="36" spans="2:17" ht="15" x14ac:dyDescent="0.2">
      <c r="B36" s="2043"/>
      <c r="C36" s="2011" t="str">
        <f>[31]Input_Cty!$N$4</f>
        <v>3. KQP</v>
      </c>
      <c r="D36" s="2015">
        <v>59.548559255000001</v>
      </c>
      <c r="E36" s="2015">
        <f>'1.BC_Muc tieu (ty) '!G9</f>
        <v>54.917326996</v>
      </c>
      <c r="F36" s="2015">
        <f>'1.BC_Muc tieu (ty) '!N9</f>
        <v>64.008838726999997</v>
      </c>
      <c r="G36" s="2015">
        <f>'1.BC_Muc tieu (ty) '!U9</f>
        <v>58.809727981000002</v>
      </c>
      <c r="H36" s="2015">
        <f>'3. Doanh thu'!E24</f>
        <v>12.761577146075775</v>
      </c>
      <c r="I36" s="2015">
        <f>'3. Doanh thu'!F24</f>
        <v>12.889192917536532</v>
      </c>
      <c r="J36" s="2015">
        <f>'3. Doanh thu'!G24</f>
        <v>13.018084846711897</v>
      </c>
      <c r="K36" s="2015">
        <f>'3. Doanh thu'!H24</f>
        <v>13.148265695179017</v>
      </c>
      <c r="L36" s="2015">
        <f>'3. Doanh thu'!I24</f>
        <v>13.279748352130806</v>
      </c>
      <c r="M36" s="2015">
        <f>'3. Doanh thu'!J24</f>
        <v>13.412545835652114</v>
      </c>
      <c r="N36" s="2015">
        <f>'3. Doanh thu'!K24</f>
        <v>13.546671294008636</v>
      </c>
      <c r="O36" s="2015">
        <f>'3. Doanh thu'!L24</f>
        <v>13.682138006948723</v>
      </c>
      <c r="P36" s="2015">
        <f>'3. Doanh thu'!M24</f>
        <v>13.818959387018211</v>
      </c>
      <c r="Q36" s="2015">
        <f>'3. Doanh thu'!N24</f>
        <v>13.957148980888393</v>
      </c>
    </row>
    <row r="37" spans="2:17" ht="15" x14ac:dyDescent="0.2">
      <c r="B37" s="2043"/>
      <c r="C37" s="2011" t="str">
        <f>[31]Input_Cty!$S$4</f>
        <v>4. KML</v>
      </c>
      <c r="D37" s="2015">
        <v>20.700982926999998</v>
      </c>
      <c r="E37" s="2015">
        <f>'1.BC_Muc tieu (ty) '!H9</f>
        <v>43.997295526999999</v>
      </c>
      <c r="F37" s="2015">
        <f>'1.BC_Muc tieu (ty) '!O9</f>
        <v>45.487103105999999</v>
      </c>
      <c r="G37" s="2015">
        <f>'1.BC_Muc tieu (ty) '!V9</f>
        <v>43.10030458</v>
      </c>
      <c r="H37" s="2015">
        <f>'3. Doanh thu'!E25</f>
        <v>10.225363966005814</v>
      </c>
      <c r="I37" s="2015">
        <f>'3. Doanh thu'!F25</f>
        <v>10.43089378172253</v>
      </c>
      <c r="J37" s="2015">
        <f>'3. Doanh thu'!G25</f>
        <v>10.640554746735155</v>
      </c>
      <c r="K37" s="2015">
        <f>'3. Doanh thu'!H25</f>
        <v>10.854429897144529</v>
      </c>
      <c r="L37" s="2015">
        <f>'3. Doanh thu'!I25</f>
        <v>11.072603938077135</v>
      </c>
      <c r="M37" s="2015">
        <f>'3. Doanh thu'!J25</f>
        <v>11.295163277232486</v>
      </c>
      <c r="N37" s="2015">
        <f>'3. Doanh thu'!K25</f>
        <v>11.522196059104861</v>
      </c>
      <c r="O37" s="2015">
        <f>'3. Doanh thu'!L25</f>
        <v>11.753792199892866</v>
      </c>
      <c r="P37" s="2015">
        <f>'3. Doanh thu'!M25</f>
        <v>11.990043423110714</v>
      </c>
      <c r="Q37" s="2015">
        <f>'3. Doanh thu'!N25</f>
        <v>12.231043295915239</v>
      </c>
    </row>
    <row r="38" spans="2:17" ht="15" x14ac:dyDescent="0.25">
      <c r="B38" s="2043"/>
      <c r="C38" s="1843"/>
      <c r="D38" s="2014"/>
      <c r="E38" s="2014"/>
      <c r="F38" s="2014"/>
      <c r="G38" s="2014"/>
    </row>
    <row r="39" spans="2:17" ht="15" x14ac:dyDescent="0.25">
      <c r="B39" s="2043"/>
      <c r="C39" s="1"/>
      <c r="D39" s="2014"/>
      <c r="E39" s="2014"/>
      <c r="F39" s="2014"/>
      <c r="G39" s="2014"/>
    </row>
    <row r="40" spans="2:17" ht="15" x14ac:dyDescent="0.2">
      <c r="B40" s="2043"/>
      <c r="C40" s="2013" t="s">
        <v>556</v>
      </c>
      <c r="D40" s="2012">
        <f>D33</f>
        <v>2020</v>
      </c>
      <c r="E40" s="2012">
        <f t="shared" ref="E40:Q40" si="2">E33</f>
        <v>2021</v>
      </c>
      <c r="F40" s="2012">
        <f t="shared" si="2"/>
        <v>2022</v>
      </c>
      <c r="G40" s="2012">
        <f t="shared" si="2"/>
        <v>2023</v>
      </c>
      <c r="H40" s="2012">
        <f t="shared" si="2"/>
        <v>2024</v>
      </c>
      <c r="I40" s="2012">
        <f t="shared" si="2"/>
        <v>2025</v>
      </c>
      <c r="J40" s="2012">
        <f t="shared" si="2"/>
        <v>2026</v>
      </c>
      <c r="K40" s="2012">
        <f t="shared" si="2"/>
        <v>2027</v>
      </c>
      <c r="L40" s="2012">
        <f t="shared" si="2"/>
        <v>2028</v>
      </c>
      <c r="M40" s="2012">
        <f t="shared" si="2"/>
        <v>2029</v>
      </c>
      <c r="N40" s="2012">
        <f t="shared" si="2"/>
        <v>2030</v>
      </c>
      <c r="O40" s="2012">
        <f t="shared" si="2"/>
        <v>2031</v>
      </c>
      <c r="P40" s="2012">
        <f t="shared" si="2"/>
        <v>2032</v>
      </c>
      <c r="Q40" s="2012">
        <f t="shared" si="2"/>
        <v>2033</v>
      </c>
    </row>
    <row r="41" spans="2:17" ht="15" x14ac:dyDescent="0.2">
      <c r="B41" s="2043"/>
      <c r="C41" s="2011" t="str">
        <f>[31]Input_Cty!$D$4</f>
        <v>1. Quang Phát</v>
      </c>
      <c r="D41" s="2010">
        <f t="shared" ref="D41:G44" si="3">D34/SUM(D$30:D$37)</f>
        <v>0.11496335043611508</v>
      </c>
      <c r="E41" s="2010">
        <f t="shared" si="3"/>
        <v>0.14319569824999404</v>
      </c>
      <c r="F41" s="2010">
        <f t="shared" si="3"/>
        <v>0.16130292064565421</v>
      </c>
      <c r="G41" s="2010">
        <f t="shared" si="3"/>
        <v>0.16711673467577379</v>
      </c>
      <c r="H41" s="2010">
        <f t="shared" ref="H41:Q41" si="4">H34/SUM(H$30:H$37)</f>
        <v>0.14012046597927835</v>
      </c>
      <c r="I41" s="2010">
        <f t="shared" si="4"/>
        <v>0.14119196257819458</v>
      </c>
      <c r="J41" s="2010">
        <f t="shared" si="4"/>
        <v>0.14226956772722535</v>
      </c>
      <c r="K41" s="2010">
        <f t="shared" si="4"/>
        <v>0.14335328182777979</v>
      </c>
      <c r="L41" s="2010">
        <f t="shared" si="4"/>
        <v>0.14444310462867258</v>
      </c>
      <c r="M41" s="2010">
        <f t="shared" si="4"/>
        <v>0.14553903521624587</v>
      </c>
      <c r="N41" s="2010">
        <f t="shared" si="4"/>
        <v>0.14664107200447096</v>
      </c>
      <c r="O41" s="2010">
        <f t="shared" si="4"/>
        <v>0.14774921272503366</v>
      </c>
      <c r="P41" s="2010">
        <f t="shared" si="4"/>
        <v>0.14886345441740398</v>
      </c>
      <c r="Q41" s="2010">
        <f t="shared" si="4"/>
        <v>0.14998379341889551</v>
      </c>
    </row>
    <row r="42" spans="2:17" ht="15" x14ac:dyDescent="0.2">
      <c r="B42" s="2043"/>
      <c r="C42" s="2011" t="str">
        <f>[31]Input_Cty!$I$4</f>
        <v>2. Bê tông QP</v>
      </c>
      <c r="D42" s="2010">
        <f t="shared" si="3"/>
        <v>0</v>
      </c>
      <c r="E42" s="2010">
        <f t="shared" si="3"/>
        <v>1.643640938156456E-2</v>
      </c>
      <c r="F42" s="2010">
        <f t="shared" si="3"/>
        <v>2.6598198090950192E-2</v>
      </c>
      <c r="G42" s="2010">
        <f t="shared" si="3"/>
        <v>2.8277414290349009E-2</v>
      </c>
      <c r="H42" s="2010">
        <f t="shared" ref="H42:Q42" si="5">H35/SUM(H$30:H$37)</f>
        <v>4.0000693191326868E-2</v>
      </c>
      <c r="I42" s="2010">
        <f t="shared" si="5"/>
        <v>4.0306577177718524E-2</v>
      </c>
      <c r="J42" s="2010">
        <f t="shared" si="5"/>
        <v>4.0614204993873144E-2</v>
      </c>
      <c r="K42" s="2010">
        <f t="shared" si="5"/>
        <v>4.0923576754382449E-2</v>
      </c>
      <c r="L42" s="2010">
        <f t="shared" si="5"/>
        <v>4.123469238753965E-2</v>
      </c>
      <c r="M42" s="2010">
        <f t="shared" si="5"/>
        <v>4.1547551632519553E-2</v>
      </c>
      <c r="N42" s="2010">
        <f t="shared" si="5"/>
        <v>4.1862154036552857E-2</v>
      </c>
      <c r="O42" s="2010">
        <f t="shared" si="5"/>
        <v>4.2178498952095737E-2</v>
      </c>
      <c r="P42" s="2010">
        <f t="shared" si="5"/>
        <v>4.2496585533995074E-2</v>
      </c>
      <c r="Q42" s="2010">
        <f t="shared" si="5"/>
        <v>4.2816412736650586E-2</v>
      </c>
    </row>
    <row r="43" spans="2:17" ht="15" x14ac:dyDescent="0.2">
      <c r="B43" s="2043"/>
      <c r="C43" s="2011" t="str">
        <f>[31]Input_Cty!$N$4</f>
        <v>3. KQP</v>
      </c>
      <c r="D43" s="2010">
        <f t="shared" si="3"/>
        <v>2.5093521655835054E-2</v>
      </c>
      <c r="E43" s="2010">
        <f t="shared" si="3"/>
        <v>2.1770102367241119E-2</v>
      </c>
      <c r="F43" s="2010">
        <f t="shared" si="3"/>
        <v>2.4387335345552583E-2</v>
      </c>
      <c r="G43" s="2010">
        <f t="shared" si="3"/>
        <v>2.2268543376489966E-2</v>
      </c>
      <c r="H43" s="2010">
        <f t="shared" ref="H43:Q43" si="6">H36/SUM(H$30:H$37)</f>
        <v>5.1113892656272737E-3</v>
      </c>
      <c r="I43" s="2010">
        <f t="shared" si="6"/>
        <v>5.150475891378764E-3</v>
      </c>
      <c r="J43" s="2010">
        <f t="shared" si="6"/>
        <v>5.1897853480869297E-3</v>
      </c>
      <c r="K43" s="2010">
        <f t="shared" si="6"/>
        <v>5.2293176503945887E-3</v>
      </c>
      <c r="L43" s="2010">
        <f t="shared" si="6"/>
        <v>5.2690727891388676E-3</v>
      </c>
      <c r="M43" s="2010">
        <f t="shared" si="6"/>
        <v>5.3090507309908668E-3</v>
      </c>
      <c r="N43" s="2010">
        <f t="shared" si="6"/>
        <v>5.349251418094586E-3</v>
      </c>
      <c r="O43" s="2010">
        <f t="shared" si="6"/>
        <v>5.3896747677052428E-3</v>
      </c>
      <c r="P43" s="2010">
        <f t="shared" si="6"/>
        <v>5.430320671827046E-3</v>
      </c>
      <c r="Q43" s="2010">
        <f t="shared" si="6"/>
        <v>5.4711889968505579E-3</v>
      </c>
    </row>
    <row r="44" spans="2:17" ht="15" x14ac:dyDescent="0.2">
      <c r="B44" s="2043"/>
      <c r="C44" s="2011" t="str">
        <f>[31]Input_Cty!$S$4</f>
        <v>4. KML</v>
      </c>
      <c r="D44" s="2010">
        <f t="shared" si="3"/>
        <v>8.7233103516627837E-3</v>
      </c>
      <c r="E44" s="2010">
        <f t="shared" si="3"/>
        <v>1.7441228113202135E-2</v>
      </c>
      <c r="F44" s="2010">
        <f t="shared" si="3"/>
        <v>1.7330563394142993E-2</v>
      </c>
      <c r="G44" s="2010">
        <f t="shared" si="3"/>
        <v>1.6320106129206056E-2</v>
      </c>
      <c r="H44" s="2010">
        <f t="shared" ref="H44:Q44" si="7">H37/SUM(H$30:H$37)</f>
        <v>4.0955608397545079E-3</v>
      </c>
      <c r="I44" s="2010">
        <f t="shared" si="7"/>
        <v>4.16814825350311E-3</v>
      </c>
      <c r="J44" s="2010">
        <f t="shared" si="7"/>
        <v>4.2419599941439113E-3</v>
      </c>
      <c r="K44" s="2010">
        <f t="shared" si="7"/>
        <v>4.3170151229086334E-3</v>
      </c>
      <c r="L44" s="2010">
        <f t="shared" si="7"/>
        <v>4.3933329584270892E-3</v>
      </c>
      <c r="M44" s="2010">
        <f t="shared" si="7"/>
        <v>4.47093307925585E-3</v>
      </c>
      <c r="N44" s="2010">
        <f t="shared" si="7"/>
        <v>4.5498353264089488E-3</v>
      </c>
      <c r="O44" s="2010">
        <f t="shared" si="7"/>
        <v>4.6300598058900055E-3</v>
      </c>
      <c r="P44" s="2010">
        <f t="shared" si="7"/>
        <v>4.7116268912250642E-3</v>
      </c>
      <c r="Q44" s="2010">
        <f t="shared" si="7"/>
        <v>4.7945572259955049E-3</v>
      </c>
    </row>
    <row r="45" spans="2:17" x14ac:dyDescent="0.2">
      <c r="B45" s="2043"/>
      <c r="C45" s="2037"/>
    </row>
    <row r="46" spans="2:17" x14ac:dyDescent="0.2">
      <c r="B46" s="2043"/>
      <c r="C46" s="2037"/>
    </row>
    <row r="47" spans="2:17" x14ac:dyDescent="0.2">
      <c r="B47" s="2043"/>
      <c r="C47" s="2037"/>
    </row>
    <row r="48" spans="2:17" x14ac:dyDescent="0.2">
      <c r="B48" s="2043"/>
      <c r="C48" s="2037"/>
    </row>
    <row r="49" spans="2:17" x14ac:dyDescent="0.2">
      <c r="B49" s="2043"/>
      <c r="C49" s="2037"/>
    </row>
    <row r="50" spans="2:17" x14ac:dyDescent="0.2">
      <c r="B50" s="2043"/>
      <c r="C50" s="2037"/>
    </row>
    <row r="51" spans="2:17" x14ac:dyDescent="0.2">
      <c r="B51" s="2043"/>
      <c r="C51" s="2037"/>
    </row>
    <row r="52" spans="2:17" x14ac:dyDescent="0.2">
      <c r="B52" s="2043"/>
      <c r="C52" s="2037"/>
    </row>
    <row r="53" spans="2:17" x14ac:dyDescent="0.2">
      <c r="B53" s="2043"/>
      <c r="C53" s="2037"/>
    </row>
    <row r="54" spans="2:17" x14ac:dyDescent="0.2">
      <c r="B54" s="2163"/>
      <c r="C54" s="2164" t="s">
        <v>2103</v>
      </c>
      <c r="D54" s="2165"/>
      <c r="E54" s="2165"/>
      <c r="F54" s="2165"/>
      <c r="G54" s="2165"/>
      <c r="H54" s="2165"/>
      <c r="I54" s="2165"/>
      <c r="J54" s="2165"/>
      <c r="K54" s="2165"/>
      <c r="L54" s="2165"/>
      <c r="M54" s="2165"/>
      <c r="N54" s="2165"/>
      <c r="O54" s="2165"/>
      <c r="P54" s="2165"/>
      <c r="Q54" s="2165"/>
    </row>
    <row r="55" spans="2:17" outlineLevel="1" x14ac:dyDescent="0.2">
      <c r="B55" s="2047"/>
    </row>
    <row r="56" spans="2:17" outlineLevel="1" x14ac:dyDescent="0.2">
      <c r="B56" s="2047"/>
      <c r="D56" s="2031">
        <v>2020</v>
      </c>
      <c r="E56" s="2131">
        <v>2021</v>
      </c>
      <c r="F56" s="2131">
        <v>2022</v>
      </c>
      <c r="G56" s="2131">
        <v>2023</v>
      </c>
      <c r="H56" s="2131">
        <v>2024</v>
      </c>
      <c r="I56" s="2131">
        <v>2025</v>
      </c>
      <c r="J56" s="2131">
        <v>2026</v>
      </c>
      <c r="K56" s="2131">
        <v>2027</v>
      </c>
      <c r="L56" s="2131">
        <v>2028</v>
      </c>
      <c r="M56" s="2131">
        <v>2029</v>
      </c>
      <c r="N56" s="2131">
        <v>2030</v>
      </c>
      <c r="O56" s="2131">
        <v>2031</v>
      </c>
      <c r="P56" s="2131">
        <v>2032</v>
      </c>
      <c r="Q56" s="2131">
        <v>2033</v>
      </c>
    </row>
    <row r="57" spans="2:17" outlineLevel="1" x14ac:dyDescent="0.2">
      <c r="B57" s="2047"/>
      <c r="C57" s="2033" t="str">
        <f>'[32]PL 2023'!$C$9</f>
        <v>Bê tông</v>
      </c>
      <c r="D57" s="2132">
        <v>50.801119999999997</v>
      </c>
      <c r="E57" s="2132">
        <v>128.24767800000001</v>
      </c>
      <c r="F57" s="2132">
        <v>220.318374514</v>
      </c>
      <c r="G57" s="2132">
        <v>234.70744550000001</v>
      </c>
      <c r="H57" s="2132">
        <f>'4. KQ-PL'!I18</f>
        <v>268.52214140334996</v>
      </c>
      <c r="I57" s="2132">
        <f>'4. KQ-PL'!J18</f>
        <v>271.20736281738345</v>
      </c>
      <c r="J57" s="2132">
        <f>'4. KQ-PL'!K18</f>
        <v>273.91943644555732</v>
      </c>
      <c r="K57" s="2132">
        <f>'4. KQ-PL'!L18</f>
        <v>276.65863081001294</v>
      </c>
      <c r="L57" s="2132">
        <f>'4. KQ-PL'!M18</f>
        <v>279.42521711811304</v>
      </c>
      <c r="M57" s="2132">
        <f>'4. KQ-PL'!N18</f>
        <v>282.21946928929418</v>
      </c>
      <c r="N57" s="2132">
        <f>'4. KQ-PL'!O18</f>
        <v>285.04166398218717</v>
      </c>
      <c r="O57" s="2132">
        <f>'4. KQ-PL'!P18</f>
        <v>287.89208062200902</v>
      </c>
      <c r="P57" s="2132">
        <f>'4. KQ-PL'!Q18</f>
        <v>290.77100142822911</v>
      </c>
      <c r="Q57" s="2132">
        <f>'4. KQ-PL'!R18</f>
        <v>293.67871144251143</v>
      </c>
    </row>
    <row r="58" spans="2:17" outlineLevel="1" x14ac:dyDescent="0.2">
      <c r="B58" s="2047"/>
      <c r="C58" s="2033" t="str">
        <f>'[32]PL 2023'!$C$11</f>
        <v>Xi măng</v>
      </c>
      <c r="D58" s="2132">
        <v>81.5378975</v>
      </c>
      <c r="E58" s="2132">
        <v>86.188655499999996</v>
      </c>
      <c r="F58" s="2132">
        <v>77.861435659999998</v>
      </c>
      <c r="G58" s="2132">
        <v>95.483079270000005</v>
      </c>
      <c r="H58" s="2132">
        <f>'4. KQ-PL'!I8</f>
        <v>90.221212148936871</v>
      </c>
      <c r="I58" s="2132">
        <f>'4. KQ-PL'!J8</f>
        <v>91.123424270426256</v>
      </c>
      <c r="J58" s="2132">
        <f>'4. KQ-PL'!K8</f>
        <v>92.034658513130509</v>
      </c>
      <c r="K58" s="2132">
        <f>'4. KQ-PL'!L8</f>
        <v>92.955005098261822</v>
      </c>
      <c r="L58" s="2132">
        <f>'4. KQ-PL'!M8</f>
        <v>93.884555149244449</v>
      </c>
      <c r="M58" s="2132">
        <f>'4. KQ-PL'!N8</f>
        <v>94.823400700736883</v>
      </c>
      <c r="N58" s="2132">
        <f>'4. KQ-PL'!O8</f>
        <v>95.771634707744269</v>
      </c>
      <c r="O58" s="2132">
        <f>'4. KQ-PL'!P8</f>
        <v>96.729351054821691</v>
      </c>
      <c r="P58" s="2132">
        <f>'4. KQ-PL'!Q8</f>
        <v>97.696644565369922</v>
      </c>
      <c r="Q58" s="2132">
        <f>'4. KQ-PL'!R8</f>
        <v>98.673611011023652</v>
      </c>
    </row>
    <row r="59" spans="2:17" outlineLevel="1" x14ac:dyDescent="0.2">
      <c r="B59" s="2047"/>
      <c r="C59" s="2033" t="str">
        <f>'[32]PL 2023'!$C$19</f>
        <v>Thép</v>
      </c>
      <c r="D59" s="2132">
        <v>66.831827872000005</v>
      </c>
      <c r="E59" s="2132">
        <v>121.36782983099999</v>
      </c>
      <c r="F59" s="2132">
        <v>101.641441118</v>
      </c>
      <c r="G59" s="2132">
        <v>85.069397183000007</v>
      </c>
      <c r="H59" s="2132">
        <f>'4. KQ-PL'!I9</f>
        <v>92.087032795002699</v>
      </c>
      <c r="I59" s="2132">
        <f>'4. KQ-PL'!J9</f>
        <v>93.007903122952726</v>
      </c>
      <c r="J59" s="2132">
        <f>'4. KQ-PL'!K9</f>
        <v>93.937982154182251</v>
      </c>
      <c r="K59" s="2132">
        <f>'4. KQ-PL'!L9</f>
        <v>94.877361975724099</v>
      </c>
      <c r="L59" s="2132">
        <f>'4. KQ-PL'!M9</f>
        <v>95.826135595481347</v>
      </c>
      <c r="M59" s="2132">
        <f>'4. KQ-PL'!N9</f>
        <v>96.784396951436165</v>
      </c>
      <c r="N59" s="2132">
        <f>'4. KQ-PL'!O9</f>
        <v>97.752240920950513</v>
      </c>
      <c r="O59" s="2132">
        <f>'4. KQ-PL'!P9</f>
        <v>98.72976333016004</v>
      </c>
      <c r="P59" s="2132">
        <f>'4. KQ-PL'!Q9</f>
        <v>99.717060963461634</v>
      </c>
      <c r="Q59" s="2132">
        <f>'4. KQ-PL'!R9</f>
        <v>100.71423157309627</v>
      </c>
    </row>
    <row r="60" spans="2:17" outlineLevel="1" x14ac:dyDescent="0.2">
      <c r="B60" s="2047"/>
      <c r="C60" s="2033" t="str">
        <f>'[32]PL 2023'!$C$27</f>
        <v>Xăng dầu</v>
      </c>
      <c r="D60" s="2132">
        <v>0</v>
      </c>
      <c r="E60" s="2132">
        <v>0</v>
      </c>
      <c r="F60" s="2132">
        <v>16.644986984999999</v>
      </c>
      <c r="G60" s="2132">
        <v>10.123524660999999</v>
      </c>
      <c r="H60" s="2132">
        <f>'4. KQ-PL'!I10</f>
        <v>10.225363966005814</v>
      </c>
      <c r="I60" s="2132">
        <f>'4. KQ-PL'!J10</f>
        <v>10.43089378172253</v>
      </c>
      <c r="J60" s="2132">
        <f>'4. KQ-PL'!K10</f>
        <v>10.640554746735155</v>
      </c>
      <c r="K60" s="2132">
        <f>'4. KQ-PL'!L10</f>
        <v>10.854429897144529</v>
      </c>
      <c r="L60" s="2132">
        <f>'4. KQ-PL'!M10</f>
        <v>11.072603938077135</v>
      </c>
      <c r="M60" s="2132">
        <f>'4. KQ-PL'!N10</f>
        <v>11.295163277232486</v>
      </c>
      <c r="N60" s="2132">
        <f>'4. KQ-PL'!O10</f>
        <v>11.522196059104861</v>
      </c>
      <c r="O60" s="2132">
        <f>'4. KQ-PL'!P10</f>
        <v>11.753792199892866</v>
      </c>
      <c r="P60" s="2132">
        <f>'4. KQ-PL'!Q10</f>
        <v>11.990043423110714</v>
      </c>
      <c r="Q60" s="2132">
        <f>'4. KQ-PL'!R10</f>
        <v>12.231043295915239</v>
      </c>
    </row>
    <row r="61" spans="2:17" outlineLevel="1" x14ac:dyDescent="0.2">
      <c r="B61" s="2047"/>
      <c r="C61" s="2033" t="str">
        <f>'[32]PL 2023'!$C$29</f>
        <v>Gạch</v>
      </c>
      <c r="D61" s="2132">
        <v>6.5438985000000001</v>
      </c>
      <c r="E61" s="2132">
        <v>8.7193194999999992</v>
      </c>
      <c r="F61" s="2132">
        <v>6.2702637000000001</v>
      </c>
      <c r="G61" s="2132">
        <v>7.8085531000000001</v>
      </c>
      <c r="H61" s="2132">
        <f>'4. KQ-PL'!I7</f>
        <v>11.638686929817602</v>
      </c>
      <c r="I61" s="2132">
        <f>'4. KQ-PL'!J7</f>
        <v>11.755073799115777</v>
      </c>
      <c r="J61" s="2132">
        <f>'4. KQ-PL'!K7</f>
        <v>11.872624537106937</v>
      </c>
      <c r="K61" s="2132">
        <f>'4. KQ-PL'!L7</f>
        <v>11.991350782478005</v>
      </c>
      <c r="L61" s="2132">
        <f>'4. KQ-PL'!M7</f>
        <v>12.111264290302787</v>
      </c>
      <c r="M61" s="2132">
        <f>'4. KQ-PL'!N7</f>
        <v>12.232376933205813</v>
      </c>
      <c r="N61" s="2132">
        <f>'4. KQ-PL'!O7</f>
        <v>12.354700702537873</v>
      </c>
      <c r="O61" s="2132">
        <f>'4. KQ-PL'!P7</f>
        <v>12.478247709563252</v>
      </c>
      <c r="P61" s="2132">
        <f>'4. KQ-PL'!Q7</f>
        <v>12.603030186658884</v>
      </c>
      <c r="Q61" s="2132">
        <f>'4. KQ-PL'!R7</f>
        <v>12.729060488525473</v>
      </c>
    </row>
    <row r="62" spans="2:17" outlineLevel="1" x14ac:dyDescent="0.2">
      <c r="B62" s="2047"/>
      <c r="C62" s="2031" t="s">
        <v>615</v>
      </c>
      <c r="D62" s="2133">
        <f>SUM(D57:D61)</f>
        <v>205.71474387200004</v>
      </c>
      <c r="E62" s="2133">
        <f>SUM(E57:E61)</f>
        <v>344.52348283099997</v>
      </c>
      <c r="F62" s="2133">
        <f>SUM(F57:F61)</f>
        <v>422.73650197699999</v>
      </c>
      <c r="G62" s="2133">
        <f>SUM(G57:G61)</f>
        <v>433.19199971399996</v>
      </c>
      <c r="H62" s="2133">
        <f t="shared" ref="H62:Q62" si="8">SUM(H57:H61)</f>
        <v>472.69443724311299</v>
      </c>
      <c r="I62" s="2133">
        <f t="shared" si="8"/>
        <v>477.52465779160076</v>
      </c>
      <c r="J62" s="2133">
        <f t="shared" si="8"/>
        <v>482.40525639671222</v>
      </c>
      <c r="K62" s="2133">
        <f t="shared" si="8"/>
        <v>487.33677856362141</v>
      </c>
      <c r="L62" s="2133">
        <f t="shared" si="8"/>
        <v>492.31977609121878</v>
      </c>
      <c r="M62" s="2133">
        <f t="shared" si="8"/>
        <v>497.35480715190556</v>
      </c>
      <c r="N62" s="2133">
        <f t="shared" si="8"/>
        <v>502.4424363725247</v>
      </c>
      <c r="O62" s="2133">
        <f t="shared" si="8"/>
        <v>507.58323491644688</v>
      </c>
      <c r="P62" s="2133">
        <f t="shared" si="8"/>
        <v>512.77778056683019</v>
      </c>
      <c r="Q62" s="2133">
        <f t="shared" si="8"/>
        <v>518.02665781107203</v>
      </c>
    </row>
    <row r="63" spans="2:17" outlineLevel="1" x14ac:dyDescent="0.2">
      <c r="B63" s="2047"/>
    </row>
    <row r="64" spans="2:17" outlineLevel="1" x14ac:dyDescent="0.2">
      <c r="B64" s="2047"/>
    </row>
    <row r="65" spans="2:2" outlineLevel="1" x14ac:dyDescent="0.2">
      <c r="B65" s="2047"/>
    </row>
    <row r="66" spans="2:2" outlineLevel="1" x14ac:dyDescent="0.2">
      <c r="B66" s="2047"/>
    </row>
    <row r="67" spans="2:2" outlineLevel="1" x14ac:dyDescent="0.2">
      <c r="B67" s="2047"/>
    </row>
    <row r="68" spans="2:2" outlineLevel="1" x14ac:dyDescent="0.2">
      <c r="B68" s="2047"/>
    </row>
    <row r="69" spans="2:2" outlineLevel="1" x14ac:dyDescent="0.2">
      <c r="B69" s="2047"/>
    </row>
    <row r="70" spans="2:2" outlineLevel="1" x14ac:dyDescent="0.2">
      <c r="B70" s="2047"/>
    </row>
    <row r="71" spans="2:2" outlineLevel="1" x14ac:dyDescent="0.2">
      <c r="B71" s="2047"/>
    </row>
    <row r="72" spans="2:2" outlineLevel="1" x14ac:dyDescent="0.2">
      <c r="B72" s="2047"/>
    </row>
    <row r="73" spans="2:2" outlineLevel="1" x14ac:dyDescent="0.2">
      <c r="B73" s="2047"/>
    </row>
    <row r="74" spans="2:2" outlineLevel="1" x14ac:dyDescent="0.2">
      <c r="B74" s="2047"/>
    </row>
    <row r="75" spans="2:2" outlineLevel="1" x14ac:dyDescent="0.2">
      <c r="B75" s="2047"/>
    </row>
    <row r="76" spans="2:2" outlineLevel="1" x14ac:dyDescent="0.2">
      <c r="B76" s="2047"/>
    </row>
    <row r="77" spans="2:2" outlineLevel="1" x14ac:dyDescent="0.2">
      <c r="B77" s="2047"/>
    </row>
    <row r="78" spans="2:2" outlineLevel="1" x14ac:dyDescent="0.2">
      <c r="B78" s="2047"/>
    </row>
    <row r="79" spans="2:2" outlineLevel="1" x14ac:dyDescent="0.2">
      <c r="B79" s="2047"/>
    </row>
    <row r="80" spans="2:2" outlineLevel="1" x14ac:dyDescent="0.2">
      <c r="B80" s="2047"/>
    </row>
    <row r="81" spans="2:23" outlineLevel="1" x14ac:dyDescent="0.2">
      <c r="B81" s="2047"/>
    </row>
    <row r="82" spans="2:23" outlineLevel="1" x14ac:dyDescent="0.2">
      <c r="B82" s="2047"/>
    </row>
    <row r="83" spans="2:23" outlineLevel="1" x14ac:dyDescent="0.2">
      <c r="B83" s="2047"/>
    </row>
    <row r="84" spans="2:23" outlineLevel="1" x14ac:dyDescent="0.2">
      <c r="B84" s="2047"/>
    </row>
    <row r="85" spans="2:23" outlineLevel="1" x14ac:dyDescent="0.2">
      <c r="B85" s="2047"/>
    </row>
    <row r="86" spans="2:23" outlineLevel="1" x14ac:dyDescent="0.2">
      <c r="B86" s="2047"/>
    </row>
    <row r="87" spans="2:23" outlineLevel="1" x14ac:dyDescent="0.2">
      <c r="B87" s="2047"/>
    </row>
    <row r="88" spans="2:23" outlineLevel="1" x14ac:dyDescent="0.2">
      <c r="B88" s="2047"/>
    </row>
    <row r="89" spans="2:23" outlineLevel="1" x14ac:dyDescent="0.2">
      <c r="B89" s="2047"/>
    </row>
    <row r="90" spans="2:23" outlineLevel="1" x14ac:dyDescent="0.2">
      <c r="B90" s="2047"/>
    </row>
    <row r="91" spans="2:23" outlineLevel="1" x14ac:dyDescent="0.2">
      <c r="B91" s="2047"/>
    </row>
    <row r="92" spans="2:23" x14ac:dyDescent="0.2">
      <c r="B92" s="2040" t="s">
        <v>2058</v>
      </c>
      <c r="C92" s="2039" t="s">
        <v>2057</v>
      </c>
      <c r="D92" s="2038"/>
      <c r="E92" s="2038"/>
      <c r="F92" s="2038"/>
      <c r="G92" s="2038"/>
      <c r="H92" s="2038"/>
      <c r="I92" s="2038"/>
      <c r="J92" s="2038"/>
      <c r="K92" s="2038"/>
      <c r="L92" s="2038"/>
      <c r="M92" s="2038"/>
      <c r="N92" s="2038"/>
      <c r="O92" s="2038"/>
      <c r="P92" s="2038"/>
      <c r="Q92" s="2038"/>
      <c r="R92" s="2038"/>
      <c r="S92" s="2038"/>
      <c r="T92" s="2038"/>
      <c r="U92" s="2038"/>
      <c r="V92" s="2038"/>
      <c r="W92" s="2038"/>
    </row>
    <row r="93" spans="2:23" x14ac:dyDescent="0.2">
      <c r="B93" s="2043">
        <v>1</v>
      </c>
      <c r="C93" s="2037" t="s">
        <v>2056</v>
      </c>
    </row>
    <row r="94" spans="2:23" x14ac:dyDescent="0.2">
      <c r="B94" s="2044" t="s">
        <v>2054</v>
      </c>
      <c r="C94" s="2037" t="s">
        <v>2053</v>
      </c>
    </row>
    <row r="95" spans="2:23" outlineLevel="1" x14ac:dyDescent="0.2">
      <c r="B95" s="2044"/>
      <c r="C95" s="2037"/>
    </row>
    <row r="96" spans="2:23" outlineLevel="1" x14ac:dyDescent="0.2"/>
    <row r="97" spans="3:17" outlineLevel="1" x14ac:dyDescent="0.2">
      <c r="C97" s="2034" t="s">
        <v>556</v>
      </c>
      <c r="D97" s="2034">
        <f>$D$56</f>
        <v>2020</v>
      </c>
      <c r="E97" s="2034">
        <f>$E$56</f>
        <v>2021</v>
      </c>
      <c r="F97" s="2034">
        <f>$F$56</f>
        <v>2022</v>
      </c>
      <c r="G97" s="2034">
        <f t="shared" ref="G97:Q97" si="9">G56</f>
        <v>2023</v>
      </c>
      <c r="H97" s="2034">
        <f t="shared" si="9"/>
        <v>2024</v>
      </c>
      <c r="I97" s="2034">
        <f t="shared" si="9"/>
        <v>2025</v>
      </c>
      <c r="J97" s="2034">
        <f t="shared" si="9"/>
        <v>2026</v>
      </c>
      <c r="K97" s="2034">
        <f t="shared" si="9"/>
        <v>2027</v>
      </c>
      <c r="L97" s="2034">
        <f t="shared" si="9"/>
        <v>2028</v>
      </c>
      <c r="M97" s="2034">
        <f t="shared" si="9"/>
        <v>2029</v>
      </c>
      <c r="N97" s="2034">
        <f t="shared" si="9"/>
        <v>2030</v>
      </c>
      <c r="O97" s="2034">
        <f t="shared" si="9"/>
        <v>2031</v>
      </c>
      <c r="P97" s="2034">
        <f t="shared" si="9"/>
        <v>2032</v>
      </c>
      <c r="Q97" s="2034">
        <f t="shared" si="9"/>
        <v>2033</v>
      </c>
    </row>
    <row r="98" spans="3:17" outlineLevel="1" x14ac:dyDescent="0.2">
      <c r="C98" s="2033" t="str">
        <f>'[32]PL 2023'!$C$9</f>
        <v>Bê tông</v>
      </c>
      <c r="D98" s="2032">
        <f t="shared" ref="D98:Q98" si="10">D57/D$62</f>
        <v>0.24694933889429677</v>
      </c>
      <c r="E98" s="2032">
        <f t="shared" si="10"/>
        <v>0.37224655035462323</v>
      </c>
      <c r="F98" s="2032">
        <f t="shared" si="10"/>
        <v>0.52117187298386392</v>
      </c>
      <c r="G98" s="2032">
        <f t="shared" si="10"/>
        <v>0.54180928007663454</v>
      </c>
      <c r="H98" s="2032">
        <f t="shared" si="10"/>
        <v>0.56806706457018341</v>
      </c>
      <c r="I98" s="2032">
        <f t="shared" si="10"/>
        <v>0.56794420642408505</v>
      </c>
      <c r="J98" s="2032">
        <f t="shared" si="10"/>
        <v>0.56782017362658277</v>
      </c>
      <c r="K98" s="2032">
        <f t="shared" si="10"/>
        <v>0.5676949554791203</v>
      </c>
      <c r="L98" s="2032">
        <f t="shared" si="10"/>
        <v>0.56756854119615974</v>
      </c>
      <c r="M98" s="2032">
        <f t="shared" si="10"/>
        <v>0.56744091990468437</v>
      </c>
      <c r="N98" s="2032">
        <f t="shared" si="10"/>
        <v>0.56731208064370064</v>
      </c>
      <c r="O98" s="2032">
        <f t="shared" si="10"/>
        <v>0.56718201236374333</v>
      </c>
      <c r="P98" s="2032">
        <f t="shared" si="10"/>
        <v>0.56705070392638246</v>
      </c>
      <c r="Q98" s="2032">
        <f t="shared" si="10"/>
        <v>0.56691814410373087</v>
      </c>
    </row>
    <row r="99" spans="3:17" outlineLevel="1" x14ac:dyDescent="0.2">
      <c r="C99" s="2033" t="str">
        <f>'[32]PL 2023'!$C$11</f>
        <v>Xi măng</v>
      </c>
      <c r="D99" s="2032">
        <f t="shared" ref="D99:Q99" si="11">D58/D$62</f>
        <v>0.39636389674983413</v>
      </c>
      <c r="E99" s="2032">
        <f t="shared" si="11"/>
        <v>0.25016772381312058</v>
      </c>
      <c r="F99" s="2032">
        <f t="shared" si="11"/>
        <v>0.1841843211926758</v>
      </c>
      <c r="G99" s="2032">
        <f t="shared" si="11"/>
        <v>0.2204174576932155</v>
      </c>
      <c r="H99" s="2032">
        <f t="shared" si="11"/>
        <v>0.19086582163973068</v>
      </c>
      <c r="I99" s="2032">
        <f t="shared" si="11"/>
        <v>0.1908245423217369</v>
      </c>
      <c r="J99" s="2032">
        <f t="shared" si="11"/>
        <v>0.19078286833061497</v>
      </c>
      <c r="K99" s="2032">
        <f t="shared" si="11"/>
        <v>0.19074079607173877</v>
      </c>
      <c r="L99" s="2032">
        <f t="shared" si="11"/>
        <v>0.19069832192125707</v>
      </c>
      <c r="M99" s="2032">
        <f t="shared" si="11"/>
        <v>0.19065544222592637</v>
      </c>
      <c r="N99" s="2032">
        <f t="shared" si="11"/>
        <v>0.19061215330294382</v>
      </c>
      <c r="O99" s="2032">
        <f t="shared" si="11"/>
        <v>0.19056845143978066</v>
      </c>
      <c r="P99" s="2032">
        <f t="shared" si="11"/>
        <v>0.19052433289401693</v>
      </c>
      <c r="Q99" s="2032">
        <f t="shared" si="11"/>
        <v>0.19047979389317568</v>
      </c>
    </row>
    <row r="100" spans="3:17" outlineLevel="1" x14ac:dyDescent="0.2">
      <c r="C100" s="2033" t="str">
        <f>'[32]PL 2023'!$C$19</f>
        <v>Thép</v>
      </c>
      <c r="D100" s="2032">
        <f t="shared" ref="D100:Q100" si="12">D59/D$62</f>
        <v>0.32487621749457174</v>
      </c>
      <c r="E100" s="2032">
        <f t="shared" si="12"/>
        <v>0.3522773798572531</v>
      </c>
      <c r="F100" s="2032">
        <f t="shared" si="12"/>
        <v>0.24043686940365053</v>
      </c>
      <c r="G100" s="2032">
        <f t="shared" si="12"/>
        <v>0.19637804308289197</v>
      </c>
      <c r="H100" s="2032">
        <f t="shared" si="12"/>
        <v>0.1948130241008974</v>
      </c>
      <c r="I100" s="2032">
        <f t="shared" si="12"/>
        <v>0.19477089110557058</v>
      </c>
      <c r="J100" s="2032">
        <f t="shared" si="12"/>
        <v>0.19472835527507423</v>
      </c>
      <c r="K100" s="2032">
        <f t="shared" si="12"/>
        <v>0.19468541294044348</v>
      </c>
      <c r="L100" s="2032">
        <f t="shared" si="12"/>
        <v>0.19464206040288404</v>
      </c>
      <c r="M100" s="2032">
        <f t="shared" si="12"/>
        <v>0.19459829393360142</v>
      </c>
      <c r="N100" s="2032">
        <f t="shared" si="12"/>
        <v>0.19455410977363047</v>
      </c>
      <c r="O100" s="2032">
        <f t="shared" si="12"/>
        <v>0.19450950413366572</v>
      </c>
      <c r="P100" s="2032">
        <f t="shared" si="12"/>
        <v>0.19446447319389171</v>
      </c>
      <c r="Q100" s="2032">
        <f t="shared" si="12"/>
        <v>0.19441901310381493</v>
      </c>
    </row>
    <row r="101" spans="3:17" outlineLevel="1" x14ac:dyDescent="0.2">
      <c r="C101" s="2033" t="str">
        <f>'[32]PL 2023'!$C$27</f>
        <v>Xăng dầu</v>
      </c>
      <c r="D101" s="2032">
        <f t="shared" ref="D101:Q101" si="13">D60/D$62</f>
        <v>0</v>
      </c>
      <c r="E101" s="2032">
        <f t="shared" si="13"/>
        <v>0</v>
      </c>
      <c r="F101" s="2032">
        <f t="shared" si="13"/>
        <v>3.9374378382649365E-2</v>
      </c>
      <c r="G101" s="2032">
        <f t="shared" si="13"/>
        <v>2.3369602087951084E-2</v>
      </c>
      <c r="H101" s="2032">
        <f t="shared" si="13"/>
        <v>2.1632080177721183E-2</v>
      </c>
      <c r="I101" s="2032">
        <f t="shared" si="13"/>
        <v>2.1843675738048976E-2</v>
      </c>
      <c r="J101" s="2032">
        <f t="shared" si="13"/>
        <v>2.2057294371570356E-2</v>
      </c>
      <c r="K101" s="2032">
        <f t="shared" si="13"/>
        <v>2.2272954504145827E-2</v>
      </c>
      <c r="L101" s="2032">
        <f t="shared" si="13"/>
        <v>2.2490674711441134E-2</v>
      </c>
      <c r="M101" s="2032">
        <f t="shared" si="13"/>
        <v>2.2710473719785802E-2</v>
      </c>
      <c r="N101" s="2032">
        <f t="shared" si="13"/>
        <v>2.2932370407029046E-2</v>
      </c>
      <c r="O101" s="2032">
        <f t="shared" si="13"/>
        <v>2.3156383803392667E-2</v>
      </c>
      <c r="P101" s="2032">
        <f t="shared" si="13"/>
        <v>2.3382533092320787E-2</v>
      </c>
      <c r="Q101" s="2032">
        <f t="shared" si="13"/>
        <v>2.3610837611326145E-2</v>
      </c>
    </row>
    <row r="102" spans="3:17" outlineLevel="1" x14ac:dyDescent="0.2">
      <c r="C102" s="2033" t="str">
        <f>'[32]PL 2023'!$C$29</f>
        <v>Gạch</v>
      </c>
      <c r="D102" s="2032">
        <f t="shared" ref="D102:Q102" si="14">D61/D$62</f>
        <v>3.1810546861297161E-2</v>
      </c>
      <c r="E102" s="2032">
        <f t="shared" si="14"/>
        <v>2.5308345975003133E-2</v>
      </c>
      <c r="F102" s="2032">
        <f t="shared" si="14"/>
        <v>1.4832558037160342E-2</v>
      </c>
      <c r="G102" s="2032">
        <f t="shared" si="14"/>
        <v>1.8025617059307022E-2</v>
      </c>
      <c r="H102" s="2032">
        <f t="shared" si="14"/>
        <v>2.4622009511467282E-2</v>
      </c>
      <c r="I102" s="2032">
        <f t="shared" si="14"/>
        <v>2.4616684410558493E-2</v>
      </c>
      <c r="J102" s="2032">
        <f t="shared" si="14"/>
        <v>2.4611308396157546E-2</v>
      </c>
      <c r="K102" s="2032">
        <f t="shared" si="14"/>
        <v>2.4605881004551647E-2</v>
      </c>
      <c r="L102" s="2032">
        <f t="shared" si="14"/>
        <v>2.4600401768257969E-2</v>
      </c>
      <c r="M102" s="2032">
        <f t="shared" si="14"/>
        <v>2.4594870216001985E-2</v>
      </c>
      <c r="N102" s="2032">
        <f t="shared" si="14"/>
        <v>2.4589285872695984E-2</v>
      </c>
      <c r="O102" s="2032">
        <f t="shared" si="14"/>
        <v>2.4583648259417577E-2</v>
      </c>
      <c r="P102" s="2032">
        <f t="shared" si="14"/>
        <v>2.4577956893388313E-2</v>
      </c>
      <c r="Q102" s="2032">
        <f t="shared" si="14"/>
        <v>2.4572211287952388E-2</v>
      </c>
    </row>
    <row r="103" spans="3:17" outlineLevel="1" x14ac:dyDescent="0.2">
      <c r="C103" s="2031" t="s">
        <v>615</v>
      </c>
      <c r="D103" s="2030">
        <f>SUM(D98:D102)</f>
        <v>0.99999999999999978</v>
      </c>
      <c r="E103" s="2030">
        <f t="shared" ref="E103:G103" si="15">SUM(E98:E102)</f>
        <v>1.0000000000000002</v>
      </c>
      <c r="F103" s="2030">
        <f t="shared" si="15"/>
        <v>0.99999999999999989</v>
      </c>
      <c r="G103" s="2030">
        <f t="shared" si="15"/>
        <v>1.0000000000000002</v>
      </c>
      <c r="H103" s="2030">
        <f t="shared" ref="H103" si="16">SUM(H98:H102)</f>
        <v>1</v>
      </c>
      <c r="I103" s="2030">
        <f t="shared" ref="I103" si="17">SUM(I98:I102)</f>
        <v>1</v>
      </c>
      <c r="J103" s="2030">
        <f t="shared" ref="J103" si="18">SUM(J98:J102)</f>
        <v>0.99999999999999989</v>
      </c>
      <c r="K103" s="2030">
        <f t="shared" ref="K103" si="19">SUM(K98:K102)</f>
        <v>1</v>
      </c>
      <c r="L103" s="2030">
        <f t="shared" ref="L103" si="20">SUM(L98:L102)</f>
        <v>0.99999999999999989</v>
      </c>
      <c r="M103" s="2030">
        <f t="shared" ref="M103" si="21">SUM(M98:M102)</f>
        <v>1</v>
      </c>
      <c r="N103" s="2030">
        <f t="shared" ref="N103" si="22">SUM(N98:N102)</f>
        <v>0.99999999999999978</v>
      </c>
      <c r="O103" s="2030">
        <f t="shared" ref="O103" si="23">SUM(O98:O102)</f>
        <v>1</v>
      </c>
      <c r="P103" s="2030">
        <f t="shared" ref="P103" si="24">SUM(P98:P102)</f>
        <v>1.0000000000000002</v>
      </c>
      <c r="Q103" s="2030">
        <f t="shared" ref="Q103" si="25">SUM(Q98:Q102)</f>
        <v>1</v>
      </c>
    </row>
    <row r="104" spans="3:17" outlineLevel="1" x14ac:dyDescent="0.2">
      <c r="C104" s="2037"/>
      <c r="D104" s="2134"/>
      <c r="E104" s="2134"/>
      <c r="F104" s="2134"/>
      <c r="G104" s="2134"/>
    </row>
    <row r="105" spans="3:17" outlineLevel="1" x14ac:dyDescent="0.2">
      <c r="C105" s="2037"/>
      <c r="D105" s="2134"/>
      <c r="E105" s="2134"/>
      <c r="F105" s="2134"/>
      <c r="G105" s="2134"/>
    </row>
    <row r="106" spans="3:17" outlineLevel="1" x14ac:dyDescent="0.2">
      <c r="C106" s="2037"/>
      <c r="D106" s="2134"/>
      <c r="E106" s="2134"/>
      <c r="F106" s="2134"/>
      <c r="G106" s="2134"/>
    </row>
    <row r="107" spans="3:17" outlineLevel="1" x14ac:dyDescent="0.2">
      <c r="C107" s="2037"/>
      <c r="D107" s="2134"/>
      <c r="E107" s="2134"/>
      <c r="F107" s="2134"/>
      <c r="G107" s="2134"/>
    </row>
    <row r="108" spans="3:17" outlineLevel="1" x14ac:dyDescent="0.2">
      <c r="C108" s="2037"/>
      <c r="D108" s="2134"/>
      <c r="E108" s="2134"/>
      <c r="F108" s="2134"/>
      <c r="G108" s="2134"/>
    </row>
    <row r="109" spans="3:17" outlineLevel="1" x14ac:dyDescent="0.2">
      <c r="C109" s="2037"/>
      <c r="D109" s="2134"/>
      <c r="E109" s="2134"/>
      <c r="F109" s="2134"/>
      <c r="G109" s="2134"/>
    </row>
    <row r="110" spans="3:17" outlineLevel="1" x14ac:dyDescent="0.2">
      <c r="C110" s="2037"/>
      <c r="D110" s="2134"/>
      <c r="E110" s="2134"/>
      <c r="F110" s="2134"/>
      <c r="G110" s="2134"/>
    </row>
    <row r="111" spans="3:17" outlineLevel="1" x14ac:dyDescent="0.2">
      <c r="C111" s="2037"/>
      <c r="D111" s="2134"/>
      <c r="E111" s="2134"/>
      <c r="F111" s="2134"/>
      <c r="G111" s="2134"/>
    </row>
    <row r="112" spans="3:17" outlineLevel="1" x14ac:dyDescent="0.2">
      <c r="C112" s="2037"/>
      <c r="D112" s="2134"/>
      <c r="E112" s="2134"/>
      <c r="F112" s="2134"/>
      <c r="G112" s="2134"/>
    </row>
    <row r="113" spans="3:7" outlineLevel="1" x14ac:dyDescent="0.2">
      <c r="C113" s="2037"/>
      <c r="D113" s="2134"/>
      <c r="E113" s="2134"/>
      <c r="F113" s="2134"/>
      <c r="G113" s="2134"/>
    </row>
    <row r="114" spans="3:7" outlineLevel="1" x14ac:dyDescent="0.2">
      <c r="C114" s="2037"/>
      <c r="D114" s="2134"/>
      <c r="E114" s="2134"/>
      <c r="F114" s="2134"/>
      <c r="G114" s="2134"/>
    </row>
    <row r="115" spans="3:7" outlineLevel="1" x14ac:dyDescent="0.2">
      <c r="C115" s="2037"/>
      <c r="D115" s="2134"/>
      <c r="E115" s="2134"/>
      <c r="F115" s="2134"/>
      <c r="G115" s="2134"/>
    </row>
    <row r="116" spans="3:7" outlineLevel="1" x14ac:dyDescent="0.2">
      <c r="C116" s="2037"/>
      <c r="D116" s="2134"/>
      <c r="E116" s="2134"/>
      <c r="F116" s="2134"/>
      <c r="G116" s="2134"/>
    </row>
    <row r="117" spans="3:7" outlineLevel="1" x14ac:dyDescent="0.2">
      <c r="C117" s="2037"/>
      <c r="D117" s="2134"/>
      <c r="E117" s="2134"/>
      <c r="F117" s="2134"/>
      <c r="G117" s="2134"/>
    </row>
    <row r="118" spans="3:7" outlineLevel="1" x14ac:dyDescent="0.2">
      <c r="C118" s="2037"/>
      <c r="D118" s="2134"/>
      <c r="E118" s="2134"/>
      <c r="F118" s="2134"/>
      <c r="G118" s="2134"/>
    </row>
    <row r="119" spans="3:7" outlineLevel="1" x14ac:dyDescent="0.2">
      <c r="C119" s="2037"/>
      <c r="D119" s="2134"/>
      <c r="E119" s="2134"/>
      <c r="F119" s="2134"/>
      <c r="G119" s="2134"/>
    </row>
    <row r="120" spans="3:7" outlineLevel="1" x14ac:dyDescent="0.2">
      <c r="C120" s="2037"/>
      <c r="D120" s="2134"/>
      <c r="E120" s="2134"/>
      <c r="F120" s="2134"/>
      <c r="G120" s="2134"/>
    </row>
    <row r="121" spans="3:7" outlineLevel="1" x14ac:dyDescent="0.2">
      <c r="C121" s="2037"/>
      <c r="D121" s="2134"/>
      <c r="E121" s="2134"/>
      <c r="F121" s="2134"/>
      <c r="G121" s="2134"/>
    </row>
    <row r="122" spans="3:7" outlineLevel="1" x14ac:dyDescent="0.2">
      <c r="C122" s="2037"/>
      <c r="D122" s="2134"/>
      <c r="E122" s="2134"/>
      <c r="F122" s="2134"/>
      <c r="G122" s="2134"/>
    </row>
    <row r="123" spans="3:7" outlineLevel="1" x14ac:dyDescent="0.2">
      <c r="C123" s="2037"/>
      <c r="D123" s="2134"/>
      <c r="E123" s="2134"/>
      <c r="F123" s="2134"/>
      <c r="G123" s="2134"/>
    </row>
    <row r="124" spans="3:7" outlineLevel="1" x14ac:dyDescent="0.2">
      <c r="C124" s="2037"/>
      <c r="D124" s="2134"/>
      <c r="E124" s="2134"/>
      <c r="F124" s="2134"/>
      <c r="G124" s="2134"/>
    </row>
    <row r="125" spans="3:7" outlineLevel="1" x14ac:dyDescent="0.2">
      <c r="C125" s="2037"/>
      <c r="D125" s="2134"/>
      <c r="E125" s="2134"/>
      <c r="F125" s="2134"/>
      <c r="G125" s="2134"/>
    </row>
    <row r="126" spans="3:7" outlineLevel="1" x14ac:dyDescent="0.2">
      <c r="C126" s="2037"/>
      <c r="D126" s="2134"/>
      <c r="E126" s="2134"/>
      <c r="F126" s="2134"/>
      <c r="G126" s="2134"/>
    </row>
    <row r="127" spans="3:7" outlineLevel="1" x14ac:dyDescent="0.2">
      <c r="C127" s="2037"/>
      <c r="D127" s="2134"/>
      <c r="E127" s="2134"/>
      <c r="F127" s="2134"/>
      <c r="G127" s="2134"/>
    </row>
    <row r="128" spans="3:7" outlineLevel="1" x14ac:dyDescent="0.2">
      <c r="C128" s="2037"/>
      <c r="D128" s="2134"/>
      <c r="E128" s="2134"/>
      <c r="F128" s="2134"/>
      <c r="G128" s="2134"/>
    </row>
    <row r="129" spans="2:17" outlineLevel="1" x14ac:dyDescent="0.2">
      <c r="C129" s="2037"/>
      <c r="D129" s="2134"/>
      <c r="E129" s="2134"/>
      <c r="F129" s="2134"/>
      <c r="G129" s="2134"/>
    </row>
    <row r="130" spans="2:17" outlineLevel="1" x14ac:dyDescent="0.2">
      <c r="C130" s="2037"/>
      <c r="D130" s="2134"/>
      <c r="E130" s="2134"/>
      <c r="F130" s="2134"/>
      <c r="G130" s="2134"/>
    </row>
    <row r="131" spans="2:17" x14ac:dyDescent="0.2">
      <c r="B131" s="2044" t="s">
        <v>2109</v>
      </c>
      <c r="C131" s="2037" t="s">
        <v>2052</v>
      </c>
    </row>
    <row r="132" spans="2:17" outlineLevel="1" x14ac:dyDescent="0.2"/>
    <row r="133" spans="2:17" outlineLevel="1" x14ac:dyDescent="0.2">
      <c r="C133" s="2037" t="s">
        <v>654</v>
      </c>
    </row>
    <row r="134" spans="2:17" outlineLevel="1" x14ac:dyDescent="0.2">
      <c r="C134" s="2034" t="s">
        <v>2050</v>
      </c>
      <c r="D134" s="2034">
        <f>$D$56</f>
        <v>2020</v>
      </c>
      <c r="E134" s="2034">
        <f>$E$56</f>
        <v>2021</v>
      </c>
      <c r="F134" s="2034">
        <f>$F$56</f>
        <v>2022</v>
      </c>
      <c r="G134" s="2034">
        <f>F134+1</f>
        <v>2023</v>
      </c>
      <c r="H134" s="2034">
        <f t="shared" ref="H134:Q134" si="26">G134+1</f>
        <v>2024</v>
      </c>
      <c r="I134" s="2034">
        <f t="shared" si="26"/>
        <v>2025</v>
      </c>
      <c r="J134" s="2034">
        <f t="shared" si="26"/>
        <v>2026</v>
      </c>
      <c r="K134" s="2034">
        <f t="shared" si="26"/>
        <v>2027</v>
      </c>
      <c r="L134" s="2034">
        <f t="shared" si="26"/>
        <v>2028</v>
      </c>
      <c r="M134" s="2034">
        <f t="shared" si="26"/>
        <v>2029</v>
      </c>
      <c r="N134" s="2034">
        <f t="shared" si="26"/>
        <v>2030</v>
      </c>
      <c r="O134" s="2034">
        <f t="shared" si="26"/>
        <v>2031</v>
      </c>
      <c r="P134" s="2034">
        <f>O134+1</f>
        <v>2032</v>
      </c>
      <c r="Q134" s="2034">
        <f t="shared" si="26"/>
        <v>2033</v>
      </c>
    </row>
    <row r="135" spans="2:17" outlineLevel="1" x14ac:dyDescent="0.2">
      <c r="C135" s="2033" t="str">
        <f>'[32]PL 2023'!$C$12</f>
        <v>Xi măng Visai</v>
      </c>
      <c r="D135" s="2137">
        <v>23.691085000000001</v>
      </c>
      <c r="E135" s="2137">
        <v>20.300048</v>
      </c>
      <c r="F135" s="2137">
        <v>25.194700399999999</v>
      </c>
      <c r="G135" s="2137">
        <v>69.313095863000001</v>
      </c>
      <c r="H135" s="2137">
        <f>'3. Doanh thu'!E32</f>
        <v>68.179753698995555</v>
      </c>
      <c r="I135" s="2137">
        <f>'3. Doanh thu'!F32</f>
        <v>68.86155123598553</v>
      </c>
      <c r="J135" s="2137">
        <f>'3. Doanh thu'!G32</f>
        <v>69.550166748345376</v>
      </c>
      <c r="K135" s="2137">
        <f>'3. Doanh thu'!H32</f>
        <v>70.245668415828831</v>
      </c>
      <c r="L135" s="2137">
        <f>'3. Doanh thu'!I32</f>
        <v>70.948125099987138</v>
      </c>
      <c r="M135" s="2137">
        <f>'3. Doanh thu'!J32</f>
        <v>71.657606350986995</v>
      </c>
      <c r="N135" s="2137">
        <f>'3. Doanh thu'!K32</f>
        <v>72.374182414496858</v>
      </c>
      <c r="O135" s="2137">
        <f>'3. Doanh thu'!L32</f>
        <v>73.097924238641838</v>
      </c>
      <c r="P135" s="2137">
        <f>'3. Doanh thu'!M32</f>
        <v>73.828903481028263</v>
      </c>
      <c r="Q135" s="2137">
        <f>'3. Doanh thu'!N32</f>
        <v>74.567192515838542</v>
      </c>
    </row>
    <row r="136" spans="2:17" outlineLevel="1" x14ac:dyDescent="0.2">
      <c r="C136" s="2033" t="str">
        <f>'[32]PL 2023'!$C$13</f>
        <v>Xi măng Bỉm Sơn</v>
      </c>
      <c r="D136" s="2137">
        <v>15.962508</v>
      </c>
      <c r="E136" s="2137">
        <v>17.893166999999998</v>
      </c>
      <c r="F136" s="2137">
        <v>15.80935</v>
      </c>
      <c r="G136" s="2137">
        <v>14.207171900000001</v>
      </c>
      <c r="H136" s="2137">
        <f>'3. Doanh thu'!E33</f>
        <v>10.501040090770314</v>
      </c>
      <c r="I136" s="2137">
        <f>'3. Doanh thu'!F33</f>
        <v>10.606050491678017</v>
      </c>
      <c r="J136" s="2137">
        <f>'3. Doanh thu'!G33</f>
        <v>10.712110996594799</v>
      </c>
      <c r="K136" s="2137">
        <f>'3. Doanh thu'!H33</f>
        <v>10.819232106560747</v>
      </c>
      <c r="L136" s="2137">
        <f>'3. Doanh thu'!I33</f>
        <v>10.927424427626356</v>
      </c>
      <c r="M136" s="2137">
        <f>'3. Doanh thu'!J33</f>
        <v>11.036698671902617</v>
      </c>
      <c r="N136" s="2137">
        <f>'3. Doanh thu'!K33</f>
        <v>11.147065658621642</v>
      </c>
      <c r="O136" s="2137">
        <f>'3. Doanh thu'!L33</f>
        <v>11.258536315207859</v>
      </c>
      <c r="P136" s="2137">
        <f>'3. Doanh thu'!M33</f>
        <v>11.371121678359938</v>
      </c>
      <c r="Q136" s="2137">
        <f>'3. Doanh thu'!N33</f>
        <v>11.484832895143537</v>
      </c>
    </row>
    <row r="137" spans="2:17" outlineLevel="1" x14ac:dyDescent="0.2">
      <c r="C137" s="2033" t="str">
        <f>'[32]PL 2023'!$C$14</f>
        <v>Xi măng Công Thanh</v>
      </c>
      <c r="D137" s="2137">
        <v>18.562099</v>
      </c>
      <c r="E137" s="2137">
        <v>29.873974499999999</v>
      </c>
      <c r="F137" s="2137">
        <v>20.406124259999999</v>
      </c>
      <c r="G137" s="2137">
        <v>6.6840815070000001</v>
      </c>
      <c r="H137" s="2137">
        <f>'3. Doanh thu'!E34</f>
        <v>5.9973334880148776</v>
      </c>
      <c r="I137" s="2137">
        <f>'3. Doanh thu'!F34</f>
        <v>6.0573068228950273</v>
      </c>
      <c r="J137" s="2137">
        <f>'3. Doanh thu'!G34</f>
        <v>6.1178798911239776</v>
      </c>
      <c r="K137" s="2137">
        <f>'3. Doanh thu'!H34</f>
        <v>6.1790586900352187</v>
      </c>
      <c r="L137" s="2137">
        <f>'3. Doanh thu'!I34</f>
        <v>6.2408492769355703</v>
      </c>
      <c r="M137" s="2137">
        <f>'3. Doanh thu'!J34</f>
        <v>6.3032577697049259</v>
      </c>
      <c r="N137" s="2137">
        <f>'3. Doanh thu'!K34</f>
        <v>6.3662903474019732</v>
      </c>
      <c r="O137" s="2137">
        <f>'3. Doanh thu'!L34</f>
        <v>6.429953250875994</v>
      </c>
      <c r="P137" s="2137">
        <f>'3. Doanh thu'!M34</f>
        <v>6.4942527833847548</v>
      </c>
      <c r="Q137" s="2137">
        <f>'3. Doanh thu'!N34</f>
        <v>6.5591953112186028</v>
      </c>
    </row>
    <row r="138" spans="2:17" outlineLevel="1" x14ac:dyDescent="0.2">
      <c r="C138" s="2033" t="str">
        <f>'[32]PL 2023'!$C$15</f>
        <v>Xi măng Việt Úc</v>
      </c>
      <c r="D138" s="2137">
        <v>21.558318499999999</v>
      </c>
      <c r="E138" s="2137">
        <v>13.8347455</v>
      </c>
      <c r="F138" s="2137">
        <v>13.9141285</v>
      </c>
      <c r="G138" s="2137">
        <v>3.625489</v>
      </c>
      <c r="H138" s="2137">
        <f>'3. Doanh thu'!E35</f>
        <v>3.7300174483623536</v>
      </c>
      <c r="I138" s="2137">
        <f>'3. Doanh thu'!F35</f>
        <v>3.7673176228459777</v>
      </c>
      <c r="J138" s="2137">
        <f>'3. Doanh thu'!G35</f>
        <v>3.8049907990744369</v>
      </c>
      <c r="K138" s="2137">
        <f>'3. Doanh thu'!H35</f>
        <v>3.8430407070651817</v>
      </c>
      <c r="L138" s="2137">
        <f>'3. Doanh thu'!I35</f>
        <v>3.8814711141358336</v>
      </c>
      <c r="M138" s="2137">
        <f>'3. Doanh thu'!J35</f>
        <v>3.9202858252771922</v>
      </c>
      <c r="N138" s="2137">
        <f>'3. Doanh thu'!K35</f>
        <v>3.9594886835299632</v>
      </c>
      <c r="O138" s="2137">
        <f>'3. Doanh thu'!L35</f>
        <v>3.9990835703652636</v>
      </c>
      <c r="P138" s="2137">
        <f>'3. Doanh thu'!M35</f>
        <v>4.0390744060689165</v>
      </c>
      <c r="Q138" s="2137">
        <f>'3. Doanh thu'!N35</f>
        <v>4.0794651501296055</v>
      </c>
    </row>
    <row r="139" spans="2:17" outlineLevel="1" x14ac:dyDescent="0.2">
      <c r="C139" s="2033" t="str">
        <f>'[32]PL 2023'!$C$16</f>
        <v>Xi măng Vĩnh Thành</v>
      </c>
      <c r="D139" s="2137">
        <v>0</v>
      </c>
      <c r="E139" s="2137">
        <v>0</v>
      </c>
      <c r="F139" s="2137">
        <v>0</v>
      </c>
      <c r="G139" s="2137">
        <v>1.5067759999999999</v>
      </c>
      <c r="H139" s="2137">
        <f>'3. Doanh thu'!E36</f>
        <v>1.6756822204235564</v>
      </c>
      <c r="I139" s="2137">
        <f>'3. Doanh thu'!F36</f>
        <v>1.692439042627792</v>
      </c>
      <c r="J139" s="2137">
        <f>'3. Doanh thu'!G36</f>
        <v>1.7093634330540699</v>
      </c>
      <c r="K139" s="2137">
        <f>'3. Doanh thu'!H36</f>
        <v>1.7264570673846107</v>
      </c>
      <c r="L139" s="2137">
        <f>'3. Doanh thu'!I36</f>
        <v>1.7437216380584568</v>
      </c>
      <c r="M139" s="2137">
        <f>'3. Doanh thu'!J36</f>
        <v>1.7611588544390413</v>
      </c>
      <c r="N139" s="2137">
        <f>'3. Doanh thu'!K36</f>
        <v>1.7787704429834312</v>
      </c>
      <c r="O139" s="2137">
        <f>'3. Doanh thu'!L36</f>
        <v>1.7965581474132661</v>
      </c>
      <c r="P139" s="2137">
        <f>'3. Doanh thu'!M36</f>
        <v>1.8145237288873988</v>
      </c>
      <c r="Q139" s="2137">
        <f>'3. Doanh thu'!N36</f>
        <v>1.8326689661762727</v>
      </c>
    </row>
    <row r="140" spans="2:17" outlineLevel="1" x14ac:dyDescent="0.2">
      <c r="C140" s="2033" t="str">
        <f>'[32]PL 2023'!$C$17</f>
        <v>Xi măng Pomihoa</v>
      </c>
      <c r="D140" s="2137">
        <v>1.763887</v>
      </c>
      <c r="E140" s="2137">
        <v>4.2867205000000004</v>
      </c>
      <c r="F140" s="2137">
        <v>2.5371324999999998</v>
      </c>
      <c r="G140" s="2137">
        <v>0.14646500000000001</v>
      </c>
      <c r="H140" s="2137">
        <f>'3. Doanh thu'!E37</f>
        <v>0.13738520237022012</v>
      </c>
      <c r="I140" s="2137">
        <f>'3. Doanh thu'!F37</f>
        <v>0.13875905439392236</v>
      </c>
      <c r="J140" s="2137">
        <f>'3. Doanh thu'!G37</f>
        <v>0.14014664493786155</v>
      </c>
      <c r="K140" s="2137">
        <f>'3. Doanh thu'!H37</f>
        <v>0.14154811138724016</v>
      </c>
      <c r="L140" s="2137">
        <f>'3. Doanh thu'!I37</f>
        <v>0.14296359250111257</v>
      </c>
      <c r="M140" s="2137">
        <f>'3. Doanh thu'!J37</f>
        <v>0.1443932284261237</v>
      </c>
      <c r="N140" s="2137">
        <f>'3. Doanh thu'!K37</f>
        <v>0.14583716071038494</v>
      </c>
      <c r="O140" s="2137">
        <f>'3. Doanh thu'!L37</f>
        <v>0.14729553231748876</v>
      </c>
      <c r="P140" s="2137">
        <f>'3. Doanh thu'!M37</f>
        <v>0.14876848764066369</v>
      </c>
      <c r="Q140" s="2137">
        <f>'3. Doanh thu'!N37</f>
        <v>0.15025617251707032</v>
      </c>
    </row>
    <row r="141" spans="2:17" outlineLevel="1" x14ac:dyDescent="0.2">
      <c r="C141" s="2031" t="s">
        <v>615</v>
      </c>
      <c r="D141" s="2138">
        <f>SUM(D135:D140)</f>
        <v>81.5378975</v>
      </c>
      <c r="E141" s="2138">
        <f t="shared" ref="E141:Q141" si="27">SUM(E135:E140)</f>
        <v>86.188655499999996</v>
      </c>
      <c r="F141" s="2138">
        <f t="shared" si="27"/>
        <v>77.861435659999998</v>
      </c>
      <c r="G141" s="2138">
        <f t="shared" si="27"/>
        <v>95.483079270000019</v>
      </c>
      <c r="H141" s="2138">
        <f t="shared" si="27"/>
        <v>90.221212148936871</v>
      </c>
      <c r="I141" s="2138">
        <f t="shared" si="27"/>
        <v>91.12342427042627</v>
      </c>
      <c r="J141" s="2138">
        <f t="shared" si="27"/>
        <v>92.034658513130509</v>
      </c>
      <c r="K141" s="2138">
        <f t="shared" si="27"/>
        <v>92.955005098261836</v>
      </c>
      <c r="L141" s="2138">
        <f t="shared" si="27"/>
        <v>93.884555149244463</v>
      </c>
      <c r="M141" s="2138">
        <f t="shared" si="27"/>
        <v>94.823400700736897</v>
      </c>
      <c r="N141" s="2138">
        <f t="shared" si="27"/>
        <v>95.771634707744255</v>
      </c>
      <c r="O141" s="2138">
        <f t="shared" si="27"/>
        <v>96.729351054821706</v>
      </c>
      <c r="P141" s="2138">
        <f t="shared" si="27"/>
        <v>97.696644565369937</v>
      </c>
      <c r="Q141" s="2138">
        <f t="shared" si="27"/>
        <v>98.673611011023638</v>
      </c>
    </row>
    <row r="142" spans="2:17" outlineLevel="1" x14ac:dyDescent="0.2">
      <c r="C142" s="2037"/>
      <c r="D142" s="2045"/>
      <c r="E142" s="2045"/>
      <c r="F142" s="2045"/>
      <c r="G142" s="2045"/>
    </row>
    <row r="143" spans="2:17" outlineLevel="1" x14ac:dyDescent="0.2">
      <c r="C143" s="2037"/>
      <c r="D143" s="2046"/>
      <c r="E143" s="2046"/>
      <c r="F143" s="2046"/>
      <c r="G143" s="2046"/>
    </row>
    <row r="144" spans="2:17" outlineLevel="1" x14ac:dyDescent="0.2">
      <c r="C144" s="2034" t="s">
        <v>556</v>
      </c>
      <c r="D144" s="2034">
        <f>$D$56</f>
        <v>2020</v>
      </c>
      <c r="E144" s="2034">
        <f>$E$56</f>
        <v>2021</v>
      </c>
      <c r="F144" s="2034">
        <f>$F$56</f>
        <v>2022</v>
      </c>
      <c r="G144" s="2034">
        <f>G134</f>
        <v>2023</v>
      </c>
      <c r="H144" s="2034">
        <f t="shared" ref="H144:Q144" si="28">H134</f>
        <v>2024</v>
      </c>
      <c r="I144" s="2034">
        <f t="shared" si="28"/>
        <v>2025</v>
      </c>
      <c r="J144" s="2034">
        <f t="shared" si="28"/>
        <v>2026</v>
      </c>
      <c r="K144" s="2034">
        <f t="shared" si="28"/>
        <v>2027</v>
      </c>
      <c r="L144" s="2034">
        <f t="shared" si="28"/>
        <v>2028</v>
      </c>
      <c r="M144" s="2034">
        <f t="shared" si="28"/>
        <v>2029</v>
      </c>
      <c r="N144" s="2034">
        <f t="shared" si="28"/>
        <v>2030</v>
      </c>
      <c r="O144" s="2034">
        <f t="shared" si="28"/>
        <v>2031</v>
      </c>
      <c r="P144" s="2034">
        <f t="shared" si="28"/>
        <v>2032</v>
      </c>
      <c r="Q144" s="2034">
        <f t="shared" si="28"/>
        <v>2033</v>
      </c>
    </row>
    <row r="145" spans="3:17" outlineLevel="1" x14ac:dyDescent="0.2">
      <c r="C145" s="2033" t="str">
        <f>'[32]PL 2023'!$C$12</f>
        <v>Xi măng Visai</v>
      </c>
      <c r="D145" s="2032">
        <f t="shared" ref="D145:G151" si="29">D135/D$141</f>
        <v>0.29055305233986445</v>
      </c>
      <c r="E145" s="2032">
        <f t="shared" si="29"/>
        <v>0.23553039413638377</v>
      </c>
      <c r="F145" s="2032">
        <f t="shared" si="29"/>
        <v>0.32358381509966622</v>
      </c>
      <c r="G145" s="2032">
        <f t="shared" si="29"/>
        <v>0.72592019856210899</v>
      </c>
      <c r="H145" s="2032">
        <f t="shared" ref="H145:Q145" si="30">H135/H$141</f>
        <v>0.75569538554242266</v>
      </c>
      <c r="I145" s="2032">
        <f t="shared" si="30"/>
        <v>0.75569538554242266</v>
      </c>
      <c r="J145" s="2032">
        <f t="shared" si="30"/>
        <v>0.75569538554242266</v>
      </c>
      <c r="K145" s="2032">
        <f t="shared" si="30"/>
        <v>0.75569538554242255</v>
      </c>
      <c r="L145" s="2032">
        <f t="shared" si="30"/>
        <v>0.75569538554242266</v>
      </c>
      <c r="M145" s="2032">
        <f t="shared" si="30"/>
        <v>0.75569538554242266</v>
      </c>
      <c r="N145" s="2032">
        <f t="shared" si="30"/>
        <v>0.75569538554242266</v>
      </c>
      <c r="O145" s="2032">
        <f t="shared" si="30"/>
        <v>0.75569538554242266</v>
      </c>
      <c r="P145" s="2032">
        <f t="shared" si="30"/>
        <v>0.75569538554242266</v>
      </c>
      <c r="Q145" s="2032">
        <f t="shared" si="30"/>
        <v>0.75569538554242255</v>
      </c>
    </row>
    <row r="146" spans="3:17" outlineLevel="1" x14ac:dyDescent="0.2">
      <c r="C146" s="2033" t="str">
        <f>'[32]PL 2023'!$C$13</f>
        <v>Xi măng Bỉm Sơn</v>
      </c>
      <c r="D146" s="2032">
        <f t="shared" si="29"/>
        <v>0.19576796176281097</v>
      </c>
      <c r="E146" s="2032">
        <f t="shared" si="29"/>
        <v>0.2076046655583344</v>
      </c>
      <c r="F146" s="2032">
        <f t="shared" si="29"/>
        <v>0.20304467630208092</v>
      </c>
      <c r="G146" s="2032">
        <f t="shared" si="29"/>
        <v>0.14879256103404465</v>
      </c>
      <c r="H146" s="2032">
        <f t="shared" ref="H146:Q146" si="31">H136/H$141</f>
        <v>0.11639214150032957</v>
      </c>
      <c r="I146" s="2032">
        <f t="shared" si="31"/>
        <v>0.11639214150032953</v>
      </c>
      <c r="J146" s="2032">
        <f t="shared" si="31"/>
        <v>0.11639214150032959</v>
      </c>
      <c r="K146" s="2032">
        <f t="shared" si="31"/>
        <v>0.11639214150032956</v>
      </c>
      <c r="L146" s="2032">
        <f t="shared" si="31"/>
        <v>0.11639214150032956</v>
      </c>
      <c r="M146" s="2032">
        <f t="shared" si="31"/>
        <v>0.11639214150032955</v>
      </c>
      <c r="N146" s="2032">
        <f t="shared" si="31"/>
        <v>0.11639214150032955</v>
      </c>
      <c r="O146" s="2032">
        <f t="shared" si="31"/>
        <v>0.11639214150032955</v>
      </c>
      <c r="P146" s="2032">
        <f t="shared" si="31"/>
        <v>0.11639214150032953</v>
      </c>
      <c r="Q146" s="2032">
        <f t="shared" si="31"/>
        <v>0.11639214150032953</v>
      </c>
    </row>
    <row r="147" spans="3:17" outlineLevel="1" x14ac:dyDescent="0.2">
      <c r="C147" s="2033" t="str">
        <f>'[32]PL 2023'!$C$14</f>
        <v>Xi măng Công Thanh</v>
      </c>
      <c r="D147" s="2032">
        <f t="shared" si="29"/>
        <v>0.2276499587201154</v>
      </c>
      <c r="E147" s="2032">
        <f t="shared" si="29"/>
        <v>0.34661144586482151</v>
      </c>
      <c r="F147" s="2032">
        <f t="shared" si="29"/>
        <v>0.26208255841965294</v>
      </c>
      <c r="G147" s="2032">
        <f t="shared" si="29"/>
        <v>7.0002785395088141E-2</v>
      </c>
      <c r="H147" s="2032">
        <f t="shared" ref="H147:Q147" si="32">H137/H$141</f>
        <v>6.6473652317090348E-2</v>
      </c>
      <c r="I147" s="2032">
        <f t="shared" si="32"/>
        <v>6.6473652317090334E-2</v>
      </c>
      <c r="J147" s="2032">
        <f t="shared" si="32"/>
        <v>6.6473652317090362E-2</v>
      </c>
      <c r="K147" s="2032">
        <f t="shared" si="32"/>
        <v>6.6473652317090362E-2</v>
      </c>
      <c r="L147" s="2032">
        <f t="shared" si="32"/>
        <v>6.6473652317090348E-2</v>
      </c>
      <c r="M147" s="2032">
        <f t="shared" si="32"/>
        <v>6.6473652317090348E-2</v>
      </c>
      <c r="N147" s="2032">
        <f t="shared" si="32"/>
        <v>6.6473652317090334E-2</v>
      </c>
      <c r="O147" s="2032">
        <f t="shared" si="32"/>
        <v>6.6473652317090348E-2</v>
      </c>
      <c r="P147" s="2032">
        <f t="shared" si="32"/>
        <v>6.6473652317090334E-2</v>
      </c>
      <c r="Q147" s="2032">
        <f t="shared" si="32"/>
        <v>6.6473652317090348E-2</v>
      </c>
    </row>
    <row r="148" spans="3:17" outlineLevel="1" x14ac:dyDescent="0.2">
      <c r="C148" s="2033" t="str">
        <f>'[32]PL 2023'!$C$15</f>
        <v>Xi măng Việt Úc</v>
      </c>
      <c r="D148" s="2032">
        <f t="shared" si="29"/>
        <v>0.26439630111875279</v>
      </c>
      <c r="E148" s="2032">
        <f t="shared" si="29"/>
        <v>0.16051701258989939</v>
      </c>
      <c r="F148" s="2032">
        <f t="shared" si="29"/>
        <v>0.17870372389175132</v>
      </c>
      <c r="G148" s="2032">
        <f t="shared" si="29"/>
        <v>3.7969963136066327E-2</v>
      </c>
      <c r="H148" s="2032">
        <f t="shared" ref="H148:Q148" si="33">H138/H$141</f>
        <v>4.1343020776586921E-2</v>
      </c>
      <c r="I148" s="2032">
        <f t="shared" si="33"/>
        <v>4.1343020776586914E-2</v>
      </c>
      <c r="J148" s="2032">
        <f t="shared" si="33"/>
        <v>4.1343020776586921E-2</v>
      </c>
      <c r="K148" s="2032">
        <f t="shared" si="33"/>
        <v>4.1343020776586914E-2</v>
      </c>
      <c r="L148" s="2032">
        <f t="shared" si="33"/>
        <v>4.1343020776586914E-2</v>
      </c>
      <c r="M148" s="2032">
        <f t="shared" si="33"/>
        <v>4.1343020776586921E-2</v>
      </c>
      <c r="N148" s="2032">
        <f t="shared" si="33"/>
        <v>4.1343020776586914E-2</v>
      </c>
      <c r="O148" s="2032">
        <f t="shared" si="33"/>
        <v>4.1343020776586921E-2</v>
      </c>
      <c r="P148" s="2032">
        <f t="shared" si="33"/>
        <v>4.1343020776586914E-2</v>
      </c>
      <c r="Q148" s="2032">
        <f t="shared" si="33"/>
        <v>4.1343020776586914E-2</v>
      </c>
    </row>
    <row r="149" spans="3:17" outlineLevel="1" x14ac:dyDescent="0.2">
      <c r="C149" s="2033" t="str">
        <f>'[32]PL 2023'!$C$16</f>
        <v>Xi măng Vĩnh Thành</v>
      </c>
      <c r="D149" s="2032">
        <f t="shared" si="29"/>
        <v>0</v>
      </c>
      <c r="E149" s="2032">
        <f t="shared" si="29"/>
        <v>0</v>
      </c>
      <c r="F149" s="2032">
        <f t="shared" si="29"/>
        <v>0</v>
      </c>
      <c r="G149" s="2032">
        <f t="shared" si="29"/>
        <v>1.5780555167677925E-2</v>
      </c>
      <c r="H149" s="2032">
        <f t="shared" ref="H149:Q149" si="34">H139/H$141</f>
        <v>1.8573040424876425E-2</v>
      </c>
      <c r="I149" s="2032">
        <f t="shared" si="34"/>
        <v>1.8573040424876418E-2</v>
      </c>
      <c r="J149" s="2032">
        <f t="shared" si="34"/>
        <v>1.8573040424876421E-2</v>
      </c>
      <c r="K149" s="2032">
        <f t="shared" si="34"/>
        <v>1.8573040424876418E-2</v>
      </c>
      <c r="L149" s="2032">
        <f t="shared" si="34"/>
        <v>1.8573040424876418E-2</v>
      </c>
      <c r="M149" s="2032">
        <f t="shared" si="34"/>
        <v>1.8573040424876418E-2</v>
      </c>
      <c r="N149" s="2032">
        <f t="shared" si="34"/>
        <v>1.8573040424876414E-2</v>
      </c>
      <c r="O149" s="2032">
        <f t="shared" si="34"/>
        <v>1.8573040424876421E-2</v>
      </c>
      <c r="P149" s="2032">
        <f t="shared" si="34"/>
        <v>1.8573040424876418E-2</v>
      </c>
      <c r="Q149" s="2032">
        <f t="shared" si="34"/>
        <v>1.8573040424876418E-2</v>
      </c>
    </row>
    <row r="150" spans="3:17" outlineLevel="1" x14ac:dyDescent="0.2">
      <c r="C150" s="2033" t="str">
        <f>'[32]PL 2023'!$C$17</f>
        <v>Xi măng Pomihoa</v>
      </c>
      <c r="D150" s="2032">
        <f t="shared" si="29"/>
        <v>2.1632726058456436E-2</v>
      </c>
      <c r="E150" s="2032">
        <f t="shared" si="29"/>
        <v>4.9736481850560954E-2</v>
      </c>
      <c r="F150" s="2032">
        <f t="shared" si="29"/>
        <v>3.2585226286848561E-2</v>
      </c>
      <c r="G150" s="2032">
        <f t="shared" si="29"/>
        <v>1.5339367050138492E-3</v>
      </c>
      <c r="H150" s="2032">
        <f t="shared" ref="H150:Q150" si="35">H140/H$141</f>
        <v>1.522759438694141E-3</v>
      </c>
      <c r="I150" s="2032">
        <f t="shared" si="35"/>
        <v>1.522759438694141E-3</v>
      </c>
      <c r="J150" s="2032">
        <f t="shared" si="35"/>
        <v>1.522759438694141E-3</v>
      </c>
      <c r="K150" s="2032">
        <f t="shared" si="35"/>
        <v>1.5227594386941405E-3</v>
      </c>
      <c r="L150" s="2032">
        <f t="shared" si="35"/>
        <v>1.5227594386941405E-3</v>
      </c>
      <c r="M150" s="2032">
        <f t="shared" si="35"/>
        <v>1.5227594386941407E-3</v>
      </c>
      <c r="N150" s="2032">
        <f t="shared" si="35"/>
        <v>1.5227594386941407E-3</v>
      </c>
      <c r="O150" s="2032">
        <f t="shared" si="35"/>
        <v>1.5227594386941405E-3</v>
      </c>
      <c r="P150" s="2032">
        <f t="shared" si="35"/>
        <v>1.5227594386941407E-3</v>
      </c>
      <c r="Q150" s="2032">
        <f t="shared" si="35"/>
        <v>1.5227594386941405E-3</v>
      </c>
    </row>
    <row r="151" spans="3:17" outlineLevel="1" x14ac:dyDescent="0.2">
      <c r="C151" s="2031" t="s">
        <v>615</v>
      </c>
      <c r="D151" s="2030">
        <f t="shared" si="29"/>
        <v>1</v>
      </c>
      <c r="E151" s="2030">
        <f t="shared" si="29"/>
        <v>1</v>
      </c>
      <c r="F151" s="2030">
        <f t="shared" si="29"/>
        <v>1</v>
      </c>
      <c r="G151" s="2030">
        <f t="shared" si="29"/>
        <v>1</v>
      </c>
      <c r="H151" s="2030">
        <f t="shared" ref="H151:Q151" si="36">H141/H$141</f>
        <v>1</v>
      </c>
      <c r="I151" s="2030">
        <f t="shared" si="36"/>
        <v>1</v>
      </c>
      <c r="J151" s="2030">
        <f t="shared" si="36"/>
        <v>1</v>
      </c>
      <c r="K151" s="2030">
        <f t="shared" si="36"/>
        <v>1</v>
      </c>
      <c r="L151" s="2030">
        <f t="shared" si="36"/>
        <v>1</v>
      </c>
      <c r="M151" s="2030">
        <f t="shared" si="36"/>
        <v>1</v>
      </c>
      <c r="N151" s="2030">
        <f t="shared" si="36"/>
        <v>1</v>
      </c>
      <c r="O151" s="2030">
        <f t="shared" si="36"/>
        <v>1</v>
      </c>
      <c r="P151" s="2030">
        <f t="shared" si="36"/>
        <v>1</v>
      </c>
      <c r="Q151" s="2030">
        <f t="shared" si="36"/>
        <v>1</v>
      </c>
    </row>
    <row r="152" spans="3:17" outlineLevel="1" x14ac:dyDescent="0.2">
      <c r="C152" s="2037"/>
      <c r="D152" s="2046"/>
      <c r="E152" s="2046"/>
      <c r="F152" s="2046"/>
      <c r="G152" s="2046"/>
    </row>
    <row r="153" spans="3:17" outlineLevel="1" x14ac:dyDescent="0.2">
      <c r="C153" s="2037"/>
      <c r="D153" s="2046"/>
      <c r="E153" s="2046"/>
      <c r="F153" s="2046"/>
      <c r="G153" s="2046"/>
    </row>
    <row r="154" spans="3:17" outlineLevel="1" x14ac:dyDescent="0.2">
      <c r="C154" s="2037"/>
      <c r="D154" s="2046"/>
      <c r="E154" s="2046"/>
      <c r="F154" s="2046"/>
      <c r="G154" s="2046"/>
    </row>
    <row r="155" spans="3:17" outlineLevel="1" x14ac:dyDescent="0.2">
      <c r="C155" s="2037"/>
      <c r="D155" s="2046"/>
      <c r="E155" s="2046"/>
      <c r="F155" s="2046"/>
      <c r="G155" s="2046"/>
    </row>
    <row r="156" spans="3:17" outlineLevel="1" x14ac:dyDescent="0.2">
      <c r="C156" s="2037"/>
      <c r="D156" s="2046"/>
      <c r="E156" s="2046"/>
      <c r="F156" s="2046"/>
      <c r="G156" s="2046"/>
    </row>
    <row r="157" spans="3:17" outlineLevel="1" x14ac:dyDescent="0.2">
      <c r="C157" s="2037"/>
      <c r="D157" s="2046"/>
      <c r="E157" s="2046"/>
      <c r="F157" s="2046"/>
      <c r="G157" s="2046"/>
    </row>
    <row r="158" spans="3:17" outlineLevel="1" x14ac:dyDescent="0.2">
      <c r="C158" s="2037"/>
      <c r="D158" s="2046"/>
      <c r="E158" s="2046"/>
      <c r="F158" s="2046"/>
      <c r="G158" s="2046"/>
    </row>
    <row r="159" spans="3:17" outlineLevel="1" x14ac:dyDescent="0.2">
      <c r="C159" s="2037"/>
      <c r="D159" s="2046"/>
      <c r="E159" s="2046"/>
      <c r="F159" s="2046"/>
      <c r="G159" s="2046"/>
    </row>
    <row r="160" spans="3:17" outlineLevel="1" x14ac:dyDescent="0.2">
      <c r="C160" s="2037"/>
      <c r="D160" s="2046"/>
      <c r="E160" s="2046"/>
      <c r="F160" s="2046"/>
      <c r="G160" s="2046"/>
    </row>
    <row r="161" spans="3:17" outlineLevel="1" x14ac:dyDescent="0.2">
      <c r="C161" s="2037"/>
      <c r="D161" s="2046"/>
      <c r="E161" s="2046"/>
      <c r="F161" s="2046"/>
      <c r="G161" s="2046"/>
    </row>
    <row r="162" spans="3:17" outlineLevel="1" x14ac:dyDescent="0.2">
      <c r="C162" s="2037"/>
      <c r="D162" s="2046"/>
      <c r="E162" s="2046"/>
      <c r="F162" s="2046"/>
      <c r="G162" s="2046"/>
    </row>
    <row r="163" spans="3:17" outlineLevel="1" x14ac:dyDescent="0.2">
      <c r="C163" s="2037" t="s">
        <v>865</v>
      </c>
      <c r="D163" s="2045"/>
      <c r="E163" s="2045"/>
      <c r="F163" s="2045"/>
      <c r="G163" s="2045"/>
    </row>
    <row r="164" spans="3:17" outlineLevel="1" x14ac:dyDescent="0.2">
      <c r="C164" s="2034" t="s">
        <v>2050</v>
      </c>
      <c r="D164" s="2034">
        <f>$D$56</f>
        <v>2020</v>
      </c>
      <c r="E164" s="2034">
        <f>$E$56</f>
        <v>2021</v>
      </c>
      <c r="F164" s="2034">
        <f>$F$56</f>
        <v>2022</v>
      </c>
      <c r="G164" s="2034">
        <f t="shared" ref="G164:Q164" si="37">G144</f>
        <v>2023</v>
      </c>
      <c r="H164" s="2034">
        <f t="shared" si="37"/>
        <v>2024</v>
      </c>
      <c r="I164" s="2034">
        <f t="shared" si="37"/>
        <v>2025</v>
      </c>
      <c r="J164" s="2034">
        <f t="shared" si="37"/>
        <v>2026</v>
      </c>
      <c r="K164" s="2034">
        <f t="shared" si="37"/>
        <v>2027</v>
      </c>
      <c r="L164" s="2034">
        <f t="shared" si="37"/>
        <v>2028</v>
      </c>
      <c r="M164" s="2034">
        <f t="shared" si="37"/>
        <v>2029</v>
      </c>
      <c r="N164" s="2034">
        <f t="shared" si="37"/>
        <v>2030</v>
      </c>
      <c r="O164" s="2034">
        <f t="shared" si="37"/>
        <v>2031</v>
      </c>
      <c r="P164" s="2034">
        <f t="shared" si="37"/>
        <v>2032</v>
      </c>
      <c r="Q164" s="2034">
        <f t="shared" si="37"/>
        <v>2033</v>
      </c>
    </row>
    <row r="165" spans="3:17" outlineLevel="1" x14ac:dyDescent="0.2">
      <c r="C165" s="2033" t="str">
        <f>'[32]PL 2023'!C79</f>
        <v>Thép Hòa Phát</v>
      </c>
      <c r="D165" s="2036">
        <v>53.993760668</v>
      </c>
      <c r="E165" s="2036">
        <v>98.555531091999995</v>
      </c>
      <c r="F165" s="2036">
        <v>85.103946262999997</v>
      </c>
      <c r="G165" s="2036">
        <f>'[32]PL 2023'!P20/10^9</f>
        <v>76.803019140999993</v>
      </c>
      <c r="H165" s="2036">
        <f>'3. Doanh thu'!E39</f>
        <v>83.314418706443746</v>
      </c>
      <c r="I165" s="2036">
        <f>'3. Doanh thu'!F39</f>
        <v>84.14756289350818</v>
      </c>
      <c r="J165" s="2036">
        <f>'3. Doanh thu'!G39</f>
        <v>84.989038522443252</v>
      </c>
      <c r="K165" s="2036">
        <f>'3. Doanh thu'!H39</f>
        <v>85.838928907667707</v>
      </c>
      <c r="L165" s="2036">
        <f>'3. Doanh thu'!I39</f>
        <v>86.697318196744376</v>
      </c>
      <c r="M165" s="2036">
        <f>'3. Doanh thu'!J39</f>
        <v>87.564291378711815</v>
      </c>
      <c r="N165" s="2036">
        <f>'3. Doanh thu'!K39</f>
        <v>88.439934292498947</v>
      </c>
      <c r="O165" s="2036">
        <f>'3. Doanh thu'!L39</f>
        <v>89.32433363542394</v>
      </c>
      <c r="P165" s="2036">
        <f>'3. Doanh thu'!M39</f>
        <v>90.217576971778186</v>
      </c>
      <c r="Q165" s="2036">
        <f>'3. Doanh thu'!N39</f>
        <v>91.119752741495972</v>
      </c>
    </row>
    <row r="166" spans="3:17" outlineLevel="1" x14ac:dyDescent="0.2">
      <c r="C166" s="2033" t="str">
        <f>'[32]PL 2023'!C80</f>
        <v>Thép Việt Nhật</v>
      </c>
      <c r="D166" s="2036">
        <v>0</v>
      </c>
      <c r="E166" s="2036">
        <v>12.177498214</v>
      </c>
      <c r="F166" s="2036">
        <v>15.862916954999999</v>
      </c>
      <c r="G166" s="2036">
        <f>'[32]PL 2023'!P21/10^9</f>
        <v>7.6662988319999998</v>
      </c>
      <c r="H166" s="2036">
        <f>'3. Doanh thu'!E40</f>
        <v>8.3099669096088107</v>
      </c>
      <c r="I166" s="2036">
        <f>'3. Doanh thu'!F40</f>
        <v>8.3930665787048966</v>
      </c>
      <c r="J166" s="2036">
        <f>'3. Doanh thu'!G40</f>
        <v>8.4769972444919475</v>
      </c>
      <c r="K166" s="2036">
        <f>'3. Doanh thu'!H40</f>
        <v>8.5617672169368682</v>
      </c>
      <c r="L166" s="2036">
        <f>'3. Doanh thu'!I40</f>
        <v>8.6473848891062364</v>
      </c>
      <c r="M166" s="2036">
        <f>'3. Doanh thu'!J40</f>
        <v>8.7338587379972985</v>
      </c>
      <c r="N166" s="2036">
        <f>'3. Doanh thu'!K40</f>
        <v>8.8211973253772733</v>
      </c>
      <c r="O166" s="2036">
        <f>'3. Doanh thu'!L40</f>
        <v>8.9094092986310471</v>
      </c>
      <c r="P166" s="2036">
        <f>'3. Doanh thu'!M40</f>
        <v>8.9985033916173567</v>
      </c>
      <c r="Q166" s="2036">
        <f>'3. Doanh thu'!N40</f>
        <v>9.0884884255335283</v>
      </c>
    </row>
    <row r="167" spans="3:17" outlineLevel="1" x14ac:dyDescent="0.2">
      <c r="C167" s="2033" t="str">
        <f>'[32]PL 2023'!C81</f>
        <v>Thép Ly</v>
      </c>
      <c r="D167" s="2036">
        <v>0.52424689999999996</v>
      </c>
      <c r="E167" s="2036">
        <v>0.89911777500000001</v>
      </c>
      <c r="F167" s="2036">
        <v>0.65643189999999996</v>
      </c>
      <c r="G167" s="2036">
        <f>'[32]PL 2023'!P22/10^9</f>
        <v>0.51257721000000001</v>
      </c>
      <c r="H167" s="2036">
        <f>'3. Doanh thu'!E41</f>
        <v>0.36307774477015387</v>
      </c>
      <c r="I167" s="2036">
        <f>'3. Doanh thu'!F41</f>
        <v>0.36670852221785533</v>
      </c>
      <c r="J167" s="2036">
        <f>'3. Doanh thu'!G41</f>
        <v>0.37037560744003389</v>
      </c>
      <c r="K167" s="2036">
        <f>'3. Doanh thu'!H41</f>
        <v>0.37407936351443427</v>
      </c>
      <c r="L167" s="2036">
        <f>'3. Doanh thu'!I41</f>
        <v>0.37782015714957862</v>
      </c>
      <c r="M167" s="2036">
        <f>'3. Doanh thu'!J41</f>
        <v>0.38159835872107439</v>
      </c>
      <c r="N167" s="2036">
        <f>'3. Doanh thu'!K41</f>
        <v>0.3854143423082852</v>
      </c>
      <c r="O167" s="2036">
        <f>'3. Doanh thu'!L41</f>
        <v>0.38926848573136813</v>
      </c>
      <c r="P167" s="2036">
        <f>'3. Doanh thu'!M41</f>
        <v>0.39316117058868177</v>
      </c>
      <c r="Q167" s="2036">
        <f>'3. Doanh thu'!N41</f>
        <v>0.39709278229456857</v>
      </c>
    </row>
    <row r="168" spans="3:17" outlineLevel="1" x14ac:dyDescent="0.2">
      <c r="C168" s="2033" t="str">
        <f>'[32]PL 2023'!C82</f>
        <v>Thép Việt Đức</v>
      </c>
      <c r="D168" s="2036">
        <v>8.8823513520000006</v>
      </c>
      <c r="E168" s="2036">
        <v>9.6249516750000002</v>
      </c>
      <c r="F168" s="2036">
        <v>4.45E-3</v>
      </c>
      <c r="G168" s="2036">
        <f>'[32]PL 2023'!P23/10^9</f>
        <v>8.7026999999999993E-2</v>
      </c>
      <c r="H168" s="2036">
        <f>'3. Doanh thu'!E42</f>
        <v>9.9102063157609985E-2</v>
      </c>
      <c r="I168" s="2036">
        <f>'3. Doanh thu'!F42</f>
        <v>0.10009308378918608</v>
      </c>
      <c r="J168" s="2036">
        <f>'3. Doanh thu'!G42</f>
        <v>0.10109401462707794</v>
      </c>
      <c r="K168" s="2036">
        <f>'3. Doanh thu'!H42</f>
        <v>0.10210495477334873</v>
      </c>
      <c r="L168" s="2036">
        <f>'3. Doanh thu'!I42</f>
        <v>0.10312600432108222</v>
      </c>
      <c r="M168" s="2036">
        <f>'3. Doanh thu'!J42</f>
        <v>0.10415726436429305</v>
      </c>
      <c r="N168" s="2036">
        <f>'3. Doanh thu'!K42</f>
        <v>0.10519883700793597</v>
      </c>
      <c r="O168" s="2036">
        <f>'3. Doanh thu'!L42</f>
        <v>0.10625082537801535</v>
      </c>
      <c r="P168" s="2036">
        <f>'3. Doanh thu'!M42</f>
        <v>0.10731333363179552</v>
      </c>
      <c r="Q168" s="2036">
        <f>'3. Doanh thu'!N42</f>
        <v>0.10838646696811347</v>
      </c>
    </row>
    <row r="169" spans="3:17" outlineLevel="1" x14ac:dyDescent="0.2">
      <c r="C169" s="2033" t="str">
        <f>'[32]PL 2023'!C83</f>
        <v>Thép Tisco</v>
      </c>
      <c r="D169" s="2036">
        <v>3.3698275849999999</v>
      </c>
      <c r="E169" s="2036">
        <v>1.5151075E-2</v>
      </c>
      <c r="F169" s="2036">
        <v>5.5360000000000001E-3</v>
      </c>
      <c r="G169" s="2036">
        <f>'[32]PL 2023'!P24/10^9</f>
        <v>4.75E-4</v>
      </c>
      <c r="H169" s="2036">
        <f>'3. Doanh thu'!E43</f>
        <v>4.6737102239799747E-4</v>
      </c>
      <c r="I169" s="2036">
        <f>'3. Doanh thu'!F43</f>
        <v>4.7204473262197748E-4</v>
      </c>
      <c r="J169" s="2036">
        <f>'3. Doanh thu'!G43</f>
        <v>4.7676517994819727E-4</v>
      </c>
      <c r="K169" s="2036">
        <f>'3. Doanh thu'!H43</f>
        <v>4.8153283174767931E-4</v>
      </c>
      <c r="L169" s="2036">
        <f>'3. Doanh thu'!I43</f>
        <v>4.8634816006515601E-4</v>
      </c>
      <c r="M169" s="2036">
        <f>'3. Doanh thu'!J43</f>
        <v>4.9121164166580759E-4</v>
      </c>
      <c r="N169" s="2036">
        <f>'3. Doanh thu'!K43</f>
        <v>4.9612375808246584E-4</v>
      </c>
      <c r="O169" s="2036">
        <f>'3. Doanh thu'!L43</f>
        <v>5.0108499566329048E-4</v>
      </c>
      <c r="P169" s="2036">
        <f>'3. Doanh thu'!M43</f>
        <v>5.0609584561992339E-4</v>
      </c>
      <c r="Q169" s="2036">
        <f>'3. Doanh thu'!N43</f>
        <v>5.1115680407612266E-4</v>
      </c>
    </row>
    <row r="170" spans="3:17" outlineLevel="1" x14ac:dyDescent="0.2">
      <c r="C170" s="2033" t="str">
        <f>'[32]PL 2023'!C84</f>
        <v>Thép Việt Úc</v>
      </c>
      <c r="D170" s="2036">
        <v>6.1641367000000002E-2</v>
      </c>
      <c r="E170" s="2036">
        <v>9.5579999999999998E-2</v>
      </c>
      <c r="F170" s="2036">
        <v>8.1600000000000006E-3</v>
      </c>
      <c r="G170" s="2036">
        <f>'[32]PL 2023'!P25/10^9</f>
        <v>0</v>
      </c>
      <c r="H170" s="2036">
        <f>'3. Doanh thu'!E44</f>
        <v>0</v>
      </c>
      <c r="I170" s="2036">
        <f>'3. Doanh thu'!F44</f>
        <v>0</v>
      </c>
      <c r="J170" s="2036">
        <f>'3. Doanh thu'!G44</f>
        <v>0</v>
      </c>
      <c r="K170" s="2036">
        <f>'3. Doanh thu'!H44</f>
        <v>0</v>
      </c>
      <c r="L170" s="2036">
        <f>'3. Doanh thu'!I44</f>
        <v>0</v>
      </c>
      <c r="M170" s="2036">
        <f>'3. Doanh thu'!J44</f>
        <v>0</v>
      </c>
      <c r="N170" s="2036">
        <f>'3. Doanh thu'!K44</f>
        <v>0</v>
      </c>
      <c r="O170" s="2036">
        <f>'3. Doanh thu'!L44</f>
        <v>0</v>
      </c>
      <c r="P170" s="2036">
        <f>'3. Doanh thu'!M44</f>
        <v>0</v>
      </c>
      <c r="Q170" s="2036">
        <f>'3. Doanh thu'!N44</f>
        <v>0</v>
      </c>
    </row>
    <row r="171" spans="3:17" outlineLevel="1" x14ac:dyDescent="0.2">
      <c r="C171" s="2031" t="s">
        <v>615</v>
      </c>
      <c r="D171" s="2035">
        <f>SUM(D165:D170)</f>
        <v>66.831827871999991</v>
      </c>
      <c r="E171" s="2035">
        <f>SUM(E165:E170)</f>
        <v>121.36782983099999</v>
      </c>
      <c r="F171" s="2035">
        <f>SUM(F165:F170)</f>
        <v>101.64144111800002</v>
      </c>
      <c r="G171" s="2035">
        <f>SUM(G165:G170)</f>
        <v>85.069397182999992</v>
      </c>
      <c r="H171" s="2035">
        <f t="shared" ref="H171:Q171" si="38">SUM(H165:H170)</f>
        <v>92.087032795002727</v>
      </c>
      <c r="I171" s="2035">
        <f t="shared" si="38"/>
        <v>93.00790312295274</v>
      </c>
      <c r="J171" s="2035">
        <f t="shared" si="38"/>
        <v>93.937982154182265</v>
      </c>
      <c r="K171" s="2035">
        <f t="shared" si="38"/>
        <v>94.877361975724114</v>
      </c>
      <c r="L171" s="2035">
        <f t="shared" si="38"/>
        <v>95.826135595481347</v>
      </c>
      <c r="M171" s="2035">
        <f t="shared" si="38"/>
        <v>96.784396951436136</v>
      </c>
      <c r="N171" s="2035">
        <f t="shared" si="38"/>
        <v>97.752240920950513</v>
      </c>
      <c r="O171" s="2035">
        <f t="shared" si="38"/>
        <v>98.729763330160026</v>
      </c>
      <c r="P171" s="2035">
        <f t="shared" si="38"/>
        <v>99.717060963461648</v>
      </c>
      <c r="Q171" s="2035">
        <f t="shared" si="38"/>
        <v>100.71423157309626</v>
      </c>
    </row>
    <row r="172" spans="3:17" outlineLevel="1" x14ac:dyDescent="0.2">
      <c r="C172" s="2037"/>
      <c r="D172" s="2046"/>
      <c r="E172" s="2046"/>
      <c r="F172" s="2046"/>
      <c r="G172" s="2046"/>
    </row>
    <row r="173" spans="3:17" outlineLevel="1" x14ac:dyDescent="0.2">
      <c r="C173" s="2037"/>
      <c r="D173" s="2045"/>
      <c r="E173" s="2045"/>
      <c r="F173" s="2045"/>
      <c r="G173" s="2045"/>
    </row>
    <row r="174" spans="3:17" outlineLevel="1" x14ac:dyDescent="0.2">
      <c r="C174" s="2034" t="s">
        <v>556</v>
      </c>
      <c r="D174" s="2034">
        <f>$D$56</f>
        <v>2020</v>
      </c>
      <c r="E174" s="2034">
        <f>$E$56</f>
        <v>2021</v>
      </c>
      <c r="F174" s="2034">
        <f>$F$56</f>
        <v>2022</v>
      </c>
      <c r="G174" s="2034">
        <f>G164</f>
        <v>2023</v>
      </c>
      <c r="H174" s="2034">
        <f t="shared" ref="H174:Q174" si="39">H164</f>
        <v>2024</v>
      </c>
      <c r="I174" s="2034">
        <f t="shared" si="39"/>
        <v>2025</v>
      </c>
      <c r="J174" s="2034">
        <f t="shared" si="39"/>
        <v>2026</v>
      </c>
      <c r="K174" s="2034">
        <f t="shared" si="39"/>
        <v>2027</v>
      </c>
      <c r="L174" s="2034">
        <f t="shared" si="39"/>
        <v>2028</v>
      </c>
      <c r="M174" s="2034">
        <f t="shared" si="39"/>
        <v>2029</v>
      </c>
      <c r="N174" s="2034">
        <f t="shared" si="39"/>
        <v>2030</v>
      </c>
      <c r="O174" s="2034">
        <f t="shared" si="39"/>
        <v>2031</v>
      </c>
      <c r="P174" s="2034">
        <f t="shared" si="39"/>
        <v>2032</v>
      </c>
      <c r="Q174" s="2034">
        <f t="shared" si="39"/>
        <v>2033</v>
      </c>
    </row>
    <row r="175" spans="3:17" outlineLevel="1" x14ac:dyDescent="0.2">
      <c r="C175" s="2033" t="str">
        <f t="shared" ref="C175:C180" si="40">C165</f>
        <v>Thép Hòa Phát</v>
      </c>
      <c r="D175" s="2032">
        <f t="shared" ref="D175:G181" si="41">D165/D$171</f>
        <v>0.80790489183405001</v>
      </c>
      <c r="E175" s="2032">
        <f t="shared" si="41"/>
        <v>0.81203998810257016</v>
      </c>
      <c r="F175" s="2032">
        <f t="shared" si="41"/>
        <v>0.83729574597628031</v>
      </c>
      <c r="G175" s="2032">
        <f t="shared" si="41"/>
        <v>0.90282782862305355</v>
      </c>
      <c r="H175" s="2032">
        <f t="shared" ref="H175:Q175" si="42">H165/H$171</f>
        <v>0.90473561996412766</v>
      </c>
      <c r="I175" s="2032">
        <f t="shared" si="42"/>
        <v>0.90473561996412777</v>
      </c>
      <c r="J175" s="2032">
        <f t="shared" si="42"/>
        <v>0.90473561996412766</v>
      </c>
      <c r="K175" s="2032">
        <f t="shared" si="42"/>
        <v>0.90473561996412766</v>
      </c>
      <c r="L175" s="2032">
        <f t="shared" si="42"/>
        <v>0.90473561996412766</v>
      </c>
      <c r="M175" s="2032">
        <f t="shared" si="42"/>
        <v>0.90473561996412777</v>
      </c>
      <c r="N175" s="2032">
        <f t="shared" si="42"/>
        <v>0.90473561996412777</v>
      </c>
      <c r="O175" s="2032">
        <f t="shared" si="42"/>
        <v>0.90473561996412777</v>
      </c>
      <c r="P175" s="2032">
        <f t="shared" si="42"/>
        <v>0.90473561996412766</v>
      </c>
      <c r="Q175" s="2032">
        <f t="shared" si="42"/>
        <v>0.90473561996412777</v>
      </c>
    </row>
    <row r="176" spans="3:17" outlineLevel="1" x14ac:dyDescent="0.2">
      <c r="C176" s="2033" t="str">
        <f t="shared" si="40"/>
        <v>Thép Việt Nhật</v>
      </c>
      <c r="D176" s="2032">
        <f t="shared" si="41"/>
        <v>0</v>
      </c>
      <c r="E176" s="2032">
        <f t="shared" si="41"/>
        <v>0.10033546971183958</v>
      </c>
      <c r="F176" s="2032">
        <f t="shared" si="41"/>
        <v>0.15606741483116165</v>
      </c>
      <c r="G176" s="2032">
        <f t="shared" si="41"/>
        <v>9.0118175111883941E-2</v>
      </c>
      <c r="H176" s="2032">
        <f t="shared" ref="H176:Q176" si="43">H166/H$171</f>
        <v>9.0240359118833144E-2</v>
      </c>
      <c r="I176" s="2032">
        <f t="shared" si="43"/>
        <v>9.024035911883313E-2</v>
      </c>
      <c r="J176" s="2032">
        <f t="shared" si="43"/>
        <v>9.0240359118833158E-2</v>
      </c>
      <c r="K176" s="2032">
        <f t="shared" si="43"/>
        <v>9.0240359118833144E-2</v>
      </c>
      <c r="L176" s="2032">
        <f t="shared" si="43"/>
        <v>9.0240359118833144E-2</v>
      </c>
      <c r="M176" s="2032">
        <f t="shared" si="43"/>
        <v>9.0240359118833158E-2</v>
      </c>
      <c r="N176" s="2032">
        <f t="shared" si="43"/>
        <v>9.0240359118833172E-2</v>
      </c>
      <c r="O176" s="2032">
        <f t="shared" si="43"/>
        <v>9.0240359118833172E-2</v>
      </c>
      <c r="P176" s="2032">
        <f t="shared" si="43"/>
        <v>9.0240359118833144E-2</v>
      </c>
      <c r="Q176" s="2032">
        <f t="shared" si="43"/>
        <v>9.024035911883313E-2</v>
      </c>
    </row>
    <row r="177" spans="3:17" outlineLevel="1" x14ac:dyDescent="0.2">
      <c r="C177" s="2033" t="str">
        <f t="shared" si="40"/>
        <v>Thép Ly</v>
      </c>
      <c r="D177" s="2032">
        <f t="shared" si="41"/>
        <v>7.844269963767362E-3</v>
      </c>
      <c r="E177" s="2032">
        <f t="shared" si="41"/>
        <v>7.408205092337786E-3</v>
      </c>
      <c r="F177" s="2032">
        <f t="shared" si="41"/>
        <v>6.4583096498791208E-3</v>
      </c>
      <c r="G177" s="2032">
        <f t="shared" si="41"/>
        <v>6.0254007548372736E-3</v>
      </c>
      <c r="H177" s="2032">
        <f t="shared" ref="H177:Q177" si="44">H167/H$171</f>
        <v>3.9427673337940035E-3</v>
      </c>
      <c r="I177" s="2032">
        <f t="shared" si="44"/>
        <v>3.9427673337940035E-3</v>
      </c>
      <c r="J177" s="2032">
        <f t="shared" si="44"/>
        <v>3.9427673337940035E-3</v>
      </c>
      <c r="K177" s="2032">
        <f t="shared" si="44"/>
        <v>3.9427673337940027E-3</v>
      </c>
      <c r="L177" s="2032">
        <f t="shared" si="44"/>
        <v>3.9427673337940035E-3</v>
      </c>
      <c r="M177" s="2032">
        <f t="shared" si="44"/>
        <v>3.9427673337940044E-3</v>
      </c>
      <c r="N177" s="2032">
        <f t="shared" si="44"/>
        <v>3.9427673337940044E-3</v>
      </c>
      <c r="O177" s="2032">
        <f t="shared" si="44"/>
        <v>3.9427673337940044E-3</v>
      </c>
      <c r="P177" s="2032">
        <f t="shared" si="44"/>
        <v>3.9427673337940035E-3</v>
      </c>
      <c r="Q177" s="2032">
        <f t="shared" si="44"/>
        <v>3.9427673337940035E-3</v>
      </c>
    </row>
    <row r="178" spans="3:17" outlineLevel="1" x14ac:dyDescent="0.2">
      <c r="C178" s="2033" t="str">
        <f t="shared" si="40"/>
        <v>Thép Việt Đức</v>
      </c>
      <c r="D178" s="2032">
        <f t="shared" si="41"/>
        <v>0.13290600653646598</v>
      </c>
      <c r="E178" s="2032">
        <f t="shared" si="41"/>
        <v>7.9303977737777573E-2</v>
      </c>
      <c r="F178" s="2032">
        <f t="shared" si="41"/>
        <v>4.3781354839644585E-5</v>
      </c>
      <c r="G178" s="2032">
        <f t="shared" si="41"/>
        <v>1.0230118336537501E-3</v>
      </c>
      <c r="H178" s="2032">
        <f t="shared" ref="H178:Q178" si="45">H168/H$171</f>
        <v>1.0761782647316217E-3</v>
      </c>
      <c r="I178" s="2032">
        <f t="shared" si="45"/>
        <v>1.0761782647316219E-3</v>
      </c>
      <c r="J178" s="2032">
        <f t="shared" si="45"/>
        <v>1.0761782647316219E-3</v>
      </c>
      <c r="K178" s="2032">
        <f t="shared" si="45"/>
        <v>1.0761782647316217E-3</v>
      </c>
      <c r="L178" s="2032">
        <f t="shared" si="45"/>
        <v>1.0761782647316219E-3</v>
      </c>
      <c r="M178" s="2032">
        <f t="shared" si="45"/>
        <v>1.0761782647316224E-3</v>
      </c>
      <c r="N178" s="2032">
        <f t="shared" si="45"/>
        <v>1.0761782647316219E-3</v>
      </c>
      <c r="O178" s="2032">
        <f t="shared" si="45"/>
        <v>1.0761782647316222E-3</v>
      </c>
      <c r="P178" s="2032">
        <f t="shared" si="45"/>
        <v>1.0761782647316219E-3</v>
      </c>
      <c r="Q178" s="2032">
        <f t="shared" si="45"/>
        <v>1.0761782647316219E-3</v>
      </c>
    </row>
    <row r="179" spans="3:17" outlineLevel="1" x14ac:dyDescent="0.2">
      <c r="C179" s="2033" t="str">
        <f t="shared" si="40"/>
        <v>Thép Tisco</v>
      </c>
      <c r="D179" s="2032">
        <f t="shared" si="41"/>
        <v>5.0422496171346379E-2</v>
      </c>
      <c r="E179" s="2032">
        <f t="shared" si="41"/>
        <v>1.2483600490424262E-4</v>
      </c>
      <c r="F179" s="2032">
        <f t="shared" si="41"/>
        <v>5.4465973121858974E-5</v>
      </c>
      <c r="G179" s="2032">
        <f t="shared" si="41"/>
        <v>5.583676571472432E-6</v>
      </c>
      <c r="H179" s="2032">
        <f t="shared" ref="H179:Q179" si="46">H169/H$171</f>
        <v>5.0753185135025896E-6</v>
      </c>
      <c r="I179" s="2032">
        <f t="shared" si="46"/>
        <v>5.0753185135025913E-6</v>
      </c>
      <c r="J179" s="2032">
        <f t="shared" si="46"/>
        <v>5.0753185135025913E-6</v>
      </c>
      <c r="K179" s="2032">
        <f t="shared" si="46"/>
        <v>5.0753185135025904E-6</v>
      </c>
      <c r="L179" s="2032">
        <f t="shared" si="46"/>
        <v>5.0753185135025896E-6</v>
      </c>
      <c r="M179" s="2032">
        <f t="shared" si="46"/>
        <v>5.0753185135025913E-6</v>
      </c>
      <c r="N179" s="2032">
        <f t="shared" si="46"/>
        <v>5.0753185135025921E-6</v>
      </c>
      <c r="O179" s="2032">
        <f t="shared" si="46"/>
        <v>5.0753185135025921E-6</v>
      </c>
      <c r="P179" s="2032">
        <f t="shared" si="46"/>
        <v>5.0753185135025904E-6</v>
      </c>
      <c r="Q179" s="2032">
        <f t="shared" si="46"/>
        <v>5.0753185135025913E-6</v>
      </c>
    </row>
    <row r="180" spans="3:17" outlineLevel="1" x14ac:dyDescent="0.2">
      <c r="C180" s="2033" t="str">
        <f t="shared" si="40"/>
        <v>Thép Việt Úc</v>
      </c>
      <c r="D180" s="2032">
        <f t="shared" si="41"/>
        <v>9.2233549437042116E-4</v>
      </c>
      <c r="E180" s="2032">
        <f t="shared" si="41"/>
        <v>7.8752335057066976E-4</v>
      </c>
      <c r="F180" s="2032">
        <f t="shared" si="41"/>
        <v>8.0282214717190969E-5</v>
      </c>
      <c r="G180" s="2032">
        <f t="shared" si="41"/>
        <v>0</v>
      </c>
      <c r="H180" s="2032">
        <f t="shared" ref="H180:Q180" si="47">H170/H$171</f>
        <v>0</v>
      </c>
      <c r="I180" s="2032">
        <f t="shared" si="47"/>
        <v>0</v>
      </c>
      <c r="J180" s="2032">
        <f t="shared" si="47"/>
        <v>0</v>
      </c>
      <c r="K180" s="2032">
        <f t="shared" si="47"/>
        <v>0</v>
      </c>
      <c r="L180" s="2032">
        <f t="shared" si="47"/>
        <v>0</v>
      </c>
      <c r="M180" s="2032">
        <f t="shared" si="47"/>
        <v>0</v>
      </c>
      <c r="N180" s="2032">
        <f t="shared" si="47"/>
        <v>0</v>
      </c>
      <c r="O180" s="2032">
        <f t="shared" si="47"/>
        <v>0</v>
      </c>
      <c r="P180" s="2032">
        <f t="shared" si="47"/>
        <v>0</v>
      </c>
      <c r="Q180" s="2032">
        <f t="shared" si="47"/>
        <v>0</v>
      </c>
    </row>
    <row r="181" spans="3:17" outlineLevel="1" x14ac:dyDescent="0.2">
      <c r="C181" s="2031" t="s">
        <v>615</v>
      </c>
      <c r="D181" s="2030">
        <f t="shared" si="41"/>
        <v>1</v>
      </c>
      <c r="E181" s="2030">
        <f t="shared" si="41"/>
        <v>1</v>
      </c>
      <c r="F181" s="2030">
        <f t="shared" si="41"/>
        <v>1</v>
      </c>
      <c r="G181" s="2030">
        <f t="shared" si="41"/>
        <v>1</v>
      </c>
      <c r="H181" s="2030">
        <f t="shared" ref="H181:Q181" si="48">H171/H$171</f>
        <v>1</v>
      </c>
      <c r="I181" s="2030">
        <f t="shared" si="48"/>
        <v>1</v>
      </c>
      <c r="J181" s="2030">
        <f t="shared" si="48"/>
        <v>1</v>
      </c>
      <c r="K181" s="2030">
        <f t="shared" si="48"/>
        <v>1</v>
      </c>
      <c r="L181" s="2030">
        <f t="shared" si="48"/>
        <v>1</v>
      </c>
      <c r="M181" s="2030">
        <f t="shared" si="48"/>
        <v>1</v>
      </c>
      <c r="N181" s="2030">
        <f t="shared" si="48"/>
        <v>1</v>
      </c>
      <c r="O181" s="2030">
        <f t="shared" si="48"/>
        <v>1</v>
      </c>
      <c r="P181" s="2030">
        <f t="shared" si="48"/>
        <v>1</v>
      </c>
      <c r="Q181" s="2030">
        <f t="shared" si="48"/>
        <v>1</v>
      </c>
    </row>
    <row r="182" spans="3:17" outlineLevel="1" x14ac:dyDescent="0.2"/>
  </sheetData>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6C9A8-274E-4EBD-AB02-DC2F5550A1D9}">
  <sheetPr>
    <tabColor rgb="FF006934"/>
  </sheetPr>
  <dimension ref="A2:AG98"/>
  <sheetViews>
    <sheetView showGridLines="0" topLeftCell="A70" zoomScale="70" zoomScaleNormal="40" workbookViewId="0">
      <selection activeCell="H87" sqref="H87"/>
    </sheetView>
  </sheetViews>
  <sheetFormatPr defaultColWidth="9.140625" defaultRowHeight="15" outlineLevelRow="1" x14ac:dyDescent="0.25"/>
  <cols>
    <col min="1" max="1" width="10.28515625" style="2005" customWidth="1"/>
    <col min="2" max="2" width="25.7109375" style="2004" customWidth="1"/>
    <col min="3" max="3" width="11.42578125" style="2003" customWidth="1"/>
    <col min="4" max="6" width="10.28515625" style="2003" customWidth="1"/>
    <col min="7" max="7" width="9.42578125" style="2003" customWidth="1"/>
    <col min="8" max="14" width="9.7109375" style="2003" customWidth="1"/>
    <col min="15" max="16" width="9.7109375" style="1843" customWidth="1"/>
    <col min="17" max="17" width="15.7109375" style="1843" bestFit="1" customWidth="1"/>
    <col min="18" max="18" width="5.140625" style="1843" bestFit="1" customWidth="1"/>
    <col min="19" max="19" width="17.28515625" style="1843" bestFit="1" customWidth="1"/>
    <col min="20" max="20" width="14.28515625" style="1843" bestFit="1" customWidth="1"/>
    <col min="21" max="21" width="14.7109375" style="1843" bestFit="1" customWidth="1"/>
    <col min="22" max="22" width="8.28515625" style="1843" bestFit="1" customWidth="1"/>
    <col min="23" max="23" width="6.85546875" style="1843" bestFit="1" customWidth="1"/>
    <col min="24" max="24" width="9.28515625" style="1843" bestFit="1" customWidth="1"/>
    <col min="25" max="25" width="15.7109375" style="1843" bestFit="1" customWidth="1"/>
    <col min="26" max="26" width="5.7109375" style="1843" bestFit="1" customWidth="1"/>
    <col min="27" max="27" width="32.7109375" style="1843" customWidth="1"/>
    <col min="28" max="28" width="7" style="1843" customWidth="1"/>
    <col min="29" max="30" width="6.42578125" style="1843" customWidth="1"/>
    <col min="31" max="31" width="9.140625" style="1843"/>
    <col min="32" max="32" width="19.7109375" style="1843" customWidth="1"/>
    <col min="33" max="33" width="5.5703125" style="1843" customWidth="1"/>
    <col min="34" max="34" width="5.85546875" style="1843" customWidth="1"/>
    <col min="35" max="35" width="5.5703125" style="1843" customWidth="1"/>
    <col min="36" max="36" width="9.140625" style="1843"/>
    <col min="37" max="37" width="41.85546875" style="1843" customWidth="1"/>
    <col min="38" max="39" width="7.7109375" style="1843" customWidth="1"/>
    <col min="40" max="40" width="6.7109375" style="1843" customWidth="1"/>
    <col min="41" max="41" width="9.140625" style="1843"/>
    <col min="42" max="42" width="37.42578125" style="1843" customWidth="1"/>
    <col min="43" max="43" width="8.28515625" style="1843" customWidth="1"/>
    <col min="44" max="44" width="5.5703125" style="1843" customWidth="1"/>
    <col min="45" max="45" width="8.28515625" style="1843" customWidth="1"/>
    <col min="46" max="46" width="9.140625" style="1843"/>
    <col min="47" max="47" width="13.28515625" style="1843" customWidth="1"/>
    <col min="48" max="50" width="9.140625" style="1843"/>
    <col min="51" max="51" width="15.42578125" style="1843" customWidth="1"/>
    <col min="52" max="52" width="14.28515625" style="1843" customWidth="1"/>
    <col min="53" max="54" width="9.140625" style="1843"/>
    <col min="55" max="55" width="16.42578125" style="1843" customWidth="1"/>
    <col min="56" max="56" width="15.42578125" style="1843" customWidth="1"/>
    <col min="57" max="57" width="13.28515625" style="1843" customWidth="1"/>
    <col min="58" max="58" width="18.28515625" style="1843" customWidth="1"/>
    <col min="59" max="16384" width="9.140625" style="1843"/>
  </cols>
  <sheetData>
    <row r="2" spans="1:33" x14ac:dyDescent="0.25">
      <c r="A2" s="2028" t="s">
        <v>2049</v>
      </c>
      <c r="B2" s="2027" t="s">
        <v>2048</v>
      </c>
      <c r="C2" s="2026"/>
      <c r="D2" s="2026"/>
      <c r="E2" s="2026"/>
      <c r="F2" s="2026"/>
      <c r="G2" s="2026"/>
      <c r="H2" s="2026"/>
      <c r="I2" s="2026"/>
      <c r="J2" s="2026"/>
      <c r="K2" s="2026"/>
      <c r="L2" s="2026"/>
      <c r="M2" s="2026"/>
      <c r="N2" s="2026"/>
      <c r="O2" s="2025"/>
      <c r="P2" s="2025"/>
      <c r="Q2" s="2025"/>
      <c r="R2" s="2025"/>
      <c r="S2" s="2025"/>
      <c r="T2" s="2025"/>
      <c r="U2" s="2025"/>
      <c r="V2" s="2025"/>
      <c r="W2" s="2025"/>
      <c r="X2" s="2025"/>
      <c r="Y2" s="2025"/>
    </row>
    <row r="3" spans="1:33" x14ac:dyDescent="0.25">
      <c r="A3" s="2024" t="s">
        <v>33</v>
      </c>
      <c r="B3" s="2023" t="s">
        <v>1838</v>
      </c>
      <c r="C3" s="2022"/>
      <c r="D3" s="2021"/>
      <c r="E3" s="2021"/>
      <c r="F3" s="2021"/>
      <c r="G3" s="2021"/>
      <c r="H3" s="2021"/>
      <c r="I3" s="2021"/>
      <c r="J3" s="2021"/>
      <c r="K3" s="2021"/>
      <c r="L3" s="2021"/>
      <c r="M3" s="2020"/>
      <c r="N3" s="2020"/>
      <c r="O3" s="2020"/>
      <c r="P3" s="2019"/>
      <c r="Q3" s="2019"/>
      <c r="R3" s="2019"/>
      <c r="S3" s="2019"/>
      <c r="T3" s="2019"/>
      <c r="U3" s="2019"/>
      <c r="V3" s="2019"/>
      <c r="W3" s="2019"/>
      <c r="X3" s="2019"/>
      <c r="Y3" s="2019"/>
    </row>
    <row r="4" spans="1:33" x14ac:dyDescent="0.25">
      <c r="F4" s="2057"/>
      <c r="G4" s="2057"/>
      <c r="H4" s="2057"/>
      <c r="I4" s="2057"/>
      <c r="J4" s="2057"/>
      <c r="K4" s="2057"/>
      <c r="L4" s="2057"/>
      <c r="M4" s="2057"/>
      <c r="N4" s="2056"/>
      <c r="O4" s="2055"/>
      <c r="P4" s="2054"/>
      <c r="Q4" s="2055"/>
      <c r="R4" s="2054"/>
      <c r="T4" s="2004"/>
      <c r="U4" s="2003"/>
      <c r="V4" s="2003"/>
      <c r="W4" s="2003"/>
      <c r="X4" s="2057"/>
      <c r="Y4" s="2057"/>
      <c r="Z4" s="2070"/>
      <c r="AA4" s="2003"/>
      <c r="AB4" s="2017"/>
      <c r="AC4" s="2070"/>
      <c r="AD4" s="2086"/>
      <c r="AE4" s="2084"/>
      <c r="AF4" s="2085"/>
      <c r="AG4" s="2084"/>
    </row>
    <row r="5" spans="1:33" ht="15.75" thickBot="1" x14ac:dyDescent="0.3">
      <c r="A5" s="2005">
        <v>1</v>
      </c>
      <c r="B5" s="2077" t="s">
        <v>2072</v>
      </c>
      <c r="C5" s="2008"/>
      <c r="D5" s="2008"/>
      <c r="E5" s="2008"/>
      <c r="F5" s="2076"/>
      <c r="G5" s="2076"/>
      <c r="H5" s="2076"/>
      <c r="I5" s="2076"/>
      <c r="J5" s="2076"/>
      <c r="K5" s="2076"/>
      <c r="L5" s="2076"/>
      <c r="M5" s="2008"/>
      <c r="N5" s="2008"/>
      <c r="O5" s="2006"/>
      <c r="P5" s="2006"/>
      <c r="Q5" s="2007"/>
      <c r="R5" s="2006"/>
      <c r="S5" s="2006"/>
      <c r="T5" s="2006"/>
      <c r="U5" s="2006"/>
      <c r="V5" s="2006"/>
      <c r="W5" s="2006"/>
      <c r="X5" s="2006"/>
      <c r="Y5" s="2006"/>
      <c r="Z5" s="2070"/>
      <c r="AA5" s="2003"/>
      <c r="AB5" s="2017"/>
      <c r="AC5" s="2070"/>
      <c r="AD5" s="2086"/>
      <c r="AE5" s="2084"/>
      <c r="AF5" s="2085"/>
      <c r="AG5" s="2084"/>
    </row>
    <row r="6" spans="1:33" ht="15.75" thickTop="1" x14ac:dyDescent="0.25">
      <c r="A6" s="2005" t="s">
        <v>660</v>
      </c>
      <c r="B6" s="2075" t="s">
        <v>2067</v>
      </c>
      <c r="C6" s="2073"/>
      <c r="D6" s="2073"/>
      <c r="E6" s="2073"/>
      <c r="F6" s="2074"/>
      <c r="G6" s="2074"/>
      <c r="H6" s="2074"/>
      <c r="I6" s="2074"/>
      <c r="J6" s="2074"/>
      <c r="K6" s="2074"/>
      <c r="L6" s="2074"/>
      <c r="M6" s="2073"/>
      <c r="N6" s="2073"/>
      <c r="O6" s="2071"/>
      <c r="P6" s="2071"/>
      <c r="Q6" s="2072"/>
      <c r="R6" s="2071"/>
      <c r="S6" s="2071"/>
      <c r="T6" s="2071"/>
      <c r="U6" s="2071"/>
      <c r="V6" s="2071"/>
      <c r="W6" s="2071"/>
      <c r="X6" s="2071"/>
      <c r="Y6" s="2071"/>
    </row>
    <row r="7" spans="1:33" outlineLevel="1" x14ac:dyDescent="0.25">
      <c r="B7" s="2016"/>
      <c r="F7" s="2070"/>
      <c r="G7" s="2070"/>
      <c r="H7" s="2070"/>
      <c r="I7" s="2070"/>
      <c r="J7" s="2070"/>
      <c r="L7" s="2017"/>
      <c r="M7" s="2057"/>
      <c r="N7" s="2056"/>
      <c r="O7" s="2055"/>
      <c r="P7" s="2054"/>
      <c r="Q7" s="2055"/>
      <c r="R7" s="2054"/>
    </row>
    <row r="8" spans="1:33" outlineLevel="1" x14ac:dyDescent="0.25">
      <c r="H8" s="1843"/>
      <c r="J8" s="1843"/>
      <c r="L8" s="2017"/>
      <c r="M8" s="2057"/>
      <c r="N8" s="2056"/>
      <c r="O8" s="2055"/>
      <c r="P8" s="2054"/>
      <c r="Q8" s="2055"/>
      <c r="R8" s="2054"/>
    </row>
    <row r="9" spans="1:33" outlineLevel="1" x14ac:dyDescent="0.25">
      <c r="B9" s="2087"/>
      <c r="C9" s="2066">
        <v>2020</v>
      </c>
      <c r="D9" s="2066">
        <f>C9+1</f>
        <v>2021</v>
      </c>
      <c r="E9" s="2066">
        <f t="shared" ref="E9:O9" si="0">D9+1</f>
        <v>2022</v>
      </c>
      <c r="F9" s="2066">
        <f t="shared" si="0"/>
        <v>2023</v>
      </c>
      <c r="G9" s="2066">
        <f t="shared" si="0"/>
        <v>2024</v>
      </c>
      <c r="H9" s="2066">
        <f t="shared" si="0"/>
        <v>2025</v>
      </c>
      <c r="I9" s="2066">
        <f t="shared" si="0"/>
        <v>2026</v>
      </c>
      <c r="J9" s="2066">
        <f t="shared" si="0"/>
        <v>2027</v>
      </c>
      <c r="K9" s="2066">
        <f t="shared" si="0"/>
        <v>2028</v>
      </c>
      <c r="L9" s="2066">
        <f t="shared" si="0"/>
        <v>2029</v>
      </c>
      <c r="M9" s="2066">
        <f t="shared" si="0"/>
        <v>2030</v>
      </c>
      <c r="N9" s="2066">
        <f t="shared" si="0"/>
        <v>2031</v>
      </c>
      <c r="O9" s="2066">
        <f t="shared" si="0"/>
        <v>2032</v>
      </c>
      <c r="P9" s="2066">
        <f>O9+1</f>
        <v>2033</v>
      </c>
      <c r="Q9" s="2055"/>
      <c r="R9" s="2054"/>
    </row>
    <row r="10" spans="1:33" outlineLevel="1" x14ac:dyDescent="0.25">
      <c r="B10" s="2011" t="s">
        <v>2065</v>
      </c>
      <c r="C10" s="2015">
        <v>332.70616024600002</v>
      </c>
      <c r="D10" s="2015">
        <f>'1.BC_Muc tieu (ty) '!K10</f>
        <v>472.97647645400002</v>
      </c>
      <c r="E10" s="2015">
        <f>'1.BC_Muc tieu (ty) '!R10</f>
        <v>490.51324549700001</v>
      </c>
      <c r="F10" s="2015">
        <f>'1.BC_Muc tieu (ty) '!Y10</f>
        <v>465.52350503299999</v>
      </c>
      <c r="G10" s="2015">
        <f ca="1">'4. KQ-PL'!I23</f>
        <v>397.32724307107969</v>
      </c>
      <c r="H10" s="2015">
        <f ca="1">'4. KQ-PL'!J23</f>
        <v>401.66380727774634</v>
      </c>
      <c r="I10" s="2015">
        <f ca="1">'4. KQ-PL'!K23</f>
        <v>404.98221297230845</v>
      </c>
      <c r="J10" s="2015">
        <f ca="1">'4. KQ-PL'!L23</f>
        <v>407.89493762091143</v>
      </c>
      <c r="K10" s="2015">
        <f ca="1">'4. KQ-PL'!M23</f>
        <v>411.48904348672841</v>
      </c>
      <c r="L10" s="2015">
        <f ca="1">'4. KQ-PL'!N23</f>
        <v>413.55853842912131</v>
      </c>
      <c r="M10" s="2015">
        <f ca="1">'4. KQ-PL'!O23</f>
        <v>417.76231875647477</v>
      </c>
      <c r="N10" s="2015">
        <f ca="1">'4. KQ-PL'!P23</f>
        <v>421.81299367607755</v>
      </c>
      <c r="O10" s="2015">
        <f ca="1">'4. KQ-PL'!Q23</f>
        <v>425.48691301720635</v>
      </c>
      <c r="P10" s="2015">
        <f ca="1">'4. KQ-PL'!R23</f>
        <v>429.66651879145491</v>
      </c>
      <c r="Q10" s="2055"/>
      <c r="R10" s="2054"/>
    </row>
    <row r="11" spans="1:33" outlineLevel="1" x14ac:dyDescent="0.25">
      <c r="B11" s="2011" t="s">
        <v>2064</v>
      </c>
      <c r="C11" s="2015">
        <v>9.8045595680000002</v>
      </c>
      <c r="D11" s="2015">
        <f>'1.BC_Muc tieu (ty) '!K13</f>
        <v>7.7290977510000003</v>
      </c>
      <c r="E11" s="2015">
        <f>'1.BC_Muc tieu (ty) '!R13</f>
        <v>21.694515916999997</v>
      </c>
      <c r="F11" s="2015">
        <f>'1.BC_Muc tieu (ty) '!Y13</f>
        <v>18.194325678000002</v>
      </c>
      <c r="G11" s="2015">
        <f>'4. KQ-PL'!I36</f>
        <v>16.592179068504947</v>
      </c>
      <c r="H11" s="2015">
        <f ca="1">'4. KQ-PL'!J36</f>
        <v>8.2386706203073476</v>
      </c>
      <c r="I11" s="2015">
        <f ca="1">'4. KQ-PL'!K36</f>
        <v>4.9534377298632162</v>
      </c>
      <c r="J11" s="2015">
        <f ca="1">'4. KQ-PL'!L36</f>
        <v>1.5704182831108144</v>
      </c>
      <c r="K11" s="2015">
        <f ca="1">'4. KQ-PL'!M36</f>
        <v>0</v>
      </c>
      <c r="L11" s="2015">
        <f ca="1">'4. KQ-PL'!N36</f>
        <v>0</v>
      </c>
      <c r="M11" s="2015">
        <f ca="1">'4. KQ-PL'!O36</f>
        <v>0</v>
      </c>
      <c r="N11" s="2015">
        <f ca="1">'4. KQ-PL'!P36</f>
        <v>0</v>
      </c>
      <c r="O11" s="2015">
        <f ca="1">'4. KQ-PL'!Q36</f>
        <v>0</v>
      </c>
      <c r="P11" s="2015">
        <f ca="1">'4. KQ-PL'!R36</f>
        <v>0</v>
      </c>
      <c r="Q11" s="2055"/>
      <c r="R11" s="2054"/>
    </row>
    <row r="12" spans="1:33" outlineLevel="1" x14ac:dyDescent="0.25">
      <c r="B12" s="2011" t="s">
        <v>2063</v>
      </c>
      <c r="C12" s="2015">
        <v>0</v>
      </c>
      <c r="D12" s="2015">
        <f>'1.BC_Muc tieu (ty) '!K16</f>
        <v>0</v>
      </c>
      <c r="E12" s="2015">
        <f>'1.BC_Muc tieu (ty) '!R16</f>
        <v>0</v>
      </c>
      <c r="F12" s="2015">
        <f>'1.BC_Muc tieu (ty) '!Y12</f>
        <v>3.9008753E-2</v>
      </c>
      <c r="G12" s="2015">
        <f ca="1">'4. KQ-PL'!I38</f>
        <v>14.646871865789029</v>
      </c>
      <c r="H12" s="2015">
        <f ca="1">'4. KQ-PL'!J38</f>
        <v>13.836177152356333</v>
      </c>
      <c r="I12" s="2015">
        <f ca="1">'4. KQ-PL'!K38</f>
        <v>10.474334005081159</v>
      </c>
      <c r="J12" s="2015">
        <f ca="1">'4. KQ-PL'!L38</f>
        <v>4.6585228843397211</v>
      </c>
      <c r="K12" s="2015">
        <f ca="1">'4. KQ-PL'!M38</f>
        <v>3.6028107322031091</v>
      </c>
      <c r="L12" s="2015">
        <f ca="1">'4. KQ-PL'!N38</f>
        <v>3.4278682034674763</v>
      </c>
      <c r="M12" s="2015">
        <f ca="1">'4. KQ-PL'!O38</f>
        <v>3.4278682034674763</v>
      </c>
      <c r="N12" s="2015">
        <f ca="1">'4. KQ-PL'!P38</f>
        <v>3.1080634672813527</v>
      </c>
      <c r="O12" s="2015">
        <f ca="1">'4. KQ-PL'!Q38</f>
        <v>3.0883704318166099</v>
      </c>
      <c r="P12" s="2015">
        <f ca="1">'4. KQ-PL'!R38</f>
        <v>2.9552339935149932</v>
      </c>
      <c r="Q12" s="2055"/>
      <c r="R12" s="2054"/>
    </row>
    <row r="13" spans="1:33" outlineLevel="1" x14ac:dyDescent="0.25">
      <c r="B13" s="2011" t="s">
        <v>2062</v>
      </c>
      <c r="C13" s="2015">
        <v>10.870168885</v>
      </c>
      <c r="D13" s="2015">
        <f>'1.BC_Muc tieu (ty) '!K17</f>
        <v>19.849996433999998</v>
      </c>
      <c r="E13" s="2015">
        <f>'1.BC_Muc tieu (ty) '!R17</f>
        <v>12.424524835000001</v>
      </c>
      <c r="F13" s="2015">
        <f>'1.BC_Muc tieu (ty) '!Y17</f>
        <v>28.221520755</v>
      </c>
      <c r="G13" s="2015">
        <f ca="1">'4. KQ-PL'!I45</f>
        <v>27.916675756757815</v>
      </c>
      <c r="H13" s="2015">
        <f ca="1">'4. KQ-PL'!J45</f>
        <v>28.158186784182206</v>
      </c>
      <c r="I13" s="2015">
        <f ca="1">'4. KQ-PL'!K45</f>
        <v>28.381565964429079</v>
      </c>
      <c r="J13" s="2015">
        <f ca="1">'4. KQ-PL'!L45</f>
        <v>28.129189861043951</v>
      </c>
      <c r="K13" s="2015">
        <f ca="1">'4. KQ-PL'!M45</f>
        <v>28.205520062625453</v>
      </c>
      <c r="L13" s="2015">
        <f ca="1">'4. KQ-PL'!N45</f>
        <v>28.457271615659792</v>
      </c>
      <c r="M13" s="2015">
        <f ca="1">'4. KQ-PL'!O45</f>
        <v>28.711653076690752</v>
      </c>
      <c r="N13" s="2015">
        <f ca="1">'4. KQ-PL'!P45</f>
        <v>28.968693003886862</v>
      </c>
      <c r="O13" s="2015">
        <f ca="1">'4. KQ-PL'!Q45</f>
        <v>29.228420286406035</v>
      </c>
      <c r="P13" s="2015">
        <f ca="1">'4. KQ-PL'!R45</f>
        <v>29.490864148618122</v>
      </c>
      <c r="Q13" s="2055"/>
      <c r="R13" s="2054"/>
    </row>
    <row r="14" spans="1:33" outlineLevel="1" x14ac:dyDescent="0.25">
      <c r="B14" s="2065" t="s">
        <v>2071</v>
      </c>
      <c r="C14" s="2067">
        <f>SUM(C10:C13)</f>
        <v>353.38088869900002</v>
      </c>
      <c r="D14" s="2067">
        <f>SUM(D10:D13)</f>
        <v>500.555570639</v>
      </c>
      <c r="E14" s="2067">
        <f>SUM(E10:E13)</f>
        <v>524.63228624900012</v>
      </c>
      <c r="F14" s="2067">
        <f>SUM(F10:F13)</f>
        <v>511.97836021900002</v>
      </c>
      <c r="G14" s="2067">
        <f t="shared" ref="G14:P14" ca="1" si="1">SUM(G10:G13)</f>
        <v>456.48296976213146</v>
      </c>
      <c r="H14" s="2067">
        <f t="shared" ca="1" si="1"/>
        <v>451.89684183459224</v>
      </c>
      <c r="I14" s="2067">
        <f t="shared" ca="1" si="1"/>
        <v>448.79155067168188</v>
      </c>
      <c r="J14" s="2067">
        <f t="shared" ca="1" si="1"/>
        <v>442.25306864940592</v>
      </c>
      <c r="K14" s="2067">
        <f t="shared" ca="1" si="1"/>
        <v>443.29737428155698</v>
      </c>
      <c r="L14" s="2067">
        <f t="shared" ca="1" si="1"/>
        <v>445.4436782482486</v>
      </c>
      <c r="M14" s="2067">
        <f t="shared" ca="1" si="1"/>
        <v>449.90184003663302</v>
      </c>
      <c r="N14" s="2067">
        <f t="shared" ca="1" si="1"/>
        <v>453.88975014724576</v>
      </c>
      <c r="O14" s="2067">
        <f t="shared" ca="1" si="1"/>
        <v>457.803703735429</v>
      </c>
      <c r="P14" s="2067">
        <f t="shared" ca="1" si="1"/>
        <v>462.11261693358801</v>
      </c>
      <c r="Q14" s="2055"/>
      <c r="R14" s="2054"/>
    </row>
    <row r="15" spans="1:33" outlineLevel="1" x14ac:dyDescent="0.25">
      <c r="F15" s="2057"/>
      <c r="G15" s="2057"/>
      <c r="H15" s="2057"/>
      <c r="I15" s="2057"/>
      <c r="J15" s="2057"/>
      <c r="L15" s="2017"/>
      <c r="M15" s="2057"/>
      <c r="N15" s="2056"/>
      <c r="O15" s="2055"/>
      <c r="P15" s="2054"/>
      <c r="Q15" s="2055"/>
      <c r="R15" s="2054"/>
    </row>
    <row r="16" spans="1:33" outlineLevel="1" x14ac:dyDescent="0.25">
      <c r="B16" s="2087"/>
      <c r="C16" s="2066">
        <v>2020</v>
      </c>
      <c r="D16" s="2066" t="str">
        <f>TEXT([31]Input_Cty!$E$5,"0000")</f>
        <v>2021</v>
      </c>
      <c r="E16" s="2066" t="str">
        <f>TEXT([31]Input_Cty!$F$5,"0000")</f>
        <v>2022</v>
      </c>
      <c r="F16" s="2066" t="str">
        <f>TEXT([31]Input_Cty!$G$5,"0000")</f>
        <v>2023</v>
      </c>
      <c r="G16" s="2066">
        <f>G9</f>
        <v>2024</v>
      </c>
      <c r="H16" s="2066">
        <f t="shared" ref="H16:P16" si="2">H9</f>
        <v>2025</v>
      </c>
      <c r="I16" s="2066">
        <f t="shared" si="2"/>
        <v>2026</v>
      </c>
      <c r="J16" s="2066">
        <f t="shared" si="2"/>
        <v>2027</v>
      </c>
      <c r="K16" s="2066">
        <f t="shared" si="2"/>
        <v>2028</v>
      </c>
      <c r="L16" s="2066">
        <f t="shared" si="2"/>
        <v>2029</v>
      </c>
      <c r="M16" s="2066">
        <f t="shared" si="2"/>
        <v>2030</v>
      </c>
      <c r="N16" s="2066">
        <f t="shared" si="2"/>
        <v>2031</v>
      </c>
      <c r="O16" s="2066">
        <f t="shared" si="2"/>
        <v>2032</v>
      </c>
      <c r="P16" s="2066">
        <f t="shared" si="2"/>
        <v>2033</v>
      </c>
      <c r="Q16" s="2054"/>
    </row>
    <row r="17" spans="2:17" outlineLevel="1" x14ac:dyDescent="0.25">
      <c r="B17" s="2011" t="s">
        <v>2065</v>
      </c>
      <c r="C17" s="2051">
        <f t="shared" ref="C17:F21" si="3">C10/C$14</f>
        <v>0.94149449188065693</v>
      </c>
      <c r="D17" s="2051">
        <f t="shared" si="3"/>
        <v>0.94490303214527605</v>
      </c>
      <c r="E17" s="2051">
        <f t="shared" si="3"/>
        <v>0.93496580053060896</v>
      </c>
      <c r="F17" s="2051">
        <f t="shared" si="3"/>
        <v>0.90926402599100309</v>
      </c>
      <c r="G17" s="2051">
        <f t="shared" ref="G17:P17" ca="1" si="4">G10/G$14</f>
        <v>0.87040978391400403</v>
      </c>
      <c r="H17" s="2051">
        <f t="shared" ca="1" si="4"/>
        <v>0.88883959809740676</v>
      </c>
      <c r="I17" s="2051">
        <f t="shared" ca="1" si="4"/>
        <v>0.90238377341595144</v>
      </c>
      <c r="J17" s="2051">
        <f t="shared" ca="1" si="4"/>
        <v>0.9223111529029735</v>
      </c>
      <c r="K17" s="2051">
        <f t="shared" ca="1" si="4"/>
        <v>0.92824606541741939</v>
      </c>
      <c r="L17" s="2051">
        <f t="shared" ca="1" si="4"/>
        <v>0.92841936842718531</v>
      </c>
      <c r="M17" s="2051">
        <f t="shared" ca="1" si="4"/>
        <v>0.92856325887099878</v>
      </c>
      <c r="N17" s="2051">
        <f t="shared" ca="1" si="4"/>
        <v>0.92932918960879329</v>
      </c>
      <c r="O17" s="2051">
        <f t="shared" ca="1" si="4"/>
        <v>0.92940906669269985</v>
      </c>
      <c r="P17" s="2051">
        <f t="shared" ca="1" si="4"/>
        <v>0.92978746532082668</v>
      </c>
      <c r="Q17" s="2054"/>
    </row>
    <row r="18" spans="2:17" outlineLevel="1" x14ac:dyDescent="0.25">
      <c r="B18" s="2011" t="s">
        <v>2064</v>
      </c>
      <c r="C18" s="2051">
        <f t="shared" si="3"/>
        <v>2.7745019273951881E-2</v>
      </c>
      <c r="D18" s="2051">
        <f t="shared" si="3"/>
        <v>1.5441038326939757E-2</v>
      </c>
      <c r="E18" s="2051">
        <f t="shared" si="3"/>
        <v>4.135185059255652E-2</v>
      </c>
      <c r="F18" s="2051">
        <f t="shared" si="3"/>
        <v>3.553729433059892E-2</v>
      </c>
      <c r="G18" s="2051">
        <f t="shared" ref="G18:P18" ca="1" si="5">G11/G$14</f>
        <v>3.6347859980736981E-2</v>
      </c>
      <c r="H18" s="2051">
        <f t="shared" ca="1" si="5"/>
        <v>1.8231308249157776E-2</v>
      </c>
      <c r="I18" s="2051">
        <f t="shared" ca="1" si="5"/>
        <v>1.1037279383824575E-2</v>
      </c>
      <c r="J18" s="2051">
        <f t="shared" ca="1" si="5"/>
        <v>3.550949432429504E-3</v>
      </c>
      <c r="K18" s="2051">
        <f t="shared" ca="1" si="5"/>
        <v>0</v>
      </c>
      <c r="L18" s="2051">
        <f t="shared" ca="1" si="5"/>
        <v>0</v>
      </c>
      <c r="M18" s="2051">
        <f t="shared" ca="1" si="5"/>
        <v>0</v>
      </c>
      <c r="N18" s="2051">
        <f t="shared" ca="1" si="5"/>
        <v>0</v>
      </c>
      <c r="O18" s="2051">
        <f t="shared" ca="1" si="5"/>
        <v>0</v>
      </c>
      <c r="P18" s="2051">
        <f t="shared" ca="1" si="5"/>
        <v>0</v>
      </c>
      <c r="Q18" s="2054"/>
    </row>
    <row r="19" spans="2:17" outlineLevel="1" x14ac:dyDescent="0.25">
      <c r="B19" s="2011" t="s">
        <v>2063</v>
      </c>
      <c r="C19" s="2051">
        <f t="shared" si="3"/>
        <v>0</v>
      </c>
      <c r="D19" s="2051">
        <f t="shared" si="3"/>
        <v>0</v>
      </c>
      <c r="E19" s="2051">
        <f t="shared" si="3"/>
        <v>0</v>
      </c>
      <c r="F19" s="2051">
        <f t="shared" si="3"/>
        <v>7.6192190981106911E-5</v>
      </c>
      <c r="G19" s="2051">
        <f t="shared" ref="G19:P19" ca="1" si="6">G12/G$14</f>
        <v>3.2086348968114541E-2</v>
      </c>
      <c r="H19" s="2051">
        <f t="shared" ca="1" si="6"/>
        <v>3.0617999223417427E-2</v>
      </c>
      <c r="I19" s="2051">
        <f t="shared" ca="1" si="6"/>
        <v>2.3338973270340749E-2</v>
      </c>
      <c r="J19" s="2051">
        <f t="shared" ca="1" si="6"/>
        <v>1.0533613477383791E-2</v>
      </c>
      <c r="K19" s="2051">
        <f t="shared" ca="1" si="6"/>
        <v>8.127299959856768E-3</v>
      </c>
      <c r="L19" s="2051">
        <f t="shared" ca="1" si="6"/>
        <v>7.6954020695678242E-3</v>
      </c>
      <c r="M19" s="2051">
        <f t="shared" ca="1" si="6"/>
        <v>7.619146885881516E-3</v>
      </c>
      <c r="N19" s="2051">
        <f t="shared" ca="1" si="6"/>
        <v>6.8476176566513568E-3</v>
      </c>
      <c r="O19" s="2051">
        <f t="shared" ca="1" si="6"/>
        <v>6.7460582048969641E-3</v>
      </c>
      <c r="P19" s="2051">
        <f t="shared" ca="1" si="6"/>
        <v>6.3950515203953003E-3</v>
      </c>
      <c r="Q19" s="2054"/>
    </row>
    <row r="20" spans="2:17" outlineLevel="1" x14ac:dyDescent="0.25">
      <c r="B20" s="2011" t="s">
        <v>2062</v>
      </c>
      <c r="C20" s="2051">
        <f t="shared" si="3"/>
        <v>3.0760488845391145E-2</v>
      </c>
      <c r="D20" s="2051">
        <f t="shared" si="3"/>
        <v>3.9655929527784219E-2</v>
      </c>
      <c r="E20" s="2051">
        <f t="shared" si="3"/>
        <v>2.3682348876834267E-2</v>
      </c>
      <c r="F20" s="2051">
        <f t="shared" si="3"/>
        <v>5.5122487487416799E-2</v>
      </c>
      <c r="G20" s="2051">
        <f t="shared" ref="G20:P20" ca="1" si="7">G13/G$14</f>
        <v>6.1156007137144468E-2</v>
      </c>
      <c r="H20" s="2051">
        <f t="shared" ca="1" si="7"/>
        <v>6.2311094430018046E-2</v>
      </c>
      <c r="I20" s="2051">
        <f t="shared" ca="1" si="7"/>
        <v>6.3239973929883342E-2</v>
      </c>
      <c r="J20" s="2051">
        <f t="shared" ca="1" si="7"/>
        <v>6.360428418721327E-2</v>
      </c>
      <c r="K20" s="2051">
        <f t="shared" ca="1" si="7"/>
        <v>6.3626634622723777E-2</v>
      </c>
      <c r="L20" s="2051">
        <f t="shared" ca="1" si="7"/>
        <v>6.3885229503246807E-2</v>
      </c>
      <c r="M20" s="2051">
        <f t="shared" ca="1" si="7"/>
        <v>6.3817594243119613E-2</v>
      </c>
      <c r="N20" s="2051">
        <f t="shared" ca="1" si="7"/>
        <v>6.3823192734555403E-2</v>
      </c>
      <c r="O20" s="2051">
        <f t="shared" ca="1" si="7"/>
        <v>6.3844875102403137E-2</v>
      </c>
      <c r="P20" s="2051">
        <f t="shared" ca="1" si="7"/>
        <v>6.3817483158778082E-2</v>
      </c>
      <c r="Q20" s="2054"/>
    </row>
    <row r="21" spans="2:17" outlineLevel="1" x14ac:dyDescent="0.25">
      <c r="B21" s="2065" t="s">
        <v>2071</v>
      </c>
      <c r="C21" s="2068">
        <f t="shared" si="3"/>
        <v>1</v>
      </c>
      <c r="D21" s="2068">
        <f t="shared" si="3"/>
        <v>1</v>
      </c>
      <c r="E21" s="2068">
        <f t="shared" si="3"/>
        <v>1</v>
      </c>
      <c r="F21" s="2068">
        <f t="shared" si="3"/>
        <v>1</v>
      </c>
      <c r="G21" s="2068">
        <f t="shared" ref="G21:P21" ca="1" si="8">G14/G$14</f>
        <v>1</v>
      </c>
      <c r="H21" s="2068">
        <f t="shared" ca="1" si="8"/>
        <v>1</v>
      </c>
      <c r="I21" s="2068">
        <f t="shared" ca="1" si="8"/>
        <v>1</v>
      </c>
      <c r="J21" s="2068">
        <f t="shared" ca="1" si="8"/>
        <v>1</v>
      </c>
      <c r="K21" s="2068">
        <f t="shared" ca="1" si="8"/>
        <v>1</v>
      </c>
      <c r="L21" s="2068">
        <f t="shared" ca="1" si="8"/>
        <v>1</v>
      </c>
      <c r="M21" s="2068">
        <f t="shared" ca="1" si="8"/>
        <v>1</v>
      </c>
      <c r="N21" s="2068">
        <f t="shared" ca="1" si="8"/>
        <v>1</v>
      </c>
      <c r="O21" s="2068">
        <f t="shared" ca="1" si="8"/>
        <v>1</v>
      </c>
      <c r="P21" s="2068">
        <f t="shared" ca="1" si="8"/>
        <v>1</v>
      </c>
      <c r="Q21" s="2054"/>
    </row>
    <row r="22" spans="2:17" outlineLevel="1" x14ac:dyDescent="0.25">
      <c r="B22" s="2018"/>
      <c r="C22" s="2063"/>
      <c r="D22" s="2063"/>
      <c r="E22" s="2063"/>
      <c r="F22" s="2063"/>
      <c r="K22" s="2017"/>
      <c r="L22" s="2057"/>
      <c r="M22" s="2056"/>
      <c r="N22" s="2055"/>
      <c r="O22" s="2054"/>
      <c r="P22" s="2055"/>
      <c r="Q22" s="2054"/>
    </row>
    <row r="23" spans="2:17" outlineLevel="1" x14ac:dyDescent="0.25">
      <c r="B23" s="2018"/>
      <c r="C23" s="2063"/>
      <c r="D23" s="2063"/>
      <c r="E23" s="2063"/>
      <c r="F23" s="2063"/>
      <c r="K23" s="2017"/>
      <c r="L23" s="2057"/>
      <c r="M23" s="2056"/>
      <c r="N23" s="2055"/>
      <c r="O23" s="2054"/>
      <c r="P23" s="2055"/>
      <c r="Q23" s="2054"/>
    </row>
    <row r="24" spans="2:17" outlineLevel="1" x14ac:dyDescent="0.25">
      <c r="B24" s="2018"/>
      <c r="C24" s="2063"/>
      <c r="D24" s="2063"/>
      <c r="E24" s="2063"/>
      <c r="F24" s="2063"/>
      <c r="K24" s="2017"/>
      <c r="L24" s="2057"/>
      <c r="M24" s="2056"/>
      <c r="N24" s="2055"/>
      <c r="O24" s="2054"/>
      <c r="P24" s="2055"/>
      <c r="Q24" s="2054"/>
    </row>
    <row r="25" spans="2:17" outlineLevel="1" x14ac:dyDescent="0.25">
      <c r="B25" s="2018"/>
      <c r="C25" s="2063"/>
      <c r="D25" s="2063"/>
      <c r="E25" s="2063"/>
      <c r="F25" s="2063"/>
      <c r="K25" s="2017"/>
      <c r="L25" s="2057"/>
      <c r="M25" s="2056"/>
      <c r="N25" s="2055"/>
      <c r="O25" s="2054"/>
      <c r="P25" s="2055"/>
      <c r="Q25" s="2054"/>
    </row>
    <row r="26" spans="2:17" outlineLevel="1" x14ac:dyDescent="0.25">
      <c r="B26" s="2018"/>
      <c r="C26" s="2063"/>
      <c r="D26" s="2063"/>
      <c r="E26" s="2063"/>
      <c r="F26" s="2063"/>
      <c r="K26" s="2017"/>
      <c r="L26" s="2057"/>
      <c r="M26" s="2056"/>
      <c r="N26" s="2055"/>
      <c r="O26" s="2054"/>
      <c r="P26" s="2055"/>
      <c r="Q26" s="2054"/>
    </row>
    <row r="27" spans="2:17" outlineLevel="1" x14ac:dyDescent="0.25">
      <c r="B27" s="2018"/>
      <c r="C27" s="2063"/>
      <c r="D27" s="2063"/>
      <c r="E27" s="2063"/>
      <c r="F27" s="2063"/>
      <c r="K27" s="2017"/>
      <c r="L27" s="2057"/>
      <c r="M27" s="2056"/>
      <c r="N27" s="2055"/>
      <c r="O27" s="2054"/>
      <c r="P27" s="2055"/>
      <c r="Q27" s="2054"/>
    </row>
    <row r="28" spans="2:17" outlineLevel="1" x14ac:dyDescent="0.25">
      <c r="B28" s="2018"/>
      <c r="C28" s="2063"/>
      <c r="D28" s="2063"/>
      <c r="E28" s="2063"/>
      <c r="F28" s="2063"/>
      <c r="K28" s="2017"/>
      <c r="L28" s="2057"/>
      <c r="M28" s="2056"/>
      <c r="N28" s="2055"/>
      <c r="O28" s="2054"/>
      <c r="P28" s="2055"/>
      <c r="Q28" s="2054"/>
    </row>
    <row r="29" spans="2:17" outlineLevel="1" x14ac:dyDescent="0.25">
      <c r="B29" s="2018"/>
      <c r="C29" s="2063"/>
      <c r="D29" s="2063"/>
      <c r="E29" s="2063"/>
      <c r="F29" s="2063"/>
      <c r="K29" s="2017"/>
      <c r="L29" s="2057"/>
      <c r="M29" s="2056"/>
      <c r="N29" s="2055"/>
      <c r="O29" s="2054"/>
      <c r="P29" s="2055"/>
      <c r="Q29" s="2054"/>
    </row>
    <row r="30" spans="2:17" outlineLevel="1" x14ac:dyDescent="0.25">
      <c r="B30" s="2018"/>
      <c r="C30" s="2063"/>
      <c r="D30" s="2063"/>
      <c r="E30" s="2063"/>
      <c r="F30" s="2063"/>
      <c r="K30" s="2017"/>
      <c r="L30" s="2057"/>
      <c r="M30" s="2056"/>
      <c r="N30" s="2055"/>
      <c r="O30" s="2054"/>
      <c r="P30" s="2055"/>
      <c r="Q30" s="2054"/>
    </row>
    <row r="31" spans="2:17" outlineLevel="1" x14ac:dyDescent="0.25">
      <c r="B31" s="2018"/>
      <c r="C31" s="2063"/>
      <c r="D31" s="2063"/>
      <c r="E31" s="2063"/>
      <c r="F31" s="2063"/>
      <c r="K31" s="2017"/>
      <c r="L31" s="2057"/>
      <c r="M31" s="2056"/>
      <c r="N31" s="2055"/>
      <c r="O31" s="2054"/>
      <c r="P31" s="2055"/>
      <c r="Q31" s="2054"/>
    </row>
    <row r="32" spans="2:17" outlineLevel="1" x14ac:dyDescent="0.25">
      <c r="B32" s="2018"/>
      <c r="C32" s="2063"/>
      <c r="D32" s="2063"/>
      <c r="E32" s="2063"/>
      <c r="F32" s="2063"/>
      <c r="K32" s="2017"/>
      <c r="L32" s="2057"/>
      <c r="M32" s="2056"/>
      <c r="N32" s="2055"/>
      <c r="O32" s="2054"/>
      <c r="P32" s="2055"/>
      <c r="Q32" s="2054"/>
    </row>
    <row r="33" spans="2:17" outlineLevel="1" x14ac:dyDescent="0.25">
      <c r="B33" s="2018"/>
      <c r="C33" s="2063"/>
      <c r="D33" s="2063"/>
      <c r="E33" s="2063"/>
      <c r="F33" s="2063"/>
      <c r="K33" s="2017"/>
      <c r="L33" s="2057"/>
      <c r="M33" s="2056"/>
      <c r="N33" s="2055"/>
      <c r="O33" s="2054"/>
      <c r="P33" s="2055"/>
      <c r="Q33" s="2054"/>
    </row>
    <row r="34" spans="2:17" outlineLevel="1" x14ac:dyDescent="0.25">
      <c r="B34" s="2018"/>
      <c r="C34" s="2063"/>
      <c r="D34" s="2063"/>
      <c r="E34" s="2063"/>
      <c r="F34" s="2063"/>
      <c r="K34" s="2017"/>
      <c r="L34" s="2057"/>
      <c r="M34" s="2056"/>
      <c r="N34" s="2055"/>
      <c r="O34" s="2054"/>
      <c r="P34" s="2055"/>
      <c r="Q34" s="2054"/>
    </row>
    <row r="35" spans="2:17" outlineLevel="1" x14ac:dyDescent="0.25">
      <c r="B35" s="2018"/>
      <c r="C35" s="2063"/>
      <c r="D35" s="2063"/>
      <c r="E35" s="2063"/>
      <c r="F35" s="2063"/>
      <c r="K35" s="2017"/>
      <c r="L35" s="2057"/>
      <c r="M35" s="2056"/>
      <c r="N35" s="2055"/>
      <c r="O35" s="2054"/>
      <c r="P35" s="2055"/>
      <c r="Q35" s="2054"/>
    </row>
    <row r="36" spans="2:17" outlineLevel="1" x14ac:dyDescent="0.25">
      <c r="B36" s="2018"/>
      <c r="C36" s="2063"/>
      <c r="D36" s="2063"/>
      <c r="E36" s="2063"/>
      <c r="F36" s="2063"/>
      <c r="K36" s="2017"/>
      <c r="L36" s="2057"/>
      <c r="M36" s="2056"/>
      <c r="N36" s="2055"/>
      <c r="O36" s="2054"/>
      <c r="P36" s="2055"/>
      <c r="Q36" s="2054"/>
    </row>
    <row r="37" spans="2:17" outlineLevel="1" x14ac:dyDescent="0.25">
      <c r="B37" s="2018"/>
      <c r="C37" s="2063"/>
      <c r="D37" s="2063"/>
      <c r="E37" s="2063"/>
      <c r="F37" s="2063"/>
      <c r="K37" s="2017"/>
      <c r="L37" s="2057"/>
      <c r="M37" s="2056"/>
      <c r="N37" s="2055"/>
      <c r="O37" s="2054"/>
      <c r="P37" s="2055"/>
      <c r="Q37" s="2054"/>
    </row>
    <row r="38" spans="2:17" outlineLevel="1" x14ac:dyDescent="0.25">
      <c r="B38" s="2018"/>
      <c r="C38" s="2063"/>
      <c r="D38" s="2063"/>
      <c r="E38" s="2063"/>
      <c r="F38" s="2063"/>
      <c r="K38" s="2017"/>
      <c r="L38" s="2057"/>
      <c r="M38" s="2056"/>
      <c r="N38" s="2055"/>
      <c r="O38" s="2054"/>
      <c r="P38" s="2055"/>
      <c r="Q38" s="2054"/>
    </row>
    <row r="39" spans="2:17" outlineLevel="1" x14ac:dyDescent="0.25">
      <c r="B39" s="2018"/>
      <c r="C39" s="2063"/>
      <c r="D39" s="2063"/>
      <c r="E39" s="2063"/>
      <c r="F39" s="2063"/>
      <c r="K39" s="2017"/>
      <c r="L39" s="2057"/>
      <c r="M39" s="2056"/>
      <c r="N39" s="2055"/>
      <c r="O39" s="2054"/>
      <c r="P39" s="2055"/>
      <c r="Q39" s="2054"/>
    </row>
    <row r="40" spans="2:17" outlineLevel="1" x14ac:dyDescent="0.25">
      <c r="B40" s="2018"/>
      <c r="C40" s="2063"/>
      <c r="D40" s="2063"/>
      <c r="E40" s="2063"/>
      <c r="F40" s="2063"/>
      <c r="K40" s="2017"/>
      <c r="L40" s="2057"/>
      <c r="M40" s="2056"/>
      <c r="N40" s="2055"/>
      <c r="O40" s="2054"/>
      <c r="P40" s="2055"/>
      <c r="Q40" s="2054"/>
    </row>
    <row r="41" spans="2:17" outlineLevel="1" x14ac:dyDescent="0.25">
      <c r="B41" s="2018"/>
      <c r="C41" s="2063"/>
      <c r="D41" s="2063"/>
      <c r="E41" s="2063"/>
      <c r="F41" s="2063"/>
      <c r="K41" s="2017"/>
      <c r="L41" s="2057"/>
      <c r="M41" s="2056"/>
      <c r="N41" s="2055"/>
      <c r="O41" s="2054"/>
      <c r="P41" s="2055"/>
      <c r="Q41" s="2054"/>
    </row>
    <row r="42" spans="2:17" outlineLevel="1" x14ac:dyDescent="0.25">
      <c r="B42" s="2018"/>
      <c r="C42" s="2063"/>
      <c r="D42" s="2063"/>
      <c r="E42" s="2063"/>
      <c r="F42" s="2063"/>
      <c r="K42" s="2017"/>
      <c r="L42" s="2057"/>
      <c r="M42" s="2056"/>
      <c r="N42" s="2055"/>
      <c r="O42" s="2054"/>
      <c r="P42" s="2055"/>
      <c r="Q42" s="2054"/>
    </row>
    <row r="43" spans="2:17" outlineLevel="1" x14ac:dyDescent="0.25">
      <c r="B43" s="2018"/>
      <c r="C43" s="2063"/>
      <c r="D43" s="2063"/>
      <c r="E43" s="2063"/>
      <c r="F43" s="2063"/>
      <c r="K43" s="2017"/>
      <c r="L43" s="2057"/>
      <c r="M43" s="2056"/>
      <c r="N43" s="2055"/>
      <c r="O43" s="2054"/>
      <c r="P43" s="2055"/>
      <c r="Q43" s="2054"/>
    </row>
    <row r="44" spans="2:17" outlineLevel="1" x14ac:dyDescent="0.25">
      <c r="B44" s="2018"/>
      <c r="C44" s="2063"/>
      <c r="D44" s="2063"/>
      <c r="E44" s="2063"/>
      <c r="F44" s="2063"/>
      <c r="K44" s="2017"/>
      <c r="L44" s="2057"/>
      <c r="M44" s="2056"/>
      <c r="N44" s="2055"/>
      <c r="O44" s="2054"/>
      <c r="P44" s="2055"/>
      <c r="Q44" s="2054"/>
    </row>
    <row r="45" spans="2:17" outlineLevel="1" x14ac:dyDescent="0.25">
      <c r="B45" s="2018"/>
      <c r="C45" s="2063"/>
      <c r="D45" s="2063"/>
      <c r="E45" s="2063"/>
      <c r="F45" s="2063"/>
      <c r="K45" s="2017"/>
      <c r="L45" s="2057"/>
      <c r="M45" s="2056"/>
      <c r="N45" s="2055"/>
      <c r="O45" s="2054"/>
      <c r="P45" s="2055"/>
      <c r="Q45" s="2054"/>
    </row>
    <row r="46" spans="2:17" outlineLevel="1" x14ac:dyDescent="0.25">
      <c r="B46" s="2018"/>
      <c r="C46" s="2063"/>
      <c r="D46" s="2063"/>
      <c r="E46" s="2063"/>
      <c r="F46" s="2063"/>
      <c r="K46" s="2017"/>
      <c r="L46" s="2057"/>
      <c r="M46" s="2056"/>
      <c r="N46" s="2055"/>
      <c r="O46" s="2054"/>
      <c r="P46" s="2055"/>
      <c r="Q46" s="2054"/>
    </row>
    <row r="47" spans="2:17" outlineLevel="1" x14ac:dyDescent="0.25">
      <c r="B47" s="2018"/>
      <c r="C47" s="2063"/>
      <c r="D47" s="2063"/>
      <c r="E47" s="2063"/>
      <c r="F47" s="2063"/>
      <c r="K47" s="2017"/>
      <c r="L47" s="2057"/>
      <c r="M47" s="2056"/>
      <c r="N47" s="2055"/>
      <c r="O47" s="2054"/>
      <c r="P47" s="2055"/>
      <c r="Q47" s="2054"/>
    </row>
    <row r="48" spans="2:17" outlineLevel="1" x14ac:dyDescent="0.25">
      <c r="B48" s="2018"/>
      <c r="C48" s="2063"/>
      <c r="D48" s="2063"/>
      <c r="E48" s="2063"/>
      <c r="F48" s="2063"/>
      <c r="K48" s="2017"/>
      <c r="L48" s="2057"/>
      <c r="M48" s="2056"/>
      <c r="N48" s="2055"/>
      <c r="O48" s="2054"/>
      <c r="P48" s="2055"/>
      <c r="Q48" s="2054"/>
    </row>
    <row r="49" spans="1:25" outlineLevel="1" x14ac:dyDescent="0.25">
      <c r="F49" s="2057"/>
      <c r="G49" s="2057"/>
      <c r="H49" s="2057"/>
      <c r="I49" s="2057"/>
      <c r="J49" s="2057"/>
      <c r="L49" s="2017"/>
      <c r="M49" s="2057"/>
      <c r="N49" s="2056"/>
      <c r="O49" s="2055"/>
      <c r="P49" s="2054"/>
      <c r="Q49" s="2055"/>
    </row>
    <row r="50" spans="1:25" x14ac:dyDescent="0.25">
      <c r="A50" s="2005" t="s">
        <v>662</v>
      </c>
      <c r="B50" s="2062" t="s">
        <v>2066</v>
      </c>
      <c r="C50" s="2060"/>
      <c r="D50" s="2060"/>
      <c r="E50" s="2060"/>
      <c r="F50" s="2061"/>
      <c r="G50" s="2061"/>
      <c r="H50" s="2061"/>
      <c r="I50" s="2061"/>
      <c r="J50" s="2061"/>
      <c r="L50" s="2060"/>
      <c r="M50" s="2060"/>
      <c r="N50" s="2060"/>
      <c r="O50" s="2058"/>
      <c r="P50" s="2058"/>
      <c r="Q50" s="2059"/>
      <c r="R50" s="2058"/>
      <c r="S50" s="2058"/>
      <c r="T50" s="2058"/>
      <c r="U50" s="2058"/>
      <c r="V50" s="2058"/>
      <c r="W50" s="2058"/>
      <c r="X50" s="2058"/>
      <c r="Y50" s="2058"/>
    </row>
    <row r="51" spans="1:25" ht="20.45" customHeight="1" outlineLevel="1" x14ac:dyDescent="0.25">
      <c r="B51" s="1843"/>
      <c r="C51" s="1843"/>
      <c r="D51" s="1843"/>
      <c r="E51" s="1843"/>
      <c r="F51" s="1843"/>
      <c r="G51" s="1843"/>
      <c r="H51" s="1843"/>
      <c r="I51" s="1843"/>
      <c r="J51" s="1843"/>
      <c r="K51" s="2070"/>
      <c r="L51" s="2056"/>
      <c r="M51" s="2055"/>
      <c r="N51" s="2054"/>
      <c r="O51" s="2055"/>
      <c r="P51" s="2054"/>
    </row>
    <row r="52" spans="1:25" ht="14.45" customHeight="1" outlineLevel="1" x14ac:dyDescent="0.25">
      <c r="B52" s="2053" t="s">
        <v>142</v>
      </c>
      <c r="C52" s="2052">
        <f>C16</f>
        <v>2020</v>
      </c>
      <c r="D52" s="2052" t="str">
        <f t="shared" ref="D52:P52" si="9">D16</f>
        <v>2021</v>
      </c>
      <c r="E52" s="2052" t="str">
        <f t="shared" si="9"/>
        <v>2022</v>
      </c>
      <c r="F52" s="2052" t="str">
        <f t="shared" si="9"/>
        <v>2023</v>
      </c>
      <c r="G52" s="2052">
        <f t="shared" si="9"/>
        <v>2024</v>
      </c>
      <c r="H52" s="2052">
        <f t="shared" si="9"/>
        <v>2025</v>
      </c>
      <c r="I52" s="2052">
        <f t="shared" si="9"/>
        <v>2026</v>
      </c>
      <c r="J52" s="2052">
        <f t="shared" si="9"/>
        <v>2027</v>
      </c>
      <c r="K52" s="2052">
        <f t="shared" si="9"/>
        <v>2028</v>
      </c>
      <c r="L52" s="2052">
        <f t="shared" si="9"/>
        <v>2029</v>
      </c>
      <c r="M52" s="2052">
        <f t="shared" si="9"/>
        <v>2030</v>
      </c>
      <c r="N52" s="2052">
        <f t="shared" si="9"/>
        <v>2031</v>
      </c>
      <c r="O52" s="2052">
        <f t="shared" si="9"/>
        <v>2032</v>
      </c>
      <c r="P52" s="2052">
        <f t="shared" si="9"/>
        <v>2033</v>
      </c>
    </row>
    <row r="53" spans="1:25" outlineLevel="1" x14ac:dyDescent="0.25">
      <c r="B53" s="2011" t="s">
        <v>2065</v>
      </c>
      <c r="C53" s="2051">
        <v>0.94233671398460161</v>
      </c>
      <c r="D53" s="2051">
        <f>D10/'Biểu đồ - PL'!E$6</f>
        <v>0.94292979402613275</v>
      </c>
      <c r="E53" s="2051">
        <f>E10/'Biểu đồ - PL'!F$6</f>
        <v>0.970360464813389</v>
      </c>
      <c r="F53" s="2051">
        <f>F10/'Biểu đồ - PL'!G$6</f>
        <v>0.87504689639850619</v>
      </c>
      <c r="G53" s="2051">
        <f ca="1">G10/'Biểu đồ - PL'!H$6</f>
        <v>0.84055832217616944</v>
      </c>
      <c r="H53" s="2051">
        <f ca="1">H10/'Biểu đồ - PL'!I$6</f>
        <v>0.84113731243809131</v>
      </c>
      <c r="I53" s="2051">
        <f ca="1">I10/'Biểu đồ - PL'!J$6</f>
        <v>0.83950621930882541</v>
      </c>
      <c r="J53" s="2051">
        <f ca="1">J10/'Biểu đồ - PL'!K$6</f>
        <v>0.83698779891627062</v>
      </c>
      <c r="K53" s="2051">
        <f ca="1">K10/'Biểu đồ - PL'!L$6</f>
        <v>0.83581660430899751</v>
      </c>
      <c r="L53" s="2051">
        <f ca="1">L10/'Biểu đồ - PL'!M$6</f>
        <v>0.83151611783418322</v>
      </c>
      <c r="M53" s="2051">
        <f ca="1">M10/'Biểu đồ - PL'!N$6</f>
        <v>0.83146304633937063</v>
      </c>
      <c r="N53" s="2051">
        <f ca="1">N10/'Biểu đồ - PL'!O$6</f>
        <v>0.83102231251887593</v>
      </c>
      <c r="O53" s="2051">
        <f ca="1">O10/'Biểu đồ - PL'!P$6</f>
        <v>0.82976862325600054</v>
      </c>
      <c r="P53" s="2051">
        <f ca="1">P10/'Biểu đồ - PL'!Q$6</f>
        <v>0.82942935911255233</v>
      </c>
    </row>
    <row r="54" spans="1:25" outlineLevel="1" x14ac:dyDescent="0.25">
      <c r="B54" s="2011" t="s">
        <v>2064</v>
      </c>
      <c r="C54" s="2051">
        <v>2.7769838822773896E-2</v>
      </c>
      <c r="D54" s="2051">
        <f>D11/'Biểu đồ - PL'!E$6</f>
        <v>1.5408792853711996E-2</v>
      </c>
      <c r="E54" s="2051">
        <f>E11/'Biểu đồ - PL'!F$6</f>
        <v>4.2917292738530816E-2</v>
      </c>
      <c r="F54" s="2051">
        <f>F11/'Biểu đồ - PL'!G$6</f>
        <v>3.4199966370052466E-2</v>
      </c>
      <c r="G54" s="2051">
        <f>G11/'Biểu đồ - PL'!H$6</f>
        <v>3.5101278460722335E-2</v>
      </c>
      <c r="H54" s="2051">
        <f ca="1">H11/'Biểu đồ - PL'!I$6</f>
        <v>1.725286953433687E-2</v>
      </c>
      <c r="I54" s="2051">
        <f ca="1">I11/'Biểu đồ - PL'!J$6</f>
        <v>1.0268208449598012E-2</v>
      </c>
      <c r="J54" s="2051">
        <f ca="1">J11/'Biểu đồ - PL'!K$6</f>
        <v>3.2224497558741047E-3</v>
      </c>
      <c r="K54" s="2051">
        <f ca="1">K11/'Biểu đồ - PL'!L$6</f>
        <v>0</v>
      </c>
      <c r="L54" s="2051">
        <f ca="1">L11/'Biểu đồ - PL'!M$6</f>
        <v>0</v>
      </c>
      <c r="M54" s="2051">
        <f ca="1">M11/'Biểu đồ - PL'!N$6</f>
        <v>0</v>
      </c>
      <c r="N54" s="2051">
        <f ca="1">N11/'Biểu đồ - PL'!O$6</f>
        <v>0</v>
      </c>
      <c r="O54" s="2051">
        <f ca="1">O11/'Biểu đồ - PL'!P$6</f>
        <v>0</v>
      </c>
      <c r="P54" s="2051">
        <f ca="1">P11/'Biểu đồ - PL'!Q$6</f>
        <v>0</v>
      </c>
    </row>
    <row r="55" spans="1:25" outlineLevel="1" x14ac:dyDescent="0.25">
      <c r="B55" s="2011" t="s">
        <v>2063</v>
      </c>
      <c r="C55" s="2051">
        <v>0</v>
      </c>
      <c r="D55" s="2051">
        <f>D12/'Biểu đồ - PL'!E$6</f>
        <v>0</v>
      </c>
      <c r="E55" s="2051">
        <f>E12/'Biểu đồ - PL'!F$6</f>
        <v>0</v>
      </c>
      <c r="F55" s="2051">
        <f>F12/'Biểu đồ - PL'!G$6</f>
        <v>7.3324951105543408E-5</v>
      </c>
      <c r="G55" s="2051">
        <f ca="1">G12/'Biểu đồ - PL'!H$6</f>
        <v>3.0985919680404341E-2</v>
      </c>
      <c r="H55" s="2051">
        <f ca="1">H12/'Biểu đồ - PL'!I$6</f>
        <v>2.8974790990572589E-2</v>
      </c>
      <c r="I55" s="2051">
        <f ca="1">I12/'Biểu đồ - PL'!J$6</f>
        <v>2.1712727766107619E-2</v>
      </c>
      <c r="J55" s="2051">
        <f ca="1">J12/'Biểu đồ - PL'!K$6</f>
        <v>9.5591449060550525E-3</v>
      </c>
      <c r="K55" s="2051">
        <f ca="1">K12/'Biểu đồ - PL'!L$6</f>
        <v>7.3180296773931904E-3</v>
      </c>
      <c r="L55" s="2051">
        <f ca="1">L12/'Biểu đồ - PL'!M$6</f>
        <v>6.8921987968651793E-3</v>
      </c>
      <c r="M55" s="2051">
        <f ca="1">M12/'Biểu đồ - PL'!N$6</f>
        <v>6.8224098032315886E-3</v>
      </c>
      <c r="N55" s="2051">
        <f ca="1">N12/'Biểu đồ - PL'!O$6</f>
        <v>6.1232587159679736E-3</v>
      </c>
      <c r="O55" s="2051">
        <f ca="1">O12/'Biểu đồ - PL'!P$6</f>
        <v>6.0228242113039504E-3</v>
      </c>
      <c r="P55" s="2051">
        <f ca="1">P12/'Biểu đồ - PL'!Q$6</f>
        <v>5.7047913441411885E-3</v>
      </c>
    </row>
    <row r="56" spans="1:25" outlineLevel="1" x14ac:dyDescent="0.25">
      <c r="B56" s="2011" t="s">
        <v>2062</v>
      </c>
      <c r="C56" s="2051">
        <v>3.0788005908801659E-2</v>
      </c>
      <c r="D56" s="2051">
        <f>D13/'Biểu đồ - PL'!E$6</f>
        <v>3.9573116171141016E-2</v>
      </c>
      <c r="E56" s="2051">
        <f>E13/'Biểu đồ - PL'!F$6</f>
        <v>2.4578883046798037E-2</v>
      </c>
      <c r="F56" s="2051">
        <f>F13/'Biểu đồ - PL'!G$6</f>
        <v>5.3048135875670102E-2</v>
      </c>
      <c r="G56" s="2051">
        <f ca="1">G13/'Biểu đồ - PL'!H$6</f>
        <v>5.9058608600464448E-2</v>
      </c>
      <c r="H56" s="2051">
        <f ca="1">H13/'Biểu đồ - PL'!I$6</f>
        <v>5.8966979662170411E-2</v>
      </c>
      <c r="I56" s="2051">
        <f ca="1">I13/'Biểu đồ - PL'!J$6</f>
        <v>5.8833450896499211E-2</v>
      </c>
      <c r="J56" s="2051">
        <f ca="1">J13/'Biểu đồ - PL'!K$6</f>
        <v>5.7720227773393279E-2</v>
      </c>
      <c r="K56" s="2051">
        <f ca="1">K13/'Biểu đồ - PL'!L$6</f>
        <v>5.7291056407613082E-2</v>
      </c>
      <c r="L56" s="2051">
        <f ca="1">L13/'Biểu đồ - PL'!M$6</f>
        <v>5.7217244523321109E-2</v>
      </c>
      <c r="M56" s="2051">
        <f ca="1">M13/'Biểu đồ - PL'!N$6</f>
        <v>5.7144164183224246E-2</v>
      </c>
      <c r="N56" s="2051">
        <f ca="1">N13/'Biểu đồ - PL'!O$6</f>
        <v>5.7071808151140747E-2</v>
      </c>
      <c r="O56" s="2051">
        <f ca="1">O13/'Biểu đồ - PL'!P$6</f>
        <v>5.7000169262592874E-2</v>
      </c>
      <c r="P56" s="2051">
        <f ca="1">P13/'Biểu đồ - PL'!Q$6</f>
        <v>5.692924042409734E-2</v>
      </c>
    </row>
    <row r="57" spans="1:25" outlineLevel="1" x14ac:dyDescent="0.25">
      <c r="B57" s="2050" t="s">
        <v>2061</v>
      </c>
      <c r="C57" s="2049">
        <f>SUM(C53:C56)</f>
        <v>1.0008945587161773</v>
      </c>
      <c r="D57" s="2049">
        <f>SUM(D53:D56)</f>
        <v>0.99791170305098575</v>
      </c>
      <c r="E57" s="2049">
        <f>SUM(E53:E56)</f>
        <v>1.037856640598718</v>
      </c>
      <c r="F57" s="2049">
        <f>SUM(F53:F56)</f>
        <v>0.96236832359533442</v>
      </c>
      <c r="G57" s="2049">
        <f t="shared" ref="G57:P57" ca="1" si="10">SUM(G53:G56)</f>
        <v>0.96570412891776047</v>
      </c>
      <c r="H57" s="2049">
        <f t="shared" ca="1" si="10"/>
        <v>0.94633195262517122</v>
      </c>
      <c r="I57" s="2049">
        <f t="shared" ca="1" si="10"/>
        <v>0.93032060642103021</v>
      </c>
      <c r="J57" s="2049">
        <f t="shared" ca="1" si="10"/>
        <v>0.90748962135159306</v>
      </c>
      <c r="K57" s="2049">
        <f t="shared" ca="1" si="10"/>
        <v>0.90042569039400377</v>
      </c>
      <c r="L57" s="2049">
        <f t="shared" ca="1" si="10"/>
        <v>0.89562556115436953</v>
      </c>
      <c r="M57" s="2049">
        <f t="shared" ca="1" si="10"/>
        <v>0.8954296203258264</v>
      </c>
      <c r="N57" s="2049">
        <f t="shared" ca="1" si="10"/>
        <v>0.89421737938598467</v>
      </c>
      <c r="O57" s="2049">
        <f t="shared" ca="1" si="10"/>
        <v>0.89279161672989737</v>
      </c>
      <c r="P57" s="2049">
        <f t="shared" ca="1" si="10"/>
        <v>0.89206339088079079</v>
      </c>
      <c r="Q57" s="2055"/>
      <c r="R57" s="2054"/>
    </row>
    <row r="58" spans="1:25" outlineLevel="1" x14ac:dyDescent="0.25">
      <c r="B58" s="2016"/>
      <c r="C58" s="2083"/>
      <c r="E58" s="2083"/>
      <c r="F58" s="2083"/>
      <c r="G58" s="2082"/>
      <c r="L58" s="2017"/>
      <c r="M58" s="2057"/>
      <c r="N58" s="2056"/>
      <c r="O58" s="2055"/>
      <c r="P58" s="2054"/>
      <c r="Q58" s="2055"/>
      <c r="R58" s="2054"/>
    </row>
    <row r="59" spans="1:25" outlineLevel="1" x14ac:dyDescent="0.25">
      <c r="B59" s="2016"/>
      <c r="C59" s="2083"/>
      <c r="E59" s="2083"/>
      <c r="F59" s="2083"/>
      <c r="G59" s="2082"/>
      <c r="L59" s="2017"/>
      <c r="M59" s="2057"/>
      <c r="N59" s="2056"/>
      <c r="O59" s="2055"/>
      <c r="P59" s="2054"/>
      <c r="Q59" s="2055"/>
      <c r="R59" s="2054"/>
    </row>
    <row r="60" spans="1:25" outlineLevel="1" x14ac:dyDescent="0.25">
      <c r="B60" s="2016"/>
      <c r="C60" s="2083"/>
      <c r="E60" s="2083"/>
      <c r="F60" s="2083"/>
      <c r="G60" s="2082"/>
      <c r="L60" s="2017"/>
      <c r="M60" s="2057"/>
      <c r="N60" s="2056"/>
      <c r="O60" s="2055"/>
      <c r="P60" s="2054"/>
      <c r="Q60" s="2055"/>
      <c r="R60" s="2054"/>
    </row>
    <row r="61" spans="1:25" outlineLevel="1" x14ac:dyDescent="0.25">
      <c r="B61" s="2016"/>
      <c r="C61" s="2083"/>
      <c r="E61" s="2083"/>
      <c r="F61" s="2083"/>
      <c r="G61" s="2082"/>
      <c r="L61" s="2017"/>
      <c r="M61" s="2057"/>
      <c r="N61" s="2056"/>
      <c r="O61" s="2055"/>
      <c r="P61" s="2054"/>
      <c r="Q61" s="2055"/>
      <c r="R61" s="2054"/>
    </row>
    <row r="62" spans="1:25" outlineLevel="1" x14ac:dyDescent="0.25">
      <c r="B62" s="2016"/>
      <c r="C62" s="2083"/>
      <c r="E62" s="2083"/>
      <c r="F62" s="2083"/>
      <c r="G62" s="2082"/>
      <c r="L62" s="2017"/>
      <c r="M62" s="2057"/>
      <c r="N62" s="2056"/>
      <c r="O62" s="2055"/>
      <c r="P62" s="2054"/>
      <c r="Q62" s="2055"/>
      <c r="R62" s="2054"/>
    </row>
    <row r="63" spans="1:25" outlineLevel="1" x14ac:dyDescent="0.25">
      <c r="B63" s="2016"/>
      <c r="C63" s="2083"/>
      <c r="E63" s="2083"/>
      <c r="F63" s="2083"/>
      <c r="G63" s="2082"/>
      <c r="L63" s="2017"/>
      <c r="M63" s="2057"/>
      <c r="N63" s="2056"/>
      <c r="O63" s="2055"/>
      <c r="P63" s="2054"/>
      <c r="Q63" s="2055"/>
      <c r="R63" s="2054"/>
    </row>
    <row r="64" spans="1:25" outlineLevel="1" x14ac:dyDescent="0.25">
      <c r="B64" s="2016"/>
      <c r="C64" s="2083"/>
      <c r="E64" s="2083"/>
      <c r="F64" s="2083"/>
      <c r="G64" s="2082"/>
      <c r="L64" s="2017"/>
      <c r="M64" s="2057"/>
      <c r="N64" s="2056"/>
      <c r="O64" s="2055"/>
      <c r="P64" s="2054"/>
      <c r="Q64" s="2055"/>
      <c r="R64" s="2054"/>
    </row>
    <row r="65" spans="1:25" outlineLevel="1" x14ac:dyDescent="0.25">
      <c r="B65" s="2016"/>
      <c r="C65" s="2083"/>
      <c r="E65" s="2083"/>
      <c r="F65" s="2083"/>
      <c r="G65" s="2082"/>
      <c r="L65" s="2017"/>
      <c r="M65" s="2057"/>
      <c r="N65" s="2056"/>
      <c r="O65" s="2055"/>
      <c r="P65" s="2054"/>
      <c r="Q65" s="2055"/>
      <c r="R65" s="2054"/>
    </row>
    <row r="66" spans="1:25" outlineLevel="1" x14ac:dyDescent="0.25">
      <c r="B66" s="2016"/>
      <c r="C66" s="2083"/>
      <c r="E66" s="2083"/>
      <c r="F66" s="2083"/>
      <c r="G66" s="2082"/>
      <c r="L66" s="2017"/>
      <c r="M66" s="2057"/>
      <c r="N66" s="2056"/>
      <c r="O66" s="2055"/>
      <c r="P66" s="2054"/>
      <c r="Q66" s="2055"/>
      <c r="R66" s="2054"/>
    </row>
    <row r="67" spans="1:25" outlineLevel="1" x14ac:dyDescent="0.25">
      <c r="B67" s="2016"/>
      <c r="C67" s="2083"/>
      <c r="E67" s="2083"/>
      <c r="F67" s="2083"/>
      <c r="G67" s="2082"/>
      <c r="L67" s="2017"/>
      <c r="M67" s="2057"/>
      <c r="N67" s="2056"/>
      <c r="O67" s="2055"/>
      <c r="P67" s="2054"/>
      <c r="Q67" s="2055"/>
      <c r="R67" s="2054"/>
    </row>
    <row r="68" spans="1:25" outlineLevel="1" x14ac:dyDescent="0.25">
      <c r="B68" s="2016"/>
      <c r="C68" s="2083"/>
      <c r="E68" s="2083"/>
      <c r="F68" s="2083"/>
      <c r="G68" s="2082"/>
      <c r="L68" s="2017"/>
      <c r="M68" s="2057"/>
      <c r="N68" s="2056"/>
      <c r="O68" s="2055"/>
      <c r="P68" s="2054"/>
      <c r="Q68" s="2055"/>
      <c r="R68" s="2054"/>
    </row>
    <row r="69" spans="1:25" outlineLevel="1" x14ac:dyDescent="0.25">
      <c r="B69" s="2016"/>
      <c r="C69" s="2083"/>
      <c r="E69" s="2083"/>
      <c r="F69" s="2083"/>
      <c r="G69" s="2082"/>
      <c r="L69" s="2017"/>
      <c r="M69" s="2057"/>
      <c r="N69" s="2056"/>
      <c r="O69" s="2055"/>
      <c r="P69" s="2054"/>
      <c r="Q69" s="2055"/>
      <c r="R69" s="2054"/>
    </row>
    <row r="70" spans="1:25" outlineLevel="1" x14ac:dyDescent="0.25">
      <c r="B70" s="2016"/>
      <c r="C70" s="2083"/>
      <c r="E70" s="2083"/>
      <c r="F70" s="2083"/>
      <c r="G70" s="2082"/>
      <c r="L70" s="2017"/>
      <c r="M70" s="2057"/>
      <c r="N70" s="2056"/>
      <c r="O70" s="2055"/>
      <c r="P70" s="2054"/>
      <c r="Q70" s="2055"/>
      <c r="R70" s="2054"/>
    </row>
    <row r="71" spans="1:25" outlineLevel="1" x14ac:dyDescent="0.25">
      <c r="B71" s="2016"/>
      <c r="C71" s="2083"/>
      <c r="E71" s="2083"/>
      <c r="F71" s="2083"/>
      <c r="G71" s="2082"/>
      <c r="L71" s="2017"/>
      <c r="M71" s="2057"/>
      <c r="N71" s="2056"/>
      <c r="O71" s="2055"/>
      <c r="P71" s="2054"/>
      <c r="Q71" s="2055"/>
      <c r="R71" s="2054"/>
    </row>
    <row r="72" spans="1:25" outlineLevel="1" x14ac:dyDescent="0.25">
      <c r="B72" s="2016"/>
      <c r="C72" s="2083"/>
      <c r="E72" s="2083"/>
      <c r="F72" s="2083"/>
      <c r="G72" s="2082"/>
      <c r="L72" s="2017"/>
      <c r="M72" s="2057"/>
      <c r="N72" s="2056"/>
      <c r="O72" s="2055"/>
      <c r="P72" s="2054"/>
      <c r="Q72" s="2055"/>
      <c r="R72" s="2054"/>
    </row>
    <row r="73" spans="1:25" outlineLevel="1" x14ac:dyDescent="0.25">
      <c r="B73" s="2016"/>
      <c r="C73" s="2083"/>
      <c r="E73" s="2083"/>
      <c r="F73" s="2083"/>
      <c r="G73" s="2082"/>
      <c r="L73" s="2017"/>
      <c r="M73" s="2057"/>
      <c r="N73" s="2056"/>
      <c r="O73" s="2055"/>
      <c r="P73" s="2054"/>
      <c r="Q73" s="2055"/>
      <c r="R73" s="2054"/>
    </row>
    <row r="74" spans="1:25" outlineLevel="1" x14ac:dyDescent="0.25">
      <c r="B74" s="2016"/>
      <c r="C74" s="2083"/>
      <c r="E74" s="2083"/>
      <c r="F74" s="2083"/>
      <c r="G74" s="2082"/>
      <c r="L74" s="2017"/>
      <c r="M74" s="2057"/>
      <c r="N74" s="2056"/>
      <c r="O74" s="2055"/>
      <c r="P74" s="2054"/>
      <c r="Q74" s="2055"/>
      <c r="R74" s="2054"/>
    </row>
    <row r="75" spans="1:25" outlineLevel="1" x14ac:dyDescent="0.25">
      <c r="B75" s="2016"/>
      <c r="C75" s="2083"/>
      <c r="E75" s="2083"/>
      <c r="F75" s="2083"/>
      <c r="G75" s="2082"/>
      <c r="L75" s="2017"/>
      <c r="M75" s="2057"/>
      <c r="N75" s="2056"/>
      <c r="O75" s="2055"/>
      <c r="P75" s="2054"/>
      <c r="Q75" s="2055"/>
      <c r="R75" s="2054"/>
    </row>
    <row r="76" spans="1:25" outlineLevel="1" x14ac:dyDescent="0.25">
      <c r="B76" s="2016"/>
      <c r="C76" s="2083"/>
      <c r="E76" s="2083"/>
      <c r="F76" s="2083"/>
      <c r="G76" s="2082"/>
      <c r="L76" s="2017"/>
      <c r="M76" s="2057"/>
      <c r="N76" s="2056"/>
      <c r="O76" s="2055"/>
      <c r="P76" s="2054"/>
      <c r="Q76" s="2055"/>
      <c r="R76" s="2054"/>
    </row>
    <row r="77" spans="1:25" outlineLevel="1" x14ac:dyDescent="0.25">
      <c r="B77" s="2016"/>
      <c r="C77" s="2083"/>
      <c r="E77" s="2083"/>
      <c r="F77" s="2083"/>
      <c r="G77" s="2082"/>
      <c r="L77" s="2017"/>
      <c r="M77" s="2057"/>
      <c r="N77" s="2056"/>
      <c r="O77" s="2055"/>
      <c r="P77" s="2054"/>
      <c r="Q77" s="2055"/>
      <c r="R77" s="2054"/>
    </row>
    <row r="78" spans="1:25" outlineLevel="1" x14ac:dyDescent="0.25">
      <c r="B78" s="2016"/>
      <c r="C78" s="2083"/>
      <c r="E78" s="2083"/>
      <c r="F78" s="2083"/>
      <c r="G78" s="2082"/>
      <c r="L78" s="2017"/>
      <c r="M78" s="2057"/>
      <c r="N78" s="2056"/>
      <c r="O78" s="2055"/>
      <c r="P78" s="2054"/>
      <c r="Q78" s="2055"/>
      <c r="R78" s="2054"/>
    </row>
    <row r="79" spans="1:25" outlineLevel="1" x14ac:dyDescent="0.25">
      <c r="B79" s="2016"/>
      <c r="C79" s="2083"/>
      <c r="E79" s="2083"/>
      <c r="F79" s="2083"/>
      <c r="G79" s="2082"/>
      <c r="L79" s="2017"/>
      <c r="M79" s="2057"/>
      <c r="N79" s="2056"/>
      <c r="O79" s="2055"/>
      <c r="P79" s="2054"/>
      <c r="Q79" s="2055"/>
      <c r="R79" s="2054"/>
    </row>
    <row r="80" spans="1:25" x14ac:dyDescent="0.25">
      <c r="A80" s="2005" t="s">
        <v>664</v>
      </c>
      <c r="B80" s="2062" t="s">
        <v>2070</v>
      </c>
      <c r="C80" s="2060"/>
      <c r="D80" s="2060"/>
      <c r="E80" s="2060"/>
      <c r="F80" s="2061"/>
      <c r="G80" s="2061"/>
      <c r="H80" s="2061"/>
      <c r="I80" s="2061"/>
      <c r="J80" s="2061"/>
      <c r="L80" s="2060"/>
      <c r="M80" s="2060"/>
      <c r="N80" s="2060"/>
      <c r="O80" s="2058"/>
      <c r="P80" s="2058"/>
      <c r="Q80" s="2059"/>
      <c r="R80" s="2058"/>
      <c r="S80" s="2058"/>
      <c r="T80" s="2058"/>
      <c r="U80" s="2058"/>
      <c r="V80" s="2058"/>
      <c r="W80" s="2058"/>
      <c r="X80" s="2058"/>
      <c r="Y80" s="2058"/>
    </row>
    <row r="81" spans="2:18" outlineLevel="1" x14ac:dyDescent="0.25">
      <c r="B81" s="2016"/>
      <c r="F81" s="2070"/>
      <c r="G81" s="2070"/>
      <c r="H81" s="2070"/>
      <c r="I81" s="2070"/>
      <c r="J81" s="2070"/>
      <c r="L81" s="2017"/>
      <c r="M81" s="2057"/>
      <c r="N81" s="2056"/>
      <c r="O81" s="2055"/>
      <c r="P81" s="2054"/>
      <c r="Q81" s="2055"/>
      <c r="R81" s="2054"/>
    </row>
    <row r="82" spans="2:18" ht="30" outlineLevel="1" x14ac:dyDescent="0.25">
      <c r="B82" s="2081"/>
      <c r="C82" s="81" t="s">
        <v>2069</v>
      </c>
      <c r="D82" s="81" t="s">
        <v>2068</v>
      </c>
      <c r="E82" s="81" t="s">
        <v>2104</v>
      </c>
      <c r="L82" s="2017"/>
      <c r="M82" s="2057"/>
      <c r="N82" s="2056"/>
      <c r="O82" s="2055"/>
      <c r="P82" s="2054"/>
      <c r="Q82" s="2055"/>
      <c r="R82" s="2054"/>
    </row>
    <row r="83" spans="2:18" outlineLevel="1" x14ac:dyDescent="0.25">
      <c r="B83" s="2011" t="s">
        <v>2065</v>
      </c>
      <c r="C83" s="2010">
        <f>'5. DNCN (Tỷ)'!S17/'5. DNCN (Tỷ)'!Q17</f>
        <v>0.82742075030556073</v>
      </c>
      <c r="D83" s="2010">
        <f>'5. DNCN (Tỷ)'!S18/'5. DNCN (Tỷ)'!Q18</f>
        <v>0.8032687807428307</v>
      </c>
      <c r="E83" s="2079">
        <f ca="1">AVERAGE(G53:P53)</f>
        <v>0.8347205716209336</v>
      </c>
      <c r="L83" s="2017"/>
      <c r="M83" s="2057"/>
      <c r="N83" s="2056"/>
      <c r="O83" s="2055"/>
      <c r="P83" s="2054"/>
      <c r="Q83" s="2055"/>
      <c r="R83" s="2054"/>
    </row>
    <row r="84" spans="2:18" outlineLevel="1" x14ac:dyDescent="0.25">
      <c r="B84" s="2011" t="s">
        <v>2064</v>
      </c>
      <c r="C84" s="2010">
        <f>'5. DNCN (Tỷ)'!X17/'5. DNCN (Tỷ)'!Q17</f>
        <v>2.3961525528945385E-2</v>
      </c>
      <c r="D84" s="2010">
        <f>'5. DNCN (Tỷ)'!X18/'5. DNCN (Tỷ)'!Q18</f>
        <v>1.1641105898936912E-2</v>
      </c>
      <c r="E84" s="2079">
        <f t="shared" ref="E84:E86" ca="1" si="11">AVERAGE(G54:P54)</f>
        <v>6.5844806200531323E-3</v>
      </c>
      <c r="L84" s="2017"/>
      <c r="M84" s="2057"/>
      <c r="N84" s="2056"/>
      <c r="O84" s="2055"/>
      <c r="P84" s="2054"/>
      <c r="Q84" s="2055"/>
      <c r="R84" s="2054"/>
    </row>
    <row r="85" spans="2:18" outlineLevel="1" x14ac:dyDescent="0.25">
      <c r="B85" s="2011" t="s">
        <v>2063</v>
      </c>
      <c r="C85" s="2010">
        <f>'5. DNCN (Tỷ)'!Y17/'5. DNCN (Tỷ)'!Q17</f>
        <v>4.8620917632404545E-2</v>
      </c>
      <c r="D85" s="2010">
        <f>'5. DNCN (Tỷ)'!Y18/'5. DNCN (Tỷ)'!Q18</f>
        <v>7.6272085549174418E-2</v>
      </c>
      <c r="E85" s="2079">
        <f t="shared" ca="1" si="11"/>
        <v>1.3011609589204267E-2</v>
      </c>
      <c r="L85" s="2017"/>
      <c r="M85" s="2057"/>
      <c r="N85" s="2056"/>
      <c r="O85" s="2055"/>
      <c r="P85" s="2054"/>
      <c r="Q85" s="2055"/>
      <c r="R85" s="2054"/>
    </row>
    <row r="86" spans="2:18" outlineLevel="1" x14ac:dyDescent="0.25">
      <c r="B86" s="2011" t="s">
        <v>2062</v>
      </c>
      <c r="C86" s="2010">
        <f>'5. DNCN (Tỷ)'!Z17/'5. DNCN (Tỷ)'!Q17</f>
        <v>4.1230169892597167E-2</v>
      </c>
      <c r="D86" s="2080">
        <f>'5. DNCN (Tỷ)'!Z18/'5. DNCN (Tỷ)'!Q18</f>
        <v>3.6467462054052151E-2</v>
      </c>
      <c r="E86" s="2079">
        <f t="shared" ca="1" si="11"/>
        <v>5.7723294988451669E-2</v>
      </c>
      <c r="L86" s="2017"/>
      <c r="M86" s="2057"/>
      <c r="N86" s="2056"/>
      <c r="O86" s="2055"/>
      <c r="P86" s="2054"/>
      <c r="Q86" s="2055"/>
      <c r="R86" s="2054"/>
    </row>
    <row r="87" spans="2:18" outlineLevel="1" x14ac:dyDescent="0.25">
      <c r="B87" s="2003"/>
      <c r="E87" s="2078"/>
      <c r="G87" s="2017"/>
      <c r="H87" s="2057"/>
      <c r="I87" s="2057"/>
      <c r="J87" s="2057"/>
      <c r="K87" s="2056"/>
      <c r="L87" s="2055"/>
      <c r="M87" s="2054"/>
      <c r="N87" s="2055"/>
      <c r="O87" s="2054"/>
    </row>
    <row r="88" spans="2:18" outlineLevel="1" x14ac:dyDescent="0.25">
      <c r="L88" s="2017"/>
      <c r="M88" s="2057"/>
      <c r="N88" s="2056"/>
      <c r="O88" s="2055"/>
      <c r="P88" s="2054"/>
      <c r="Q88" s="2055"/>
      <c r="R88" s="2054"/>
    </row>
    <row r="89" spans="2:18" outlineLevel="1" x14ac:dyDescent="0.25">
      <c r="L89" s="2017"/>
      <c r="M89" s="2057"/>
      <c r="N89" s="2056"/>
      <c r="O89" s="2055"/>
      <c r="P89" s="2054"/>
      <c r="Q89" s="2055"/>
      <c r="R89" s="2054"/>
    </row>
    <row r="90" spans="2:18" outlineLevel="1" x14ac:dyDescent="0.25">
      <c r="L90" s="2017"/>
      <c r="M90" s="2057"/>
      <c r="N90" s="2056"/>
      <c r="O90" s="2055"/>
      <c r="P90" s="2054"/>
      <c r="Q90" s="2055"/>
      <c r="R90" s="2054"/>
    </row>
    <row r="91" spans="2:18" outlineLevel="1" x14ac:dyDescent="0.25">
      <c r="L91" s="2017"/>
      <c r="M91" s="2057"/>
      <c r="N91" s="2056"/>
      <c r="O91" s="2055"/>
      <c r="P91" s="2054"/>
      <c r="Q91" s="2055"/>
      <c r="R91" s="2054"/>
    </row>
    <row r="92" spans="2:18" outlineLevel="1" x14ac:dyDescent="0.25">
      <c r="L92" s="2017"/>
      <c r="M92" s="2057"/>
      <c r="N92" s="2056"/>
      <c r="O92" s="2055"/>
      <c r="P92" s="2054"/>
      <c r="Q92" s="2055"/>
      <c r="R92" s="2054"/>
    </row>
    <row r="93" spans="2:18" outlineLevel="1" x14ac:dyDescent="0.25">
      <c r="L93" s="2017"/>
      <c r="M93" s="2057"/>
      <c r="N93" s="2056"/>
      <c r="O93" s="2055"/>
      <c r="P93" s="2054"/>
      <c r="Q93" s="2055"/>
      <c r="R93" s="2054"/>
    </row>
    <row r="94" spans="2:18" outlineLevel="1" x14ac:dyDescent="0.25">
      <c r="L94" s="2017"/>
      <c r="M94" s="2057"/>
      <c r="N94" s="2056"/>
      <c r="O94" s="2055"/>
      <c r="P94" s="2054"/>
      <c r="Q94" s="2055"/>
      <c r="R94" s="2054"/>
    </row>
    <row r="95" spans="2:18" outlineLevel="1" x14ac:dyDescent="0.25">
      <c r="L95" s="2017"/>
      <c r="M95" s="2057"/>
      <c r="N95" s="2056"/>
      <c r="O95" s="2055"/>
      <c r="P95" s="2054"/>
      <c r="Q95" s="2055"/>
      <c r="R95" s="2054"/>
    </row>
    <row r="96" spans="2:18" outlineLevel="1" x14ac:dyDescent="0.25">
      <c r="L96" s="2017"/>
      <c r="M96" s="2057"/>
      <c r="N96" s="2056"/>
      <c r="O96" s="2055"/>
      <c r="P96" s="2054"/>
      <c r="Q96" s="2055"/>
      <c r="R96" s="2054"/>
    </row>
    <row r="97" spans="12:18" outlineLevel="1" x14ac:dyDescent="0.25">
      <c r="L97" s="2017"/>
      <c r="M97" s="2057"/>
      <c r="N97" s="2056"/>
      <c r="O97" s="2055"/>
      <c r="P97" s="2054"/>
      <c r="Q97" s="2055"/>
      <c r="R97" s="2054"/>
    </row>
    <row r="98" spans="12:18" x14ac:dyDescent="0.25">
      <c r="L98" s="2017"/>
      <c r="M98" s="2057"/>
      <c r="N98" s="2056"/>
      <c r="O98" s="2055"/>
      <c r="P98" s="2054"/>
      <c r="Q98" s="2055"/>
      <c r="R98" s="2054"/>
    </row>
  </sheetData>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59646-C67A-456F-B7E5-0BD9A24B282E}">
  <sheetPr>
    <tabColor rgb="FF006934"/>
  </sheetPr>
  <dimension ref="A2:AE182"/>
  <sheetViews>
    <sheetView showGridLines="0" topLeftCell="A118" zoomScale="70" zoomScaleNormal="70" workbookViewId="0">
      <selection activeCell="R135" sqref="R135"/>
    </sheetView>
  </sheetViews>
  <sheetFormatPr defaultColWidth="9.140625" defaultRowHeight="15" outlineLevelRow="1" x14ac:dyDescent="0.25"/>
  <cols>
    <col min="1" max="1" width="10.28515625" style="2005" customWidth="1"/>
    <col min="2" max="2" width="17.42578125" style="2004" customWidth="1"/>
    <col min="3" max="3" width="11.42578125" style="2003" customWidth="1"/>
    <col min="4" max="5" width="10.28515625" style="2003" customWidth="1"/>
    <col min="6" max="13" width="10.85546875" style="2003" customWidth="1"/>
    <col min="14" max="16" width="10.85546875" style="1843" customWidth="1"/>
    <col min="17" max="17" width="17.28515625" style="1843" bestFit="1" customWidth="1"/>
    <col min="18" max="18" width="14.28515625" style="1843" bestFit="1" customWidth="1"/>
    <col min="19" max="19" width="14.7109375" style="1843" bestFit="1" customWidth="1"/>
    <col min="20" max="20" width="8.28515625" style="1843" bestFit="1" customWidth="1"/>
    <col min="21" max="21" width="6.85546875" style="1843" bestFit="1" customWidth="1"/>
    <col min="22" max="22" width="9.28515625" style="1843" bestFit="1" customWidth="1"/>
    <col min="23" max="23" width="15.7109375" style="1843" bestFit="1" customWidth="1"/>
    <col min="24" max="24" width="5.7109375" style="1843" bestFit="1" customWidth="1"/>
    <col min="25" max="25" width="32.7109375" style="1843" customWidth="1"/>
    <col min="26" max="26" width="7" style="1843" customWidth="1"/>
    <col min="27" max="28" width="6.42578125" style="1843" customWidth="1"/>
    <col min="29" max="29" width="9.140625" style="1843"/>
    <col min="30" max="30" width="19.7109375" style="1843" customWidth="1"/>
    <col min="31" max="31" width="5.5703125" style="1843" customWidth="1"/>
    <col min="32" max="32" width="5.85546875" style="1843" customWidth="1"/>
    <col min="33" max="33" width="5.5703125" style="1843" customWidth="1"/>
    <col min="34" max="34" width="9.140625" style="1843"/>
    <col min="35" max="35" width="41.85546875" style="1843" customWidth="1"/>
    <col min="36" max="37" width="7.7109375" style="1843" customWidth="1"/>
    <col min="38" max="38" width="6.7109375" style="1843" customWidth="1"/>
    <col min="39" max="39" width="9.140625" style="1843"/>
    <col min="40" max="40" width="37.42578125" style="1843" customWidth="1"/>
    <col min="41" max="41" width="8.28515625" style="1843" customWidth="1"/>
    <col min="42" max="42" width="5.5703125" style="1843" customWidth="1"/>
    <col min="43" max="43" width="8.28515625" style="1843" customWidth="1"/>
    <col min="44" max="44" width="9.140625" style="1843"/>
    <col min="45" max="45" width="13.28515625" style="1843" customWidth="1"/>
    <col min="46" max="48" width="9.140625" style="1843"/>
    <col min="49" max="49" width="15.42578125" style="1843" customWidth="1"/>
    <col min="50" max="50" width="14.28515625" style="1843" customWidth="1"/>
    <col min="51" max="52" width="9.140625" style="1843"/>
    <col min="53" max="53" width="16.42578125" style="1843" customWidth="1"/>
    <col min="54" max="54" width="15.42578125" style="1843" customWidth="1"/>
    <col min="55" max="55" width="13.28515625" style="1843" customWidth="1"/>
    <col min="56" max="56" width="18.28515625" style="1843" customWidth="1"/>
    <col min="57" max="16384" width="9.140625" style="1843"/>
  </cols>
  <sheetData>
    <row r="2" spans="1:23" x14ac:dyDescent="0.25">
      <c r="A2" s="2028" t="s">
        <v>2049</v>
      </c>
      <c r="B2" s="2027" t="s">
        <v>2048</v>
      </c>
      <c r="C2" s="2026"/>
      <c r="D2" s="2026"/>
      <c r="E2" s="2026"/>
      <c r="F2" s="2026"/>
      <c r="G2" s="2026"/>
      <c r="H2" s="2026"/>
      <c r="I2" s="2026"/>
      <c r="J2" s="2026"/>
      <c r="K2" s="2026"/>
      <c r="L2" s="2026"/>
      <c r="M2" s="2026"/>
      <c r="N2" s="2025"/>
      <c r="O2" s="2025"/>
      <c r="P2" s="2025"/>
      <c r="Q2" s="2025"/>
      <c r="R2" s="2025"/>
      <c r="S2" s="2025"/>
      <c r="T2" s="2025"/>
      <c r="U2" s="2025"/>
      <c r="V2" s="2025"/>
      <c r="W2" s="2025"/>
    </row>
    <row r="3" spans="1:23" x14ac:dyDescent="0.25">
      <c r="A3" s="2024" t="s">
        <v>39</v>
      </c>
      <c r="B3" s="2023" t="s">
        <v>1839</v>
      </c>
      <c r="C3" s="2022"/>
      <c r="D3" s="2021"/>
      <c r="E3" s="2021"/>
      <c r="F3" s="2021"/>
      <c r="G3" s="2021"/>
      <c r="H3" s="2021"/>
      <c r="I3" s="2021"/>
      <c r="J3" s="2020"/>
      <c r="K3" s="2020"/>
      <c r="L3" s="2020"/>
      <c r="M3" s="2020"/>
      <c r="N3" s="2020"/>
      <c r="O3" s="2019"/>
      <c r="P3" s="2019"/>
      <c r="Q3" s="2019"/>
      <c r="R3" s="2019"/>
      <c r="S3" s="2019"/>
      <c r="T3" s="2019"/>
      <c r="U3" s="2019"/>
      <c r="V3" s="2019"/>
      <c r="W3" s="2019"/>
    </row>
    <row r="5" spans="1:23" ht="15.75" thickBot="1" x14ac:dyDescent="0.3">
      <c r="A5" s="2005">
        <v>1</v>
      </c>
      <c r="B5" s="2077" t="s">
        <v>2</v>
      </c>
      <c r="C5" s="2008"/>
      <c r="D5" s="2008"/>
      <c r="E5" s="2076"/>
      <c r="F5" s="2076"/>
      <c r="G5" s="2076"/>
      <c r="H5" s="2076"/>
      <c r="I5" s="2076"/>
      <c r="J5" s="2008"/>
      <c r="K5" s="2008"/>
      <c r="L5" s="2008"/>
      <c r="M5" s="2008"/>
      <c r="N5" s="2006"/>
      <c r="O5" s="2006"/>
      <c r="P5" s="2007"/>
      <c r="Q5" s="2006"/>
      <c r="R5" s="2006"/>
      <c r="S5" s="2006"/>
      <c r="T5" s="2006"/>
      <c r="U5" s="2006"/>
      <c r="V5" s="2006"/>
      <c r="W5" s="2006"/>
    </row>
    <row r="6" spans="1:23" ht="15.75" thickTop="1" x14ac:dyDescent="0.25">
      <c r="A6" s="2005" t="s">
        <v>662</v>
      </c>
      <c r="B6" s="2062" t="s">
        <v>1984</v>
      </c>
      <c r="C6" s="2060"/>
      <c r="D6" s="2060"/>
      <c r="E6" s="2061"/>
      <c r="F6" s="2061"/>
      <c r="G6" s="2061"/>
      <c r="H6" s="2061"/>
      <c r="I6" s="2061"/>
      <c r="J6" s="2097"/>
      <c r="K6" s="2097"/>
      <c r="L6" s="2096"/>
      <c r="M6" s="2095"/>
      <c r="N6" s="2094"/>
      <c r="O6" s="2093"/>
      <c r="P6" s="2094"/>
      <c r="Q6" s="2058"/>
      <c r="R6" s="2058"/>
      <c r="S6" s="2058"/>
      <c r="T6" s="2058"/>
      <c r="U6" s="2058"/>
      <c r="V6" s="2058"/>
      <c r="W6" s="2058"/>
    </row>
    <row r="7" spans="1:23" x14ac:dyDescent="0.25">
      <c r="A7" s="2005" t="s">
        <v>2055</v>
      </c>
      <c r="B7" s="2016" t="s">
        <v>2087</v>
      </c>
      <c r="E7" s="2057"/>
      <c r="F7" s="2057"/>
      <c r="G7" s="2057"/>
      <c r="H7" s="2057"/>
      <c r="I7" s="2057"/>
      <c r="K7" s="2017"/>
      <c r="L7" s="2057"/>
      <c r="M7" s="2056"/>
      <c r="N7" s="2055"/>
      <c r="O7" s="2054"/>
      <c r="P7" s="2055"/>
    </row>
    <row r="8" spans="1:23" outlineLevel="1" x14ac:dyDescent="0.25">
      <c r="B8" s="2016"/>
      <c r="E8" s="2057"/>
      <c r="F8" s="2057"/>
      <c r="G8" s="2057"/>
      <c r="H8" s="2057"/>
      <c r="I8" s="2057"/>
      <c r="K8" s="2017"/>
      <c r="L8" s="2057"/>
      <c r="M8" s="2056"/>
      <c r="N8" s="2055"/>
      <c r="O8" s="2054"/>
      <c r="P8" s="2055"/>
    </row>
    <row r="9" spans="1:23" outlineLevel="1" x14ac:dyDescent="0.25">
      <c r="B9" s="2013"/>
      <c r="C9" s="2012">
        <v>2020</v>
      </c>
      <c r="D9" s="2012">
        <f>C9+1</f>
        <v>2021</v>
      </c>
      <c r="E9" s="2012">
        <f t="shared" ref="E9:P9" si="0">D9+1</f>
        <v>2022</v>
      </c>
      <c r="F9" s="2012">
        <f t="shared" si="0"/>
        <v>2023</v>
      </c>
      <c r="G9" s="2012">
        <f t="shared" si="0"/>
        <v>2024</v>
      </c>
      <c r="H9" s="2012">
        <f t="shared" si="0"/>
        <v>2025</v>
      </c>
      <c r="I9" s="2012">
        <f t="shared" si="0"/>
        <v>2026</v>
      </c>
      <c r="J9" s="2012">
        <f t="shared" si="0"/>
        <v>2027</v>
      </c>
      <c r="K9" s="2012">
        <f t="shared" si="0"/>
        <v>2028</v>
      </c>
      <c r="L9" s="2012">
        <f t="shared" si="0"/>
        <v>2029</v>
      </c>
      <c r="M9" s="2012">
        <f t="shared" si="0"/>
        <v>2030</v>
      </c>
      <c r="N9" s="2012">
        <f t="shared" si="0"/>
        <v>2031</v>
      </c>
      <c r="O9" s="2012">
        <f>N9+1</f>
        <v>2032</v>
      </c>
      <c r="P9" s="2012">
        <f t="shared" si="0"/>
        <v>2033</v>
      </c>
    </row>
    <row r="10" spans="1:23" outlineLevel="1" x14ac:dyDescent="0.25">
      <c r="B10" s="2011" t="str">
        <f>[31]Input_Cty!$B$2</f>
        <v>Quang Phát</v>
      </c>
      <c r="C10" s="2010">
        <f ca="1">'4. KQ-PL'!I29/'4. KQ-PL'!I17</f>
        <v>0.15944167782383051</v>
      </c>
      <c r="D10" s="2010">
        <f>'4. KQ-PL'!F29/'4. KQ-PL'!F17</f>
        <v>5.7070205973867277E-2</v>
      </c>
      <c r="E10" s="2010">
        <f>'4. KQ-PL'!G29/'4. KQ-PL'!G17</f>
        <v>2.9040627182587417E-2</v>
      </c>
      <c r="F10" s="2010">
        <f>'4. KQ-PL'!H29/'4. KQ-PL'!H17</f>
        <v>0.1249531036014938</v>
      </c>
      <c r="G10" s="2010">
        <f ca="1">'4. KQ-PL'!I29/'4. KQ-PL'!I17</f>
        <v>0.15944167782383051</v>
      </c>
      <c r="H10" s="2010">
        <f ca="1">'4. KQ-PL'!J29/'4. KQ-PL'!J17</f>
        <v>0.15886268756190863</v>
      </c>
      <c r="I10" s="2010">
        <f ca="1">'4. KQ-PL'!K29/'4. KQ-PL'!K17</f>
        <v>0.16049378069117456</v>
      </c>
      <c r="J10" s="2010">
        <f ca="1">'4. KQ-PL'!L29/'4. KQ-PL'!L17</f>
        <v>0.16301220108372944</v>
      </c>
      <c r="K10" s="2010">
        <f ca="1">'4. KQ-PL'!M29/'4. KQ-PL'!M17</f>
        <v>0.16418339569100251</v>
      </c>
      <c r="L10" s="2010">
        <f ca="1">'4. KQ-PL'!N29/'4. KQ-PL'!N17</f>
        <v>0.16848388216581681</v>
      </c>
      <c r="M10" s="2010">
        <f ca="1">'4. KQ-PL'!O29/'4. KQ-PL'!O17</f>
        <v>0.1685369536606294</v>
      </c>
      <c r="N10" s="2010">
        <f ca="1">'4. KQ-PL'!P29/'4. KQ-PL'!P17</f>
        <v>0.16897768748112404</v>
      </c>
      <c r="O10" s="2010">
        <f ca="1">'4. KQ-PL'!Q29/'4. KQ-PL'!Q17</f>
        <v>0.17023137674399941</v>
      </c>
      <c r="P10" s="2010">
        <f ca="1">'4. KQ-PL'!R29/'4. KQ-PL'!R17</f>
        <v>0.17057064088744769</v>
      </c>
    </row>
    <row r="11" spans="1:23" outlineLevel="1" x14ac:dyDescent="0.25">
      <c r="B11" s="2011" t="s">
        <v>2086</v>
      </c>
      <c r="C11" s="2106">
        <f>'5. DNCN (Tỷ)'!V17</f>
        <v>0.1187163335302746</v>
      </c>
      <c r="D11" s="2106">
        <f>C11</f>
        <v>0.1187163335302746</v>
      </c>
      <c r="E11" s="2106">
        <f t="shared" ref="E11:P11" si="1">D11</f>
        <v>0.1187163335302746</v>
      </c>
      <c r="F11" s="2106">
        <f t="shared" si="1"/>
        <v>0.1187163335302746</v>
      </c>
      <c r="G11" s="2106">
        <f t="shared" si="1"/>
        <v>0.1187163335302746</v>
      </c>
      <c r="H11" s="2106">
        <f t="shared" si="1"/>
        <v>0.1187163335302746</v>
      </c>
      <c r="I11" s="2106">
        <f t="shared" si="1"/>
        <v>0.1187163335302746</v>
      </c>
      <c r="J11" s="2106">
        <f t="shared" si="1"/>
        <v>0.1187163335302746</v>
      </c>
      <c r="K11" s="2106">
        <f t="shared" si="1"/>
        <v>0.1187163335302746</v>
      </c>
      <c r="L11" s="2106">
        <f t="shared" si="1"/>
        <v>0.1187163335302746</v>
      </c>
      <c r="M11" s="2106">
        <f t="shared" si="1"/>
        <v>0.1187163335302746</v>
      </c>
      <c r="N11" s="2106">
        <f t="shared" si="1"/>
        <v>0.1187163335302746</v>
      </c>
      <c r="O11" s="2106">
        <f t="shared" si="1"/>
        <v>0.1187163335302746</v>
      </c>
      <c r="P11" s="2106">
        <f t="shared" si="1"/>
        <v>0.1187163335302746</v>
      </c>
    </row>
    <row r="12" spans="1:23" outlineLevel="1" x14ac:dyDescent="0.25">
      <c r="B12" s="2011" t="s">
        <v>2085</v>
      </c>
      <c r="C12" s="2106">
        <f>'5. DNCN (Tỷ)'!V18</f>
        <v>0.13157484512906603</v>
      </c>
      <c r="D12" s="2106">
        <f>C12</f>
        <v>0.13157484512906603</v>
      </c>
      <c r="E12" s="2106">
        <f t="shared" ref="E12:P12" si="2">D12</f>
        <v>0.13157484512906603</v>
      </c>
      <c r="F12" s="2106">
        <f t="shared" si="2"/>
        <v>0.13157484512906603</v>
      </c>
      <c r="G12" s="2106">
        <f t="shared" si="2"/>
        <v>0.13157484512906603</v>
      </c>
      <c r="H12" s="2106">
        <f t="shared" si="2"/>
        <v>0.13157484512906603</v>
      </c>
      <c r="I12" s="2106">
        <f t="shared" si="2"/>
        <v>0.13157484512906603</v>
      </c>
      <c r="J12" s="2106">
        <f t="shared" si="2"/>
        <v>0.13157484512906603</v>
      </c>
      <c r="K12" s="2106">
        <f t="shared" si="2"/>
        <v>0.13157484512906603</v>
      </c>
      <c r="L12" s="2106">
        <f t="shared" si="2"/>
        <v>0.13157484512906603</v>
      </c>
      <c r="M12" s="2106">
        <f t="shared" si="2"/>
        <v>0.13157484512906603</v>
      </c>
      <c r="N12" s="2106">
        <f t="shared" si="2"/>
        <v>0.13157484512906603</v>
      </c>
      <c r="O12" s="2106">
        <f t="shared" si="2"/>
        <v>0.13157484512906603</v>
      </c>
      <c r="P12" s="2106">
        <f t="shared" si="2"/>
        <v>0.13157484512906603</v>
      </c>
    </row>
    <row r="13" spans="1:23" outlineLevel="1" x14ac:dyDescent="0.25">
      <c r="E13" s="2057"/>
      <c r="F13" s="2057"/>
      <c r="G13" s="2057"/>
      <c r="H13" s="2057"/>
      <c r="I13" s="2057"/>
      <c r="K13" s="2017"/>
      <c r="L13" s="2057"/>
      <c r="M13" s="2056"/>
      <c r="N13" s="2055"/>
      <c r="O13" s="2054"/>
      <c r="P13" s="2055"/>
    </row>
    <row r="14" spans="1:23" outlineLevel="1" x14ac:dyDescent="0.25">
      <c r="E14" s="2057"/>
      <c r="F14" s="2057"/>
      <c r="G14" s="2057"/>
      <c r="H14" s="2057"/>
      <c r="I14" s="2057"/>
      <c r="K14" s="2017"/>
      <c r="L14" s="2057"/>
      <c r="M14" s="2056"/>
      <c r="N14" s="2055"/>
      <c r="O14" s="2054"/>
      <c r="P14" s="2055"/>
    </row>
    <row r="15" spans="1:23" outlineLevel="1" x14ac:dyDescent="0.25">
      <c r="B15" s="1843"/>
      <c r="C15" s="1843"/>
      <c r="D15" s="1843"/>
      <c r="E15" s="2057"/>
      <c r="F15" s="2057"/>
      <c r="G15" s="2057"/>
      <c r="H15" s="2057"/>
      <c r="I15" s="2057"/>
      <c r="K15" s="2017"/>
      <c r="L15" s="2057"/>
      <c r="M15" s="2056"/>
      <c r="N15" s="2055"/>
      <c r="O15" s="2054"/>
      <c r="P15" s="2055"/>
    </row>
    <row r="16" spans="1:23" outlineLevel="1" x14ac:dyDescent="0.25">
      <c r="B16" s="1843"/>
      <c r="C16" s="1843"/>
      <c r="D16" s="1843"/>
      <c r="E16" s="2057"/>
      <c r="F16" s="2057"/>
      <c r="G16" s="2057"/>
      <c r="H16" s="2057"/>
      <c r="I16" s="2057"/>
      <c r="K16" s="2017"/>
      <c r="L16" s="2057"/>
      <c r="M16" s="2056"/>
      <c r="N16" s="2055"/>
      <c r="O16" s="2054"/>
      <c r="P16" s="2055"/>
    </row>
    <row r="17" spans="2:16" outlineLevel="1" x14ac:dyDescent="0.25">
      <c r="B17" s="1843"/>
      <c r="C17" s="1843"/>
      <c r="D17" s="1843"/>
      <c r="E17" s="2057"/>
      <c r="F17" s="2057"/>
      <c r="G17" s="2057"/>
      <c r="H17" s="2057"/>
      <c r="I17" s="2057"/>
      <c r="K17" s="2017"/>
      <c r="L17" s="2057"/>
      <c r="M17" s="2056"/>
      <c r="N17" s="2055"/>
      <c r="O17" s="2054"/>
      <c r="P17" s="2055"/>
    </row>
    <row r="18" spans="2:16" outlineLevel="1" x14ac:dyDescent="0.25">
      <c r="B18" s="1843"/>
      <c r="C18" s="1843"/>
      <c r="D18" s="1843"/>
      <c r="E18" s="2057"/>
      <c r="F18" s="2057"/>
      <c r="G18" s="2057"/>
      <c r="H18" s="2057"/>
      <c r="I18" s="2057"/>
      <c r="K18" s="2017"/>
      <c r="L18" s="2057"/>
      <c r="M18" s="2056"/>
      <c r="N18" s="2055"/>
      <c r="O18" s="2054"/>
      <c r="P18" s="2055"/>
    </row>
    <row r="19" spans="2:16" outlineLevel="1" x14ac:dyDescent="0.25">
      <c r="B19" s="1843"/>
      <c r="C19" s="1843"/>
      <c r="D19" s="1843"/>
      <c r="E19" s="2057"/>
      <c r="F19" s="2057"/>
      <c r="G19" s="2057"/>
      <c r="H19" s="2057"/>
      <c r="I19" s="2057"/>
      <c r="K19" s="2017"/>
      <c r="L19" s="2057"/>
      <c r="M19" s="2056"/>
      <c r="N19" s="2055"/>
      <c r="O19" s="2054"/>
      <c r="P19" s="2055"/>
    </row>
    <row r="20" spans="2:16" outlineLevel="1" x14ac:dyDescent="0.25">
      <c r="B20" s="1843"/>
      <c r="C20" s="1843"/>
      <c r="D20" s="1843"/>
      <c r="E20" s="2057"/>
      <c r="F20" s="2057"/>
      <c r="G20" s="2057"/>
      <c r="H20" s="2057"/>
      <c r="I20" s="2057"/>
      <c r="K20" s="2017"/>
      <c r="L20" s="2057"/>
      <c r="M20" s="2056"/>
      <c r="N20" s="2055"/>
      <c r="O20" s="2054"/>
      <c r="P20" s="2055"/>
    </row>
    <row r="21" spans="2:16" outlineLevel="1" x14ac:dyDescent="0.25">
      <c r="B21" s="1843"/>
      <c r="C21" s="1843"/>
      <c r="D21" s="1843"/>
      <c r="E21" s="2057"/>
      <c r="F21" s="2057"/>
      <c r="G21" s="2057"/>
      <c r="H21" s="2057"/>
      <c r="I21" s="2057"/>
      <c r="K21" s="2017"/>
      <c r="L21" s="2057"/>
      <c r="M21" s="2056"/>
      <c r="N21" s="2055"/>
      <c r="O21" s="2054"/>
      <c r="P21" s="2055"/>
    </row>
    <row r="22" spans="2:16" outlineLevel="1" x14ac:dyDescent="0.25">
      <c r="B22" s="1843"/>
      <c r="C22" s="1843"/>
      <c r="D22" s="1843"/>
      <c r="E22" s="2057"/>
      <c r="F22" s="2057"/>
      <c r="G22" s="2057"/>
      <c r="H22" s="2057"/>
      <c r="I22" s="2057"/>
      <c r="K22" s="2017"/>
      <c r="L22" s="2057"/>
      <c r="M22" s="2056"/>
      <c r="N22" s="2055"/>
      <c r="O22" s="2054"/>
      <c r="P22" s="2055"/>
    </row>
    <row r="23" spans="2:16" outlineLevel="1" x14ac:dyDescent="0.25">
      <c r="B23" s="1843"/>
      <c r="C23" s="1843"/>
      <c r="D23" s="1843"/>
      <c r="E23" s="2057"/>
      <c r="F23" s="2057"/>
      <c r="G23" s="2057"/>
      <c r="H23" s="2057"/>
      <c r="I23" s="2057"/>
      <c r="K23" s="2017"/>
      <c r="L23" s="2057"/>
      <c r="M23" s="2056"/>
      <c r="N23" s="2055"/>
      <c r="O23" s="2054"/>
      <c r="P23" s="2055"/>
    </row>
    <row r="24" spans="2:16" outlineLevel="1" x14ac:dyDescent="0.25">
      <c r="B24" s="1843"/>
      <c r="C24" s="1843"/>
      <c r="D24" s="1843"/>
      <c r="E24" s="2057"/>
      <c r="F24" s="2057"/>
      <c r="G24" s="2057"/>
      <c r="H24" s="2057"/>
      <c r="I24" s="2057"/>
      <c r="K24" s="2017"/>
      <c r="L24" s="2057"/>
      <c r="M24" s="2056"/>
      <c r="N24" s="2055"/>
      <c r="O24" s="2054"/>
      <c r="P24" s="2055"/>
    </row>
    <row r="25" spans="2:16" outlineLevel="1" x14ac:dyDescent="0.25">
      <c r="B25" s="1843"/>
      <c r="C25" s="1843"/>
      <c r="D25" s="1843"/>
      <c r="E25" s="2057"/>
      <c r="F25" s="2057"/>
      <c r="G25" s="2057"/>
      <c r="H25" s="2057"/>
      <c r="I25" s="2057"/>
      <c r="K25" s="2017"/>
      <c r="L25" s="2057"/>
      <c r="M25" s="2056"/>
      <c r="N25" s="2055"/>
      <c r="O25" s="2054"/>
      <c r="P25" s="2055"/>
    </row>
    <row r="26" spans="2:16" outlineLevel="1" x14ac:dyDescent="0.25">
      <c r="B26" s="1843"/>
      <c r="C26" s="1843"/>
      <c r="D26" s="1843"/>
      <c r="E26" s="2057"/>
      <c r="F26" s="2057"/>
      <c r="G26" s="2057"/>
      <c r="H26" s="2057"/>
      <c r="I26" s="2057"/>
      <c r="K26" s="2017"/>
      <c r="L26" s="2057"/>
      <c r="M26" s="2056"/>
      <c r="N26" s="2055"/>
      <c r="O26" s="2054"/>
      <c r="P26" s="2055"/>
    </row>
    <row r="27" spans="2:16" outlineLevel="1" x14ac:dyDescent="0.25">
      <c r="B27" s="1843"/>
      <c r="C27" s="1843"/>
      <c r="D27" s="1843"/>
      <c r="E27" s="2057"/>
      <c r="F27" s="2057"/>
      <c r="G27" s="2057"/>
      <c r="H27" s="2057"/>
      <c r="I27" s="2057"/>
      <c r="K27" s="2017"/>
      <c r="L27" s="2057"/>
      <c r="M27" s="2056"/>
      <c r="N27" s="2055"/>
      <c r="O27" s="2054"/>
      <c r="P27" s="2055"/>
    </row>
    <row r="28" spans="2:16" outlineLevel="1" x14ac:dyDescent="0.25">
      <c r="E28" s="2057"/>
      <c r="F28" s="2057"/>
      <c r="G28" s="2057"/>
      <c r="H28" s="2057"/>
      <c r="I28" s="2057"/>
      <c r="K28" s="2017"/>
      <c r="L28" s="2057"/>
      <c r="M28" s="2056"/>
      <c r="N28" s="2055"/>
      <c r="O28" s="2054"/>
      <c r="P28" s="2055"/>
    </row>
    <row r="29" spans="2:16" outlineLevel="1" x14ac:dyDescent="0.25">
      <c r="E29" s="2057"/>
      <c r="F29" s="2057"/>
      <c r="G29" s="2057"/>
      <c r="H29" s="2057"/>
      <c r="I29" s="2057"/>
      <c r="K29" s="2017"/>
      <c r="L29" s="2057"/>
      <c r="M29" s="2056"/>
      <c r="N29" s="2055"/>
      <c r="O29" s="2054"/>
      <c r="P29" s="2055"/>
    </row>
    <row r="30" spans="2:16" outlineLevel="1" x14ac:dyDescent="0.25">
      <c r="E30" s="2057"/>
      <c r="F30" s="2057"/>
      <c r="G30" s="2057"/>
      <c r="H30" s="2057"/>
      <c r="I30" s="2057"/>
      <c r="K30" s="2017"/>
      <c r="L30" s="2057"/>
      <c r="M30" s="2056"/>
      <c r="N30" s="2055"/>
      <c r="O30" s="2054"/>
      <c r="P30" s="2055"/>
    </row>
    <row r="31" spans="2:16" outlineLevel="1" x14ac:dyDescent="0.25">
      <c r="E31" s="2057"/>
      <c r="F31" s="2057"/>
      <c r="G31" s="2057"/>
      <c r="H31" s="2057"/>
      <c r="I31" s="2057"/>
      <c r="K31" s="2017"/>
      <c r="L31" s="2057"/>
      <c r="M31" s="2056"/>
      <c r="N31" s="2055"/>
      <c r="O31" s="2054"/>
      <c r="P31" s="2055"/>
    </row>
    <row r="32" spans="2:16" outlineLevel="1" x14ac:dyDescent="0.25">
      <c r="E32" s="2057"/>
      <c r="F32" s="2057"/>
      <c r="G32" s="2057"/>
      <c r="H32" s="2057"/>
      <c r="I32" s="2057"/>
      <c r="K32" s="2017"/>
      <c r="L32" s="2057"/>
      <c r="M32" s="2056"/>
      <c r="N32" s="2055"/>
      <c r="O32" s="2054"/>
      <c r="P32" s="2055"/>
    </row>
    <row r="33" spans="1:16" outlineLevel="1" x14ac:dyDescent="0.25">
      <c r="E33" s="2057"/>
      <c r="F33" s="2057"/>
      <c r="G33" s="2057"/>
      <c r="H33" s="2057"/>
      <c r="I33" s="2057"/>
      <c r="K33" s="2017"/>
      <c r="L33" s="2057"/>
      <c r="M33" s="2056"/>
      <c r="N33" s="2055"/>
      <c r="O33" s="2054"/>
      <c r="P33" s="2055"/>
    </row>
    <row r="34" spans="1:16" outlineLevel="1" x14ac:dyDescent="0.25">
      <c r="E34" s="2057"/>
      <c r="F34" s="2057"/>
      <c r="G34" s="2057"/>
      <c r="H34" s="2057"/>
      <c r="I34" s="2057"/>
      <c r="K34" s="2017"/>
      <c r="L34" s="2057"/>
      <c r="M34" s="2056"/>
      <c r="N34" s="2055"/>
      <c r="O34" s="2054"/>
      <c r="P34" s="2055"/>
    </row>
    <row r="35" spans="1:16" outlineLevel="1" x14ac:dyDescent="0.25">
      <c r="E35" s="2057"/>
      <c r="F35" s="2057"/>
      <c r="G35" s="2057"/>
      <c r="H35" s="2057"/>
      <c r="I35" s="2057"/>
      <c r="K35" s="2017"/>
      <c r="L35" s="2057"/>
      <c r="M35" s="2056"/>
      <c r="N35" s="2055"/>
      <c r="O35" s="2054"/>
      <c r="P35" s="2055"/>
    </row>
    <row r="36" spans="1:16" x14ac:dyDescent="0.25">
      <c r="A36" s="2005" t="s">
        <v>2084</v>
      </c>
      <c r="B36" s="2016" t="s">
        <v>2083</v>
      </c>
      <c r="E36" s="2070"/>
      <c r="F36" s="2070"/>
      <c r="G36" s="2070"/>
      <c r="H36" s="2070"/>
      <c r="I36" s="2070"/>
      <c r="K36" s="2017"/>
      <c r="L36" s="2057"/>
      <c r="M36" s="2056"/>
      <c r="N36" s="2055"/>
      <c r="O36" s="2054"/>
      <c r="P36" s="2055"/>
    </row>
    <row r="37" spans="1:16" outlineLevel="1" x14ac:dyDescent="0.25">
      <c r="A37" s="2005" t="s">
        <v>2054</v>
      </c>
      <c r="B37" s="2016" t="s">
        <v>2053</v>
      </c>
      <c r="E37" s="2070"/>
      <c r="F37" s="2070"/>
      <c r="G37" s="2070"/>
      <c r="H37" s="2070"/>
      <c r="I37" s="2070"/>
      <c r="K37" s="2017"/>
      <c r="L37" s="2057"/>
      <c r="M37" s="2056"/>
      <c r="N37" s="2055"/>
      <c r="O37" s="2054"/>
      <c r="P37" s="2055"/>
    </row>
    <row r="38" spans="1:16" outlineLevel="1" x14ac:dyDescent="0.25">
      <c r="B38" s="2016"/>
      <c r="E38" s="2070"/>
      <c r="F38" s="2070"/>
      <c r="G38" s="2070"/>
      <c r="H38" s="2070"/>
      <c r="I38" s="2070"/>
      <c r="K38" s="2017"/>
      <c r="L38" s="2057"/>
      <c r="M38" s="2056"/>
      <c r="N38" s="2055"/>
      <c r="O38" s="2054"/>
      <c r="P38" s="2055"/>
    </row>
    <row r="39" spans="1:16" outlineLevel="1" x14ac:dyDescent="0.25">
      <c r="B39" s="2105"/>
      <c r="C39" s="2105"/>
      <c r="D39" s="2105"/>
      <c r="E39" s="2105"/>
      <c r="F39" s="2104">
        <v>2023</v>
      </c>
      <c r="G39" s="2104">
        <f>F39+1</f>
        <v>2024</v>
      </c>
      <c r="H39" s="2104">
        <f t="shared" ref="H39:P39" si="3">G39+1</f>
        <v>2025</v>
      </c>
      <c r="I39" s="2104">
        <f t="shared" si="3"/>
        <v>2026</v>
      </c>
      <c r="J39" s="2104">
        <f t="shared" si="3"/>
        <v>2027</v>
      </c>
      <c r="K39" s="2104">
        <f t="shared" si="3"/>
        <v>2028</v>
      </c>
      <c r="L39" s="2104">
        <f t="shared" si="3"/>
        <v>2029</v>
      </c>
      <c r="M39" s="2104">
        <f t="shared" si="3"/>
        <v>2030</v>
      </c>
      <c r="N39" s="2104">
        <f t="shared" si="3"/>
        <v>2031</v>
      </c>
      <c r="O39" s="2104">
        <f t="shared" si="3"/>
        <v>2032</v>
      </c>
      <c r="P39" s="2104">
        <f t="shared" si="3"/>
        <v>2033</v>
      </c>
    </row>
    <row r="40" spans="1:16" outlineLevel="1" x14ac:dyDescent="0.25">
      <c r="B40" s="2103" t="s">
        <v>809</v>
      </c>
      <c r="C40" s="2103"/>
      <c r="D40" s="2103"/>
      <c r="E40" s="2167">
        <f ca="1">AVERAGE(F40:P40)</f>
        <v>0.30901263936611889</v>
      </c>
      <c r="F40" s="2102">
        <v>0.38804615189887154</v>
      </c>
      <c r="G40" s="2102">
        <f ca="1">'4. KQ-PL'!I30/'4. KQ-PL'!I18</f>
        <v>0.29199322907106562</v>
      </c>
      <c r="H40" s="2102">
        <f ca="1">'4. KQ-PL'!J30/'4. KQ-PL'!J18</f>
        <v>0.29255719749102183</v>
      </c>
      <c r="I40" s="2102">
        <f ca="1">'4. KQ-PL'!K30/'4. KQ-PL'!K18</f>
        <v>0.29578614867181852</v>
      </c>
      <c r="J40" s="2102">
        <f ca="1">'4. KQ-PL'!L30/'4. KQ-PL'!L18</f>
        <v>0.30061662742710554</v>
      </c>
      <c r="K40" s="2102">
        <f ca="1">'4. KQ-PL'!M30/'4. KQ-PL'!M18</f>
        <v>0.3027012385576372</v>
      </c>
      <c r="L40" s="2102">
        <f ca="1">'4. KQ-PL'!N30/'4. KQ-PL'!N18</f>
        <v>0.305164593705193</v>
      </c>
      <c r="M40" s="2102">
        <f ca="1">'4. KQ-PL'!O30/'4. KQ-PL'!O18</f>
        <v>0.30531753343934914</v>
      </c>
      <c r="N40" s="2102">
        <f ca="1">'4. KQ-PL'!P30/'4. KQ-PL'!P18</f>
        <v>0.30546895891871134</v>
      </c>
      <c r="O40" s="2102">
        <f ca="1">'4. KQ-PL'!Q30/'4. KQ-PL'!Q18</f>
        <v>0.30561888513590196</v>
      </c>
      <c r="P40" s="2102">
        <f ca="1">'4. KQ-PL'!R30/'4. KQ-PL'!R18</f>
        <v>0.30586846871063234</v>
      </c>
    </row>
    <row r="41" spans="1:16" outlineLevel="1" x14ac:dyDescent="0.25">
      <c r="B41" s="2103" t="s">
        <v>2082</v>
      </c>
      <c r="C41" s="2103"/>
      <c r="D41" s="2103"/>
      <c r="E41" s="2167">
        <f t="shared" ref="E41:E43" si="4">AVERAGE(F41:P41)</f>
        <v>3.5148910341364976E-2</v>
      </c>
      <c r="F41" s="2102">
        <v>1.4491511904836551E-2</v>
      </c>
      <c r="G41" s="2102">
        <f>('4. KQ-PL'!I32+'4. KQ-PL'!I33)/('4. KQ-PL'!I21+'4. KQ-PL'!I20)</f>
        <v>3.3637531328055137E-2</v>
      </c>
      <c r="H41" s="2102">
        <f>('4. KQ-PL'!J32+'4. KQ-PL'!J33)/('4. KQ-PL'!J21+'4. KQ-PL'!J20)</f>
        <v>3.5373549388926569E-2</v>
      </c>
      <c r="I41" s="2102">
        <f>('4. KQ-PL'!K32+'4. KQ-PL'!K33)/('4. KQ-PL'!K21+'4. KQ-PL'!K20)</f>
        <v>3.5560326353811789E-2</v>
      </c>
      <c r="J41" s="2102">
        <f>('4. KQ-PL'!L32+'4. KQ-PL'!L33)/('4. KQ-PL'!L21+'4. KQ-PL'!L20)</f>
        <v>3.7949430170350108E-2</v>
      </c>
      <c r="K41" s="2102">
        <f>('4. KQ-PL'!M32+'4. KQ-PL'!M33)/('4. KQ-PL'!M21+'4. KQ-PL'!M20)</f>
        <v>3.8225745909658201E-2</v>
      </c>
      <c r="L41" s="2102">
        <f>('4. KQ-PL'!N32+'4. KQ-PL'!N33)/('4. KQ-PL'!N21+'4. KQ-PL'!N20)</f>
        <v>3.8237232923493632E-2</v>
      </c>
      <c r="M41" s="2102">
        <f>('4. KQ-PL'!O32+'4. KQ-PL'!O33)/('4. KQ-PL'!O21+'4. KQ-PL'!O20)</f>
        <v>3.8248606204518962E-2</v>
      </c>
      <c r="N41" s="2102">
        <f>('4. KQ-PL'!P32+'4. KQ-PL'!P33)/('4. KQ-PL'!P21+'4. KQ-PL'!P20)</f>
        <v>3.8259866878801271E-2</v>
      </c>
      <c r="O41" s="2102">
        <f>('4. KQ-PL'!Q32+'4. KQ-PL'!Q33)/('4. KQ-PL'!Q21+'4. KQ-PL'!Q20)</f>
        <v>3.8271016061259079E-2</v>
      </c>
      <c r="P41" s="2102">
        <f>('4. KQ-PL'!R32+'4. KQ-PL'!R33)/('4. KQ-PL'!R21+'4. KQ-PL'!R20)</f>
        <v>3.8383196631303407E-2</v>
      </c>
    </row>
    <row r="42" spans="1:16" outlineLevel="1" x14ac:dyDescent="0.25">
      <c r="B42" s="2103" t="s">
        <v>1353</v>
      </c>
      <c r="C42" s="2103"/>
      <c r="D42" s="2103"/>
      <c r="E42" s="2167">
        <f t="shared" si="4"/>
        <v>2.2592073183688006E-2</v>
      </c>
      <c r="F42" s="2102">
        <v>4.8512805020567533E-2</v>
      </c>
      <c r="G42" s="2102">
        <f>'4. KQ-PL'!I34/'4. KQ-PL'!I22</f>
        <v>2.0000000000000052E-2</v>
      </c>
      <c r="H42" s="2102">
        <f>'4. KQ-PL'!J34/'4. KQ-PL'!J22</f>
        <v>1.9999999999999997E-2</v>
      </c>
      <c r="I42" s="2102">
        <f>'4. KQ-PL'!K34/'4. KQ-PL'!K22</f>
        <v>2.000000000000008E-2</v>
      </c>
      <c r="J42" s="2102">
        <f>'4. KQ-PL'!L34/'4. KQ-PL'!L22</f>
        <v>2.0000000000000136E-2</v>
      </c>
      <c r="K42" s="2102">
        <f>'4. KQ-PL'!M34/'4. KQ-PL'!M22</f>
        <v>1.9999999999999973E-2</v>
      </c>
      <c r="L42" s="2102">
        <f>'4. KQ-PL'!N34/'4. KQ-PL'!N22</f>
        <v>2.0000000000000025E-2</v>
      </c>
      <c r="M42" s="2102">
        <f>'4. KQ-PL'!O34/'4. KQ-PL'!O22</f>
        <v>2.0000000000000136E-2</v>
      </c>
      <c r="N42" s="2102">
        <f>'4. KQ-PL'!P34/'4. KQ-PL'!P22</f>
        <v>2.0000000000000094E-2</v>
      </c>
      <c r="O42" s="2102">
        <f>'4. KQ-PL'!Q34/'4. KQ-PL'!Q22</f>
        <v>2.0000000000000046E-2</v>
      </c>
      <c r="P42" s="2102">
        <f>'4. KQ-PL'!R34/'4. KQ-PL'!R22</f>
        <v>2.0000000000000046E-2</v>
      </c>
    </row>
    <row r="43" spans="1:16" outlineLevel="1" x14ac:dyDescent="0.25">
      <c r="B43" s="2103" t="s">
        <v>814</v>
      </c>
      <c r="C43" s="2103"/>
      <c r="D43" s="2103"/>
      <c r="E43" s="2167">
        <f t="shared" ca="1" si="4"/>
        <v>-0.71119488362127048</v>
      </c>
      <c r="F43" s="2102">
        <v>0.46553567239397226</v>
      </c>
      <c r="G43" s="2102">
        <f ca="1">'4. KQ-PL'!I31/'4. KQ-PL'!I19</f>
        <v>-0.80562005060649056</v>
      </c>
      <c r="H43" s="2102">
        <f ca="1">'4. KQ-PL'!J31/'4. KQ-PL'!J19</f>
        <v>-0.8681197706245285</v>
      </c>
      <c r="I43" s="2102">
        <f ca="1">'4. KQ-PL'!K31/'4. KQ-PL'!K19</f>
        <v>-0.87803590398618203</v>
      </c>
      <c r="J43" s="2102">
        <f ca="1">'4. KQ-PL'!L31/'4. KQ-PL'!L19</f>
        <v>-0.92329577349396985</v>
      </c>
      <c r="K43" s="2102">
        <f ca="1">'4. KQ-PL'!M31/'4. KQ-PL'!M19</f>
        <v>-0.92681582796453754</v>
      </c>
      <c r="L43" s="2102">
        <f ca="1">'4. KQ-PL'!N31/'4. KQ-PL'!N19</f>
        <v>-0.80765792836941774</v>
      </c>
      <c r="M43" s="2102">
        <f ca="1">'4. KQ-PL'!O31/'4. KQ-PL'!O19</f>
        <v>-0.80783523858780404</v>
      </c>
      <c r="N43" s="2102">
        <f ca="1">'4. KQ-PL'!P31/'4. KQ-PL'!P19</f>
        <v>-0.79219203520196524</v>
      </c>
      <c r="O43" s="2102">
        <f ca="1">'4. KQ-PL'!Q31/'4. KQ-PL'!Q19</f>
        <v>-0.74341373157290436</v>
      </c>
      <c r="P43" s="2102">
        <f ca="1">'4. KQ-PL'!R31/'4. KQ-PL'!R19</f>
        <v>-0.73569313182014939</v>
      </c>
    </row>
    <row r="44" spans="1:16" outlineLevel="1" x14ac:dyDescent="0.25">
      <c r="C44" s="2004"/>
      <c r="D44" s="2004"/>
      <c r="E44" s="2004"/>
      <c r="F44" s="2166"/>
      <c r="G44" s="2166"/>
      <c r="H44" s="2166"/>
      <c r="I44" s="2166"/>
      <c r="J44" s="2166"/>
      <c r="K44" s="2166"/>
      <c r="L44" s="2166"/>
      <c r="M44" s="2166"/>
      <c r="N44" s="2166"/>
      <c r="O44" s="2166"/>
      <c r="P44" s="2166"/>
    </row>
    <row r="45" spans="1:16" outlineLevel="1" x14ac:dyDescent="0.25">
      <c r="C45" s="2004"/>
      <c r="D45" s="2004"/>
      <c r="E45" s="2004"/>
      <c r="F45" s="2166"/>
      <c r="G45" s="2166"/>
      <c r="H45" s="2166"/>
      <c r="I45" s="2166"/>
      <c r="J45" s="2166"/>
      <c r="K45" s="2166"/>
      <c r="L45" s="2166"/>
      <c r="M45" s="2166"/>
      <c r="N45" s="2166"/>
      <c r="O45" s="2166"/>
      <c r="P45" s="2166"/>
    </row>
    <row r="46" spans="1:16" outlineLevel="1" x14ac:dyDescent="0.25">
      <c r="C46" s="2004"/>
      <c r="D46" s="2004"/>
      <c r="E46" s="2004"/>
      <c r="F46" s="2166"/>
      <c r="G46" s="2166"/>
      <c r="H46" s="2166"/>
      <c r="I46" s="2166"/>
      <c r="J46" s="2166"/>
      <c r="K46" s="2166"/>
      <c r="L46" s="2166"/>
      <c r="M46" s="2166"/>
      <c r="N46" s="2166"/>
      <c r="O46" s="2166"/>
      <c r="P46" s="2166"/>
    </row>
    <row r="47" spans="1:16" outlineLevel="1" x14ac:dyDescent="0.25">
      <c r="C47" s="2004"/>
      <c r="D47" s="2004"/>
      <c r="E47" s="2004"/>
      <c r="F47" s="2166"/>
      <c r="G47" s="2166"/>
      <c r="H47" s="2166"/>
      <c r="I47" s="2166"/>
      <c r="J47" s="2166"/>
      <c r="K47" s="2166"/>
      <c r="L47" s="2166"/>
      <c r="M47" s="2166"/>
      <c r="N47" s="2166"/>
      <c r="O47" s="2166"/>
      <c r="P47" s="2166"/>
    </row>
    <row r="48" spans="1:16" outlineLevel="1" x14ac:dyDescent="0.25">
      <c r="C48" s="2004"/>
      <c r="D48" s="2004"/>
      <c r="E48" s="2004"/>
      <c r="F48" s="2166"/>
      <c r="G48" s="2166"/>
      <c r="H48" s="2166"/>
      <c r="I48" s="2166"/>
      <c r="J48" s="2166"/>
      <c r="K48" s="2166"/>
      <c r="L48" s="2166"/>
      <c r="M48" s="2166"/>
      <c r="N48" s="2166"/>
      <c r="O48" s="2166"/>
      <c r="P48" s="2166"/>
    </row>
    <row r="49" spans="1:23" outlineLevel="1" x14ac:dyDescent="0.25">
      <c r="C49" s="2004"/>
      <c r="D49" s="2004"/>
      <c r="E49" s="2004"/>
      <c r="F49" s="2166"/>
      <c r="G49" s="2166"/>
      <c r="H49" s="2166"/>
      <c r="I49" s="2166"/>
      <c r="J49" s="2166"/>
      <c r="K49" s="2166"/>
      <c r="L49" s="2166"/>
      <c r="M49" s="2166"/>
      <c r="N49" s="2166"/>
      <c r="O49" s="2166"/>
      <c r="P49" s="2166"/>
    </row>
    <row r="50" spans="1:23" outlineLevel="1" x14ac:dyDescent="0.25">
      <c r="C50" s="2004"/>
      <c r="D50" s="2004"/>
      <c r="E50" s="2004"/>
      <c r="F50" s="2166"/>
      <c r="G50" s="2166"/>
      <c r="H50" s="2166"/>
      <c r="I50" s="2166"/>
      <c r="J50" s="2166"/>
      <c r="K50" s="2166"/>
      <c r="L50" s="2166"/>
      <c r="M50" s="2166"/>
      <c r="N50" s="2166"/>
      <c r="O50" s="2166"/>
      <c r="P50" s="2166"/>
    </row>
    <row r="51" spans="1:23" outlineLevel="1" x14ac:dyDescent="0.25">
      <c r="C51" s="2004"/>
      <c r="D51" s="2004"/>
      <c r="E51" s="2004"/>
      <c r="F51" s="2166"/>
      <c r="G51" s="2166"/>
      <c r="H51" s="2166"/>
      <c r="I51" s="2166"/>
      <c r="J51" s="2166"/>
      <c r="K51" s="2166"/>
      <c r="L51" s="2166"/>
      <c r="M51" s="2166"/>
      <c r="N51" s="2166"/>
      <c r="O51" s="2166"/>
      <c r="P51" s="2166"/>
    </row>
    <row r="52" spans="1:23" outlineLevel="1" x14ac:dyDescent="0.25">
      <c r="C52" s="2004"/>
      <c r="D52" s="2004"/>
      <c r="E52" s="2004"/>
      <c r="F52" s="2166"/>
      <c r="G52" s="2166"/>
      <c r="H52" s="2166"/>
      <c r="I52" s="2166"/>
      <c r="J52" s="2166"/>
      <c r="K52" s="2166"/>
      <c r="L52" s="2166"/>
      <c r="M52" s="2166"/>
      <c r="N52" s="2166"/>
      <c r="O52" s="2166"/>
      <c r="P52" s="2166"/>
    </row>
    <row r="53" spans="1:23" outlineLevel="1" x14ac:dyDescent="0.25">
      <c r="C53" s="2004"/>
      <c r="D53" s="2004"/>
      <c r="E53" s="2004"/>
      <c r="F53" s="2166"/>
      <c r="G53" s="2166"/>
      <c r="H53" s="2166"/>
      <c r="I53" s="2166"/>
      <c r="J53" s="2166"/>
      <c r="K53" s="2166"/>
      <c r="L53" s="2166"/>
      <c r="M53" s="2166"/>
      <c r="N53" s="2166"/>
      <c r="O53" s="2166"/>
      <c r="P53" s="2166"/>
    </row>
    <row r="54" spans="1:23" outlineLevel="1" x14ac:dyDescent="0.25">
      <c r="C54" s="2004"/>
      <c r="D54" s="2004"/>
      <c r="E54" s="2004"/>
      <c r="F54" s="2166"/>
      <c r="G54" s="2166"/>
      <c r="H54" s="2166"/>
      <c r="I54" s="2166"/>
      <c r="J54" s="2166"/>
      <c r="K54" s="2166"/>
      <c r="L54" s="2166"/>
      <c r="M54" s="2166"/>
      <c r="N54" s="2166"/>
      <c r="O54" s="2166"/>
      <c r="P54" s="2166"/>
    </row>
    <row r="55" spans="1:23" outlineLevel="1" x14ac:dyDescent="0.25">
      <c r="C55" s="2004"/>
      <c r="D55" s="2004"/>
      <c r="E55" s="2004"/>
      <c r="F55" s="2166"/>
      <c r="G55" s="2166"/>
      <c r="H55" s="2166"/>
      <c r="I55" s="2166"/>
      <c r="J55" s="2166"/>
      <c r="K55" s="2166"/>
      <c r="L55" s="2166"/>
      <c r="M55" s="2166"/>
      <c r="N55" s="2166"/>
      <c r="O55" s="2166"/>
      <c r="P55" s="2166"/>
    </row>
    <row r="56" spans="1:23" outlineLevel="1" x14ac:dyDescent="0.25">
      <c r="E56" s="2057"/>
      <c r="F56" s="2057"/>
      <c r="G56" s="2057"/>
      <c r="H56" s="2057"/>
      <c r="I56" s="2057"/>
      <c r="K56" s="2017"/>
      <c r="L56" s="2057"/>
      <c r="M56" s="2056"/>
      <c r="N56" s="2055"/>
      <c r="O56" s="2054"/>
      <c r="P56" s="2055"/>
    </row>
    <row r="57" spans="1:23" outlineLevel="1" x14ac:dyDescent="0.25">
      <c r="E57" s="2057"/>
      <c r="F57" s="2057"/>
      <c r="G57" s="2057"/>
      <c r="H57" s="2057"/>
      <c r="I57" s="2057"/>
      <c r="K57" s="2017"/>
      <c r="L57" s="2057"/>
      <c r="M57" s="2056"/>
      <c r="N57" s="2055"/>
      <c r="O57" s="2054"/>
      <c r="P57" s="2055"/>
    </row>
    <row r="58" spans="1:23" outlineLevel="1" x14ac:dyDescent="0.25">
      <c r="E58" s="2057"/>
      <c r="F58" s="2057"/>
      <c r="G58" s="2057"/>
      <c r="H58" s="2057"/>
      <c r="I58" s="2057"/>
      <c r="K58" s="2017"/>
      <c r="L58" s="2057"/>
      <c r="M58" s="2056"/>
      <c r="N58" s="2055"/>
      <c r="O58" s="2054"/>
      <c r="P58" s="2055"/>
    </row>
    <row r="59" spans="1:23" outlineLevel="1" x14ac:dyDescent="0.25">
      <c r="E59" s="2057"/>
      <c r="F59" s="2057"/>
      <c r="G59" s="2057"/>
      <c r="H59" s="2057"/>
      <c r="I59" s="2057"/>
      <c r="K59" s="2017"/>
      <c r="L59" s="2057"/>
      <c r="M59" s="2056"/>
      <c r="N59" s="2055"/>
      <c r="O59" s="2054"/>
      <c r="P59" s="2055"/>
    </row>
    <row r="60" spans="1:23" outlineLevel="1" x14ac:dyDescent="0.25">
      <c r="E60" s="2057"/>
      <c r="F60" s="2057"/>
      <c r="G60" s="2057"/>
      <c r="H60" s="2057"/>
      <c r="I60" s="2057"/>
      <c r="K60" s="2017"/>
      <c r="L60" s="2057"/>
      <c r="M60" s="2056"/>
      <c r="N60" s="2055"/>
      <c r="O60" s="2054"/>
      <c r="P60" s="2055"/>
    </row>
    <row r="61" spans="1:23" x14ac:dyDescent="0.25">
      <c r="E61" s="2057"/>
      <c r="F61" s="2057"/>
      <c r="G61" s="2057"/>
      <c r="H61" s="2057"/>
      <c r="I61" s="2057"/>
      <c r="K61" s="2017"/>
      <c r="L61" s="2057"/>
      <c r="M61" s="2056"/>
      <c r="N61" s="2055"/>
      <c r="O61" s="2054"/>
      <c r="P61" s="2055"/>
    </row>
    <row r="62" spans="1:23" ht="15.75" thickBot="1" x14ac:dyDescent="0.3">
      <c r="A62" s="2005">
        <v>2</v>
      </c>
      <c r="B62" s="2077" t="s">
        <v>150</v>
      </c>
      <c r="C62" s="2008"/>
      <c r="D62" s="2008"/>
      <c r="E62" s="2076"/>
      <c r="F62" s="2076"/>
      <c r="G62" s="2076"/>
      <c r="H62" s="2076"/>
      <c r="I62" s="2076"/>
      <c r="J62" s="2076"/>
      <c r="K62" s="2008"/>
      <c r="L62" s="2008"/>
      <c r="M62" s="2008"/>
      <c r="N62" s="2006"/>
      <c r="O62" s="2006"/>
      <c r="P62" s="2007"/>
      <c r="Q62" s="2006"/>
      <c r="R62" s="2006"/>
      <c r="S62" s="2006"/>
      <c r="T62" s="2006"/>
      <c r="U62" s="2006"/>
      <c r="V62" s="2006"/>
      <c r="W62" s="2006"/>
    </row>
    <row r="63" spans="1:23" ht="15.75" thickTop="1" x14ac:dyDescent="0.25">
      <c r="A63" s="2005" t="s">
        <v>671</v>
      </c>
      <c r="B63" s="2062" t="s">
        <v>2045</v>
      </c>
      <c r="C63" s="2060"/>
      <c r="D63" s="2060"/>
      <c r="E63" s="2061"/>
      <c r="F63" s="2061"/>
      <c r="G63" s="2061"/>
      <c r="H63" s="2061"/>
      <c r="I63" s="2061"/>
      <c r="J63" s="2061"/>
      <c r="K63" s="2097"/>
      <c r="L63" s="2096"/>
      <c r="M63" s="2095"/>
      <c r="N63" s="2094"/>
      <c r="O63" s="2093"/>
      <c r="P63" s="2094"/>
      <c r="Q63" s="2058"/>
      <c r="R63" s="2058"/>
      <c r="S63" s="2058"/>
      <c r="T63" s="2058"/>
      <c r="U63" s="2058"/>
      <c r="V63" s="2058"/>
      <c r="W63" s="2058"/>
    </row>
    <row r="64" spans="1:23" outlineLevel="1" x14ac:dyDescent="0.25">
      <c r="B64" s="2016"/>
      <c r="E64" s="2070"/>
      <c r="F64" s="2070"/>
      <c r="G64" s="2070"/>
      <c r="H64" s="2070"/>
      <c r="I64" s="2070"/>
      <c r="K64" s="2017"/>
      <c r="L64" s="2057"/>
      <c r="M64" s="2056"/>
      <c r="N64" s="2055"/>
      <c r="O64" s="2054"/>
      <c r="P64" s="2055"/>
    </row>
    <row r="65" spans="2:16" outlineLevel="1" x14ac:dyDescent="0.25">
      <c r="B65" s="2090"/>
      <c r="C65" s="2052">
        <v>2020</v>
      </c>
      <c r="D65" s="2012">
        <f>C65+1</f>
        <v>2021</v>
      </c>
      <c r="E65" s="2012">
        <f t="shared" ref="E65:P65" si="5">D65+1</f>
        <v>2022</v>
      </c>
      <c r="F65" s="2012">
        <f t="shared" si="5"/>
        <v>2023</v>
      </c>
      <c r="G65" s="2012">
        <f t="shared" si="5"/>
        <v>2024</v>
      </c>
      <c r="H65" s="2012">
        <f t="shared" si="5"/>
        <v>2025</v>
      </c>
      <c r="I65" s="2012">
        <f t="shared" si="5"/>
        <v>2026</v>
      </c>
      <c r="J65" s="2012">
        <f t="shared" si="5"/>
        <v>2027</v>
      </c>
      <c r="K65" s="2012">
        <f t="shared" si="5"/>
        <v>2028</v>
      </c>
      <c r="L65" s="2012">
        <f t="shared" si="5"/>
        <v>2029</v>
      </c>
      <c r="M65" s="2012">
        <f t="shared" si="5"/>
        <v>2030</v>
      </c>
      <c r="N65" s="2012">
        <f t="shared" si="5"/>
        <v>2031</v>
      </c>
      <c r="O65" s="2012">
        <f t="shared" si="5"/>
        <v>2032</v>
      </c>
      <c r="P65" s="2012">
        <f t="shared" si="5"/>
        <v>2033</v>
      </c>
    </row>
    <row r="66" spans="2:16" outlineLevel="1" x14ac:dyDescent="0.25">
      <c r="B66" s="2011" t="s">
        <v>2106</v>
      </c>
      <c r="C66" s="2101"/>
      <c r="D66" s="2069">
        <f>'4. KQ-PL'!F58</f>
        <v>0.43323794000001764</v>
      </c>
      <c r="E66" s="2069">
        <f>'4. KQ-PL'!G58</f>
        <v>-19.755502101000044</v>
      </c>
      <c r="F66" s="2069">
        <f>'4. KQ-PL'!H58</f>
        <v>11.731729394000032</v>
      </c>
      <c r="G66" s="2069">
        <f ca="1">'4. KQ-PL'!I58</f>
        <v>5.4060629888953873</v>
      </c>
      <c r="H66" s="2069">
        <f ca="1">'4. KQ-PL'!J58</f>
        <v>12.86185824094121</v>
      </c>
      <c r="I66" s="2069">
        <f ca="1">'4. KQ-PL'!K58</f>
        <v>19.172480477676874</v>
      </c>
      <c r="J66" s="2069">
        <f ca="1">'4. KQ-PL'!L58</f>
        <v>28.269579474354455</v>
      </c>
      <c r="K66" s="2069">
        <f ca="1">'4. KQ-PL'!M58</f>
        <v>31.340805030269905</v>
      </c>
      <c r="L66" s="2069">
        <f ca="1">'4. KQ-PL'!N58</f>
        <v>33.571226208495048</v>
      </c>
      <c r="M66" s="2069">
        <f ca="1">'4. KQ-PL'!O58</f>
        <v>33.993398086752975</v>
      </c>
      <c r="N66" s="2069">
        <f ca="1">'4. KQ-PL'!P58</f>
        <v>34.833456056697749</v>
      </c>
      <c r="O66" s="2069">
        <f ca="1">'4. KQ-PL'!Q58</f>
        <v>35.774816976051767</v>
      </c>
      <c r="P66" s="2069">
        <f ca="1">'4. KQ-PL'!R58</f>
        <v>36.44280617701007</v>
      </c>
    </row>
    <row r="67" spans="2:16" outlineLevel="1" x14ac:dyDescent="0.25">
      <c r="B67" s="2168" t="s">
        <v>2081</v>
      </c>
      <c r="C67" s="2169"/>
      <c r="D67" s="2170"/>
      <c r="E67" s="2170"/>
      <c r="F67" s="2171">
        <f>(F66-E66)/ABS(F66)</f>
        <v>2.6839377586652837</v>
      </c>
      <c r="G67" s="2171">
        <f t="shared" ref="G67:P67" ca="1" si="6">(G66-F66)/ABS(G66)</f>
        <v>-1.1701059381102696</v>
      </c>
      <c r="H67" s="2171">
        <f t="shared" ca="1" si="6"/>
        <v>0.57968258647983817</v>
      </c>
      <c r="I67" s="2171">
        <f t="shared" ca="1" si="6"/>
        <v>0.32915001499588548</v>
      </c>
      <c r="J67" s="2171">
        <f t="shared" ca="1" si="6"/>
        <v>0.32179817195124072</v>
      </c>
      <c r="K67" s="2171">
        <f t="shared" ca="1" si="6"/>
        <v>9.7994469285302893E-2</v>
      </c>
      <c r="L67" s="2171">
        <f t="shared" ca="1" si="6"/>
        <v>6.6438478129248218E-2</v>
      </c>
      <c r="M67" s="2171">
        <f t="shared" ca="1" si="6"/>
        <v>1.2419231439602539E-2</v>
      </c>
      <c r="N67" s="2171">
        <f t="shared" ca="1" si="6"/>
        <v>2.4116411778877956E-2</v>
      </c>
      <c r="O67" s="2171">
        <f t="shared" ca="1" si="6"/>
        <v>2.6313507627004219E-2</v>
      </c>
      <c r="P67" s="2172">
        <f t="shared" ca="1" si="6"/>
        <v>1.8329795946935162E-2</v>
      </c>
    </row>
    <row r="68" spans="2:16" outlineLevel="1" x14ac:dyDescent="0.25">
      <c r="C68" s="2100"/>
      <c r="D68" s="2099"/>
      <c r="E68" s="2099"/>
      <c r="F68" s="2099"/>
      <c r="G68" s="2057"/>
      <c r="H68" s="2057"/>
      <c r="I68" s="2057"/>
      <c r="K68" s="2017"/>
      <c r="L68" s="2057"/>
      <c r="M68" s="2056"/>
      <c r="N68" s="2055"/>
      <c r="O68" s="2054"/>
      <c r="P68" s="2055"/>
    </row>
    <row r="69" spans="2:16" outlineLevel="1" x14ac:dyDescent="0.25">
      <c r="C69" s="2100"/>
      <c r="D69" s="2099"/>
      <c r="E69" s="2099"/>
      <c r="F69" s="2099"/>
      <c r="G69" s="2057"/>
      <c r="H69" s="2057"/>
      <c r="I69" s="2057"/>
      <c r="K69" s="2017"/>
      <c r="L69" s="2057"/>
      <c r="M69" s="2056"/>
      <c r="N69" s="2055"/>
      <c r="O69" s="2054"/>
      <c r="P69" s="2055"/>
    </row>
    <row r="70" spans="2:16" outlineLevel="1" x14ac:dyDescent="0.25">
      <c r="C70" s="2100"/>
      <c r="D70" s="2099"/>
      <c r="E70" s="2099"/>
      <c r="F70" s="2099"/>
      <c r="G70" s="2057"/>
      <c r="H70" s="2057"/>
      <c r="I70" s="2057"/>
      <c r="K70" s="2017"/>
      <c r="L70" s="2057"/>
      <c r="M70" s="2056"/>
      <c r="N70" s="2055"/>
      <c r="O70" s="2054"/>
      <c r="P70" s="2055"/>
    </row>
    <row r="71" spans="2:16" outlineLevel="1" x14ac:dyDescent="0.25">
      <c r="C71" s="2100"/>
      <c r="D71" s="2099"/>
      <c r="E71" s="2099"/>
      <c r="F71" s="2099"/>
      <c r="G71" s="2057"/>
      <c r="H71" s="2057"/>
      <c r="I71" s="2057"/>
      <c r="K71" s="2017"/>
      <c r="L71" s="2057"/>
      <c r="M71" s="2056"/>
      <c r="N71" s="2055"/>
      <c r="O71" s="2054"/>
      <c r="P71" s="2055"/>
    </row>
    <row r="72" spans="2:16" outlineLevel="1" x14ac:dyDescent="0.25">
      <c r="C72" s="2100"/>
      <c r="D72" s="2099"/>
      <c r="E72" s="2099"/>
      <c r="F72" s="2099"/>
      <c r="G72" s="2057"/>
      <c r="H72" s="2057"/>
      <c r="I72" s="2057"/>
      <c r="K72" s="2017"/>
      <c r="L72" s="2057"/>
      <c r="M72" s="2056"/>
      <c r="N72" s="2055"/>
      <c r="O72" s="2054"/>
      <c r="P72" s="2055"/>
    </row>
    <row r="73" spans="2:16" outlineLevel="1" x14ac:dyDescent="0.25">
      <c r="C73" s="2100"/>
      <c r="D73" s="2099"/>
      <c r="E73" s="2099"/>
      <c r="F73" s="2099"/>
      <c r="G73" s="2057"/>
      <c r="H73" s="2057"/>
      <c r="I73" s="2057"/>
      <c r="K73" s="2017"/>
      <c r="L73" s="2057"/>
      <c r="M73" s="2056"/>
      <c r="N73" s="2055"/>
      <c r="O73" s="2054"/>
      <c r="P73" s="2055"/>
    </row>
    <row r="74" spans="2:16" outlineLevel="1" x14ac:dyDescent="0.25">
      <c r="C74" s="2100"/>
      <c r="D74" s="2099"/>
      <c r="E74" s="2099"/>
      <c r="F74" s="2099"/>
      <c r="G74" s="2057"/>
      <c r="H74" s="2057"/>
      <c r="I74" s="2057"/>
      <c r="K74" s="2017"/>
      <c r="L74" s="2057"/>
      <c r="M74" s="2056"/>
      <c r="N74" s="2055"/>
      <c r="O74" s="2054"/>
      <c r="P74" s="2055"/>
    </row>
    <row r="75" spans="2:16" outlineLevel="1" x14ac:dyDescent="0.25">
      <c r="C75" s="2100"/>
      <c r="D75" s="2099"/>
      <c r="E75" s="2099"/>
      <c r="F75" s="2099"/>
      <c r="G75" s="2057"/>
      <c r="H75" s="2057"/>
      <c r="I75" s="2057"/>
      <c r="K75" s="2017"/>
      <c r="L75" s="2057"/>
      <c r="M75" s="2056"/>
      <c r="N75" s="2055"/>
      <c r="O75" s="2054"/>
      <c r="P75" s="2055"/>
    </row>
    <row r="76" spans="2:16" outlineLevel="1" x14ac:dyDescent="0.25">
      <c r="C76" s="2100"/>
      <c r="D76" s="2099"/>
      <c r="E76" s="2099"/>
      <c r="F76" s="2099"/>
      <c r="G76" s="2057"/>
      <c r="H76" s="2057"/>
      <c r="I76" s="2057"/>
      <c r="K76" s="2017"/>
      <c r="L76" s="2057"/>
      <c r="M76" s="2056"/>
      <c r="N76" s="2055"/>
      <c r="O76" s="2054"/>
      <c r="P76" s="2055"/>
    </row>
    <row r="77" spans="2:16" outlineLevel="1" x14ac:dyDescent="0.25">
      <c r="C77" s="2100"/>
      <c r="D77" s="2099"/>
      <c r="E77" s="2099"/>
      <c r="F77" s="2099"/>
      <c r="G77" s="2057"/>
      <c r="H77" s="2057"/>
      <c r="I77" s="2057"/>
      <c r="K77" s="2017"/>
      <c r="L77" s="2057"/>
      <c r="M77" s="2056"/>
      <c r="N77" s="2055"/>
      <c r="O77" s="2054"/>
      <c r="P77" s="2055"/>
    </row>
    <row r="78" spans="2:16" outlineLevel="1" x14ac:dyDescent="0.25">
      <c r="C78" s="2100"/>
      <c r="D78" s="2099"/>
      <c r="E78" s="2099"/>
      <c r="F78" s="2099"/>
      <c r="G78" s="2057"/>
      <c r="H78" s="2057"/>
      <c r="I78" s="2057"/>
      <c r="K78" s="2017"/>
      <c r="L78" s="2057"/>
      <c r="M78" s="2056"/>
      <c r="N78" s="2055"/>
      <c r="O78" s="2054"/>
      <c r="P78" s="2055"/>
    </row>
    <row r="79" spans="2:16" outlineLevel="1" x14ac:dyDescent="0.25">
      <c r="C79" s="2100"/>
      <c r="D79" s="2099"/>
      <c r="E79" s="2099"/>
      <c r="F79" s="2099"/>
      <c r="G79" s="2057"/>
      <c r="H79" s="2057"/>
      <c r="I79" s="2057"/>
      <c r="K79" s="2017"/>
      <c r="L79" s="2057"/>
      <c r="M79" s="2056"/>
      <c r="N79" s="2055"/>
      <c r="O79" s="2054"/>
      <c r="P79" s="2055"/>
    </row>
    <row r="80" spans="2:16" outlineLevel="1" x14ac:dyDescent="0.25">
      <c r="C80" s="2100"/>
      <c r="D80" s="2099"/>
      <c r="E80" s="2099"/>
      <c r="F80" s="2099"/>
      <c r="G80" s="2057"/>
      <c r="H80" s="2057"/>
      <c r="I80" s="2057"/>
      <c r="K80" s="2017"/>
      <c r="L80" s="2057"/>
      <c r="M80" s="2056"/>
      <c r="N80" s="2055"/>
      <c r="O80" s="2054"/>
      <c r="P80" s="2055"/>
    </row>
    <row r="81" spans="3:16" outlineLevel="1" x14ac:dyDescent="0.25">
      <c r="C81" s="2100"/>
      <c r="D81" s="2099"/>
      <c r="E81" s="2099"/>
      <c r="F81" s="2099"/>
      <c r="G81" s="2057"/>
      <c r="H81" s="2057"/>
      <c r="I81" s="2057"/>
      <c r="K81" s="2017"/>
      <c r="L81" s="2057"/>
      <c r="M81" s="2056"/>
      <c r="N81" s="2055"/>
      <c r="O81" s="2054"/>
      <c r="P81" s="2055"/>
    </row>
    <row r="82" spans="3:16" outlineLevel="1" x14ac:dyDescent="0.25">
      <c r="C82" s="2100"/>
      <c r="D82" s="2099"/>
      <c r="E82" s="2099"/>
      <c r="F82" s="2099"/>
      <c r="G82" s="2057"/>
      <c r="H82" s="2057"/>
      <c r="I82" s="2057"/>
      <c r="K82" s="2017"/>
      <c r="L82" s="2057"/>
      <c r="M82" s="2056"/>
      <c r="N82" s="2055"/>
      <c r="O82" s="2054"/>
      <c r="P82" s="2055"/>
    </row>
    <row r="83" spans="3:16" outlineLevel="1" x14ac:dyDescent="0.25">
      <c r="C83" s="2100"/>
      <c r="D83" s="2099"/>
      <c r="E83" s="2099"/>
      <c r="F83" s="2099"/>
      <c r="G83" s="2057"/>
      <c r="H83" s="2057"/>
      <c r="I83" s="2057"/>
      <c r="K83" s="2017"/>
      <c r="L83" s="2057"/>
      <c r="M83" s="2056"/>
      <c r="N83" s="2055"/>
      <c r="O83" s="2054"/>
      <c r="P83" s="2055"/>
    </row>
    <row r="84" spans="3:16" outlineLevel="1" x14ac:dyDescent="0.25">
      <c r="C84" s="2100"/>
      <c r="D84" s="2099"/>
      <c r="E84" s="2099"/>
      <c r="F84" s="2099"/>
      <c r="G84" s="2057"/>
      <c r="H84" s="2057"/>
      <c r="I84" s="2057"/>
      <c r="K84" s="2017"/>
      <c r="L84" s="2057"/>
      <c r="M84" s="2056"/>
      <c r="N84" s="2055"/>
      <c r="O84" s="2054"/>
      <c r="P84" s="2055"/>
    </row>
    <row r="85" spans="3:16" outlineLevel="1" x14ac:dyDescent="0.25">
      <c r="C85" s="2100"/>
      <c r="D85" s="2099"/>
      <c r="E85" s="2099"/>
      <c r="F85" s="2099"/>
      <c r="G85" s="2057"/>
      <c r="H85" s="2057"/>
      <c r="I85" s="2057"/>
      <c r="K85" s="2017"/>
      <c r="L85" s="2057"/>
      <c r="M85" s="2056"/>
      <c r="N85" s="2055"/>
      <c r="O85" s="2054"/>
      <c r="P85" s="2055"/>
    </row>
    <row r="86" spans="3:16" outlineLevel="1" x14ac:dyDescent="0.25">
      <c r="C86" s="2100"/>
      <c r="D86" s="2099"/>
      <c r="E86" s="2099"/>
      <c r="F86" s="2099"/>
      <c r="G86" s="2057"/>
      <c r="H86" s="2057"/>
      <c r="I86" s="2057"/>
      <c r="K86" s="2017"/>
      <c r="L86" s="2057"/>
      <c r="M86" s="2056"/>
      <c r="N86" s="2055"/>
      <c r="O86" s="2054"/>
      <c r="P86" s="2055"/>
    </row>
    <row r="87" spans="3:16" outlineLevel="1" x14ac:dyDescent="0.25">
      <c r="C87" s="2100"/>
      <c r="D87" s="2099"/>
      <c r="E87" s="2099"/>
      <c r="F87" s="2099"/>
      <c r="G87" s="2057"/>
      <c r="H87" s="2057"/>
      <c r="I87" s="2057"/>
      <c r="K87" s="2017"/>
      <c r="L87" s="2057"/>
      <c r="M87" s="2056"/>
      <c r="N87" s="2055"/>
      <c r="O87" s="2054"/>
      <c r="P87" s="2055"/>
    </row>
    <row r="88" spans="3:16" outlineLevel="1" x14ac:dyDescent="0.25">
      <c r="C88" s="2100"/>
      <c r="D88" s="2099"/>
      <c r="E88" s="2099"/>
      <c r="F88" s="2099"/>
      <c r="G88" s="2057"/>
      <c r="H88" s="2057"/>
      <c r="I88" s="2057"/>
      <c r="K88" s="2017"/>
      <c r="L88" s="2057"/>
      <c r="M88" s="2056"/>
      <c r="N88" s="2055"/>
      <c r="O88" s="2054"/>
      <c r="P88" s="2055"/>
    </row>
    <row r="89" spans="3:16" outlineLevel="1" x14ac:dyDescent="0.25">
      <c r="C89" s="2100"/>
      <c r="D89" s="2099"/>
      <c r="E89" s="2099"/>
      <c r="F89" s="2099"/>
      <c r="G89" s="2057"/>
      <c r="H89" s="2057"/>
      <c r="I89" s="2057"/>
      <c r="K89" s="2017"/>
      <c r="L89" s="2057"/>
      <c r="M89" s="2056"/>
      <c r="N89" s="2055"/>
      <c r="O89" s="2054"/>
      <c r="P89" s="2055"/>
    </row>
    <row r="90" spans="3:16" outlineLevel="1" x14ac:dyDescent="0.25">
      <c r="C90" s="2100"/>
      <c r="D90" s="2099"/>
      <c r="E90" s="2099"/>
      <c r="F90" s="2099"/>
      <c r="G90" s="2057"/>
      <c r="H90" s="2057"/>
      <c r="I90" s="2057"/>
      <c r="K90" s="2017"/>
      <c r="L90" s="2057"/>
      <c r="M90" s="2056"/>
      <c r="N90" s="2055"/>
      <c r="O90" s="2054"/>
      <c r="P90" s="2055"/>
    </row>
    <row r="91" spans="3:16" outlineLevel="1" x14ac:dyDescent="0.25">
      <c r="C91" s="2100"/>
      <c r="D91" s="2099"/>
      <c r="E91" s="2099"/>
      <c r="F91" s="2099"/>
      <c r="G91" s="2057"/>
      <c r="H91" s="2057"/>
      <c r="I91" s="2057"/>
      <c r="K91" s="2017"/>
      <c r="L91" s="2057"/>
      <c r="M91" s="2056"/>
      <c r="N91" s="2055"/>
      <c r="O91" s="2054"/>
      <c r="P91" s="2055"/>
    </row>
    <row r="92" spans="3:16" outlineLevel="1" x14ac:dyDescent="0.25">
      <c r="C92" s="2100"/>
      <c r="D92" s="2099"/>
      <c r="E92" s="2099"/>
      <c r="F92" s="2099"/>
      <c r="G92" s="2057"/>
      <c r="H92" s="2057"/>
      <c r="I92" s="2057"/>
      <c r="K92" s="2017"/>
      <c r="L92" s="2057"/>
      <c r="M92" s="2056"/>
      <c r="N92" s="2055"/>
      <c r="O92" s="2054"/>
      <c r="P92" s="2055"/>
    </row>
    <row r="93" spans="3:16" outlineLevel="1" x14ac:dyDescent="0.25">
      <c r="C93" s="2100"/>
      <c r="D93" s="2099"/>
      <c r="E93" s="2099"/>
      <c r="F93" s="2099"/>
      <c r="G93" s="2057"/>
      <c r="H93" s="2057"/>
      <c r="I93" s="2057"/>
      <c r="K93" s="2017"/>
      <c r="L93" s="2057"/>
      <c r="M93" s="2056"/>
      <c r="N93" s="2055"/>
      <c r="O93" s="2054"/>
      <c r="P93" s="2055"/>
    </row>
    <row r="94" spans="3:16" outlineLevel="1" x14ac:dyDescent="0.25">
      <c r="C94" s="2100"/>
      <c r="D94" s="2099"/>
      <c r="E94" s="2099"/>
      <c r="F94" s="2099"/>
      <c r="G94" s="2057"/>
      <c r="H94" s="2057"/>
      <c r="I94" s="2057"/>
      <c r="K94" s="2017"/>
      <c r="L94" s="2057"/>
      <c r="M94" s="2056"/>
      <c r="N94" s="2055"/>
      <c r="O94" s="2054"/>
      <c r="P94" s="2055"/>
    </row>
    <row r="95" spans="3:16" outlineLevel="1" x14ac:dyDescent="0.25">
      <c r="E95" s="2057"/>
      <c r="F95" s="2057"/>
      <c r="G95" s="2057"/>
      <c r="H95" s="2057"/>
      <c r="I95" s="2057"/>
      <c r="K95" s="2017"/>
      <c r="L95" s="2057"/>
      <c r="M95" s="2056"/>
      <c r="N95" s="2055"/>
      <c r="O95" s="2054"/>
      <c r="P95" s="2055"/>
    </row>
    <row r="96" spans="3:16" x14ac:dyDescent="0.25">
      <c r="E96" s="2057"/>
      <c r="F96" s="2057"/>
      <c r="G96" s="2057"/>
      <c r="H96" s="2057"/>
      <c r="I96" s="2057"/>
      <c r="K96" s="2017"/>
      <c r="L96" s="2057"/>
      <c r="M96" s="2056"/>
      <c r="N96" s="2055"/>
      <c r="O96" s="2054"/>
      <c r="P96" s="2055"/>
    </row>
    <row r="97" spans="1:23" ht="15.75" thickBot="1" x14ac:dyDescent="0.3">
      <c r="A97" s="2005">
        <v>3</v>
      </c>
      <c r="B97" s="2077" t="s">
        <v>2080</v>
      </c>
      <c r="C97" s="2008"/>
      <c r="D97" s="2008"/>
      <c r="E97" s="2076"/>
      <c r="F97" s="2076"/>
      <c r="G97" s="2076"/>
      <c r="H97" s="2076"/>
      <c r="I97" s="2076"/>
      <c r="J97" s="2076"/>
      <c r="K97" s="2008"/>
      <c r="L97" s="2008"/>
      <c r="M97" s="2008"/>
      <c r="N97" s="2006"/>
      <c r="O97" s="2006"/>
      <c r="P97" s="2007"/>
      <c r="Q97" s="2006"/>
      <c r="R97" s="2006"/>
      <c r="S97" s="2006"/>
      <c r="T97" s="2006"/>
      <c r="U97" s="2006"/>
      <c r="V97" s="2006"/>
      <c r="W97" s="2006"/>
    </row>
    <row r="98" spans="1:23" ht="15.75" thickTop="1" x14ac:dyDescent="0.25">
      <c r="A98" s="2005" t="s">
        <v>2079</v>
      </c>
      <c r="B98" s="2062" t="s">
        <v>2078</v>
      </c>
      <c r="C98" s="2060"/>
      <c r="D98" s="2060"/>
      <c r="E98" s="2061"/>
      <c r="F98" s="2061"/>
      <c r="G98" s="2061"/>
      <c r="H98" s="2061"/>
      <c r="I98" s="2061"/>
      <c r="J98" s="2061"/>
      <c r="K98" s="2061"/>
      <c r="L98" s="2061"/>
      <c r="M98" s="2095"/>
      <c r="N98" s="2094"/>
      <c r="O98" s="2093"/>
      <c r="P98" s="2094"/>
      <c r="Q98" s="2058"/>
      <c r="R98" s="2058"/>
      <c r="S98" s="2058"/>
      <c r="T98" s="2058"/>
      <c r="U98" s="2058"/>
      <c r="V98" s="2058"/>
      <c r="W98" s="2058"/>
    </row>
    <row r="99" spans="1:23" x14ac:dyDescent="0.25">
      <c r="A99" s="2005" t="s">
        <v>2055</v>
      </c>
      <c r="B99" s="2016" t="s">
        <v>2107</v>
      </c>
      <c r="J99" s="1843"/>
      <c r="K99" s="1843"/>
      <c r="L99" s="1843"/>
      <c r="M99" s="1843"/>
    </row>
    <row r="100" spans="1:23" outlineLevel="1" x14ac:dyDescent="0.25">
      <c r="B100" s="2013"/>
      <c r="C100" s="2052">
        <v>2020</v>
      </c>
      <c r="D100" s="2012">
        <f>C100+1</f>
        <v>2021</v>
      </c>
      <c r="E100" s="2012">
        <f t="shared" ref="E100:P100" si="7">D100+1</f>
        <v>2022</v>
      </c>
      <c r="F100" s="2012">
        <f t="shared" si="7"/>
        <v>2023</v>
      </c>
      <c r="G100" s="2012">
        <f t="shared" si="7"/>
        <v>2024</v>
      </c>
      <c r="H100" s="2012">
        <f t="shared" si="7"/>
        <v>2025</v>
      </c>
      <c r="I100" s="2012">
        <f t="shared" si="7"/>
        <v>2026</v>
      </c>
      <c r="J100" s="2012">
        <f t="shared" si="7"/>
        <v>2027</v>
      </c>
      <c r="K100" s="2012">
        <f t="shared" si="7"/>
        <v>2028</v>
      </c>
      <c r="L100" s="2012">
        <f t="shared" si="7"/>
        <v>2029</v>
      </c>
      <c r="M100" s="2012">
        <f t="shared" si="7"/>
        <v>2030</v>
      </c>
      <c r="N100" s="2012">
        <f t="shared" si="7"/>
        <v>2031</v>
      </c>
      <c r="O100" s="2012">
        <f t="shared" si="7"/>
        <v>2032</v>
      </c>
      <c r="P100" s="2012">
        <f t="shared" si="7"/>
        <v>2033</v>
      </c>
    </row>
    <row r="101" spans="1:23" outlineLevel="1" x14ac:dyDescent="0.25">
      <c r="B101" s="2011" t="str">
        <f>[31]Input_Cty!$B$2</f>
        <v>Quang Phát</v>
      </c>
      <c r="C101" s="2010"/>
      <c r="D101" s="2010">
        <f>'4. KQ-PL'!F59</f>
        <v>0</v>
      </c>
      <c r="E101" s="2010">
        <f>'4. KQ-PL'!G59</f>
        <v>0</v>
      </c>
      <c r="F101" s="2091">
        <f>'4. KQ-PL'!H59</f>
        <v>0</v>
      </c>
      <c r="G101" s="2091">
        <f ca="1">'4. KQ-PL'!I59</f>
        <v>1.1436696865791501E-2</v>
      </c>
      <c r="H101" s="2091">
        <f ca="1">'4. KQ-PL'!J59</f>
        <v>2.6934437899863019E-2</v>
      </c>
      <c r="I101" s="2091">
        <f ca="1">'4. KQ-PL'!K59</f>
        <v>3.9743514863175823E-2</v>
      </c>
      <c r="J101" s="2091">
        <f ca="1">'4. KQ-PL'!L59</f>
        <v>5.8008302918725607E-2</v>
      </c>
      <c r="K101" s="2091">
        <f ca="1">'4. KQ-PL'!M59</f>
        <v>6.3659447684796991E-2</v>
      </c>
      <c r="L101" s="2091">
        <f ca="1">'4. KQ-PL'!N59</f>
        <v>6.7499551076504419E-2</v>
      </c>
      <c r="M101" s="2091">
        <f ca="1">'4. KQ-PL'!O59</f>
        <v>6.7656303739338869E-2</v>
      </c>
      <c r="N101" s="2091">
        <f ca="1">'4. KQ-PL'!P59</f>
        <v>6.8626096491212263E-2</v>
      </c>
      <c r="O101" s="2091">
        <f ca="1">'4. KQ-PL'!Q59</f>
        <v>6.9766706616082086E-2</v>
      </c>
      <c r="P101" s="2091">
        <f ca="1">'4. KQ-PL'!R59</f>
        <v>7.0349287295367366E-2</v>
      </c>
    </row>
    <row r="102" spans="1:23" outlineLevel="1" x14ac:dyDescent="0.25">
      <c r="B102" s="2011" t="s">
        <v>2069</v>
      </c>
      <c r="C102" s="2010"/>
      <c r="D102" s="2091"/>
      <c r="E102" s="2091"/>
      <c r="F102" s="2091">
        <f>'5. DNCN (Tỷ)'!AD17/'5. DNCN (Tỷ)'!Q17</f>
        <v>7.2610424198671364E-2</v>
      </c>
      <c r="G102" s="2091">
        <f>F102</f>
        <v>7.2610424198671364E-2</v>
      </c>
      <c r="H102" s="2091">
        <f t="shared" ref="H102:P102" si="8">G102</f>
        <v>7.2610424198671364E-2</v>
      </c>
      <c r="I102" s="2091">
        <f t="shared" si="8"/>
        <v>7.2610424198671364E-2</v>
      </c>
      <c r="J102" s="2091">
        <f t="shared" si="8"/>
        <v>7.2610424198671364E-2</v>
      </c>
      <c r="K102" s="2091">
        <f t="shared" si="8"/>
        <v>7.2610424198671364E-2</v>
      </c>
      <c r="L102" s="2091">
        <f t="shared" si="8"/>
        <v>7.2610424198671364E-2</v>
      </c>
      <c r="M102" s="2091">
        <f t="shared" si="8"/>
        <v>7.2610424198671364E-2</v>
      </c>
      <c r="N102" s="2091">
        <f t="shared" si="8"/>
        <v>7.2610424198671364E-2</v>
      </c>
      <c r="O102" s="2091">
        <f t="shared" si="8"/>
        <v>7.2610424198671364E-2</v>
      </c>
      <c r="P102" s="2091">
        <f t="shared" si="8"/>
        <v>7.2610424198671364E-2</v>
      </c>
    </row>
    <row r="103" spans="1:23" outlineLevel="1" x14ac:dyDescent="0.25">
      <c r="B103" s="2011" t="s">
        <v>2073</v>
      </c>
      <c r="C103" s="2010"/>
      <c r="D103" s="2091"/>
      <c r="E103" s="2091"/>
      <c r="F103" s="2091">
        <f>'5. DNCN (Tỷ)'!AD18/'5. DNCN (Tỷ)'!Q18</f>
        <v>9.0367573144351815E-2</v>
      </c>
      <c r="G103" s="2091">
        <f>F103</f>
        <v>9.0367573144351815E-2</v>
      </c>
      <c r="H103" s="2091">
        <f t="shared" ref="H103:P103" si="9">G103</f>
        <v>9.0367573144351815E-2</v>
      </c>
      <c r="I103" s="2091">
        <f t="shared" si="9"/>
        <v>9.0367573144351815E-2</v>
      </c>
      <c r="J103" s="2091">
        <f t="shared" si="9"/>
        <v>9.0367573144351815E-2</v>
      </c>
      <c r="K103" s="2091">
        <f t="shared" si="9"/>
        <v>9.0367573144351815E-2</v>
      </c>
      <c r="L103" s="2091">
        <f t="shared" si="9"/>
        <v>9.0367573144351815E-2</v>
      </c>
      <c r="M103" s="2091">
        <f t="shared" si="9"/>
        <v>9.0367573144351815E-2</v>
      </c>
      <c r="N103" s="2091">
        <f t="shared" si="9"/>
        <v>9.0367573144351815E-2</v>
      </c>
      <c r="O103" s="2091">
        <f t="shared" si="9"/>
        <v>9.0367573144351815E-2</v>
      </c>
      <c r="P103" s="2091">
        <f t="shared" si="9"/>
        <v>9.0367573144351815E-2</v>
      </c>
    </row>
    <row r="104" spans="1:23" outlineLevel="1" x14ac:dyDescent="0.25">
      <c r="B104" s="1843"/>
      <c r="C104" s="1843"/>
      <c r="D104" s="1843"/>
      <c r="E104" s="1843"/>
      <c r="F104" s="1843"/>
      <c r="J104" s="1843"/>
      <c r="K104" s="1843"/>
      <c r="L104" s="1843"/>
      <c r="M104" s="1843"/>
    </row>
    <row r="105" spans="1:23" outlineLevel="1" x14ac:dyDescent="0.25">
      <c r="J105" s="1843"/>
      <c r="K105" s="1843"/>
      <c r="L105" s="1843"/>
      <c r="M105" s="1843"/>
      <c r="P105" s="2054"/>
    </row>
    <row r="106" spans="1:23" outlineLevel="1" x14ac:dyDescent="0.25">
      <c r="J106" s="1843"/>
      <c r="K106" s="1843"/>
      <c r="L106" s="1843"/>
      <c r="M106" s="1843"/>
      <c r="P106" s="2054"/>
    </row>
    <row r="107" spans="1:23" outlineLevel="1" x14ac:dyDescent="0.25">
      <c r="J107" s="1843"/>
      <c r="K107" s="1843"/>
      <c r="L107" s="1843"/>
      <c r="M107" s="1843"/>
      <c r="P107" s="2054"/>
    </row>
    <row r="108" spans="1:23" outlineLevel="1" x14ac:dyDescent="0.25">
      <c r="J108" s="1843"/>
      <c r="K108" s="1843"/>
      <c r="L108" s="1843"/>
      <c r="M108" s="1843"/>
      <c r="P108" s="2054"/>
    </row>
    <row r="109" spans="1:23" outlineLevel="1" x14ac:dyDescent="0.25">
      <c r="J109" s="1843"/>
      <c r="K109" s="1843"/>
      <c r="L109" s="1843"/>
      <c r="M109" s="1843"/>
      <c r="P109" s="2054"/>
    </row>
    <row r="110" spans="1:23" outlineLevel="1" x14ac:dyDescent="0.25">
      <c r="J110" s="1843"/>
      <c r="K110" s="1843"/>
      <c r="L110" s="1843"/>
      <c r="M110" s="1843"/>
      <c r="P110" s="2054"/>
    </row>
    <row r="111" spans="1:23" outlineLevel="1" x14ac:dyDescent="0.25">
      <c r="J111" s="1843"/>
      <c r="K111" s="1843"/>
      <c r="L111" s="1843"/>
      <c r="M111" s="1843"/>
      <c r="P111" s="2054"/>
    </row>
    <row r="112" spans="1:23" outlineLevel="1" x14ac:dyDescent="0.25">
      <c r="J112" s="1843"/>
      <c r="K112" s="1843"/>
      <c r="L112" s="1843"/>
      <c r="M112" s="1843"/>
      <c r="P112" s="2054"/>
    </row>
    <row r="113" spans="10:16" outlineLevel="1" x14ac:dyDescent="0.25">
      <c r="J113" s="1843"/>
      <c r="K113" s="1843"/>
      <c r="L113" s="1843"/>
      <c r="M113" s="1843"/>
      <c r="P113" s="2054"/>
    </row>
    <row r="114" spans="10:16" outlineLevel="1" x14ac:dyDescent="0.25">
      <c r="J114" s="1843"/>
      <c r="K114" s="1843"/>
      <c r="L114" s="1843"/>
      <c r="M114" s="1843"/>
      <c r="P114" s="2054"/>
    </row>
    <row r="115" spans="10:16" outlineLevel="1" x14ac:dyDescent="0.25">
      <c r="J115" s="1843"/>
      <c r="K115" s="1843"/>
      <c r="L115" s="1843"/>
      <c r="M115" s="1843"/>
      <c r="P115" s="2054"/>
    </row>
    <row r="116" spans="10:16" outlineLevel="1" x14ac:dyDescent="0.25">
      <c r="J116" s="1843"/>
      <c r="K116" s="1843"/>
      <c r="L116" s="1843"/>
      <c r="M116" s="1843"/>
      <c r="P116" s="2054"/>
    </row>
    <row r="117" spans="10:16" outlineLevel="1" x14ac:dyDescent="0.25">
      <c r="J117" s="1843"/>
      <c r="K117" s="1843"/>
      <c r="L117" s="1843"/>
      <c r="M117" s="1843"/>
      <c r="P117" s="2054"/>
    </row>
    <row r="118" spans="10:16" outlineLevel="1" x14ac:dyDescent="0.25">
      <c r="J118" s="1843"/>
      <c r="K118" s="1843"/>
      <c r="L118" s="1843"/>
      <c r="M118" s="1843"/>
      <c r="P118" s="2054"/>
    </row>
    <row r="119" spans="10:16" outlineLevel="1" x14ac:dyDescent="0.25">
      <c r="J119" s="1843"/>
      <c r="K119" s="1843"/>
      <c r="L119" s="1843"/>
      <c r="M119" s="1843"/>
    </row>
    <row r="120" spans="10:16" outlineLevel="1" x14ac:dyDescent="0.25">
      <c r="J120" s="1843"/>
      <c r="K120" s="1843"/>
      <c r="L120" s="1843"/>
      <c r="M120" s="1843"/>
    </row>
    <row r="121" spans="10:16" outlineLevel="1" x14ac:dyDescent="0.25">
      <c r="J121" s="1843"/>
      <c r="K121" s="1843"/>
      <c r="L121" s="1843"/>
      <c r="M121" s="1843"/>
    </row>
    <row r="122" spans="10:16" outlineLevel="1" x14ac:dyDescent="0.25">
      <c r="J122" s="1843"/>
      <c r="K122" s="1843"/>
      <c r="L122" s="1843"/>
      <c r="M122" s="1843"/>
    </row>
    <row r="123" spans="10:16" outlineLevel="1" x14ac:dyDescent="0.25">
      <c r="J123" s="1843"/>
      <c r="K123" s="1843"/>
      <c r="L123" s="1843"/>
      <c r="M123" s="1843"/>
    </row>
    <row r="124" spans="10:16" outlineLevel="1" x14ac:dyDescent="0.25">
      <c r="J124" s="1843"/>
      <c r="K124" s="1843"/>
      <c r="L124" s="1843"/>
      <c r="M124" s="1843"/>
    </row>
    <row r="125" spans="10:16" outlineLevel="1" x14ac:dyDescent="0.25">
      <c r="J125" s="1843"/>
      <c r="K125" s="1843"/>
      <c r="L125" s="1843"/>
      <c r="M125" s="1843"/>
    </row>
    <row r="126" spans="10:16" outlineLevel="1" x14ac:dyDescent="0.25">
      <c r="J126" s="1843"/>
      <c r="K126" s="1843"/>
      <c r="L126" s="1843"/>
      <c r="M126" s="1843"/>
    </row>
    <row r="127" spans="10:16" outlineLevel="1" x14ac:dyDescent="0.25">
      <c r="J127" s="1843"/>
      <c r="K127" s="1843"/>
      <c r="L127" s="1843"/>
      <c r="M127" s="1843"/>
    </row>
    <row r="128" spans="10:16" outlineLevel="1" x14ac:dyDescent="0.25">
      <c r="J128" s="1843"/>
      <c r="K128" s="1843"/>
      <c r="L128" s="1843"/>
      <c r="M128" s="1843"/>
    </row>
    <row r="129" spans="1:23" outlineLevel="1" x14ac:dyDescent="0.25">
      <c r="J129" s="1843"/>
      <c r="K129" s="1843"/>
      <c r="L129" s="1843"/>
      <c r="M129" s="1843"/>
    </row>
    <row r="130" spans="1:23" outlineLevel="1" x14ac:dyDescent="0.25">
      <c r="J130" s="1843"/>
      <c r="K130" s="1843"/>
      <c r="L130" s="1843"/>
      <c r="M130" s="1843"/>
    </row>
    <row r="131" spans="1:23" outlineLevel="1" x14ac:dyDescent="0.25">
      <c r="J131" s="1843"/>
      <c r="K131" s="1843"/>
      <c r="L131" s="1843"/>
      <c r="M131" s="1843"/>
    </row>
    <row r="132" spans="1:23" x14ac:dyDescent="0.25">
      <c r="A132" s="2005" t="s">
        <v>2077</v>
      </c>
      <c r="B132" s="2062" t="s">
        <v>2076</v>
      </c>
      <c r="C132" s="2060"/>
      <c r="D132" s="2060"/>
      <c r="E132" s="2061"/>
      <c r="F132" s="2061"/>
      <c r="G132" s="2061"/>
      <c r="H132" s="2061"/>
      <c r="I132" s="2061"/>
      <c r="J132" s="2061"/>
      <c r="K132" s="2061"/>
      <c r="L132" s="2096"/>
      <c r="M132" s="2095"/>
      <c r="N132" s="2094"/>
      <c r="O132" s="2093"/>
      <c r="P132" s="2094"/>
      <c r="Q132" s="2058"/>
      <c r="R132" s="2058"/>
      <c r="S132" s="2058"/>
      <c r="T132" s="2058"/>
      <c r="U132" s="2058"/>
      <c r="V132" s="2058"/>
      <c r="W132" s="2058"/>
    </row>
    <row r="133" spans="1:23" x14ac:dyDescent="0.25">
      <c r="A133" s="2005" t="s">
        <v>2055</v>
      </c>
      <c r="B133" s="2016" t="s">
        <v>2108</v>
      </c>
      <c r="E133" s="2070"/>
      <c r="F133" s="2070"/>
      <c r="G133" s="2070"/>
      <c r="H133" s="2070"/>
      <c r="I133" s="2070"/>
      <c r="K133" s="2017"/>
      <c r="L133" s="2057"/>
      <c r="M133" s="2056"/>
      <c r="N133" s="2055"/>
      <c r="O133" s="2054"/>
      <c r="P133" s="2055"/>
    </row>
    <row r="134" spans="1:23" outlineLevel="1" x14ac:dyDescent="0.25">
      <c r="B134" s="2013"/>
      <c r="C134" s="2052">
        <v>2020</v>
      </c>
      <c r="D134" s="2012">
        <f>C134+1</f>
        <v>2021</v>
      </c>
      <c r="E134" s="2012">
        <f t="shared" ref="E134:P134" si="10">D134+1</f>
        <v>2022</v>
      </c>
      <c r="F134" s="2012">
        <f t="shared" si="10"/>
        <v>2023</v>
      </c>
      <c r="G134" s="2012">
        <f t="shared" si="10"/>
        <v>2024</v>
      </c>
      <c r="H134" s="2012">
        <f t="shared" si="10"/>
        <v>2025</v>
      </c>
      <c r="I134" s="2012">
        <f t="shared" si="10"/>
        <v>2026</v>
      </c>
      <c r="J134" s="2012">
        <f t="shared" si="10"/>
        <v>2027</v>
      </c>
      <c r="K134" s="2012">
        <f t="shared" si="10"/>
        <v>2028</v>
      </c>
      <c r="L134" s="2012">
        <f t="shared" si="10"/>
        <v>2029</v>
      </c>
      <c r="M134" s="2012">
        <f t="shared" si="10"/>
        <v>2030</v>
      </c>
      <c r="N134" s="2012">
        <f t="shared" si="10"/>
        <v>2031</v>
      </c>
      <c r="O134" s="2012">
        <f t="shared" si="10"/>
        <v>2032</v>
      </c>
      <c r="P134" s="2012">
        <f t="shared" si="10"/>
        <v>2033</v>
      </c>
    </row>
    <row r="135" spans="1:23" outlineLevel="1" x14ac:dyDescent="0.25">
      <c r="B135" s="2011" t="str">
        <f>[31]Input_Cty!$B$2</f>
        <v>Quang Phát</v>
      </c>
      <c r="C135" s="2092"/>
      <c r="D135" s="2091"/>
      <c r="E135" s="2091"/>
      <c r="F135" s="2091">
        <f>'4. KQ-PL'!H58/'4. KQ- BS'!G68</f>
        <v>1.8819051466731199E-2</v>
      </c>
      <c r="G135" s="2091">
        <f ca="1">'4. KQ-PL'!I58/'4. KQ- BS'!H68</f>
        <v>1.8609102641334856E-2</v>
      </c>
      <c r="H135" s="2091">
        <f ca="1">'4. KQ-PL'!J58/'4. KQ- BS'!I68</f>
        <v>4.6411430264459964E-2</v>
      </c>
      <c r="I135" s="2091">
        <f ca="1">'4. KQ-PL'!K58/'4. KQ- BS'!J68</f>
        <v>7.3003139400410894E-2</v>
      </c>
      <c r="J135" s="2091">
        <f ca="1">'4. KQ-PL'!L58/'4. KQ- BS'!K68</f>
        <v>0.10775407682951273</v>
      </c>
      <c r="K135" s="2091">
        <f ca="1">'4. KQ-PL'!M58/'4. KQ- BS'!L68</f>
        <v>0.10670534915338828</v>
      </c>
      <c r="L135" s="2091">
        <f ca="1">'4. KQ-PL'!N58/'4. KQ- BS'!M68</f>
        <v>0.10257137259908125</v>
      </c>
      <c r="M135" s="2091">
        <f ca="1">'4. KQ-PL'!O58/'4. KQ- BS'!N68</f>
        <v>9.4082962165876194E-2</v>
      </c>
      <c r="N135" s="2091">
        <f ca="1">'4. KQ-PL'!P58/'4. KQ- BS'!O68</f>
        <v>8.7925756088807552E-2</v>
      </c>
      <c r="O135" s="2091">
        <f ca="1">'4. KQ-PL'!Q58/'4. KQ- BS'!P68</f>
        <v>8.2818940391855361E-2</v>
      </c>
      <c r="P135" s="2091">
        <f ca="1">'4. KQ-PL'!R58/'4. KQ- BS'!Q68</f>
        <v>7.7797726260247724E-2</v>
      </c>
    </row>
    <row r="136" spans="1:23" outlineLevel="1" x14ac:dyDescent="0.25">
      <c r="B136" s="2011" t="s">
        <v>2069</v>
      </c>
      <c r="C136" s="2092"/>
      <c r="D136" s="2091"/>
      <c r="E136" s="2091"/>
      <c r="F136" s="2091">
        <f>'5. DNCN (Tỷ)'!AD17/'5. DNCN (Tỷ)'!BF17</f>
        <v>4.7670676698702875E-2</v>
      </c>
      <c r="G136" s="2091">
        <f>F136</f>
        <v>4.7670676698702875E-2</v>
      </c>
      <c r="H136" s="2091">
        <f t="shared" ref="H136:P136" si="11">G136</f>
        <v>4.7670676698702875E-2</v>
      </c>
      <c r="I136" s="2091">
        <f t="shared" si="11"/>
        <v>4.7670676698702875E-2</v>
      </c>
      <c r="J136" s="2091">
        <f t="shared" si="11"/>
        <v>4.7670676698702875E-2</v>
      </c>
      <c r="K136" s="2091">
        <f t="shared" si="11"/>
        <v>4.7670676698702875E-2</v>
      </c>
      <c r="L136" s="2091">
        <f t="shared" si="11"/>
        <v>4.7670676698702875E-2</v>
      </c>
      <c r="M136" s="2091">
        <f t="shared" si="11"/>
        <v>4.7670676698702875E-2</v>
      </c>
      <c r="N136" s="2091">
        <f t="shared" si="11"/>
        <v>4.7670676698702875E-2</v>
      </c>
      <c r="O136" s="2091">
        <f t="shared" si="11"/>
        <v>4.7670676698702875E-2</v>
      </c>
      <c r="P136" s="2091">
        <f t="shared" si="11"/>
        <v>4.7670676698702875E-2</v>
      </c>
    </row>
    <row r="137" spans="1:23" outlineLevel="1" x14ac:dyDescent="0.25">
      <c r="B137" s="2011" t="s">
        <v>2073</v>
      </c>
      <c r="C137" s="2092"/>
      <c r="D137" s="2091"/>
      <c r="E137" s="2091"/>
      <c r="F137" s="2091">
        <f>'5. DNCN (Tỷ)'!AC18/'5. DNCN (Tỷ)'!BI18</f>
        <v>7.3175417156430556E-2</v>
      </c>
      <c r="G137" s="2091">
        <f>F137</f>
        <v>7.3175417156430556E-2</v>
      </c>
      <c r="H137" s="2091">
        <f t="shared" ref="H137:P137" si="12">G137</f>
        <v>7.3175417156430556E-2</v>
      </c>
      <c r="I137" s="2091">
        <f t="shared" si="12"/>
        <v>7.3175417156430556E-2</v>
      </c>
      <c r="J137" s="2091">
        <f t="shared" si="12"/>
        <v>7.3175417156430556E-2</v>
      </c>
      <c r="K137" s="2091">
        <f t="shared" si="12"/>
        <v>7.3175417156430556E-2</v>
      </c>
      <c r="L137" s="2091">
        <f t="shared" si="12"/>
        <v>7.3175417156430556E-2</v>
      </c>
      <c r="M137" s="2091">
        <f t="shared" si="12"/>
        <v>7.3175417156430556E-2</v>
      </c>
      <c r="N137" s="2091">
        <f t="shared" si="12"/>
        <v>7.3175417156430556E-2</v>
      </c>
      <c r="O137" s="2091">
        <f t="shared" si="12"/>
        <v>7.3175417156430556E-2</v>
      </c>
      <c r="P137" s="2091">
        <f t="shared" si="12"/>
        <v>7.3175417156430556E-2</v>
      </c>
    </row>
    <row r="138" spans="1:23" outlineLevel="1" x14ac:dyDescent="0.25">
      <c r="B138" s="1843"/>
      <c r="C138" s="1843"/>
      <c r="D138" s="1843"/>
      <c r="E138" s="1843"/>
      <c r="F138" s="1843"/>
      <c r="G138" s="2057"/>
      <c r="H138" s="2057"/>
      <c r="I138" s="2057"/>
      <c r="K138" s="2017"/>
      <c r="L138" s="2057"/>
      <c r="M138" s="2056"/>
      <c r="N138" s="2055"/>
      <c r="O138" s="2054"/>
      <c r="P138" s="2055"/>
    </row>
    <row r="139" spans="1:23" outlineLevel="1" x14ac:dyDescent="0.25">
      <c r="E139" s="2057"/>
      <c r="F139" s="2057"/>
      <c r="G139" s="2057"/>
      <c r="H139" s="2057"/>
      <c r="I139" s="2057"/>
      <c r="K139" s="2017"/>
      <c r="L139" s="2057"/>
      <c r="M139" s="2056"/>
      <c r="N139" s="2055"/>
      <c r="O139" s="2054"/>
      <c r="P139" s="2055"/>
    </row>
    <row r="140" spans="1:23" outlineLevel="1" x14ac:dyDescent="0.25">
      <c r="E140" s="2057"/>
      <c r="F140" s="2057"/>
      <c r="G140" s="2057"/>
      <c r="H140" s="2057"/>
      <c r="I140" s="2057"/>
      <c r="K140" s="2017"/>
      <c r="L140" s="2057"/>
      <c r="M140" s="2056"/>
      <c r="N140" s="2055"/>
      <c r="O140" s="2054"/>
      <c r="P140" s="2055"/>
    </row>
    <row r="141" spans="1:23" outlineLevel="1" x14ac:dyDescent="0.25">
      <c r="E141" s="2057"/>
      <c r="F141" s="2057"/>
      <c r="G141" s="2057"/>
      <c r="H141" s="2057"/>
      <c r="I141" s="2057"/>
      <c r="K141" s="2017"/>
      <c r="L141" s="2057"/>
      <c r="M141" s="2056"/>
      <c r="N141" s="2055"/>
      <c r="O141" s="2054"/>
      <c r="P141" s="2055"/>
    </row>
    <row r="142" spans="1:23" outlineLevel="1" x14ac:dyDescent="0.25">
      <c r="E142" s="2057"/>
      <c r="F142" s="2057"/>
      <c r="G142" s="2057"/>
      <c r="H142" s="2057"/>
      <c r="I142" s="2057"/>
      <c r="K142" s="2017"/>
      <c r="L142" s="2057"/>
      <c r="M142" s="2056"/>
      <c r="N142" s="2055"/>
      <c r="O142" s="2054"/>
      <c r="P142" s="2055"/>
    </row>
    <row r="143" spans="1:23" outlineLevel="1" x14ac:dyDescent="0.25">
      <c r="E143" s="2057"/>
      <c r="F143" s="2057"/>
      <c r="G143" s="2057"/>
      <c r="H143" s="2057"/>
      <c r="I143" s="2057"/>
      <c r="K143" s="2017"/>
      <c r="L143" s="2057"/>
      <c r="M143" s="2056"/>
      <c r="N143" s="2055"/>
      <c r="O143" s="2054"/>
      <c r="P143" s="2055"/>
    </row>
    <row r="144" spans="1:23" outlineLevel="1" x14ac:dyDescent="0.25">
      <c r="E144" s="2057"/>
      <c r="F144" s="2057"/>
      <c r="G144" s="2057"/>
      <c r="H144" s="2057"/>
      <c r="I144" s="2057"/>
      <c r="K144" s="2017"/>
      <c r="L144" s="2057"/>
      <c r="M144" s="2056"/>
      <c r="N144" s="2055"/>
      <c r="O144" s="2054"/>
      <c r="P144" s="2055"/>
    </row>
    <row r="145" spans="1:31" outlineLevel="1" x14ac:dyDescent="0.25">
      <c r="E145" s="2057"/>
      <c r="F145" s="2057"/>
      <c r="G145" s="2057"/>
      <c r="H145" s="2057"/>
      <c r="I145" s="2057"/>
      <c r="K145" s="2017"/>
      <c r="L145" s="2057"/>
      <c r="M145" s="2056"/>
      <c r="N145" s="2055"/>
      <c r="O145" s="2054"/>
      <c r="P145" s="2055"/>
    </row>
    <row r="146" spans="1:31" outlineLevel="1" x14ac:dyDescent="0.25">
      <c r="E146" s="2057"/>
      <c r="F146" s="2057"/>
      <c r="G146" s="2057"/>
      <c r="H146" s="2057"/>
      <c r="I146" s="2057"/>
      <c r="K146" s="2017"/>
      <c r="L146" s="2057"/>
      <c r="M146" s="2056"/>
      <c r="N146" s="2055"/>
      <c r="O146" s="2054"/>
      <c r="P146" s="2055"/>
    </row>
    <row r="147" spans="1:31" outlineLevel="1" x14ac:dyDescent="0.25">
      <c r="E147" s="2057"/>
      <c r="F147" s="2057"/>
      <c r="G147" s="2057"/>
      <c r="H147" s="2057"/>
      <c r="I147" s="2057"/>
      <c r="K147" s="2017"/>
      <c r="L147" s="2057"/>
      <c r="M147" s="2056"/>
      <c r="N147" s="2055"/>
      <c r="O147" s="2054"/>
      <c r="P147" s="2055"/>
    </row>
    <row r="148" spans="1:31" outlineLevel="1" x14ac:dyDescent="0.25">
      <c r="E148" s="2057"/>
      <c r="F148" s="2057"/>
      <c r="G148" s="2057"/>
      <c r="H148" s="2057"/>
      <c r="I148" s="2057"/>
      <c r="K148" s="2017"/>
      <c r="L148" s="2057"/>
      <c r="M148" s="2056"/>
      <c r="N148" s="2055"/>
      <c r="O148" s="2054"/>
      <c r="P148" s="2055"/>
    </row>
    <row r="149" spans="1:31" outlineLevel="1" x14ac:dyDescent="0.25">
      <c r="E149" s="2057"/>
      <c r="F149" s="2057"/>
      <c r="G149" s="2057"/>
      <c r="H149" s="2057"/>
      <c r="I149" s="2057"/>
      <c r="K149" s="2017"/>
      <c r="L149" s="2057"/>
      <c r="M149" s="2056"/>
      <c r="N149" s="2055"/>
      <c r="O149" s="2054"/>
      <c r="P149" s="2055"/>
    </row>
    <row r="150" spans="1:31" outlineLevel="1" x14ac:dyDescent="0.25">
      <c r="E150" s="2057"/>
      <c r="F150" s="2057"/>
      <c r="G150" s="2057"/>
      <c r="H150" s="2057"/>
      <c r="I150" s="2057"/>
      <c r="K150" s="2017"/>
      <c r="L150" s="2057"/>
      <c r="M150" s="2056"/>
      <c r="N150" s="2055"/>
      <c r="O150" s="2054"/>
      <c r="P150" s="2055"/>
    </row>
    <row r="151" spans="1:31" ht="17.45" customHeight="1" outlineLevel="1" x14ac:dyDescent="0.25">
      <c r="E151" s="2057"/>
      <c r="F151" s="2057"/>
      <c r="G151" s="2057"/>
      <c r="H151" s="2057"/>
      <c r="I151" s="2057"/>
      <c r="K151" s="2017"/>
      <c r="L151" s="2057"/>
      <c r="M151" s="2056"/>
      <c r="N151" s="2055"/>
      <c r="O151" s="2054"/>
      <c r="P151" s="2055"/>
    </row>
    <row r="152" spans="1:31" outlineLevel="1" x14ac:dyDescent="0.25">
      <c r="B152" s="1843"/>
      <c r="C152" s="1843"/>
      <c r="D152" s="1843"/>
    </row>
    <row r="153" spans="1:31" outlineLevel="1" x14ac:dyDescent="0.25">
      <c r="B153" s="1843"/>
      <c r="C153" s="1843"/>
      <c r="D153" s="1843"/>
    </row>
    <row r="154" spans="1:31" s="2003" customFormat="1" outlineLevel="1" x14ac:dyDescent="0.25">
      <c r="A154" s="2005"/>
      <c r="B154" s="1843"/>
      <c r="C154" s="1843"/>
      <c r="D154" s="1843"/>
      <c r="N154" s="1843"/>
      <c r="O154" s="1843"/>
      <c r="P154" s="1843"/>
      <c r="Q154" s="1843"/>
      <c r="R154" s="1843"/>
      <c r="S154" s="1843"/>
      <c r="T154" s="1843"/>
      <c r="U154" s="1843"/>
      <c r="V154" s="1843"/>
      <c r="W154" s="1843"/>
      <c r="X154" s="1843"/>
      <c r="Y154" s="1843"/>
      <c r="Z154" s="1843"/>
      <c r="AA154" s="1843"/>
      <c r="AB154" s="1843"/>
      <c r="AC154" s="1843"/>
      <c r="AD154" s="1843"/>
      <c r="AE154" s="1843"/>
    </row>
    <row r="155" spans="1:31" s="2003" customFormat="1" outlineLevel="1" x14ac:dyDescent="0.25">
      <c r="A155" s="2005"/>
      <c r="B155" s="1843"/>
      <c r="C155" s="1843"/>
      <c r="D155" s="1843"/>
      <c r="N155" s="1843"/>
      <c r="O155" s="1843"/>
      <c r="P155" s="1843"/>
      <c r="Q155" s="1843"/>
      <c r="R155" s="1843"/>
      <c r="S155" s="1843"/>
      <c r="T155" s="1843"/>
      <c r="U155" s="1843"/>
      <c r="V155" s="1843"/>
      <c r="W155" s="1843"/>
      <c r="X155" s="1843"/>
      <c r="Y155" s="1843"/>
      <c r="Z155" s="1843"/>
      <c r="AA155" s="1843"/>
      <c r="AB155" s="1843"/>
      <c r="AC155" s="1843"/>
      <c r="AD155" s="1843"/>
      <c r="AE155" s="1843"/>
    </row>
    <row r="156" spans="1:31" s="2003" customFormat="1" outlineLevel="1" x14ac:dyDescent="0.25">
      <c r="A156" s="2005"/>
      <c r="B156" s="1843"/>
      <c r="C156" s="1843"/>
      <c r="D156" s="1843"/>
      <c r="N156" s="1843"/>
      <c r="O156" s="1843"/>
      <c r="P156" s="1843"/>
      <c r="Q156" s="1843"/>
      <c r="R156" s="1843"/>
      <c r="S156" s="1843"/>
      <c r="T156" s="1843"/>
      <c r="U156" s="1843"/>
      <c r="V156" s="1843"/>
      <c r="W156" s="1843"/>
      <c r="X156" s="1843"/>
      <c r="Y156" s="1843"/>
      <c r="Z156" s="1843"/>
      <c r="AA156" s="1843"/>
      <c r="AB156" s="1843"/>
      <c r="AC156" s="1843"/>
      <c r="AD156" s="1843"/>
      <c r="AE156" s="1843"/>
    </row>
    <row r="157" spans="1:31" s="2003" customFormat="1" outlineLevel="1" x14ac:dyDescent="0.25">
      <c r="A157" s="2005"/>
      <c r="B157" s="1843"/>
      <c r="C157" s="1843"/>
      <c r="D157" s="1843"/>
      <c r="N157" s="1843"/>
      <c r="O157" s="1843"/>
      <c r="P157" s="1843"/>
      <c r="Q157" s="1843"/>
      <c r="R157" s="1843"/>
      <c r="S157" s="1843"/>
      <c r="T157" s="1843"/>
      <c r="U157" s="1843"/>
      <c r="V157" s="1843"/>
      <c r="W157" s="1843"/>
      <c r="X157" s="1843"/>
      <c r="Y157" s="1843"/>
      <c r="Z157" s="1843"/>
      <c r="AA157" s="1843"/>
      <c r="AB157" s="1843"/>
      <c r="AC157" s="1843"/>
      <c r="AD157" s="1843"/>
      <c r="AE157" s="1843"/>
    </row>
    <row r="158" spans="1:31" outlineLevel="1" x14ac:dyDescent="0.25"/>
    <row r="159" spans="1:31" outlineLevel="1" x14ac:dyDescent="0.25"/>
    <row r="160" spans="1:31" outlineLevel="1" x14ac:dyDescent="0.25"/>
    <row r="161" spans="1:23" outlineLevel="1" x14ac:dyDescent="0.25"/>
    <row r="162" spans="1:23" x14ac:dyDescent="0.25">
      <c r="A162" s="2005" t="s">
        <v>2075</v>
      </c>
      <c r="B162" s="2062" t="s">
        <v>2074</v>
      </c>
      <c r="C162" s="2060"/>
      <c r="D162" s="2060"/>
      <c r="E162" s="2061"/>
      <c r="F162" s="2061"/>
      <c r="G162" s="2061"/>
      <c r="H162" s="2061"/>
      <c r="I162" s="2061"/>
      <c r="J162" s="2097"/>
      <c r="K162" s="2097"/>
      <c r="L162" s="2096"/>
      <c r="M162" s="2095"/>
      <c r="N162" s="2094"/>
      <c r="O162" s="2093"/>
      <c r="P162" s="2094"/>
      <c r="Q162" s="2058"/>
      <c r="R162" s="2058"/>
      <c r="S162" s="2058"/>
      <c r="T162" s="2058"/>
      <c r="U162" s="2058"/>
      <c r="V162" s="2058"/>
      <c r="W162" s="2058"/>
    </row>
    <row r="163" spans="1:23" x14ac:dyDescent="0.25">
      <c r="A163" s="2005" t="s">
        <v>2055</v>
      </c>
      <c r="B163" s="2016" t="s">
        <v>2105</v>
      </c>
      <c r="E163" s="1843"/>
      <c r="F163" s="1843"/>
    </row>
    <row r="164" spans="1:23" outlineLevel="1" x14ac:dyDescent="0.25">
      <c r="B164" s="2013"/>
      <c r="C164" s="2052">
        <f>C134</f>
        <v>2020</v>
      </c>
      <c r="D164" s="2052">
        <f t="shared" ref="D164:P164" si="13">D134</f>
        <v>2021</v>
      </c>
      <c r="E164" s="2052">
        <f t="shared" si="13"/>
        <v>2022</v>
      </c>
      <c r="F164" s="2052">
        <f t="shared" si="13"/>
        <v>2023</v>
      </c>
      <c r="G164" s="2052">
        <f t="shared" si="13"/>
        <v>2024</v>
      </c>
      <c r="H164" s="2052">
        <f t="shared" si="13"/>
        <v>2025</v>
      </c>
      <c r="I164" s="2052">
        <f t="shared" si="13"/>
        <v>2026</v>
      </c>
      <c r="J164" s="2052">
        <f t="shared" si="13"/>
        <v>2027</v>
      </c>
      <c r="K164" s="2052">
        <f t="shared" si="13"/>
        <v>2028</v>
      </c>
      <c r="L164" s="2052">
        <f t="shared" si="13"/>
        <v>2029</v>
      </c>
      <c r="M164" s="2052">
        <f t="shared" si="13"/>
        <v>2030</v>
      </c>
      <c r="N164" s="2052">
        <f t="shared" si="13"/>
        <v>2031</v>
      </c>
      <c r="O164" s="2052">
        <f t="shared" si="13"/>
        <v>2032</v>
      </c>
      <c r="P164" s="2052">
        <f t="shared" si="13"/>
        <v>2033</v>
      </c>
    </row>
    <row r="165" spans="1:23" outlineLevel="1" x14ac:dyDescent="0.25">
      <c r="B165" s="2011" t="str">
        <f>[31]Input_Cty!$B$2</f>
        <v>Quang Phát</v>
      </c>
      <c r="C165" s="2092"/>
      <c r="D165" s="2091"/>
      <c r="E165" s="2091"/>
      <c r="F165" s="2091">
        <f>'4. KQ-PL'!H58/'4. KQ- BS'!G103</f>
        <v>0.21230280997595077</v>
      </c>
      <c r="G165" s="2091">
        <f ca="1">'4. KQ-PL'!I58/(('4. KQ- BS'!G102+'4. KQ- BS'!H102)/2)</f>
        <v>9.3268369070688001E-2</v>
      </c>
      <c r="H165" s="2091">
        <f ca="1">'4. KQ-PL'!J58/(('4. KQ- BS'!H102+'4. KQ- BS'!I102)/2)</f>
        <v>0.19169220102025375</v>
      </c>
      <c r="I165" s="2091">
        <f ca="1">'4. KQ-PL'!K58/(('4. KQ- BS'!I102+'4. KQ- BS'!J102)/2)</f>
        <v>0.23067807876173829</v>
      </c>
      <c r="J165" s="2091">
        <f ca="1">'4. KQ-PL'!L58/(('4. KQ- BS'!J102+'4. KQ- BS'!K102)/2)</f>
        <v>0.26461069148297728</v>
      </c>
      <c r="K165" s="2091">
        <f ca="1">'4. KQ-PL'!M58/(('4. KQ- BS'!K102+'4. KQ- BS'!L102)/2)</f>
        <v>0.22936805376028174</v>
      </c>
      <c r="L165" s="2091">
        <f ca="1">'4. KQ-PL'!N58/(('4. KQ- BS'!L102+'4. KQ- BS'!M102)/2)</f>
        <v>0.19853374876586716</v>
      </c>
      <c r="M165" s="2091">
        <f ca="1">'4. KQ-PL'!O58/(('4. KQ- BS'!M102+'4. KQ- BS'!N102)/2)</f>
        <v>0.16755575592642319</v>
      </c>
      <c r="N165" s="2091">
        <f ca="1">'4. KQ-PL'!P58/(('4. KQ- BS'!N102+'4. KQ- BS'!O102)/2)</f>
        <v>0.14679602085292379</v>
      </c>
      <c r="O165" s="2091">
        <f ca="1">'4. KQ-PL'!Q58/(('4. KQ- BS'!O102+'4. KQ- BS'!P102)/2)</f>
        <v>0.131237646407487</v>
      </c>
      <c r="P165" s="2091">
        <f ca="1">'4. KQ-PL'!R58/(('4. KQ- BS'!P102+'4. KQ- BS'!Q102)/2)</f>
        <v>0.1180507761024903</v>
      </c>
    </row>
    <row r="166" spans="1:23" outlineLevel="1" x14ac:dyDescent="0.25">
      <c r="B166" s="2011" t="s">
        <v>2069</v>
      </c>
      <c r="C166" s="2092"/>
      <c r="D166" s="2091"/>
      <c r="E166" s="2091"/>
      <c r="F166" s="2091">
        <f>'5. DNCN (Tỷ)'!AD17/'5. DNCN (Tỷ)'!CB17</f>
        <v>9.4638344139851907E-2</v>
      </c>
      <c r="G166" s="2091">
        <f>F166</f>
        <v>9.4638344139851907E-2</v>
      </c>
      <c r="H166" s="2091">
        <f t="shared" ref="H166:P166" si="14">G166</f>
        <v>9.4638344139851907E-2</v>
      </c>
      <c r="I166" s="2091">
        <f t="shared" si="14"/>
        <v>9.4638344139851907E-2</v>
      </c>
      <c r="J166" s="2091">
        <f t="shared" si="14"/>
        <v>9.4638344139851907E-2</v>
      </c>
      <c r="K166" s="2091">
        <f t="shared" si="14"/>
        <v>9.4638344139851907E-2</v>
      </c>
      <c r="L166" s="2091">
        <f t="shared" si="14"/>
        <v>9.4638344139851907E-2</v>
      </c>
      <c r="M166" s="2091">
        <f t="shared" si="14"/>
        <v>9.4638344139851907E-2</v>
      </c>
      <c r="N166" s="2091">
        <f t="shared" si="14"/>
        <v>9.4638344139851907E-2</v>
      </c>
      <c r="O166" s="2091">
        <f t="shared" si="14"/>
        <v>9.4638344139851907E-2</v>
      </c>
      <c r="P166" s="2091">
        <f t="shared" si="14"/>
        <v>9.4638344139851907E-2</v>
      </c>
    </row>
    <row r="167" spans="1:23" outlineLevel="1" x14ac:dyDescent="0.25">
      <c r="B167" s="2011" t="s">
        <v>2073</v>
      </c>
      <c r="C167" s="2092"/>
      <c r="D167" s="2091"/>
      <c r="E167" s="2091"/>
      <c r="F167" s="2091">
        <f>'5. DNCN (Tỷ)'!AD18/'5. DNCN (Tỷ)'!CB18</f>
        <v>0.22083523079952558</v>
      </c>
      <c r="G167" s="2091">
        <f>F167</f>
        <v>0.22083523079952558</v>
      </c>
      <c r="H167" s="2091">
        <f t="shared" ref="H167:P167" si="15">G167</f>
        <v>0.22083523079952558</v>
      </c>
      <c r="I167" s="2091">
        <f t="shared" si="15"/>
        <v>0.22083523079952558</v>
      </c>
      <c r="J167" s="2091">
        <f t="shared" si="15"/>
        <v>0.22083523079952558</v>
      </c>
      <c r="K167" s="2091">
        <f t="shared" si="15"/>
        <v>0.22083523079952558</v>
      </c>
      <c r="L167" s="2091">
        <f t="shared" si="15"/>
        <v>0.22083523079952558</v>
      </c>
      <c r="M167" s="2091">
        <f t="shared" si="15"/>
        <v>0.22083523079952558</v>
      </c>
      <c r="N167" s="2091">
        <f t="shared" si="15"/>
        <v>0.22083523079952558</v>
      </c>
      <c r="O167" s="2091">
        <f t="shared" si="15"/>
        <v>0.22083523079952558</v>
      </c>
      <c r="P167" s="2091">
        <f t="shared" si="15"/>
        <v>0.22083523079952558</v>
      </c>
    </row>
    <row r="168" spans="1:23" outlineLevel="1" x14ac:dyDescent="0.25">
      <c r="B168" s="1843"/>
      <c r="C168" s="1843"/>
      <c r="D168" s="1843"/>
      <c r="E168" s="1843"/>
      <c r="F168" s="1843"/>
      <c r="G168" s="2057"/>
      <c r="H168" s="2057"/>
      <c r="I168" s="2057"/>
      <c r="K168" s="2017"/>
      <c r="L168" s="2057"/>
      <c r="M168" s="2056"/>
      <c r="N168" s="2055"/>
      <c r="O168" s="2054"/>
      <c r="P168" s="2055"/>
    </row>
    <row r="169" spans="1:23" outlineLevel="1" x14ac:dyDescent="0.25">
      <c r="B169" s="1843"/>
      <c r="C169" s="1843"/>
      <c r="D169" s="1843"/>
      <c r="E169" s="1843"/>
      <c r="F169" s="1843"/>
      <c r="G169" s="2057"/>
      <c r="H169" s="2057"/>
      <c r="I169" s="2057"/>
      <c r="K169" s="2017"/>
      <c r="L169" s="2057"/>
      <c r="M169" s="2056"/>
      <c r="N169" s="2055"/>
      <c r="O169" s="2054"/>
      <c r="P169" s="2055"/>
    </row>
    <row r="170" spans="1:23" outlineLevel="1" x14ac:dyDescent="0.25">
      <c r="J170" s="1843"/>
      <c r="K170" s="1843"/>
      <c r="L170" s="1843"/>
      <c r="M170" s="1843"/>
    </row>
    <row r="171" spans="1:23" outlineLevel="1" x14ac:dyDescent="0.25">
      <c r="J171" s="1843"/>
      <c r="K171" s="1843"/>
      <c r="L171" s="1843"/>
      <c r="M171" s="1843"/>
    </row>
    <row r="172" spans="1:23" outlineLevel="1" x14ac:dyDescent="0.25"/>
    <row r="173" spans="1:23" outlineLevel="1" x14ac:dyDescent="0.25">
      <c r="E173" s="1843"/>
      <c r="F173" s="1843"/>
      <c r="G173" s="1843"/>
      <c r="H173" s="1843"/>
      <c r="I173" s="1843"/>
      <c r="J173" s="1843"/>
      <c r="K173" s="1843"/>
      <c r="L173" s="1843"/>
      <c r="M173" s="1843"/>
    </row>
    <row r="174" spans="1:23" outlineLevel="1" x14ac:dyDescent="0.25">
      <c r="E174" s="1843"/>
      <c r="F174" s="1843"/>
      <c r="G174" s="1843"/>
      <c r="H174" s="1843"/>
      <c r="I174" s="1843"/>
      <c r="J174" s="1843"/>
      <c r="K174" s="1843"/>
      <c r="L174" s="1843"/>
      <c r="M174" s="1843"/>
    </row>
    <row r="175" spans="1:23" outlineLevel="1" x14ac:dyDescent="0.25">
      <c r="E175" s="1843"/>
      <c r="F175" s="1843"/>
      <c r="G175" s="1843"/>
      <c r="H175" s="1843"/>
      <c r="I175" s="1843"/>
      <c r="J175" s="1843"/>
      <c r="K175" s="1843"/>
      <c r="L175" s="1843"/>
      <c r="M175" s="1843"/>
    </row>
    <row r="176" spans="1:23" outlineLevel="1" x14ac:dyDescent="0.25">
      <c r="E176" s="1843"/>
      <c r="F176" s="1843"/>
      <c r="G176" s="1843"/>
      <c r="H176" s="1843"/>
      <c r="I176" s="1843"/>
      <c r="J176" s="1843"/>
      <c r="K176" s="1843"/>
      <c r="L176" s="1843"/>
      <c r="M176" s="1843"/>
    </row>
    <row r="177" spans="4:13" outlineLevel="1" x14ac:dyDescent="0.25">
      <c r="E177" s="1843"/>
      <c r="F177" s="1843"/>
      <c r="G177" s="1843"/>
      <c r="H177" s="1843"/>
      <c r="I177" s="1843"/>
      <c r="J177" s="1843"/>
      <c r="K177" s="1843"/>
      <c r="L177" s="1843"/>
      <c r="M177" s="1843"/>
    </row>
    <row r="178" spans="4:13" outlineLevel="1" x14ac:dyDescent="0.25">
      <c r="E178" s="1843"/>
      <c r="F178" s="1843"/>
      <c r="G178" s="1843"/>
      <c r="H178" s="1843"/>
      <c r="I178" s="1843"/>
      <c r="J178" s="1843"/>
      <c r="K178" s="1843"/>
      <c r="L178" s="1843"/>
      <c r="M178" s="1843"/>
    </row>
    <row r="179" spans="4:13" outlineLevel="1" x14ac:dyDescent="0.25">
      <c r="E179" s="1843"/>
      <c r="F179" s="1843"/>
      <c r="G179" s="1843"/>
      <c r="H179" s="1843"/>
      <c r="I179" s="1843"/>
      <c r="J179" s="1843"/>
      <c r="K179" s="1843"/>
      <c r="L179" s="1843"/>
      <c r="M179" s="1843"/>
    </row>
    <row r="180" spans="4:13" outlineLevel="1" x14ac:dyDescent="0.25">
      <c r="E180" s="1843"/>
      <c r="F180" s="1843"/>
      <c r="G180" s="1843"/>
      <c r="H180" s="1843"/>
      <c r="I180" s="1843"/>
      <c r="J180" s="1843"/>
      <c r="K180" s="1843"/>
      <c r="L180" s="1843"/>
      <c r="M180" s="1843"/>
    </row>
    <row r="181" spans="4:13" ht="13.9" customHeight="1" outlineLevel="1" x14ac:dyDescent="0.25">
      <c r="D181" s="2088"/>
      <c r="E181" s="2088"/>
      <c r="F181" s="2088"/>
      <c r="G181" s="1843"/>
      <c r="H181" s="1843"/>
      <c r="I181" s="1843"/>
      <c r="J181" s="1843"/>
      <c r="K181" s="1843"/>
      <c r="L181" s="1843"/>
      <c r="M181" s="1843"/>
    </row>
    <row r="182" spans="4:13" x14ac:dyDescent="0.25">
      <c r="D182" s="2088"/>
      <c r="E182" s="2088"/>
      <c r="F182" s="2088"/>
      <c r="G182" s="1843"/>
      <c r="H182" s="1843"/>
      <c r="I182" s="1843"/>
      <c r="J182" s="1843"/>
      <c r="K182" s="1843"/>
      <c r="L182" s="1843"/>
      <c r="M182" s="1843"/>
    </row>
  </sheetData>
  <pageMargins left="0.7" right="0.7" top="0.75" bottom="0.75" header="0.3" footer="0.3"/>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002DE-F7A8-4DBD-849C-3E9CC9A69CEF}">
  <sheetPr>
    <tabColor theme="8" tint="-0.249977111117893"/>
  </sheetPr>
  <dimension ref="A2:AS84"/>
  <sheetViews>
    <sheetView showGridLines="0" topLeftCell="A25" zoomScale="55" zoomScaleNormal="55" workbookViewId="0">
      <selection activeCell="V89" sqref="V89"/>
    </sheetView>
  </sheetViews>
  <sheetFormatPr defaultColWidth="9.140625" defaultRowHeight="15" outlineLevelRow="1" x14ac:dyDescent="0.25"/>
  <cols>
    <col min="1" max="1" width="10.28515625" style="2005" customWidth="1"/>
    <col min="2" max="2" width="25.7109375" style="2004" customWidth="1"/>
    <col min="3" max="3" width="11.42578125" style="2003" customWidth="1"/>
    <col min="4" max="6" width="10.28515625" style="2003" customWidth="1"/>
    <col min="7" max="7" width="9.42578125" style="2003" customWidth="1"/>
    <col min="8" max="30" width="9.28515625" style="2003" customWidth="1"/>
    <col min="31" max="31" width="6.28515625" style="2003" customWidth="1"/>
    <col min="32" max="32" width="14.28515625" style="2003" bestFit="1" customWidth="1"/>
    <col min="33" max="33" width="14.7109375" style="2003" bestFit="1" customWidth="1"/>
    <col min="34" max="34" width="14.28515625" style="2003" customWidth="1"/>
    <col min="35" max="36" width="14.28515625" style="1843" customWidth="1"/>
    <col min="37" max="37" width="15.7109375" style="1843" bestFit="1" customWidth="1"/>
    <col min="38" max="38" width="5.140625" style="1843" bestFit="1" customWidth="1"/>
    <col min="39" max="39" width="17.28515625" style="1843" bestFit="1" customWidth="1"/>
    <col min="40" max="40" width="14.28515625" style="1843" bestFit="1" customWidth="1"/>
    <col min="41" max="41" width="14.7109375" style="1843" bestFit="1" customWidth="1"/>
    <col min="42" max="42" width="8.28515625" style="1843" bestFit="1" customWidth="1"/>
    <col min="43" max="43" width="6.85546875" style="1843" bestFit="1" customWidth="1"/>
    <col min="44" max="44" width="9.28515625" style="1843" bestFit="1" customWidth="1"/>
    <col min="45" max="45" width="15.7109375" style="1843" bestFit="1" customWidth="1"/>
    <col min="46" max="46" width="5.7109375" style="1843" bestFit="1" customWidth="1"/>
    <col min="47" max="47" width="32.7109375" style="1843" customWidth="1"/>
    <col min="48" max="48" width="7" style="1843" customWidth="1"/>
    <col min="49" max="50" width="6.42578125" style="1843" customWidth="1"/>
    <col min="51" max="51" width="9.140625" style="1843"/>
    <col min="52" max="52" width="19.7109375" style="1843" customWidth="1"/>
    <col min="53" max="53" width="5.5703125" style="1843" customWidth="1"/>
    <col min="54" max="54" width="5.85546875" style="1843" customWidth="1"/>
    <col min="55" max="55" width="5.5703125" style="1843" customWidth="1"/>
    <col min="56" max="56" width="9.140625" style="1843"/>
    <col min="57" max="57" width="41.85546875" style="1843" customWidth="1"/>
    <col min="58" max="59" width="7.7109375" style="1843" customWidth="1"/>
    <col min="60" max="60" width="6.7109375" style="1843" customWidth="1"/>
    <col min="61" max="61" width="9.140625" style="1843"/>
    <col min="62" max="62" width="37.42578125" style="1843" customWidth="1"/>
    <col min="63" max="63" width="8.28515625" style="1843" customWidth="1"/>
    <col min="64" max="64" width="5.5703125" style="1843" customWidth="1"/>
    <col min="65" max="65" width="8.28515625" style="1843" customWidth="1"/>
    <col min="66" max="66" width="9.140625" style="1843"/>
    <col min="67" max="67" width="13.28515625" style="1843" customWidth="1"/>
    <col min="68" max="70" width="9.140625" style="1843"/>
    <col min="71" max="71" width="15.42578125" style="1843" customWidth="1"/>
    <col min="72" max="72" width="14.28515625" style="1843" customWidth="1"/>
    <col min="73" max="74" width="9.140625" style="1843"/>
    <col min="75" max="75" width="16.42578125" style="1843" customWidth="1"/>
    <col min="76" max="76" width="15.42578125" style="1843" customWidth="1"/>
    <col min="77" max="77" width="13.28515625" style="1843" customWidth="1"/>
    <col min="78" max="78" width="18.28515625" style="1843" customWidth="1"/>
    <col min="79" max="16384" width="9.140625" style="1843"/>
  </cols>
  <sheetData>
    <row r="2" spans="1:45" x14ac:dyDescent="0.25">
      <c r="A2" s="2028" t="s">
        <v>2098</v>
      </c>
      <c r="B2" s="2027" t="s">
        <v>4</v>
      </c>
      <c r="C2" s="2026"/>
      <c r="D2" s="2026"/>
      <c r="E2" s="2026"/>
      <c r="F2" s="2026"/>
      <c r="G2" s="2026"/>
      <c r="H2" s="2026"/>
      <c r="I2" s="2026"/>
      <c r="J2" s="2026"/>
      <c r="K2" s="2026"/>
      <c r="L2" s="2026"/>
      <c r="M2" s="2026"/>
      <c r="N2" s="2026"/>
      <c r="O2" s="2026"/>
      <c r="P2" s="2026"/>
      <c r="Q2" s="2026"/>
      <c r="R2" s="2026"/>
      <c r="S2" s="2026"/>
      <c r="T2" s="2026"/>
      <c r="U2" s="2026"/>
      <c r="V2" s="2026"/>
      <c r="W2" s="2026"/>
      <c r="X2" s="2026"/>
      <c r="Y2" s="2026"/>
      <c r="Z2" s="2026"/>
      <c r="AA2" s="2026"/>
      <c r="AB2" s="2026"/>
      <c r="AC2" s="2026"/>
      <c r="AD2" s="2026"/>
      <c r="AF2" s="2026"/>
      <c r="AG2" s="2026"/>
      <c r="AH2" s="2026"/>
      <c r="AI2" s="2025"/>
      <c r="AJ2" s="2025"/>
      <c r="AK2" s="2025"/>
      <c r="AL2" s="2025"/>
      <c r="AM2" s="2025"/>
      <c r="AN2" s="2025"/>
      <c r="AO2" s="2025"/>
      <c r="AP2" s="2025"/>
      <c r="AQ2" s="2025"/>
      <c r="AR2" s="2025"/>
      <c r="AS2" s="2025"/>
    </row>
    <row r="3" spans="1:45" x14ac:dyDescent="0.25">
      <c r="A3" s="2024" t="s">
        <v>27</v>
      </c>
      <c r="B3" s="2023" t="s">
        <v>24</v>
      </c>
      <c r="C3" s="2022"/>
      <c r="D3" s="2021"/>
      <c r="E3" s="2021"/>
      <c r="F3" s="2021"/>
      <c r="G3" s="2021"/>
      <c r="H3" s="2021"/>
      <c r="I3" s="2021"/>
      <c r="J3" s="2021"/>
      <c r="K3" s="2021"/>
      <c r="L3" s="2021"/>
      <c r="M3" s="2021"/>
      <c r="N3" s="2021"/>
      <c r="O3" s="2021"/>
      <c r="P3" s="2021"/>
      <c r="Q3" s="2021"/>
      <c r="R3" s="2021"/>
      <c r="S3" s="2021"/>
      <c r="T3" s="2021"/>
      <c r="U3" s="2021"/>
      <c r="V3" s="2021"/>
      <c r="W3" s="2021"/>
      <c r="X3" s="2021"/>
      <c r="Y3" s="2021"/>
      <c r="Z3" s="2021"/>
      <c r="AA3" s="2021"/>
      <c r="AB3" s="2021"/>
      <c r="AC3" s="2021"/>
      <c r="AD3" s="2021"/>
      <c r="AF3" s="2020"/>
      <c r="AG3" s="2020"/>
      <c r="AH3" s="2020"/>
      <c r="AI3" s="2020"/>
      <c r="AJ3" s="2019"/>
      <c r="AK3" s="2019"/>
      <c r="AL3" s="2019"/>
      <c r="AM3" s="2019"/>
      <c r="AN3" s="2019"/>
      <c r="AO3" s="2019"/>
      <c r="AP3" s="2019"/>
      <c r="AQ3" s="2019"/>
      <c r="AR3" s="2019"/>
      <c r="AS3" s="2019"/>
    </row>
    <row r="4" spans="1:45" x14ac:dyDescent="0.25">
      <c r="E4" s="2003">
        <v>244.46921963</v>
      </c>
      <c r="F4" s="2057"/>
      <c r="G4" s="2057"/>
      <c r="H4" s="2057"/>
      <c r="I4" s="2057"/>
      <c r="J4" s="2057"/>
      <c r="K4" s="2057"/>
      <c r="L4" s="2057"/>
      <c r="M4" s="2057"/>
      <c r="N4" s="2057"/>
      <c r="O4" s="2057"/>
      <c r="P4" s="2057"/>
      <c r="Q4" s="2057"/>
      <c r="R4" s="2057"/>
      <c r="S4" s="2057"/>
      <c r="T4" s="2057"/>
      <c r="U4" s="2057"/>
      <c r="V4" s="2057"/>
      <c r="W4" s="2057"/>
      <c r="X4" s="2057"/>
      <c r="Y4" s="2057"/>
      <c r="Z4" s="2057"/>
      <c r="AA4" s="2057"/>
      <c r="AB4" s="2057"/>
      <c r="AC4" s="2057"/>
      <c r="AD4" s="2057"/>
      <c r="AF4" s="2017"/>
      <c r="AG4" s="2057"/>
      <c r="AH4" s="2056"/>
      <c r="AI4" s="2055"/>
      <c r="AJ4" s="2054"/>
      <c r="AK4" s="2055"/>
      <c r="AL4" s="2054"/>
    </row>
    <row r="5" spans="1:45" ht="15.75" thickBot="1" x14ac:dyDescent="0.3">
      <c r="A5" s="2005">
        <v>1</v>
      </c>
      <c r="B5" s="2009" t="s">
        <v>2097</v>
      </c>
      <c r="C5" s="2006"/>
      <c r="D5" s="2006"/>
      <c r="E5" s="2006"/>
      <c r="F5" s="2006"/>
      <c r="G5" s="2006"/>
      <c r="H5" s="2006"/>
      <c r="I5" s="2006"/>
      <c r="J5" s="2006"/>
      <c r="K5" s="2006"/>
      <c r="L5" s="2006"/>
      <c r="M5" s="2006"/>
      <c r="N5" s="2006"/>
      <c r="O5" s="2006"/>
      <c r="P5" s="2006"/>
      <c r="Q5" s="2006"/>
      <c r="R5" s="2006"/>
      <c r="S5" s="2006"/>
      <c r="T5" s="2006"/>
      <c r="U5" s="2006"/>
      <c r="V5" s="2006"/>
      <c r="W5" s="2006"/>
      <c r="X5" s="2006"/>
      <c r="Y5" s="2006"/>
      <c r="Z5" s="2006"/>
      <c r="AA5" s="2006"/>
      <c r="AB5" s="2006"/>
      <c r="AC5" s="2006"/>
      <c r="AD5" s="2006"/>
      <c r="AF5" s="2008"/>
      <c r="AG5" s="2008"/>
      <c r="AH5" s="2008"/>
      <c r="AI5" s="2006"/>
      <c r="AJ5" s="2006"/>
      <c r="AK5" s="2006"/>
      <c r="AL5" s="2006"/>
      <c r="AM5" s="2006"/>
      <c r="AN5" s="2006"/>
      <c r="AO5" s="2006"/>
      <c r="AP5" s="2006"/>
      <c r="AQ5" s="2006"/>
      <c r="AR5" s="2006"/>
      <c r="AS5" s="2006"/>
    </row>
    <row r="6" spans="1:45" ht="15.75" outlineLevel="1" thickTop="1" x14ac:dyDescent="0.25">
      <c r="A6" s="2005" t="s">
        <v>660</v>
      </c>
      <c r="B6" s="2115" t="s">
        <v>2096</v>
      </c>
      <c r="C6" s="2071"/>
      <c r="D6" s="2071"/>
      <c r="E6" s="2071"/>
      <c r="F6" s="2071"/>
      <c r="G6" s="2071"/>
      <c r="H6" s="2071"/>
      <c r="I6" s="2071"/>
      <c r="J6" s="2071"/>
      <c r="K6" s="2071"/>
      <c r="L6" s="2071"/>
      <c r="M6" s="2071"/>
      <c r="N6" s="2071"/>
      <c r="O6" s="2071"/>
      <c r="P6" s="2071"/>
      <c r="Q6" s="2071"/>
      <c r="R6" s="2071"/>
      <c r="S6" s="2071"/>
      <c r="T6" s="2071"/>
      <c r="U6" s="2071"/>
      <c r="V6" s="2071"/>
      <c r="W6" s="2071"/>
      <c r="X6" s="2071"/>
      <c r="Y6" s="2071"/>
      <c r="Z6" s="2071"/>
      <c r="AA6" s="2071"/>
      <c r="AB6" s="2071"/>
      <c r="AC6" s="2071"/>
      <c r="AD6" s="2071"/>
      <c r="AF6" s="2073"/>
      <c r="AG6" s="2073"/>
      <c r="AH6" s="2073"/>
      <c r="AI6" s="2071"/>
      <c r="AJ6" s="2071"/>
      <c r="AK6" s="2071"/>
      <c r="AL6" s="2071"/>
      <c r="AM6" s="2071"/>
      <c r="AN6" s="2071"/>
      <c r="AO6" s="2071"/>
      <c r="AP6" s="2071"/>
      <c r="AQ6" s="2071"/>
      <c r="AR6" s="2071"/>
      <c r="AS6" s="2071"/>
    </row>
    <row r="7" spans="1:45" outlineLevel="1" x14ac:dyDescent="0.25">
      <c r="B7" s="2018"/>
      <c r="C7" s="1843"/>
      <c r="D7" s="1843"/>
      <c r="E7" s="1843"/>
      <c r="F7" s="1843"/>
      <c r="G7" s="1843"/>
      <c r="H7" s="1843"/>
      <c r="I7" s="1843"/>
      <c r="J7" s="1843"/>
      <c r="K7" s="1843"/>
      <c r="L7" s="1843"/>
      <c r="M7" s="1843"/>
      <c r="N7" s="1843"/>
      <c r="O7" s="1843"/>
      <c r="P7" s="1843"/>
      <c r="Q7" s="1843"/>
      <c r="R7" s="1843"/>
      <c r="S7" s="1843"/>
      <c r="T7" s="1843"/>
      <c r="U7" s="1843"/>
      <c r="V7" s="1843"/>
      <c r="W7" s="1843"/>
      <c r="X7" s="1843"/>
      <c r="Y7" s="1843"/>
      <c r="Z7" s="1843"/>
      <c r="AA7" s="1843"/>
      <c r="AB7" s="1843"/>
      <c r="AC7" s="1843"/>
      <c r="AD7" s="1843"/>
    </row>
    <row r="8" spans="1:45" outlineLevel="1" x14ac:dyDescent="0.25">
      <c r="B8" s="2261" t="s">
        <v>141</v>
      </c>
      <c r="C8" s="2265">
        <v>2020</v>
      </c>
      <c r="D8" s="2266"/>
      <c r="E8" s="2257">
        <v>2021</v>
      </c>
      <c r="F8" s="2258"/>
      <c r="G8" s="2257">
        <v>2022</v>
      </c>
      <c r="H8" s="2258"/>
      <c r="I8" s="2257">
        <v>2023</v>
      </c>
      <c r="J8" s="2258"/>
      <c r="K8" s="2257">
        <v>2024</v>
      </c>
      <c r="L8" s="2258"/>
      <c r="M8" s="2257">
        <v>2025</v>
      </c>
      <c r="N8" s="2258"/>
      <c r="O8" s="2257">
        <v>2026</v>
      </c>
      <c r="P8" s="2258"/>
      <c r="Q8" s="2257">
        <v>2027</v>
      </c>
      <c r="R8" s="2258"/>
      <c r="S8" s="2257">
        <v>2028</v>
      </c>
      <c r="T8" s="2258"/>
      <c r="U8" s="2257">
        <v>2029</v>
      </c>
      <c r="V8" s="2258"/>
      <c r="W8" s="2257">
        <v>2030</v>
      </c>
      <c r="X8" s="2258"/>
      <c r="Y8" s="2257">
        <v>2031</v>
      </c>
      <c r="Z8" s="2258"/>
      <c r="AA8" s="2257">
        <v>2032</v>
      </c>
      <c r="AB8" s="2258"/>
      <c r="AC8" s="2257">
        <v>2033</v>
      </c>
      <c r="AD8" s="2258"/>
    </row>
    <row r="9" spans="1:45" outlineLevel="1" x14ac:dyDescent="0.25">
      <c r="B9" s="2262"/>
      <c r="C9" s="2112" t="s">
        <v>516</v>
      </c>
      <c r="D9" s="2112" t="s">
        <v>2088</v>
      </c>
      <c r="E9" s="2112" t="s">
        <v>516</v>
      </c>
      <c r="F9" s="2112" t="s">
        <v>2088</v>
      </c>
      <c r="G9" s="2112" t="s">
        <v>516</v>
      </c>
      <c r="H9" s="2112" t="s">
        <v>2088</v>
      </c>
      <c r="I9" s="2112" t="s">
        <v>516</v>
      </c>
      <c r="J9" s="2111" t="s">
        <v>2088</v>
      </c>
      <c r="K9" s="2112" t="s">
        <v>516</v>
      </c>
      <c r="L9" s="2112" t="s">
        <v>2088</v>
      </c>
      <c r="M9" s="2112" t="s">
        <v>516</v>
      </c>
      <c r="N9" s="2112" t="s">
        <v>2088</v>
      </c>
      <c r="O9" s="2112" t="s">
        <v>516</v>
      </c>
      <c r="P9" s="2111" t="s">
        <v>2088</v>
      </c>
      <c r="Q9" s="2112" t="s">
        <v>516</v>
      </c>
      <c r="R9" s="2112" t="s">
        <v>2088</v>
      </c>
      <c r="S9" s="2112" t="s">
        <v>516</v>
      </c>
      <c r="T9" s="2112" t="s">
        <v>2088</v>
      </c>
      <c r="U9" s="2112" t="s">
        <v>516</v>
      </c>
      <c r="V9" s="2111" t="s">
        <v>2088</v>
      </c>
      <c r="W9" s="2112" t="s">
        <v>516</v>
      </c>
      <c r="X9" s="2112" t="s">
        <v>2088</v>
      </c>
      <c r="Y9" s="2112" t="s">
        <v>516</v>
      </c>
      <c r="Z9" s="2112" t="s">
        <v>2088</v>
      </c>
      <c r="AA9" s="2112" t="s">
        <v>516</v>
      </c>
      <c r="AB9" s="2111" t="s">
        <v>2088</v>
      </c>
      <c r="AC9" s="2112" t="s">
        <v>516</v>
      </c>
      <c r="AD9" s="2111" t="s">
        <v>2088</v>
      </c>
    </row>
    <row r="10" spans="1:45" outlineLevel="1" x14ac:dyDescent="0.25">
      <c r="B10" s="2011" t="s">
        <v>2093</v>
      </c>
      <c r="C10" s="2003">
        <v>244.46921963</v>
      </c>
      <c r="D10" s="2069"/>
      <c r="E10" s="2069">
        <f>'1.BC_Muc tieu (ty) '!K30</f>
        <v>188.17972298699999</v>
      </c>
      <c r="F10" s="2069"/>
      <c r="G10" s="2069">
        <f>'1.BC_Muc tieu (ty) '!R30</f>
        <v>253.89207008099999</v>
      </c>
      <c r="H10" s="2069"/>
      <c r="I10" s="2069">
        <f>'1.BC_Muc tieu (ty) '!AL30</f>
        <v>465.67807027599997</v>
      </c>
      <c r="J10" s="2069"/>
      <c r="K10" s="2069">
        <f ca="1">'4. KQ- BS'!H6</f>
        <v>153.45029652603145</v>
      </c>
      <c r="L10" s="2069"/>
      <c r="M10" s="2069">
        <f ca="1">'4. KQ- BS'!I6</f>
        <v>159.51530184019313</v>
      </c>
      <c r="N10" s="2069"/>
      <c r="O10" s="2069">
        <f ca="1">'4. KQ- BS'!J6</f>
        <v>160.23074467002786</v>
      </c>
      <c r="P10" s="2069"/>
      <c r="Q10" s="2069">
        <f ca="1">'4. KQ- BS'!K6</f>
        <v>167.08805983895869</v>
      </c>
      <c r="R10" s="2069"/>
      <c r="S10" s="2069">
        <f ca="1">'4. KQ- BS'!L6</f>
        <v>203.67512306099104</v>
      </c>
      <c r="T10" s="2069"/>
      <c r="U10" s="2069">
        <f ca="1">'4. KQ- BS'!M6</f>
        <v>240.21308682540095</v>
      </c>
      <c r="V10" s="2069"/>
      <c r="W10" s="2069">
        <f ca="1">'4. KQ- BS'!N6</f>
        <v>277.18507960909648</v>
      </c>
      <c r="X10" s="2069"/>
      <c r="Y10" s="2069">
        <f ca="1">'4. KQ- BS'!O6</f>
        <v>314.52525333595014</v>
      </c>
      <c r="Z10" s="2069"/>
      <c r="AA10" s="2069">
        <f ca="1">'4. KQ- BS'!P6</f>
        <v>352.19233204191858</v>
      </c>
      <c r="AB10" s="2069"/>
      <c r="AC10" s="2069">
        <f ca="1">'4. KQ- BS'!Q6</f>
        <v>390.27824733709502</v>
      </c>
      <c r="AD10" s="2069"/>
    </row>
    <row r="11" spans="1:45" outlineLevel="1" x14ac:dyDescent="0.25">
      <c r="B11" s="2011" t="s">
        <v>2092</v>
      </c>
      <c r="C11" s="2069">
        <v>101.47831767</v>
      </c>
      <c r="D11" s="2069"/>
      <c r="E11" s="2069">
        <f>'1.BC_Muc tieu (ty) '!K56</f>
        <v>139.683778249</v>
      </c>
      <c r="F11" s="2069"/>
      <c r="G11" s="2069">
        <f>'1.BC_Muc tieu (ty) '!R56</f>
        <v>160.70827302099997</v>
      </c>
      <c r="H11" s="2069"/>
      <c r="I11" s="2069">
        <f>'1.BC_Muc tieu (ty) '!AL56</f>
        <v>157.71835407299997</v>
      </c>
      <c r="J11" s="2069"/>
      <c r="K11" s="2069">
        <f>'4. KQ- BS'!H32</f>
        <v>137.05608054597997</v>
      </c>
      <c r="L11" s="2069"/>
      <c r="M11" s="2069">
        <f>'4. KQ- BS'!I32</f>
        <v>117.61165088787891</v>
      </c>
      <c r="N11" s="2069"/>
      <c r="O11" s="2069">
        <f>'4. KQ- BS'!J32</f>
        <v>102.39467986848128</v>
      </c>
      <c r="P11" s="2069"/>
      <c r="Q11" s="2069">
        <f>'4. KQ- BS'!K32</f>
        <v>95.264700317691947</v>
      </c>
      <c r="R11" s="2069"/>
      <c r="S11" s="2069">
        <f>'4. KQ- BS'!L32</f>
        <v>90.038409380739623</v>
      </c>
      <c r="T11" s="2069"/>
      <c r="U11" s="2069">
        <f>'4. KQ- BS'!M32</f>
        <v>87.08316901894905</v>
      </c>
      <c r="V11" s="2069"/>
      <c r="W11" s="2069">
        <f>'4. KQ- BS'!N32</f>
        <v>84.127928657158478</v>
      </c>
      <c r="X11" s="2069"/>
      <c r="Y11" s="2069">
        <f>'4. KQ- BS'!P32</f>
        <v>79.771863669645469</v>
      </c>
      <c r="Z11" s="2069"/>
      <c r="AA11" s="2069">
        <f>'4. KQ- BS'!P32</f>
        <v>79.771863669645469</v>
      </c>
      <c r="AB11" s="2069"/>
      <c r="AC11" s="2069">
        <f>'4. KQ- BS'!Q32</f>
        <v>78.151974583558157</v>
      </c>
      <c r="AD11" s="2069"/>
    </row>
    <row r="12" spans="1:45" outlineLevel="1" x14ac:dyDescent="0.25">
      <c r="B12" s="2065" t="s">
        <v>2091</v>
      </c>
      <c r="C12" s="1969">
        <f>SUM(C10:C11)</f>
        <v>345.94753730000002</v>
      </c>
      <c r="D12" s="1969"/>
      <c r="E12" s="1969">
        <f>SUM(E10:E11)</f>
        <v>327.86350123599999</v>
      </c>
      <c r="F12" s="1969"/>
      <c r="G12" s="1969">
        <f>SUM(G10:G11)</f>
        <v>414.60034310199995</v>
      </c>
      <c r="H12" s="1969"/>
      <c r="I12" s="1969">
        <f>SUM(I10:I11)</f>
        <v>623.39642434899997</v>
      </c>
      <c r="J12" s="1969"/>
      <c r="K12" s="1969">
        <f ca="1">SUM(K10:K11)</f>
        <v>290.50637707201145</v>
      </c>
      <c r="L12" s="1969"/>
      <c r="M12" s="1969">
        <f ca="1">SUM(M10:M11)</f>
        <v>277.12695272807207</v>
      </c>
      <c r="N12" s="1969"/>
      <c r="O12" s="1969">
        <f ca="1">SUM(O10:O11)</f>
        <v>262.62542453850915</v>
      </c>
      <c r="P12" s="1969"/>
      <c r="Q12" s="1969">
        <f ca="1">SUM(Q10:Q11)</f>
        <v>262.35276015665062</v>
      </c>
      <c r="R12" s="1969"/>
      <c r="S12" s="1969">
        <f ca="1">SUM(S10:S11)</f>
        <v>293.71353244173065</v>
      </c>
      <c r="T12" s="1969"/>
      <c r="U12" s="1969">
        <f ca="1">SUM(U10:U11)</f>
        <v>327.29625584435001</v>
      </c>
      <c r="V12" s="1969"/>
      <c r="W12" s="1969">
        <f ca="1">SUM(W10:W11)</f>
        <v>361.31300826625494</v>
      </c>
      <c r="X12" s="1969"/>
      <c r="Y12" s="1969">
        <f ca="1">SUM(Y10:Y11)</f>
        <v>394.29711700559562</v>
      </c>
      <c r="Z12" s="1969"/>
      <c r="AA12" s="1969">
        <f ca="1">SUM(AA10:AA11)</f>
        <v>431.96419571156406</v>
      </c>
      <c r="AB12" s="1969"/>
      <c r="AC12" s="1969">
        <f ca="1">SUM(AC10:AC11)</f>
        <v>468.4302219206532</v>
      </c>
      <c r="AD12" s="1969"/>
    </row>
    <row r="13" spans="1:45" outlineLevel="1" x14ac:dyDescent="0.25">
      <c r="B13" s="2011" t="s">
        <v>2090</v>
      </c>
      <c r="C13" s="2069"/>
      <c r="D13" s="2069">
        <v>290.93096723600001</v>
      </c>
      <c r="E13" s="2069"/>
      <c r="F13" s="2069">
        <f>'1.BC_Muc tieu (ty) '!K98</f>
        <v>262.986739086</v>
      </c>
      <c r="G13" s="2069"/>
      <c r="H13" s="2069">
        <f>'1.BC_Muc tieu (ty) '!R98</f>
        <v>339.34042362500003</v>
      </c>
      <c r="I13" s="2069"/>
      <c r="J13" s="2069">
        <f>'1.BC_Muc tieu (ty) '!AL98</f>
        <v>487.63170225199997</v>
      </c>
      <c r="K13" s="2069"/>
      <c r="L13" s="2069">
        <f ca="1">'4. KQ- BS'!H73</f>
        <v>162.20407744211604</v>
      </c>
      <c r="M13" s="2069"/>
      <c r="N13" s="2069">
        <f ca="1">'4. KQ- BS'!I73</f>
        <v>146.15770857823551</v>
      </c>
      <c r="O13" s="2069"/>
      <c r="P13" s="2069">
        <f ca="1">'4. KQ- BS'!J73</f>
        <v>118.97075742999577</v>
      </c>
      <c r="Q13" s="2069"/>
      <c r="R13" s="2069">
        <f ca="1">'4. KQ- BS'!K73</f>
        <v>92.803463575782843</v>
      </c>
      <c r="S13" s="2069"/>
      <c r="T13" s="2069">
        <f ca="1">'4. KQ- BS'!L72</f>
        <v>92.82343083059294</v>
      </c>
      <c r="U13" s="2069"/>
      <c r="V13" s="2069">
        <f ca="1">'4. KQ- BS'!M73</f>
        <v>92.834928024717343</v>
      </c>
      <c r="W13" s="2069"/>
      <c r="X13" s="2069">
        <f ca="1">'4. KQ- BS'!N73</f>
        <v>92.858282359869307</v>
      </c>
      <c r="Y13" s="2069"/>
      <c r="Z13" s="2069">
        <f ca="1">'4. KQ- BS'!O73</f>
        <v>92.880786109422644</v>
      </c>
      <c r="AA13" s="2069"/>
      <c r="AB13" s="2069">
        <f ca="1">'4. KQ- BS'!P72</f>
        <v>92.901196772428932</v>
      </c>
      <c r="AC13" s="2069"/>
      <c r="AD13" s="2069">
        <f ca="1">'4. KQ- BS'!Q72</f>
        <v>92.924416804508084</v>
      </c>
    </row>
    <row r="14" spans="1:45" outlineLevel="1" x14ac:dyDescent="0.25">
      <c r="B14" s="2011" t="s">
        <v>2089</v>
      </c>
      <c r="C14" s="2069"/>
      <c r="D14" s="2069">
        <v>0</v>
      </c>
      <c r="E14" s="2069"/>
      <c r="F14" s="2069">
        <f>'1.BC_Muc tieu (ty) '!K113</f>
        <v>0</v>
      </c>
      <c r="G14" s="2069"/>
      <c r="H14" s="2069">
        <f>'1.BC_Muc tieu (ty) '!R113</f>
        <v>0</v>
      </c>
      <c r="I14" s="2069"/>
      <c r="J14" s="2069">
        <f>'1.BC_Muc tieu (ty) '!AL113</f>
        <v>31.925406698000003</v>
      </c>
      <c r="K14" s="2069"/>
      <c r="L14" s="2069">
        <f>'4. KQ- BS'!H88</f>
        <v>19.056921242000001</v>
      </c>
      <c r="M14" s="2069"/>
      <c r="N14" s="2069">
        <f>'4. KQ- BS'!I88</f>
        <v>8.8620075210000007</v>
      </c>
      <c r="O14" s="2069"/>
      <c r="P14" s="2069">
        <f>'4. KQ- BS'!J88</f>
        <v>2.3749500020000003</v>
      </c>
      <c r="Q14" s="2069"/>
      <c r="R14" s="2069">
        <f>'4. KQ- BS'!K88</f>
        <v>0</v>
      </c>
      <c r="S14" s="2069"/>
      <c r="T14" s="2069">
        <f>'4. KQ- BS'!L88</f>
        <v>0</v>
      </c>
      <c r="U14" s="2069"/>
      <c r="V14" s="2069">
        <f>'4. KQ- BS'!M88</f>
        <v>0</v>
      </c>
      <c r="W14" s="2069"/>
      <c r="X14" s="2069">
        <f>'4. KQ- BS'!N88</f>
        <v>0</v>
      </c>
      <c r="Y14" s="2069"/>
      <c r="Z14" s="2069">
        <f>'4. KQ- BS'!O88</f>
        <v>0</v>
      </c>
      <c r="AA14" s="2069"/>
      <c r="AB14" s="2069">
        <f>'4. KQ- BS'!P88</f>
        <v>0</v>
      </c>
      <c r="AC14" s="2069"/>
      <c r="AD14" s="2069">
        <f>'4. KQ- BS'!Q88</f>
        <v>0</v>
      </c>
    </row>
    <row r="15" spans="1:45" outlineLevel="1" x14ac:dyDescent="0.25">
      <c r="B15" s="2011" t="s">
        <v>519</v>
      </c>
      <c r="C15" s="2069"/>
      <c r="D15" s="2069">
        <v>55.016570064</v>
      </c>
      <c r="E15" s="2069"/>
      <c r="F15" s="2069">
        <f>'1.BC_Muc tieu (ty) '!K127</f>
        <v>64.876762150000005</v>
      </c>
      <c r="G15" s="2069"/>
      <c r="H15" s="2069">
        <f>'1.BC_Muc tieu (ty) '!R127</f>
        <v>75.259636196999992</v>
      </c>
      <c r="I15" s="2069"/>
      <c r="J15" s="2069">
        <f>'1.BC_Muc tieu (ty) '!AL127</f>
        <v>55.259416469000001</v>
      </c>
      <c r="K15" s="2069"/>
      <c r="L15" s="2069">
        <f ca="1">'4. KQ- BS'!H102</f>
        <v>60.665479457895387</v>
      </c>
      <c r="M15" s="2069"/>
      <c r="N15" s="2069">
        <f ca="1">'4. KQ- BS'!I102</f>
        <v>73.52733769883659</v>
      </c>
      <c r="O15" s="2069"/>
      <c r="P15" s="2069">
        <f ca="1">'4. KQ- BS'!J102</f>
        <v>92.699818176513475</v>
      </c>
      <c r="Q15" s="2069"/>
      <c r="R15" s="2069">
        <f ca="1">'4. KQ- BS'!K102</f>
        <v>120.96939765086793</v>
      </c>
      <c r="S15" s="2069"/>
      <c r="T15" s="2069">
        <f ca="1">'4. KQ- BS'!L102</f>
        <v>152.31020268113784</v>
      </c>
      <c r="U15" s="2069"/>
      <c r="V15" s="2069">
        <f ca="1">'4. KQ- BS'!M102</f>
        <v>185.88142888963287</v>
      </c>
      <c r="W15" s="2069"/>
      <c r="X15" s="2069">
        <f ca="1">'4. KQ- BS'!N102</f>
        <v>219.87482697638586</v>
      </c>
      <c r="Y15" s="2069"/>
      <c r="Z15" s="2069">
        <f ca="1">'4. KQ- BS'!O102</f>
        <v>254.7082830330836</v>
      </c>
      <c r="AA15" s="2069"/>
      <c r="AB15" s="2069">
        <f ca="1">'4. KQ- BS'!P102</f>
        <v>290.48310000913534</v>
      </c>
      <c r="AC15" s="2069"/>
      <c r="AD15" s="2069">
        <f ca="1">'4. KQ- BS'!Q102</f>
        <v>326.92590618614543</v>
      </c>
    </row>
    <row r="16" spans="1:45" outlineLevel="1" x14ac:dyDescent="0.25">
      <c r="B16" s="2065" t="s">
        <v>2088</v>
      </c>
      <c r="C16" s="1969"/>
      <c r="D16" s="1969">
        <f>SUM(D13:D15)</f>
        <v>345.94753730000002</v>
      </c>
      <c r="E16" s="1969"/>
      <c r="F16" s="1969">
        <f>SUM(F13:F15)</f>
        <v>327.86350123599999</v>
      </c>
      <c r="G16" s="1969"/>
      <c r="H16" s="1969">
        <f>SUM(H13:H15)</f>
        <v>414.60005982200005</v>
      </c>
      <c r="I16" s="1969"/>
      <c r="J16" s="1969">
        <f>SUM(J13:J15)</f>
        <v>574.81652541899996</v>
      </c>
      <c r="K16" s="1969"/>
      <c r="L16" s="1969">
        <f ca="1">SUM(L13:L15)</f>
        <v>241.92647814201143</v>
      </c>
      <c r="M16" s="1969"/>
      <c r="N16" s="1969">
        <f ca="1">SUM(N13:N15)</f>
        <v>228.54705379807211</v>
      </c>
      <c r="O16" s="1969"/>
      <c r="P16" s="1969">
        <f ca="1">SUM(P13:P15)</f>
        <v>214.04552560850925</v>
      </c>
      <c r="Q16" s="1969"/>
      <c r="R16" s="1969">
        <f ca="1">SUM(R13:R15)</f>
        <v>213.77286122665078</v>
      </c>
      <c r="S16" s="1969"/>
      <c r="T16" s="1969">
        <f ca="1">SUM(T13:T15)</f>
        <v>245.13363351173078</v>
      </c>
      <c r="U16" s="1969"/>
      <c r="V16" s="1969">
        <f ca="1">SUM(V13:V15)</f>
        <v>278.71635691435023</v>
      </c>
      <c r="W16" s="1969"/>
      <c r="X16" s="1969">
        <f ca="1">SUM(X13:X15)</f>
        <v>312.73310933625515</v>
      </c>
      <c r="Y16" s="1969"/>
      <c r="Z16" s="1969">
        <f ca="1">SUM(Z13:Z15)</f>
        <v>347.58906914250622</v>
      </c>
      <c r="AA16" s="1969"/>
      <c r="AB16" s="1969">
        <f ca="1">SUM(AB13:AB15)</f>
        <v>383.38429678156427</v>
      </c>
      <c r="AC16" s="1969"/>
      <c r="AD16" s="1969">
        <f ca="1">SUM(AD13:AD15)</f>
        <v>419.85032299065352</v>
      </c>
      <c r="AE16" s="2114"/>
      <c r="AF16" s="2017"/>
      <c r="AG16" s="2057"/>
      <c r="AH16" s="2056"/>
      <c r="AI16" s="2055"/>
      <c r="AJ16" s="2054"/>
      <c r="AK16" s="2055"/>
      <c r="AL16" s="2054"/>
    </row>
    <row r="17" spans="2:41" outlineLevel="1" x14ac:dyDescent="0.25">
      <c r="B17" s="2050" t="s">
        <v>2094</v>
      </c>
      <c r="C17" s="2113"/>
      <c r="D17" s="2113"/>
      <c r="E17" s="2064">
        <f>E12/C12-1</f>
        <v>-5.2273926287030759E-2</v>
      </c>
      <c r="F17" s="2064">
        <f>F16/D16-1</f>
        <v>-5.2273926287030759E-2</v>
      </c>
      <c r="G17" s="2064">
        <f>G12/E12-1</f>
        <v>0.26455168550025876</v>
      </c>
      <c r="H17" s="2064">
        <f>H16/F16-1</f>
        <v>0.26455082148215725</v>
      </c>
      <c r="I17" s="2064">
        <f>I12/G12-1</f>
        <v>0.50360807635808458</v>
      </c>
      <c r="J17" s="2064">
        <f>J16/H16-1</f>
        <v>0.38643618543081137</v>
      </c>
      <c r="K17" s="2064">
        <f t="shared" ref="K17" ca="1" si="0">K12/I12-1</f>
        <v>-0.53399415568451292</v>
      </c>
      <c r="L17" s="2064">
        <f t="shared" ref="L17" ca="1" si="1">L16/J16-1</f>
        <v>-0.57912400314924062</v>
      </c>
      <c r="M17" s="2064">
        <f t="shared" ref="M17" ca="1" si="2">M12/K12-1</f>
        <v>-4.6055527175649091E-2</v>
      </c>
      <c r="N17" s="2064">
        <f t="shared" ref="N17" ca="1" si="3">N16/L16-1</f>
        <v>-5.5303679228056901E-2</v>
      </c>
      <c r="O17" s="2064">
        <f t="shared" ref="O17" ca="1" si="4">O12/M12-1</f>
        <v>-5.2328104671191644E-2</v>
      </c>
      <c r="P17" s="2064">
        <f t="shared" ref="P17" ca="1" si="5">P16/N16-1</f>
        <v>-6.3450952215622913E-2</v>
      </c>
      <c r="Q17" s="2064">
        <f t="shared" ref="Q17" ca="1" si="6">Q12/O12-1</f>
        <v>-1.0382253825488297E-3</v>
      </c>
      <c r="R17" s="2064">
        <f t="shared" ref="R17" ca="1" si="7">R16/P16-1</f>
        <v>-1.2738616286573912E-3</v>
      </c>
      <c r="S17" s="2064">
        <f t="shared" ref="S17" ca="1" si="8">S12/Q12-1</f>
        <v>0.11953665845312456</v>
      </c>
      <c r="T17" s="2064">
        <f t="shared" ref="T17" ca="1" si="9">T16/R16-1</f>
        <v>0.1467013731543314</v>
      </c>
      <c r="U17" s="2064">
        <f t="shared" ref="U17" ca="1" si="10">U12/S12-1</f>
        <v>0.1143383592966789</v>
      </c>
      <c r="V17" s="2064">
        <f t="shared" ref="V17" ca="1" si="11">V16/T16-1</f>
        <v>0.1369976160411801</v>
      </c>
      <c r="W17" s="2064">
        <f t="shared" ref="W17" ca="1" si="12">W12/U12-1</f>
        <v>0.10393260483273603</v>
      </c>
      <c r="X17" s="2064">
        <f t="shared" ref="X17" ca="1" si="13">X16/V16-1</f>
        <v>0.12204792283632737</v>
      </c>
      <c r="Y17" s="2064">
        <f t="shared" ref="Y17" ca="1" si="14">Y12/W12-1</f>
        <v>9.1289568835657198E-2</v>
      </c>
      <c r="Z17" s="2064">
        <f t="shared" ref="Z17" ca="1" si="15">Z16/X16-1</f>
        <v>0.11145593084221028</v>
      </c>
      <c r="AA17" s="2064">
        <f t="shared" ref="AA17" ca="1" si="16">AA12/Y12-1</f>
        <v>9.5529683280524358E-2</v>
      </c>
      <c r="AB17" s="2064">
        <f t="shared" ref="AB17" ca="1" si="17">AB16/Z16-1</f>
        <v>0.10298145372454903</v>
      </c>
      <c r="AC17" s="2064">
        <f t="shared" ref="AC17" ca="1" si="18">AC12/AA12-1</f>
        <v>8.4419094385865812E-2</v>
      </c>
      <c r="AD17" s="2064">
        <f t="shared" ref="AD17" ca="1" si="19">AD16/AB16-1</f>
        <v>9.5116118514019465E-2</v>
      </c>
      <c r="AF17" s="2017"/>
      <c r="AG17" s="2057"/>
      <c r="AH17" s="2056"/>
      <c r="AI17" s="2055"/>
      <c r="AJ17" s="2054"/>
      <c r="AK17" s="2055"/>
      <c r="AL17" s="2054"/>
    </row>
    <row r="18" spans="2:41" outlineLevel="1" x14ac:dyDescent="0.25">
      <c r="J18" s="2116">
        <f>I12-J16</f>
        <v>48.579898930000013</v>
      </c>
      <c r="L18" s="2116">
        <f ca="1">K12-L16</f>
        <v>48.579898930000013</v>
      </c>
      <c r="N18" s="2116">
        <f ca="1">M12-N16</f>
        <v>48.579898929999956</v>
      </c>
      <c r="P18" s="2116">
        <f ca="1">O12-P16</f>
        <v>48.579898929999899</v>
      </c>
      <c r="R18" s="2116">
        <f ca="1">Q12-R16</f>
        <v>48.579898929999842</v>
      </c>
      <c r="S18" s="2116"/>
      <c r="T18" s="2116">
        <f ca="1">S12-T16</f>
        <v>48.579898929999871</v>
      </c>
      <c r="V18" s="2116">
        <f ca="1">U12-V16</f>
        <v>48.579898929999786</v>
      </c>
      <c r="X18" s="2116">
        <f ca="1">W12-X16</f>
        <v>48.579898929999786</v>
      </c>
      <c r="Z18" s="2116">
        <f ca="1">Y12-Z16</f>
        <v>46.708047863089405</v>
      </c>
      <c r="AB18" s="2116">
        <f ca="1">AA12-AB16</f>
        <v>48.579898929999786</v>
      </c>
      <c r="AD18" s="2116">
        <f ca="1">AC12-AD16</f>
        <v>48.579898929999672</v>
      </c>
      <c r="AF18" s="2017"/>
      <c r="AG18" s="2057"/>
      <c r="AH18" s="2056"/>
      <c r="AI18" s="2055"/>
      <c r="AJ18" s="2054"/>
      <c r="AK18" s="2055"/>
      <c r="AL18" s="2054"/>
    </row>
    <row r="19" spans="2:41" outlineLevel="1" x14ac:dyDescent="0.25">
      <c r="B19" s="2263" t="s">
        <v>556</v>
      </c>
      <c r="C19" s="2265">
        <v>2020</v>
      </c>
      <c r="D19" s="2266"/>
      <c r="E19" s="2257">
        <v>2021</v>
      </c>
      <c r="F19" s="2258"/>
      <c r="G19" s="2257">
        <v>2022</v>
      </c>
      <c r="H19" s="2258"/>
      <c r="I19" s="2257">
        <v>2023</v>
      </c>
      <c r="J19" s="2258"/>
      <c r="K19" s="2257">
        <v>2024</v>
      </c>
      <c r="L19" s="2258"/>
      <c r="M19" s="2257">
        <v>2025</v>
      </c>
      <c r="N19" s="2258"/>
      <c r="O19" s="2257">
        <v>2026</v>
      </c>
      <c r="P19" s="2258"/>
      <c r="Q19" s="2257">
        <v>2027</v>
      </c>
      <c r="R19" s="2258"/>
      <c r="S19" s="2257">
        <v>2028</v>
      </c>
      <c r="T19" s="2258"/>
      <c r="U19" s="2257">
        <v>2029</v>
      </c>
      <c r="V19" s="2258"/>
      <c r="W19" s="2257">
        <v>2030</v>
      </c>
      <c r="X19" s="2258"/>
      <c r="Y19" s="2257">
        <v>2031</v>
      </c>
      <c r="Z19" s="2258"/>
      <c r="AA19" s="2257">
        <v>2032</v>
      </c>
      <c r="AB19" s="2258"/>
      <c r="AC19" s="2257">
        <v>2033</v>
      </c>
      <c r="AD19" s="2258"/>
      <c r="AF19" s="2017"/>
      <c r="AG19" s="2057"/>
      <c r="AH19" s="2056"/>
      <c r="AI19" s="2055"/>
      <c r="AJ19" s="2054"/>
      <c r="AK19" s="2055"/>
      <c r="AL19" s="2054"/>
    </row>
    <row r="20" spans="2:41" outlineLevel="1" x14ac:dyDescent="0.25">
      <c r="B20" s="2264"/>
      <c r="C20" s="2112" t="s">
        <v>516</v>
      </c>
      <c r="D20" s="2112" t="s">
        <v>2088</v>
      </c>
      <c r="E20" s="2112" t="s">
        <v>516</v>
      </c>
      <c r="F20" s="2112" t="s">
        <v>2088</v>
      </c>
      <c r="G20" s="2112" t="s">
        <v>516</v>
      </c>
      <c r="H20" s="2112" t="s">
        <v>2088</v>
      </c>
      <c r="I20" s="2112" t="s">
        <v>516</v>
      </c>
      <c r="J20" s="2111" t="s">
        <v>2088</v>
      </c>
      <c r="K20" s="2112" t="s">
        <v>516</v>
      </c>
      <c r="L20" s="2112" t="s">
        <v>2088</v>
      </c>
      <c r="M20" s="2112" t="s">
        <v>516</v>
      </c>
      <c r="N20" s="2112" t="s">
        <v>2088</v>
      </c>
      <c r="O20" s="2112" t="s">
        <v>516</v>
      </c>
      <c r="P20" s="2111" t="s">
        <v>2088</v>
      </c>
      <c r="Q20" s="2112" t="s">
        <v>516</v>
      </c>
      <c r="R20" s="2112" t="s">
        <v>2088</v>
      </c>
      <c r="S20" s="2112" t="s">
        <v>516</v>
      </c>
      <c r="T20" s="2112" t="s">
        <v>2088</v>
      </c>
      <c r="U20" s="2112" t="s">
        <v>516</v>
      </c>
      <c r="V20" s="2111" t="s">
        <v>2088</v>
      </c>
      <c r="W20" s="2112" t="s">
        <v>516</v>
      </c>
      <c r="X20" s="2112" t="s">
        <v>2088</v>
      </c>
      <c r="Y20" s="2112" t="s">
        <v>516</v>
      </c>
      <c r="Z20" s="2112" t="s">
        <v>2088</v>
      </c>
      <c r="AA20" s="2112" t="s">
        <v>516</v>
      </c>
      <c r="AB20" s="2111" t="s">
        <v>2088</v>
      </c>
      <c r="AC20" s="2112" t="s">
        <v>516</v>
      </c>
      <c r="AD20" s="2111" t="s">
        <v>2088</v>
      </c>
      <c r="AF20" s="2017"/>
      <c r="AG20" s="2057"/>
      <c r="AH20" s="2056"/>
      <c r="AI20" s="2055"/>
      <c r="AJ20" s="2054"/>
      <c r="AK20" s="2055"/>
      <c r="AL20" s="2054"/>
    </row>
    <row r="21" spans="2:41" outlineLevel="1" x14ac:dyDescent="0.25">
      <c r="B21" s="2011" t="s">
        <v>2093</v>
      </c>
      <c r="C21" s="2051">
        <f>C10/$C$12</f>
        <v>0.70666558732574614</v>
      </c>
      <c r="D21" s="2051"/>
      <c r="E21" s="2051">
        <f>E10/E12</f>
        <v>0.57395752280320467</v>
      </c>
      <c r="F21" s="2051"/>
      <c r="G21" s="2051">
        <f t="shared" ref="G21" si="20">G10/$C$12</f>
        <v>0.73390338911656694</v>
      </c>
      <c r="H21" s="2051"/>
      <c r="I21" s="2051">
        <f t="shared" ref="I21" si="21">I10/I12</f>
        <v>0.74700150993374392</v>
      </c>
      <c r="J21" s="2051"/>
      <c r="K21" s="2051">
        <f t="shared" ref="K21" ca="1" si="22">K10/$C$12</f>
        <v>0.44356522299206852</v>
      </c>
      <c r="L21" s="2051"/>
      <c r="M21" s="2051">
        <f t="shared" ref="M21" ca="1" si="23">M10/M12</f>
        <v>0.57560370894965185</v>
      </c>
      <c r="N21" s="2051"/>
      <c r="O21" s="2051">
        <f t="shared" ref="O21" ca="1" si="24">O10/$C$12</f>
        <v>0.46316486574979832</v>
      </c>
      <c r="P21" s="2051"/>
      <c r="Q21" s="2051">
        <f t="shared" ref="Q21" ca="1" si="25">Q10/Q12</f>
        <v>0.63688317873686762</v>
      </c>
      <c r="R21" s="2051"/>
      <c r="S21" s="2051">
        <f t="shared" ref="S21" ca="1" si="26">S10/$C$12</f>
        <v>0.58874569436338353</v>
      </c>
      <c r="T21" s="2051"/>
      <c r="U21" s="2051">
        <f t="shared" ref="U21" ca="1" si="27">U10/U12</f>
        <v>0.73393166752154171</v>
      </c>
      <c r="V21" s="2051"/>
      <c r="W21" s="2051">
        <f t="shared" ref="W21" ca="1" si="28">W10/$C$12</f>
        <v>0.8012344350603835</v>
      </c>
      <c r="X21" s="2051"/>
      <c r="Y21" s="2051">
        <f t="shared" ref="Y21" ca="1" si="29">Y10/Y12</f>
        <v>0.79768590682210494</v>
      </c>
      <c r="Z21" s="2051"/>
      <c r="AA21" s="2051">
        <f t="shared" ref="AA21" ca="1" si="30">AA10/$C$12</f>
        <v>1.0180512767648442</v>
      </c>
      <c r="AB21" s="2051"/>
      <c r="AC21" s="2051">
        <f t="shared" ref="AC21" ca="1" si="31">AC10/AC12</f>
        <v>0.83316197178072715</v>
      </c>
      <c r="AD21" s="2051"/>
      <c r="AF21" s="2017"/>
      <c r="AG21" s="2057"/>
      <c r="AH21" s="2056"/>
      <c r="AI21" s="2055"/>
      <c r="AJ21" s="2054"/>
      <c r="AK21" s="2055"/>
      <c r="AL21" s="2054"/>
    </row>
    <row r="22" spans="2:41" outlineLevel="1" x14ac:dyDescent="0.25">
      <c r="B22" s="2011" t="s">
        <v>2092</v>
      </c>
      <c r="C22" s="2051">
        <f>C11/$C$12</f>
        <v>0.29333441267425375</v>
      </c>
      <c r="D22" s="2051"/>
      <c r="E22" s="2051">
        <f>E11/E12</f>
        <v>0.42604247719679533</v>
      </c>
      <c r="F22" s="2051"/>
      <c r="G22" s="2051">
        <f t="shared" ref="G22" si="32">G11/$C$12</f>
        <v>0.46454521478971073</v>
      </c>
      <c r="H22" s="2051"/>
      <c r="I22" s="2051">
        <f t="shared" ref="I22" si="33">I11/I12</f>
        <v>0.25299849006625597</v>
      </c>
      <c r="J22" s="2051"/>
      <c r="K22" s="2051">
        <f t="shared" ref="K22" si="34">K11/$C$12</f>
        <v>0.3961759104159403</v>
      </c>
      <c r="L22" s="2051"/>
      <c r="M22" s="2051">
        <f t="shared" ref="M22" ca="1" si="35">M11/M12</f>
        <v>0.42439629105034798</v>
      </c>
      <c r="N22" s="2051"/>
      <c r="O22" s="2051">
        <f t="shared" ref="O22" si="36">O11/$C$12</f>
        <v>0.29598325996952046</v>
      </c>
      <c r="P22" s="2051"/>
      <c r="Q22" s="2051">
        <f t="shared" ref="Q22" ca="1" si="37">Q11/Q12</f>
        <v>0.36311682126313238</v>
      </c>
      <c r="R22" s="2051"/>
      <c r="S22" s="2051">
        <f t="shared" ref="S22" si="38">S11/$C$12</f>
        <v>0.26026607989019962</v>
      </c>
      <c r="T22" s="2051"/>
      <c r="U22" s="2051">
        <f t="shared" ref="U22" ca="1" si="39">U11/U12</f>
        <v>0.26606833247845824</v>
      </c>
      <c r="V22" s="2051"/>
      <c r="W22" s="2051">
        <f t="shared" ref="W22" si="40">W11/$C$12</f>
        <v>0.24318117513929322</v>
      </c>
      <c r="X22" s="2051"/>
      <c r="Y22" s="2051">
        <f t="shared" ref="Y22" ca="1" si="41">Y11/Y12</f>
        <v>0.20231409317789509</v>
      </c>
      <c r="Z22" s="2051"/>
      <c r="AA22" s="2051">
        <f t="shared" ref="AA22" si="42">AA11/$C$12</f>
        <v>0.230589482706647</v>
      </c>
      <c r="AB22" s="2051"/>
      <c r="AC22" s="2051">
        <f t="shared" ref="AC22" ca="1" si="43">AC11/AC12</f>
        <v>0.16683802821927279</v>
      </c>
      <c r="AD22" s="2051"/>
      <c r="AF22" s="2017"/>
      <c r="AG22" s="2057"/>
      <c r="AH22" s="2056"/>
      <c r="AI22" s="2055"/>
      <c r="AJ22" s="2054"/>
      <c r="AK22" s="2055"/>
      <c r="AL22" s="2054"/>
    </row>
    <row r="23" spans="2:41" outlineLevel="1" x14ac:dyDescent="0.25">
      <c r="B23" s="2065" t="s">
        <v>2091</v>
      </c>
      <c r="C23" s="2068">
        <f>SUM(C21:C22)</f>
        <v>0.99999999999999989</v>
      </c>
      <c r="D23" s="2068"/>
      <c r="E23" s="2068">
        <f>SUM(E21:E22)</f>
        <v>1</v>
      </c>
      <c r="F23" s="2068"/>
      <c r="G23" s="2068">
        <f t="shared" ref="G23" si="44">SUM(G21:G22)</f>
        <v>1.1984486039062776</v>
      </c>
      <c r="H23" s="2068"/>
      <c r="I23" s="2068">
        <f t="shared" ref="I23" si="45">SUM(I21:I22)</f>
        <v>0.99999999999999989</v>
      </c>
      <c r="J23" s="2068"/>
      <c r="K23" s="2068">
        <f t="shared" ref="K23" ca="1" si="46">SUM(K21:K22)</f>
        <v>0.83974113340800882</v>
      </c>
      <c r="L23" s="2068"/>
      <c r="M23" s="2068">
        <f t="shared" ref="M23" ca="1" si="47">SUM(M21:M22)</f>
        <v>0.99999999999999978</v>
      </c>
      <c r="N23" s="2068"/>
      <c r="O23" s="2068">
        <f t="shared" ref="O23" ca="1" si="48">SUM(O21:O22)</f>
        <v>0.75914812571931878</v>
      </c>
      <c r="P23" s="2068"/>
      <c r="Q23" s="2068">
        <f t="shared" ref="Q23" ca="1" si="49">SUM(Q21:Q22)</f>
        <v>1</v>
      </c>
      <c r="R23" s="2068"/>
      <c r="S23" s="2068">
        <f t="shared" ref="S23" ca="1" si="50">SUM(S21:S22)</f>
        <v>0.84901177425358321</v>
      </c>
      <c r="T23" s="2068"/>
      <c r="U23" s="2068">
        <f t="shared" ref="U23" ca="1" si="51">SUM(U21:U22)</f>
        <v>1</v>
      </c>
      <c r="V23" s="2068"/>
      <c r="W23" s="2068">
        <f t="shared" ref="W23" ca="1" si="52">SUM(W21:W22)</f>
        <v>1.0444156101996767</v>
      </c>
      <c r="X23" s="2068"/>
      <c r="Y23" s="2068">
        <f t="shared" ref="Y23" ca="1" si="53">SUM(Y21:Y22)</f>
        <v>1</v>
      </c>
      <c r="Z23" s="2068"/>
      <c r="AA23" s="2068">
        <f t="shared" ref="AA23" ca="1" si="54">SUM(AA21:AA22)</f>
        <v>1.2486407594714912</v>
      </c>
      <c r="AB23" s="2068"/>
      <c r="AC23" s="2068">
        <f t="shared" ref="AC23" ca="1" si="55">SUM(AC21:AC22)</f>
        <v>1</v>
      </c>
      <c r="AD23" s="2068"/>
      <c r="AF23" s="2017"/>
      <c r="AG23" s="2057"/>
      <c r="AH23" s="2056"/>
      <c r="AI23" s="2055"/>
      <c r="AJ23" s="2054"/>
      <c r="AK23" s="2055"/>
      <c r="AL23" s="2054"/>
    </row>
    <row r="24" spans="2:41" outlineLevel="1" x14ac:dyDescent="0.25">
      <c r="B24" s="2011" t="s">
        <v>2090</v>
      </c>
      <c r="C24" s="2051"/>
      <c r="D24" s="2051">
        <f>D13/$D$16</f>
        <v>0.84096845870508241</v>
      </c>
      <c r="E24" s="2051"/>
      <c r="F24" s="2051">
        <f>F13/$F$16</f>
        <v>0.8021226458406514</v>
      </c>
      <c r="G24" s="2051"/>
      <c r="H24" s="2051">
        <f t="shared" ref="H24" si="56">H13/$D$16</f>
        <v>0.98090139988691283</v>
      </c>
      <c r="I24" s="2051"/>
      <c r="J24" s="2051">
        <f t="shared" ref="J24" si="57">J13/$F$16</f>
        <v>1.4873009664500501</v>
      </c>
      <c r="K24" s="2051"/>
      <c r="L24" s="2051">
        <f t="shared" ref="L24" ca="1" si="58">L13/$D$16</f>
        <v>0.46886900455503266</v>
      </c>
      <c r="M24" s="2051"/>
      <c r="N24" s="2051">
        <f t="shared" ref="N24" ca="1" si="59">N13/$F$16</f>
        <v>0.44578828697687056</v>
      </c>
      <c r="O24" s="2051"/>
      <c r="P24" s="2051">
        <f t="shared" ref="P24" ca="1" si="60">P13/$D$16</f>
        <v>0.3438982637613815</v>
      </c>
      <c r="Q24" s="2051"/>
      <c r="R24" s="2051">
        <f t="shared" ref="R24" ca="1" si="61">R13/$F$16</f>
        <v>0.28305518371495042</v>
      </c>
      <c r="S24" s="2051"/>
      <c r="T24" s="2051">
        <f t="shared" ref="T24" ca="1" si="62">T13/$D$16</f>
        <v>0.26831649548670722</v>
      </c>
      <c r="U24" s="2051"/>
      <c r="V24" s="2051">
        <f t="shared" ref="V24" ca="1" si="63">V13/$F$16</f>
        <v>0.28315115185051865</v>
      </c>
      <c r="W24" s="2051"/>
      <c r="X24" s="2051">
        <f t="shared" ref="X24" ca="1" si="64">X13/$D$16</f>
        <v>0.26841723772510667</v>
      </c>
      <c r="Y24" s="2051"/>
      <c r="Z24" s="2051">
        <f t="shared" ref="Z24" ca="1" si="65">Z13/$F$16</f>
        <v>0.28329102129171119</v>
      </c>
      <c r="AA24" s="2051"/>
      <c r="AB24" s="2051">
        <f t="shared" ref="AB24" ca="1" si="66">AB13/$D$16</f>
        <v>0.26854128662828591</v>
      </c>
      <c r="AC24" s="2051"/>
      <c r="AD24" s="2051">
        <f t="shared" ref="AD24:AD26" ca="1" si="67">AD13/$F$16</f>
        <v>0.28342409708368238</v>
      </c>
      <c r="AF24" s="2017"/>
      <c r="AG24" s="2057"/>
      <c r="AH24" s="2056"/>
      <c r="AI24" s="2055"/>
      <c r="AJ24" s="2054"/>
      <c r="AK24" s="2055"/>
      <c r="AL24" s="2054"/>
    </row>
    <row r="25" spans="2:41" outlineLevel="1" x14ac:dyDescent="0.25">
      <c r="B25" s="2011" t="s">
        <v>2089</v>
      </c>
      <c r="C25" s="2051"/>
      <c r="D25" s="2051">
        <f>D14/$D$16</f>
        <v>0</v>
      </c>
      <c r="E25" s="2051"/>
      <c r="F25" s="2051">
        <f>F14/$F$16</f>
        <v>0</v>
      </c>
      <c r="G25" s="2051"/>
      <c r="H25" s="2051">
        <f t="shared" ref="H25" si="68">H14/$D$16</f>
        <v>0</v>
      </c>
      <c r="I25" s="2051"/>
      <c r="J25" s="2051">
        <f t="shared" ref="J25" si="69">J14/$F$16</f>
        <v>9.7374079693670207E-2</v>
      </c>
      <c r="K25" s="2051"/>
      <c r="L25" s="2051">
        <f t="shared" ref="L25" si="70">L14/$D$16</f>
        <v>5.5086159568391878E-2</v>
      </c>
      <c r="M25" s="2051"/>
      <c r="N25" s="2051">
        <f t="shared" ref="N25" si="71">N14/$F$16</f>
        <v>2.7029564094787798E-2</v>
      </c>
      <c r="O25" s="2051"/>
      <c r="P25" s="2051">
        <f t="shared" ref="P25" si="72">P14/$D$16</f>
        <v>6.8650582702095737E-3</v>
      </c>
      <c r="Q25" s="2051"/>
      <c r="R25" s="2051">
        <f t="shared" ref="R25" si="73">R14/$F$16</f>
        <v>0</v>
      </c>
      <c r="S25" s="2051"/>
      <c r="T25" s="2051">
        <f t="shared" ref="T25" si="74">T14/$D$16</f>
        <v>0</v>
      </c>
      <c r="U25" s="2051"/>
      <c r="V25" s="2051">
        <f t="shared" ref="V25" si="75">V14/$F$16</f>
        <v>0</v>
      </c>
      <c r="W25" s="2051"/>
      <c r="X25" s="2051">
        <f t="shared" ref="X25" si="76">X14/$D$16</f>
        <v>0</v>
      </c>
      <c r="Y25" s="2051"/>
      <c r="Z25" s="2051">
        <f t="shared" ref="Z25" si="77">Z14/$F$16</f>
        <v>0</v>
      </c>
      <c r="AA25" s="2051"/>
      <c r="AB25" s="2051">
        <f t="shared" ref="AB25" si="78">AB14/$D$16</f>
        <v>0</v>
      </c>
      <c r="AC25" s="2051"/>
      <c r="AD25" s="2051">
        <f t="shared" si="67"/>
        <v>0</v>
      </c>
      <c r="AF25" s="2017"/>
      <c r="AG25" s="2057"/>
      <c r="AH25" s="2056"/>
      <c r="AI25" s="2055"/>
      <c r="AJ25" s="2054"/>
      <c r="AK25" s="2055"/>
      <c r="AL25" s="2054"/>
      <c r="AO25" s="2017"/>
    </row>
    <row r="26" spans="2:41" outlineLevel="1" x14ac:dyDescent="0.25">
      <c r="B26" s="2011" t="s">
        <v>519</v>
      </c>
      <c r="C26" s="2051"/>
      <c r="D26" s="2051">
        <f>D15/$D$16</f>
        <v>0.15903154129491759</v>
      </c>
      <c r="E26" s="2051"/>
      <c r="F26" s="2051">
        <f>F15/$F$16</f>
        <v>0.19787735415934862</v>
      </c>
      <c r="G26" s="2051"/>
      <c r="H26" s="2051">
        <f t="shared" ref="H26" si="79">H15/$D$16</f>
        <v>0.21754638516688174</v>
      </c>
      <c r="I26" s="2051"/>
      <c r="J26" s="2051">
        <f t="shared" ref="J26" si="80">J15/$F$16</f>
        <v>0.16854397107540076</v>
      </c>
      <c r="K26" s="2051"/>
      <c r="L26" s="2051">
        <f t="shared" ref="L26" ca="1" si="81">L15/$D$16</f>
        <v>0.1753603448990223</v>
      </c>
      <c r="M26" s="2051"/>
      <c r="N26" s="2051">
        <f t="shared" ref="N26" ca="1" si="82">N15/$F$16</f>
        <v>0.22426204021383506</v>
      </c>
      <c r="O26" s="2051"/>
      <c r="P26" s="2051">
        <f t="shared" ref="P26" ca="1" si="83">P15/$D$16</f>
        <v>0.26795917930216601</v>
      </c>
      <c r="Q26" s="2051"/>
      <c r="R26" s="2051">
        <f t="shared" ref="R26" ca="1" si="84">R15/$F$16</f>
        <v>0.36896268476006039</v>
      </c>
      <c r="S26" s="2051"/>
      <c r="T26" s="2051">
        <f t="shared" ref="T26" ca="1" si="85">T15/$D$16</f>
        <v>0.44026965438131427</v>
      </c>
      <c r="U26" s="2051"/>
      <c r="V26" s="2051">
        <f t="shared" ref="V26" ca="1" si="86">V15/$F$16</f>
        <v>0.56694761139585725</v>
      </c>
      <c r="W26" s="2051"/>
      <c r="X26" s="2051">
        <f t="shared" ref="X26" ca="1" si="87">X15/$D$16</f>
        <v>0.63557274808900877</v>
      </c>
      <c r="Y26" s="2051"/>
      <c r="Z26" s="2051">
        <f t="shared" ref="Z26" ca="1" si="88">Z15/$F$16</f>
        <v>0.7768729427730402</v>
      </c>
      <c r="AA26" s="2051"/>
      <c r="AB26" s="2051">
        <f t="shared" ref="AB26" ca="1" si="89">AB15/$D$16</f>
        <v>0.83967384845764392</v>
      </c>
      <c r="AC26" s="2051"/>
      <c r="AD26" s="2051">
        <f t="shared" ca="1" si="67"/>
        <v>0.99714028842393265</v>
      </c>
      <c r="AF26" s="2017"/>
      <c r="AG26" s="2057"/>
      <c r="AH26" s="2056"/>
      <c r="AI26" s="2055"/>
      <c r="AJ26" s="2054"/>
      <c r="AK26" s="2055"/>
      <c r="AL26" s="2054"/>
    </row>
    <row r="27" spans="2:41" outlineLevel="1" x14ac:dyDescent="0.25">
      <c r="B27" s="2065" t="s">
        <v>2088</v>
      </c>
      <c r="C27" s="2068"/>
      <c r="D27" s="2068">
        <f>SUM(D24:D26)</f>
        <v>1</v>
      </c>
      <c r="E27" s="2068"/>
      <c r="F27" s="2068">
        <f>SUM(F24:F26)</f>
        <v>1</v>
      </c>
      <c r="G27" s="2068"/>
      <c r="H27" s="2068">
        <f t="shared" ref="H27" si="90">SUM(H24:H26)</f>
        <v>1.1984477850537947</v>
      </c>
      <c r="I27" s="2068"/>
      <c r="J27" s="2068">
        <f t="shared" ref="J27" si="91">SUM(J24:J26)</f>
        <v>1.7532190172191209</v>
      </c>
      <c r="K27" s="2068"/>
      <c r="L27" s="2068">
        <f t="shared" ref="L27" ca="1" si="92">SUM(L24:L26)</f>
        <v>0.69931550902244688</v>
      </c>
      <c r="M27" s="2068"/>
      <c r="N27" s="2068">
        <f t="shared" ref="N27" ca="1" si="93">SUM(N24:N26)</f>
        <v>0.69707989128549341</v>
      </c>
      <c r="O27" s="2068"/>
      <c r="P27" s="2068">
        <f t="shared" ref="P27" ca="1" si="94">SUM(P24:P26)</f>
        <v>0.61872250133375706</v>
      </c>
      <c r="Q27" s="2068"/>
      <c r="R27" s="2068">
        <f t="shared" ref="R27" ca="1" si="95">SUM(R24:R26)</f>
        <v>0.65201786847501086</v>
      </c>
      <c r="S27" s="2068"/>
      <c r="T27" s="2068">
        <f t="shared" ref="T27" ca="1" si="96">SUM(T24:T26)</f>
        <v>0.70858614986802149</v>
      </c>
      <c r="U27" s="2068"/>
      <c r="V27" s="2068">
        <f t="shared" ref="V27" ca="1" si="97">SUM(V24:V26)</f>
        <v>0.8500987632463759</v>
      </c>
      <c r="W27" s="2068"/>
      <c r="X27" s="2068">
        <f t="shared" ref="X27" ca="1" si="98">SUM(X24:X26)</f>
        <v>0.90398998581411538</v>
      </c>
      <c r="Y27" s="2068"/>
      <c r="Z27" s="2068">
        <f t="shared" ref="Z27" ca="1" si="99">SUM(Z24:Z26)</f>
        <v>1.0601639640647513</v>
      </c>
      <c r="AA27" s="2068"/>
      <c r="AB27" s="2068">
        <f t="shared" ref="AB27" ca="1" si="100">SUM(AB24:AB26)</f>
        <v>1.1082151350859299</v>
      </c>
      <c r="AC27" s="2068"/>
      <c r="AD27" s="2068">
        <f t="shared" ref="AD27" ca="1" si="101">SUM(AD24:AD26)</f>
        <v>1.280564385507615</v>
      </c>
      <c r="AF27" s="2017"/>
      <c r="AG27" s="2057"/>
      <c r="AH27" s="2056"/>
      <c r="AI27" s="2055"/>
      <c r="AJ27" s="2054"/>
      <c r="AK27" s="2055"/>
      <c r="AL27" s="2054"/>
    </row>
    <row r="28" spans="2:41" outlineLevel="1" x14ac:dyDescent="0.25">
      <c r="B28" s="1843"/>
      <c r="C28" s="1843"/>
      <c r="D28" s="1843"/>
      <c r="E28" s="1843"/>
      <c r="F28" s="1843"/>
      <c r="G28" s="1843"/>
      <c r="H28" s="1843"/>
      <c r="I28" s="1843"/>
      <c r="J28" s="1843"/>
      <c r="K28" s="1843"/>
      <c r="L28" s="1843"/>
      <c r="M28" s="1843"/>
      <c r="N28" s="1843"/>
      <c r="O28" s="1843"/>
      <c r="P28" s="1843"/>
      <c r="Q28" s="1843"/>
      <c r="R28" s="1843"/>
      <c r="S28" s="1843"/>
      <c r="T28" s="1843"/>
      <c r="U28" s="1843"/>
      <c r="V28" s="1843"/>
      <c r="W28" s="1843"/>
      <c r="X28" s="1843"/>
      <c r="Y28" s="1843"/>
      <c r="Z28" s="1843"/>
      <c r="AA28" s="1843"/>
      <c r="AB28" s="1843"/>
      <c r="AC28" s="1843"/>
      <c r="AD28" s="1843"/>
      <c r="AF28" s="2017"/>
      <c r="AG28" s="2057"/>
      <c r="AH28" s="2056"/>
      <c r="AI28" s="2055"/>
      <c r="AJ28" s="2054"/>
      <c r="AK28" s="2055"/>
      <c r="AL28" s="2054"/>
    </row>
    <row r="29" spans="2:41" outlineLevel="1" x14ac:dyDescent="0.25">
      <c r="B29" s="1843"/>
      <c r="C29" s="1843"/>
      <c r="D29" s="1843"/>
      <c r="E29" s="1843"/>
      <c r="F29" s="1843"/>
      <c r="G29" s="1843"/>
      <c r="H29" s="1843"/>
      <c r="I29" s="1843"/>
      <c r="J29" s="1843"/>
      <c r="K29" s="1843"/>
      <c r="L29" s="1843"/>
      <c r="M29" s="1843"/>
      <c r="N29" s="1843"/>
      <c r="O29" s="1843"/>
      <c r="P29" s="1843"/>
      <c r="Q29" s="1843"/>
      <c r="R29" s="1843"/>
      <c r="S29" s="1843"/>
      <c r="T29" s="1843"/>
      <c r="U29" s="1843"/>
      <c r="V29" s="1843"/>
      <c r="W29" s="1843"/>
      <c r="X29" s="1843"/>
      <c r="Y29" s="1843"/>
      <c r="Z29" s="1843"/>
      <c r="AA29" s="1843"/>
      <c r="AB29" s="1843"/>
      <c r="AC29" s="1843"/>
      <c r="AD29" s="1843"/>
      <c r="AF29" s="2017"/>
      <c r="AG29" s="2057"/>
      <c r="AH29" s="2056"/>
      <c r="AI29" s="2055"/>
      <c r="AJ29" s="2054"/>
      <c r="AK29" s="2055"/>
      <c r="AL29" s="2054"/>
    </row>
    <row r="30" spans="2:41" outlineLevel="1" x14ac:dyDescent="0.25">
      <c r="B30" s="1843"/>
      <c r="C30" s="1843"/>
      <c r="D30" s="1843"/>
      <c r="E30" s="1843"/>
      <c r="F30" s="1843"/>
      <c r="G30" s="1843"/>
      <c r="H30" s="1843"/>
      <c r="I30" s="1843"/>
      <c r="J30" s="1843"/>
      <c r="K30" s="1843"/>
      <c r="L30" s="1843"/>
      <c r="M30" s="1843"/>
      <c r="N30" s="1843"/>
      <c r="O30" s="1843"/>
      <c r="P30" s="1843"/>
      <c r="Q30" s="1843"/>
      <c r="R30" s="1843"/>
      <c r="S30" s="1843"/>
      <c r="T30" s="1843"/>
      <c r="U30" s="1843"/>
      <c r="V30" s="1843"/>
      <c r="W30" s="1843"/>
      <c r="X30" s="1843"/>
      <c r="Y30" s="1843"/>
      <c r="Z30" s="1843"/>
      <c r="AA30" s="1843"/>
      <c r="AB30" s="1843"/>
      <c r="AC30" s="1843"/>
      <c r="AD30" s="1843"/>
      <c r="AF30" s="2017"/>
      <c r="AG30" s="2057"/>
      <c r="AH30" s="2056"/>
      <c r="AI30" s="2055"/>
      <c r="AJ30" s="2054"/>
      <c r="AK30" s="2055"/>
      <c r="AL30" s="2054"/>
    </row>
    <row r="31" spans="2:41" outlineLevel="1" x14ac:dyDescent="0.25">
      <c r="B31" s="1843"/>
      <c r="C31" s="1843"/>
      <c r="D31" s="1843"/>
      <c r="E31" s="1843"/>
      <c r="F31" s="1843"/>
      <c r="G31" s="1843"/>
      <c r="H31" s="1843"/>
      <c r="I31" s="1843"/>
      <c r="J31" s="1843"/>
      <c r="K31" s="1843"/>
      <c r="L31" s="1843"/>
      <c r="M31" s="1843"/>
      <c r="N31" s="1843"/>
      <c r="O31" s="1843"/>
      <c r="P31" s="1843"/>
      <c r="Q31" s="1843"/>
      <c r="R31" s="1843"/>
      <c r="S31" s="1843"/>
      <c r="T31" s="1843"/>
      <c r="U31" s="1843"/>
      <c r="V31" s="1843"/>
      <c r="W31" s="1843"/>
      <c r="X31" s="1843"/>
      <c r="Y31" s="1843"/>
      <c r="Z31" s="1843"/>
      <c r="AA31" s="1843"/>
      <c r="AB31" s="1843"/>
      <c r="AC31" s="1843"/>
      <c r="AD31" s="1843"/>
      <c r="AF31" s="2017"/>
      <c r="AG31" s="2057"/>
      <c r="AH31" s="2056"/>
      <c r="AI31" s="2055"/>
      <c r="AJ31" s="2054"/>
      <c r="AK31" s="2055"/>
      <c r="AL31" s="2054"/>
    </row>
    <row r="32" spans="2:41" outlineLevel="1" x14ac:dyDescent="0.25">
      <c r="B32" s="1843"/>
      <c r="C32" s="1843"/>
      <c r="D32" s="1843"/>
      <c r="E32" s="1843"/>
      <c r="F32" s="1843"/>
      <c r="G32" s="1843"/>
      <c r="H32" s="1843"/>
      <c r="I32" s="1843"/>
      <c r="J32" s="1843"/>
      <c r="K32" s="1843"/>
      <c r="L32" s="1843"/>
      <c r="M32" s="1843"/>
      <c r="N32" s="1843"/>
      <c r="O32" s="1843"/>
      <c r="P32" s="1843"/>
      <c r="Q32" s="1843"/>
      <c r="R32" s="1843"/>
      <c r="S32" s="1843"/>
      <c r="T32" s="1843"/>
      <c r="U32" s="1843"/>
      <c r="V32" s="1843"/>
      <c r="W32" s="1843"/>
      <c r="X32" s="1843"/>
      <c r="Y32" s="1843"/>
      <c r="Z32" s="1843"/>
      <c r="AA32" s="1843"/>
      <c r="AB32" s="1843"/>
      <c r="AC32" s="1843"/>
      <c r="AD32" s="1843"/>
      <c r="AF32" s="2017"/>
      <c r="AG32" s="2057"/>
      <c r="AH32" s="2056"/>
      <c r="AI32" s="2055"/>
      <c r="AJ32" s="2054"/>
      <c r="AK32" s="2055"/>
      <c r="AL32" s="2054"/>
    </row>
    <row r="33" spans="2:38" outlineLevel="1" x14ac:dyDescent="0.25">
      <c r="B33" s="1843"/>
      <c r="C33" s="1843"/>
      <c r="D33" s="1843"/>
      <c r="E33" s="1843"/>
      <c r="F33" s="1843"/>
      <c r="G33" s="1843"/>
      <c r="H33" s="1843"/>
      <c r="I33" s="1843"/>
      <c r="J33" s="1843"/>
      <c r="K33" s="1843"/>
      <c r="L33" s="1843"/>
      <c r="M33" s="1843"/>
      <c r="N33" s="1843"/>
      <c r="O33" s="1843"/>
      <c r="P33" s="1843"/>
      <c r="Q33" s="1843"/>
      <c r="R33" s="1843"/>
      <c r="S33" s="1843"/>
      <c r="T33" s="1843"/>
      <c r="U33" s="1843"/>
      <c r="V33" s="1843"/>
      <c r="W33" s="1843"/>
      <c r="X33" s="1843"/>
      <c r="Y33" s="1843"/>
      <c r="Z33" s="1843"/>
      <c r="AA33" s="1843"/>
      <c r="AB33" s="1843"/>
      <c r="AC33" s="1843"/>
      <c r="AD33" s="1843"/>
      <c r="AF33" s="2017"/>
      <c r="AG33" s="2057"/>
      <c r="AH33" s="2056"/>
      <c r="AI33" s="2055"/>
      <c r="AJ33" s="2054"/>
      <c r="AK33" s="2055"/>
      <c r="AL33" s="2054"/>
    </row>
    <row r="34" spans="2:38" outlineLevel="1" x14ac:dyDescent="0.25">
      <c r="B34" s="1843"/>
      <c r="C34" s="1843"/>
      <c r="D34" s="1843"/>
      <c r="E34" s="1843"/>
      <c r="F34" s="1843"/>
      <c r="G34" s="1843"/>
      <c r="H34" s="1843"/>
      <c r="I34" s="1843"/>
      <c r="J34" s="1843"/>
      <c r="K34" s="1843"/>
      <c r="L34" s="1843"/>
      <c r="M34" s="1843"/>
      <c r="N34" s="1843"/>
      <c r="O34" s="1843"/>
      <c r="P34" s="1843"/>
      <c r="Q34" s="1843"/>
      <c r="R34" s="1843"/>
      <c r="S34" s="1843"/>
      <c r="T34" s="1843"/>
      <c r="U34" s="1843"/>
      <c r="V34" s="1843"/>
      <c r="W34" s="1843"/>
      <c r="X34" s="1843"/>
      <c r="Y34" s="1843"/>
      <c r="Z34" s="1843"/>
      <c r="AA34" s="1843"/>
      <c r="AB34" s="1843"/>
      <c r="AC34" s="1843"/>
      <c r="AD34" s="1843"/>
      <c r="AF34" s="2017"/>
      <c r="AG34" s="2057"/>
      <c r="AH34" s="2056"/>
      <c r="AI34" s="2055"/>
      <c r="AJ34" s="2054"/>
      <c r="AK34" s="2055"/>
      <c r="AL34" s="2054"/>
    </row>
    <row r="35" spans="2:38" outlineLevel="1" x14ac:dyDescent="0.25">
      <c r="B35" s="1843"/>
      <c r="C35" s="1843"/>
      <c r="D35" s="1843"/>
      <c r="E35" s="1843"/>
      <c r="F35" s="1843"/>
      <c r="G35" s="1843"/>
      <c r="H35" s="1843"/>
      <c r="I35" s="1843"/>
      <c r="J35" s="1843"/>
      <c r="K35" s="1843"/>
      <c r="L35" s="1843"/>
      <c r="M35" s="1843"/>
      <c r="N35" s="1843"/>
      <c r="O35" s="1843"/>
      <c r="P35" s="1843"/>
      <c r="Q35" s="1843"/>
      <c r="R35" s="1843"/>
      <c r="S35" s="1843"/>
      <c r="T35" s="1843"/>
      <c r="U35" s="1843"/>
      <c r="V35" s="1843"/>
      <c r="W35" s="1843"/>
      <c r="X35" s="1843"/>
      <c r="Y35" s="1843"/>
      <c r="Z35" s="1843"/>
      <c r="AA35" s="1843"/>
      <c r="AB35" s="1843"/>
      <c r="AC35" s="1843"/>
      <c r="AD35" s="1843"/>
      <c r="AF35" s="2017"/>
      <c r="AG35" s="2057"/>
      <c r="AH35" s="2056"/>
      <c r="AI35" s="2055"/>
      <c r="AJ35" s="2054"/>
      <c r="AK35" s="2055"/>
      <c r="AL35" s="2054"/>
    </row>
    <row r="36" spans="2:38" outlineLevel="1" x14ac:dyDescent="0.25">
      <c r="B36" s="1843"/>
      <c r="C36" s="1843"/>
      <c r="D36" s="1843"/>
      <c r="E36" s="1843"/>
      <c r="F36" s="1843"/>
      <c r="G36" s="1843"/>
      <c r="H36" s="1843"/>
      <c r="I36" s="1843"/>
      <c r="J36" s="1843"/>
      <c r="K36" s="1843"/>
      <c r="L36" s="1843"/>
      <c r="M36" s="1843"/>
      <c r="N36" s="1843"/>
      <c r="O36" s="1843"/>
      <c r="P36" s="1843"/>
      <c r="Q36" s="1843"/>
      <c r="R36" s="1843"/>
      <c r="S36" s="1843"/>
      <c r="T36" s="1843"/>
      <c r="U36" s="1843"/>
      <c r="V36" s="1843"/>
      <c r="W36" s="1843"/>
      <c r="X36" s="1843"/>
      <c r="Y36" s="1843"/>
      <c r="Z36" s="1843"/>
      <c r="AA36" s="1843"/>
      <c r="AB36" s="1843"/>
      <c r="AC36" s="1843"/>
      <c r="AD36" s="1843"/>
      <c r="AF36" s="2017"/>
      <c r="AG36" s="2057"/>
      <c r="AH36" s="2056"/>
      <c r="AI36" s="2055"/>
      <c r="AJ36" s="2054"/>
      <c r="AK36" s="2055"/>
      <c r="AL36" s="2054"/>
    </row>
    <row r="37" spans="2:38" outlineLevel="1" x14ac:dyDescent="0.25">
      <c r="B37" s="1843"/>
      <c r="C37" s="1843"/>
      <c r="D37" s="1843"/>
      <c r="E37" s="1843"/>
      <c r="F37" s="1843"/>
      <c r="G37" s="1843"/>
      <c r="H37" s="1843"/>
      <c r="I37" s="1843"/>
      <c r="J37" s="1843"/>
      <c r="K37" s="1843"/>
      <c r="L37" s="1843"/>
      <c r="M37" s="1843"/>
      <c r="N37" s="1843"/>
      <c r="O37" s="1843"/>
      <c r="P37" s="1843"/>
      <c r="Q37" s="1843"/>
      <c r="R37" s="1843"/>
      <c r="S37" s="1843"/>
      <c r="T37" s="1843"/>
      <c r="U37" s="1843"/>
      <c r="V37" s="1843"/>
      <c r="W37" s="1843"/>
      <c r="X37" s="1843"/>
      <c r="Y37" s="1843"/>
      <c r="Z37" s="1843"/>
      <c r="AA37" s="1843"/>
      <c r="AB37" s="1843"/>
      <c r="AC37" s="1843"/>
      <c r="AD37" s="1843"/>
      <c r="AF37" s="2017"/>
      <c r="AG37" s="2057"/>
      <c r="AH37" s="2056"/>
      <c r="AI37" s="2055"/>
      <c r="AJ37" s="2054"/>
      <c r="AK37" s="2055"/>
      <c r="AL37" s="2054"/>
    </row>
    <row r="38" spans="2:38" outlineLevel="1" x14ac:dyDescent="0.25">
      <c r="B38" s="1843"/>
      <c r="C38" s="1843"/>
      <c r="D38" s="1843"/>
      <c r="E38" s="1843"/>
      <c r="F38" s="1843"/>
      <c r="G38" s="1843"/>
      <c r="H38" s="1843"/>
      <c r="I38" s="1843"/>
      <c r="J38" s="1843"/>
      <c r="K38" s="1843"/>
      <c r="L38" s="1843"/>
      <c r="M38" s="1843"/>
      <c r="N38" s="1843"/>
      <c r="O38" s="1843"/>
      <c r="P38" s="1843"/>
      <c r="Q38" s="1843"/>
      <c r="R38" s="1843"/>
      <c r="S38" s="1843"/>
      <c r="T38" s="1843"/>
      <c r="U38" s="1843"/>
      <c r="V38" s="1843"/>
      <c r="W38" s="1843"/>
      <c r="X38" s="1843"/>
      <c r="Y38" s="1843"/>
      <c r="Z38" s="1843"/>
      <c r="AA38" s="1843"/>
      <c r="AB38" s="1843"/>
      <c r="AC38" s="1843"/>
      <c r="AD38" s="1843"/>
      <c r="AF38" s="2017"/>
      <c r="AG38" s="2057"/>
      <c r="AH38" s="2056"/>
      <c r="AI38" s="2055"/>
      <c r="AJ38" s="2054"/>
      <c r="AK38" s="2055"/>
      <c r="AL38" s="2054"/>
    </row>
    <row r="39" spans="2:38" outlineLevel="1" x14ac:dyDescent="0.25">
      <c r="B39" s="1843"/>
      <c r="C39" s="1843"/>
      <c r="D39" s="1843"/>
      <c r="E39" s="1843"/>
      <c r="F39" s="1843"/>
      <c r="G39" s="1843"/>
      <c r="H39" s="1843"/>
      <c r="I39" s="1843"/>
      <c r="J39" s="1843"/>
      <c r="K39" s="1843"/>
      <c r="L39" s="1843"/>
      <c r="M39" s="1843"/>
      <c r="N39" s="1843"/>
      <c r="O39" s="1843"/>
      <c r="P39" s="1843"/>
      <c r="Q39" s="1843"/>
      <c r="R39" s="1843"/>
      <c r="S39" s="1843"/>
      <c r="T39" s="1843"/>
      <c r="U39" s="1843"/>
      <c r="V39" s="1843"/>
      <c r="W39" s="1843"/>
      <c r="X39" s="1843"/>
      <c r="Y39" s="1843"/>
      <c r="Z39" s="1843"/>
      <c r="AA39" s="1843"/>
      <c r="AB39" s="1843"/>
      <c r="AC39" s="1843"/>
      <c r="AD39" s="1843"/>
      <c r="AF39" s="2017"/>
      <c r="AG39" s="2057"/>
      <c r="AH39" s="2056"/>
      <c r="AI39" s="2055"/>
      <c r="AJ39" s="2054"/>
      <c r="AK39" s="2055"/>
      <c r="AL39" s="2054"/>
    </row>
    <row r="40" spans="2:38" outlineLevel="1" x14ac:dyDescent="0.25">
      <c r="B40" s="1843"/>
      <c r="C40" s="1843"/>
      <c r="D40" s="1843"/>
      <c r="E40" s="1843"/>
      <c r="F40" s="1843"/>
      <c r="G40" s="1843"/>
      <c r="H40" s="1843"/>
      <c r="I40" s="1843"/>
      <c r="J40" s="1843"/>
      <c r="K40" s="1843"/>
      <c r="L40" s="1843"/>
      <c r="M40" s="1843"/>
      <c r="N40" s="1843"/>
      <c r="O40" s="1843"/>
      <c r="P40" s="1843"/>
      <c r="Q40" s="1843"/>
      <c r="R40" s="1843"/>
      <c r="S40" s="1843"/>
      <c r="T40" s="1843"/>
      <c r="U40" s="1843"/>
      <c r="V40" s="1843"/>
      <c r="W40" s="1843"/>
      <c r="X40" s="1843"/>
      <c r="Y40" s="1843"/>
      <c r="Z40" s="1843"/>
      <c r="AA40" s="1843"/>
      <c r="AB40" s="1843"/>
      <c r="AC40" s="1843"/>
      <c r="AD40" s="1843"/>
      <c r="AF40" s="2017"/>
      <c r="AG40" s="2057"/>
      <c r="AH40" s="2056"/>
      <c r="AI40" s="2055"/>
      <c r="AJ40" s="2054"/>
      <c r="AK40" s="2055"/>
      <c r="AL40" s="2054"/>
    </row>
    <row r="41" spans="2:38" outlineLevel="1" x14ac:dyDescent="0.25">
      <c r="B41" s="1843"/>
      <c r="C41" s="1843"/>
      <c r="D41" s="1843"/>
      <c r="E41" s="1843"/>
      <c r="F41" s="1843"/>
      <c r="G41" s="1843"/>
      <c r="H41" s="1843"/>
      <c r="I41" s="1843"/>
      <c r="J41" s="1843"/>
      <c r="K41" s="1843"/>
      <c r="L41" s="1843"/>
      <c r="M41" s="1843"/>
      <c r="N41" s="1843"/>
      <c r="O41" s="1843"/>
      <c r="P41" s="1843"/>
      <c r="Q41" s="1843"/>
      <c r="R41" s="1843"/>
      <c r="S41" s="1843"/>
      <c r="T41" s="1843"/>
      <c r="U41" s="1843"/>
      <c r="V41" s="1843"/>
      <c r="W41" s="1843"/>
      <c r="X41" s="1843"/>
      <c r="Y41" s="1843"/>
      <c r="Z41" s="1843"/>
      <c r="AA41" s="1843"/>
      <c r="AB41" s="1843"/>
      <c r="AC41" s="1843"/>
      <c r="AD41" s="1843"/>
      <c r="AF41" s="2017"/>
      <c r="AG41" s="2057"/>
      <c r="AH41" s="2056"/>
      <c r="AI41" s="2055"/>
      <c r="AJ41" s="2054"/>
      <c r="AK41" s="2055"/>
      <c r="AL41" s="2054"/>
    </row>
    <row r="42" spans="2:38" outlineLevel="1" x14ac:dyDescent="0.25">
      <c r="B42" s="1843"/>
      <c r="C42" s="1843"/>
      <c r="D42" s="1843"/>
      <c r="E42" s="1843"/>
      <c r="F42" s="1843"/>
      <c r="G42" s="1843"/>
      <c r="H42" s="1843"/>
      <c r="I42" s="1843"/>
      <c r="J42" s="1843"/>
      <c r="K42" s="1843"/>
      <c r="L42" s="1843"/>
      <c r="M42" s="1843"/>
      <c r="N42" s="1843"/>
      <c r="O42" s="1843"/>
      <c r="P42" s="1843"/>
      <c r="Q42" s="1843"/>
      <c r="R42" s="1843"/>
      <c r="S42" s="1843"/>
      <c r="T42" s="1843"/>
      <c r="U42" s="1843"/>
      <c r="V42" s="1843"/>
      <c r="W42" s="1843"/>
      <c r="X42" s="1843"/>
      <c r="Y42" s="1843"/>
      <c r="Z42" s="1843"/>
      <c r="AA42" s="1843"/>
      <c r="AB42" s="1843"/>
      <c r="AC42" s="1843"/>
      <c r="AD42" s="1843"/>
      <c r="AF42" s="2017"/>
      <c r="AG42" s="2057"/>
      <c r="AH42" s="2056"/>
      <c r="AI42" s="2055"/>
      <c r="AJ42" s="2054"/>
      <c r="AK42" s="2055"/>
      <c r="AL42" s="2054"/>
    </row>
    <row r="43" spans="2:38" outlineLevel="1" x14ac:dyDescent="0.25">
      <c r="B43" s="1843"/>
      <c r="C43" s="1843"/>
      <c r="D43" s="1843"/>
      <c r="E43" s="1843"/>
      <c r="F43" s="1843"/>
      <c r="G43" s="1843"/>
      <c r="H43" s="1843"/>
      <c r="I43" s="1843"/>
      <c r="J43" s="1843"/>
      <c r="K43" s="1843"/>
      <c r="L43" s="1843"/>
      <c r="M43" s="1843"/>
      <c r="N43" s="1843"/>
      <c r="O43" s="1843"/>
      <c r="P43" s="1843"/>
      <c r="Q43" s="1843"/>
      <c r="R43" s="1843"/>
      <c r="S43" s="1843"/>
      <c r="T43" s="1843"/>
      <c r="U43" s="1843"/>
      <c r="V43" s="1843"/>
      <c r="W43" s="1843"/>
      <c r="X43" s="1843"/>
      <c r="Y43" s="1843"/>
      <c r="Z43" s="1843"/>
      <c r="AA43" s="1843"/>
      <c r="AB43" s="1843"/>
      <c r="AC43" s="1843"/>
      <c r="AD43" s="1843"/>
      <c r="AF43" s="2017"/>
      <c r="AG43" s="2057"/>
      <c r="AH43" s="2056"/>
      <c r="AI43" s="2055"/>
      <c r="AJ43" s="2054"/>
      <c r="AK43" s="2055"/>
      <c r="AL43" s="2054"/>
    </row>
    <row r="44" spans="2:38" outlineLevel="1" x14ac:dyDescent="0.25">
      <c r="B44" s="1843"/>
      <c r="C44" s="1843"/>
      <c r="D44" s="1843"/>
      <c r="E44" s="1843"/>
      <c r="F44" s="1843"/>
      <c r="G44" s="1843"/>
      <c r="H44" s="1843"/>
      <c r="I44" s="1843"/>
      <c r="J44" s="1843"/>
      <c r="K44" s="1843"/>
      <c r="L44" s="1843"/>
      <c r="M44" s="1843"/>
      <c r="N44" s="1843"/>
      <c r="O44" s="1843"/>
      <c r="P44" s="1843"/>
      <c r="Q44" s="1843"/>
      <c r="R44" s="1843"/>
      <c r="S44" s="1843"/>
      <c r="T44" s="1843"/>
      <c r="U44" s="1843"/>
      <c r="V44" s="1843"/>
      <c r="W44" s="1843"/>
      <c r="X44" s="1843"/>
      <c r="Y44" s="1843"/>
      <c r="Z44" s="1843"/>
      <c r="AA44" s="1843"/>
      <c r="AB44" s="1843"/>
      <c r="AC44" s="1843"/>
      <c r="AD44" s="1843"/>
      <c r="AF44" s="2017"/>
      <c r="AG44" s="2057"/>
      <c r="AH44" s="2056"/>
      <c r="AI44" s="2055"/>
      <c r="AJ44" s="2054"/>
      <c r="AK44" s="2055"/>
      <c r="AL44" s="2054"/>
    </row>
    <row r="45" spans="2:38" outlineLevel="1" x14ac:dyDescent="0.25">
      <c r="B45" s="1843"/>
      <c r="C45" s="1843"/>
      <c r="D45" s="1843"/>
      <c r="E45" s="1843"/>
      <c r="F45" s="1843"/>
      <c r="G45" s="1843"/>
      <c r="H45" s="1843"/>
      <c r="I45" s="1843"/>
      <c r="J45" s="1843"/>
      <c r="K45" s="1843"/>
      <c r="L45" s="1843"/>
      <c r="M45" s="1843"/>
      <c r="N45" s="1843"/>
      <c r="O45" s="1843"/>
      <c r="P45" s="1843"/>
      <c r="Q45" s="1843"/>
      <c r="R45" s="1843"/>
      <c r="S45" s="1843"/>
      <c r="T45" s="1843"/>
      <c r="U45" s="1843"/>
      <c r="V45" s="1843"/>
      <c r="W45" s="1843"/>
      <c r="X45" s="1843"/>
      <c r="Y45" s="1843"/>
      <c r="Z45" s="1843"/>
      <c r="AA45" s="1843"/>
      <c r="AB45" s="1843"/>
      <c r="AC45" s="1843"/>
      <c r="AD45" s="1843"/>
      <c r="AF45" s="2017"/>
      <c r="AG45" s="2057"/>
      <c r="AH45" s="2056"/>
      <c r="AI45" s="2055"/>
      <c r="AJ45" s="2054"/>
      <c r="AK45" s="2055"/>
      <c r="AL45" s="2054"/>
    </row>
    <row r="46" spans="2:38" outlineLevel="1" x14ac:dyDescent="0.25">
      <c r="B46" s="1843"/>
      <c r="C46" s="1843"/>
      <c r="D46" s="1843"/>
      <c r="E46" s="1843"/>
      <c r="F46" s="1843"/>
      <c r="G46" s="1843"/>
      <c r="H46" s="1843"/>
      <c r="I46" s="1843"/>
      <c r="J46" s="1843"/>
      <c r="K46" s="1843"/>
      <c r="L46" s="1843"/>
      <c r="M46" s="1843"/>
      <c r="N46" s="1843"/>
      <c r="O46" s="1843"/>
      <c r="P46" s="1843"/>
      <c r="Q46" s="1843"/>
      <c r="R46" s="1843"/>
      <c r="S46" s="1843"/>
      <c r="T46" s="1843"/>
      <c r="U46" s="1843"/>
      <c r="V46" s="1843"/>
      <c r="W46" s="1843"/>
      <c r="X46" s="1843"/>
      <c r="Y46" s="1843"/>
      <c r="Z46" s="1843"/>
      <c r="AA46" s="1843"/>
      <c r="AB46" s="1843"/>
      <c r="AC46" s="1843"/>
      <c r="AD46" s="1843"/>
      <c r="AF46" s="2017"/>
      <c r="AG46" s="2057"/>
      <c r="AH46" s="2056"/>
      <c r="AI46" s="2055"/>
      <c r="AJ46" s="2054"/>
      <c r="AK46" s="2055"/>
      <c r="AL46" s="2054"/>
    </row>
    <row r="47" spans="2:38" outlineLevel="1" x14ac:dyDescent="0.25">
      <c r="B47" s="1843"/>
      <c r="C47" s="1843"/>
      <c r="D47" s="1843"/>
      <c r="E47" s="1843"/>
      <c r="F47" s="1843"/>
      <c r="G47" s="1843"/>
      <c r="H47" s="1843"/>
      <c r="I47" s="1843"/>
      <c r="J47" s="1843"/>
      <c r="K47" s="1843"/>
      <c r="L47" s="1843"/>
      <c r="M47" s="1843"/>
      <c r="N47" s="1843"/>
      <c r="O47" s="1843"/>
      <c r="P47" s="1843"/>
      <c r="Q47" s="1843"/>
      <c r="R47" s="1843"/>
      <c r="S47" s="1843"/>
      <c r="T47" s="1843"/>
      <c r="U47" s="1843"/>
      <c r="V47" s="1843"/>
      <c r="W47" s="1843"/>
      <c r="X47" s="1843"/>
      <c r="Y47" s="1843"/>
      <c r="Z47" s="1843"/>
      <c r="AA47" s="1843"/>
      <c r="AB47" s="1843"/>
      <c r="AC47" s="1843"/>
      <c r="AD47" s="1843"/>
      <c r="AF47" s="2017"/>
      <c r="AG47" s="2057"/>
      <c r="AH47" s="2056"/>
      <c r="AI47" s="2055"/>
      <c r="AJ47" s="2054"/>
      <c r="AK47" s="2055"/>
      <c r="AL47" s="2054"/>
    </row>
    <row r="48" spans="2:38" outlineLevel="1" x14ac:dyDescent="0.25">
      <c r="B48" s="1843"/>
      <c r="C48" s="1843"/>
      <c r="D48" s="1843"/>
      <c r="E48" s="1843"/>
      <c r="F48" s="1843"/>
      <c r="G48" s="1843"/>
      <c r="H48" s="1843"/>
      <c r="I48" s="1843"/>
      <c r="J48" s="1843"/>
      <c r="K48" s="1843"/>
      <c r="L48" s="1843"/>
      <c r="M48" s="1843"/>
      <c r="N48" s="1843"/>
      <c r="O48" s="1843"/>
      <c r="P48" s="1843"/>
      <c r="Q48" s="1843"/>
      <c r="R48" s="1843"/>
      <c r="S48" s="1843"/>
      <c r="T48" s="1843"/>
      <c r="U48" s="1843"/>
      <c r="V48" s="1843"/>
      <c r="W48" s="1843"/>
      <c r="X48" s="1843"/>
      <c r="Y48" s="1843"/>
      <c r="Z48" s="1843"/>
      <c r="AA48" s="1843"/>
      <c r="AB48" s="1843"/>
      <c r="AC48" s="1843"/>
      <c r="AD48" s="1843"/>
      <c r="AF48" s="2017"/>
      <c r="AG48" s="2057"/>
      <c r="AH48" s="2056"/>
      <c r="AI48" s="2055"/>
      <c r="AJ48" s="2054"/>
      <c r="AK48" s="2055"/>
      <c r="AL48" s="2054"/>
    </row>
    <row r="49" spans="1:45" outlineLevel="1" x14ac:dyDescent="0.25">
      <c r="B49" s="1843"/>
      <c r="C49" s="1843"/>
      <c r="D49" s="1843"/>
      <c r="E49" s="1843"/>
      <c r="F49" s="1843"/>
      <c r="G49" s="1843"/>
      <c r="H49" s="1843"/>
      <c r="I49" s="1843"/>
      <c r="J49" s="1843"/>
      <c r="K49" s="1843"/>
      <c r="L49" s="1843"/>
      <c r="M49" s="1843"/>
      <c r="N49" s="1843"/>
      <c r="O49" s="1843"/>
      <c r="P49" s="1843"/>
      <c r="Q49" s="1843"/>
      <c r="R49" s="1843"/>
      <c r="S49" s="1843"/>
      <c r="T49" s="1843"/>
      <c r="U49" s="1843"/>
      <c r="V49" s="1843"/>
      <c r="W49" s="1843"/>
      <c r="X49" s="1843"/>
      <c r="Y49" s="1843"/>
      <c r="Z49" s="1843"/>
      <c r="AA49" s="1843"/>
      <c r="AB49" s="1843"/>
      <c r="AC49" s="1843"/>
      <c r="AD49" s="1843"/>
      <c r="AF49" s="2017"/>
      <c r="AG49" s="2057"/>
      <c r="AH49" s="2056"/>
      <c r="AI49" s="2055"/>
      <c r="AJ49" s="2054"/>
      <c r="AK49" s="2055"/>
      <c r="AL49" s="2054"/>
    </row>
    <row r="50" spans="1:45" outlineLevel="1" x14ac:dyDescent="0.25">
      <c r="B50" s="1843"/>
      <c r="C50" s="1843"/>
      <c r="D50" s="1843"/>
      <c r="E50" s="1843"/>
      <c r="F50" s="1843"/>
      <c r="G50" s="1843"/>
      <c r="H50" s="1843"/>
      <c r="I50" s="1843"/>
      <c r="J50" s="1843"/>
      <c r="K50" s="1843"/>
      <c r="L50" s="1843"/>
      <c r="M50" s="1843"/>
      <c r="N50" s="1843"/>
      <c r="O50" s="1843"/>
      <c r="P50" s="1843"/>
      <c r="Q50" s="1843"/>
      <c r="R50" s="1843"/>
      <c r="S50" s="1843"/>
      <c r="T50" s="1843"/>
      <c r="U50" s="1843"/>
      <c r="V50" s="1843"/>
      <c r="W50" s="1843"/>
      <c r="X50" s="1843"/>
      <c r="Y50" s="1843"/>
      <c r="Z50" s="1843"/>
      <c r="AA50" s="1843"/>
      <c r="AB50" s="1843"/>
      <c r="AC50" s="1843"/>
      <c r="AD50" s="1843"/>
      <c r="AF50" s="2017"/>
      <c r="AG50" s="2057"/>
      <c r="AH50" s="2056"/>
      <c r="AI50" s="2055"/>
      <c r="AJ50" s="2054"/>
      <c r="AK50" s="2055"/>
      <c r="AL50" s="2054"/>
    </row>
    <row r="51" spans="1:45" outlineLevel="1" x14ac:dyDescent="0.25">
      <c r="B51" s="1843"/>
      <c r="C51" s="1843"/>
      <c r="D51" s="1843"/>
      <c r="E51" s="1843"/>
      <c r="F51" s="1843"/>
      <c r="G51" s="1843"/>
      <c r="H51" s="1843"/>
      <c r="I51" s="1843"/>
      <c r="J51" s="1843"/>
      <c r="K51" s="1843"/>
      <c r="L51" s="1843"/>
      <c r="M51" s="1843"/>
      <c r="N51" s="1843"/>
      <c r="O51" s="1843"/>
      <c r="P51" s="1843"/>
      <c r="Q51" s="1843"/>
      <c r="R51" s="1843"/>
      <c r="S51" s="1843"/>
      <c r="T51" s="1843"/>
      <c r="U51" s="1843"/>
      <c r="V51" s="1843"/>
      <c r="W51" s="1843"/>
      <c r="X51" s="1843"/>
      <c r="Y51" s="1843"/>
      <c r="Z51" s="1843"/>
      <c r="AA51" s="1843"/>
      <c r="AB51" s="1843"/>
      <c r="AC51" s="1843"/>
      <c r="AD51" s="1843"/>
      <c r="AF51" s="2017"/>
      <c r="AG51" s="2057"/>
      <c r="AH51" s="2056"/>
      <c r="AI51" s="2055"/>
      <c r="AJ51" s="2054"/>
      <c r="AK51" s="2055"/>
      <c r="AL51" s="2054"/>
    </row>
    <row r="52" spans="1:45" outlineLevel="1" x14ac:dyDescent="0.25">
      <c r="B52" s="1843"/>
      <c r="C52" s="1843"/>
      <c r="D52" s="1843"/>
      <c r="E52" s="1843"/>
      <c r="F52" s="1843"/>
      <c r="G52" s="1843"/>
      <c r="H52" s="1843"/>
      <c r="I52" s="1843"/>
      <c r="J52" s="1843"/>
      <c r="K52" s="1843"/>
      <c r="L52" s="1843"/>
      <c r="M52" s="1843"/>
      <c r="N52" s="1843"/>
      <c r="O52" s="1843"/>
      <c r="P52" s="1843"/>
      <c r="Q52" s="1843"/>
      <c r="R52" s="1843"/>
      <c r="S52" s="1843"/>
      <c r="T52" s="1843"/>
      <c r="U52" s="1843"/>
      <c r="V52" s="1843"/>
      <c r="W52" s="1843"/>
      <c r="X52" s="1843"/>
      <c r="Y52" s="1843"/>
      <c r="Z52" s="1843"/>
      <c r="AA52" s="1843"/>
      <c r="AB52" s="1843"/>
      <c r="AC52" s="1843"/>
      <c r="AD52" s="1843"/>
      <c r="AF52" s="2017"/>
      <c r="AG52" s="2057"/>
      <c r="AH52" s="2056"/>
      <c r="AI52" s="2055"/>
      <c r="AJ52" s="2054"/>
      <c r="AK52" s="2055"/>
      <c r="AL52" s="2054"/>
    </row>
    <row r="53" spans="1:45" outlineLevel="1" x14ac:dyDescent="0.25">
      <c r="B53" s="1843"/>
      <c r="C53" s="1843"/>
      <c r="D53" s="1843"/>
      <c r="E53" s="1843"/>
      <c r="F53" s="1843"/>
      <c r="G53" s="1843"/>
      <c r="H53" s="1843"/>
      <c r="I53" s="1843"/>
      <c r="J53" s="1843"/>
      <c r="K53" s="1843"/>
      <c r="L53" s="1843"/>
      <c r="M53" s="1843"/>
      <c r="N53" s="1843"/>
      <c r="O53" s="1843"/>
      <c r="P53" s="1843"/>
      <c r="Q53" s="1843"/>
      <c r="R53" s="1843"/>
      <c r="S53" s="1843"/>
      <c r="T53" s="1843"/>
      <c r="U53" s="1843"/>
      <c r="V53" s="1843"/>
      <c r="W53" s="1843"/>
      <c r="X53" s="1843"/>
      <c r="Y53" s="1843"/>
      <c r="Z53" s="1843"/>
      <c r="AA53" s="1843"/>
      <c r="AB53" s="1843"/>
      <c r="AC53" s="1843"/>
      <c r="AD53" s="1843"/>
      <c r="AF53" s="2017"/>
      <c r="AG53" s="2057"/>
      <c r="AH53" s="2056"/>
      <c r="AI53" s="2055"/>
      <c r="AJ53" s="2054"/>
      <c r="AK53" s="2055"/>
      <c r="AL53" s="2054"/>
    </row>
    <row r="54" spans="1:45" outlineLevel="1" x14ac:dyDescent="0.25">
      <c r="B54" s="1843"/>
      <c r="C54" s="1843"/>
      <c r="D54" s="1843"/>
      <c r="E54" s="1843"/>
      <c r="F54" s="1843"/>
      <c r="G54" s="1843"/>
      <c r="H54" s="1843"/>
      <c r="I54" s="1843"/>
      <c r="J54" s="1843"/>
      <c r="K54" s="1843"/>
      <c r="L54" s="1843"/>
      <c r="M54" s="1843"/>
      <c r="N54" s="1843"/>
      <c r="O54" s="1843"/>
      <c r="P54" s="1843"/>
      <c r="Q54" s="1843"/>
      <c r="R54" s="1843"/>
      <c r="S54" s="1843"/>
      <c r="T54" s="1843"/>
      <c r="U54" s="1843"/>
      <c r="V54" s="1843"/>
      <c r="W54" s="1843"/>
      <c r="X54" s="1843"/>
      <c r="Y54" s="1843"/>
      <c r="Z54" s="1843"/>
      <c r="AA54" s="1843"/>
      <c r="AB54" s="1843"/>
      <c r="AC54" s="1843"/>
      <c r="AD54" s="1843"/>
      <c r="AF54" s="2017"/>
      <c r="AG54" s="2057"/>
      <c r="AH54" s="2056"/>
      <c r="AI54" s="2055"/>
      <c r="AJ54" s="2054"/>
      <c r="AK54" s="2055"/>
      <c r="AL54" s="2054"/>
    </row>
    <row r="55" spans="1:45" outlineLevel="1" x14ac:dyDescent="0.25">
      <c r="B55" s="1843"/>
      <c r="C55" s="1843"/>
      <c r="D55" s="1843"/>
      <c r="E55" s="1843"/>
      <c r="F55" s="1843"/>
      <c r="G55" s="1843"/>
      <c r="H55" s="1843"/>
      <c r="I55" s="1843"/>
      <c r="J55" s="1843"/>
      <c r="K55" s="1843"/>
      <c r="L55" s="1843"/>
      <c r="M55" s="1843"/>
      <c r="N55" s="1843"/>
      <c r="O55" s="1843"/>
      <c r="P55" s="1843"/>
      <c r="Q55" s="1843"/>
      <c r="R55" s="1843"/>
      <c r="S55" s="1843"/>
      <c r="T55" s="1843"/>
      <c r="U55" s="1843"/>
      <c r="V55" s="1843"/>
      <c r="W55" s="1843"/>
      <c r="X55" s="1843"/>
      <c r="Y55" s="1843"/>
      <c r="Z55" s="1843"/>
      <c r="AA55" s="1843"/>
      <c r="AB55" s="1843"/>
      <c r="AC55" s="1843"/>
      <c r="AD55" s="1843"/>
      <c r="AF55" s="2017"/>
      <c r="AG55" s="2057"/>
      <c r="AH55" s="2056"/>
      <c r="AI55" s="2055"/>
      <c r="AJ55" s="2054"/>
      <c r="AK55" s="2055"/>
      <c r="AL55" s="2054"/>
    </row>
    <row r="56" spans="1:45" outlineLevel="1" x14ac:dyDescent="0.25">
      <c r="B56" s="1843"/>
      <c r="C56" s="1843"/>
      <c r="D56" s="1843"/>
      <c r="E56" s="1843"/>
      <c r="F56" s="1843"/>
      <c r="G56" s="1843"/>
      <c r="H56" s="1843"/>
      <c r="I56" s="1843"/>
      <c r="J56" s="1843"/>
      <c r="K56" s="1843"/>
      <c r="L56" s="1843"/>
      <c r="M56" s="1843"/>
      <c r="N56" s="1843"/>
      <c r="O56" s="1843"/>
      <c r="P56" s="1843"/>
      <c r="Q56" s="1843"/>
      <c r="R56" s="1843"/>
      <c r="S56" s="1843"/>
      <c r="T56" s="1843"/>
      <c r="U56" s="1843"/>
      <c r="V56" s="1843"/>
      <c r="W56" s="1843"/>
      <c r="X56" s="1843"/>
      <c r="Y56" s="1843"/>
      <c r="Z56" s="1843"/>
      <c r="AA56" s="1843"/>
      <c r="AB56" s="1843"/>
      <c r="AC56" s="1843"/>
      <c r="AD56" s="1843"/>
      <c r="AF56" s="2017"/>
      <c r="AG56" s="2057"/>
      <c r="AH56" s="2056"/>
      <c r="AI56" s="2055"/>
      <c r="AJ56" s="2054"/>
      <c r="AK56" s="2055"/>
      <c r="AL56" s="2054"/>
    </row>
    <row r="57" spans="1:45" outlineLevel="1" x14ac:dyDescent="0.25">
      <c r="B57" s="1843"/>
      <c r="C57" s="1843"/>
      <c r="D57" s="1843"/>
      <c r="E57" s="1843"/>
      <c r="F57" s="1843"/>
      <c r="G57" s="1843"/>
      <c r="H57" s="1843"/>
      <c r="I57" s="1843"/>
      <c r="J57" s="1843"/>
      <c r="K57" s="1843"/>
      <c r="L57" s="1843"/>
      <c r="M57" s="1843"/>
      <c r="N57" s="1843"/>
      <c r="O57" s="1843"/>
      <c r="P57" s="1843"/>
      <c r="Q57" s="1843"/>
      <c r="R57" s="1843"/>
      <c r="S57" s="1843"/>
      <c r="T57" s="1843"/>
      <c r="U57" s="1843"/>
      <c r="V57" s="1843"/>
      <c r="W57" s="1843"/>
      <c r="X57" s="1843"/>
      <c r="Y57" s="1843"/>
      <c r="Z57" s="1843"/>
      <c r="AA57" s="1843"/>
      <c r="AB57" s="1843"/>
      <c r="AC57" s="1843"/>
      <c r="AD57" s="1843"/>
      <c r="AF57" s="2017"/>
      <c r="AG57" s="2057"/>
      <c r="AH57" s="2056"/>
      <c r="AI57" s="2055"/>
      <c r="AJ57" s="2054"/>
      <c r="AK57" s="2055"/>
      <c r="AL57" s="2054"/>
    </row>
    <row r="58" spans="1:45" outlineLevel="1" x14ac:dyDescent="0.25">
      <c r="B58" s="1843"/>
      <c r="C58" s="1843"/>
      <c r="D58" s="1843"/>
      <c r="E58" s="1843"/>
      <c r="F58" s="1843"/>
      <c r="G58" s="1843"/>
      <c r="H58" s="1843"/>
      <c r="I58" s="1843"/>
      <c r="J58" s="1843"/>
      <c r="K58" s="1843"/>
      <c r="L58" s="1843"/>
      <c r="M58" s="1843"/>
      <c r="N58" s="1843"/>
      <c r="O58" s="1843"/>
      <c r="P58" s="1843"/>
      <c r="Q58" s="1843"/>
      <c r="R58" s="1843"/>
      <c r="S58" s="1843"/>
      <c r="T58" s="1843"/>
      <c r="U58" s="1843"/>
      <c r="V58" s="1843"/>
      <c r="W58" s="1843"/>
      <c r="X58" s="1843"/>
      <c r="Y58" s="1843"/>
      <c r="Z58" s="1843"/>
      <c r="AA58" s="1843"/>
      <c r="AB58" s="1843"/>
      <c r="AC58" s="1843"/>
      <c r="AD58" s="1843"/>
      <c r="AF58" s="2017"/>
      <c r="AG58" s="2057"/>
      <c r="AH58" s="2056"/>
      <c r="AI58" s="2055"/>
      <c r="AJ58" s="2054"/>
      <c r="AK58" s="2055"/>
      <c r="AL58" s="2054"/>
    </row>
    <row r="59" spans="1:45" outlineLevel="1" x14ac:dyDescent="0.25">
      <c r="B59" s="1843"/>
      <c r="C59" s="1843"/>
      <c r="D59" s="1843"/>
      <c r="E59" s="1843"/>
      <c r="F59" s="1843"/>
      <c r="G59" s="1843"/>
      <c r="H59" s="1843"/>
      <c r="I59" s="1843"/>
      <c r="J59" s="1843"/>
      <c r="K59" s="1843"/>
      <c r="L59" s="1843"/>
      <c r="M59" s="1843"/>
      <c r="N59" s="1843"/>
      <c r="O59" s="1843"/>
      <c r="P59" s="1843"/>
      <c r="Q59" s="1843"/>
      <c r="R59" s="1843"/>
      <c r="S59" s="1843"/>
      <c r="T59" s="1843"/>
      <c r="U59" s="1843"/>
      <c r="V59" s="1843"/>
      <c r="W59" s="1843"/>
      <c r="X59" s="1843"/>
      <c r="Y59" s="1843"/>
      <c r="Z59" s="1843"/>
      <c r="AA59" s="1843"/>
      <c r="AB59" s="1843"/>
      <c r="AC59" s="1843"/>
      <c r="AD59" s="1843"/>
      <c r="AF59" s="2017"/>
      <c r="AG59" s="2057"/>
      <c r="AH59" s="2056"/>
      <c r="AI59" s="2055"/>
      <c r="AJ59" s="2054"/>
      <c r="AK59" s="2055"/>
      <c r="AL59" s="2054"/>
    </row>
    <row r="60" spans="1:45" x14ac:dyDescent="0.25">
      <c r="A60" s="2005" t="s">
        <v>662</v>
      </c>
      <c r="B60" s="2110" t="s">
        <v>2095</v>
      </c>
      <c r="C60" s="2058"/>
      <c r="D60" s="2058"/>
      <c r="E60" s="2058"/>
      <c r="F60" s="2058"/>
      <c r="G60" s="2058"/>
      <c r="H60" s="2058"/>
      <c r="I60" s="2058"/>
      <c r="J60" s="2058"/>
      <c r="K60" s="2058"/>
      <c r="L60" s="2058"/>
      <c r="M60" s="2058"/>
      <c r="N60" s="2058"/>
      <c r="O60" s="2058"/>
      <c r="P60" s="2058"/>
      <c r="Q60" s="2058"/>
      <c r="R60" s="2058"/>
      <c r="S60" s="2058"/>
      <c r="T60" s="2058"/>
      <c r="U60" s="2058"/>
      <c r="V60" s="2058"/>
      <c r="W60" s="2058"/>
      <c r="X60" s="2058"/>
      <c r="Y60" s="2058"/>
      <c r="Z60" s="2058"/>
      <c r="AA60" s="2058"/>
      <c r="AB60" s="2058"/>
      <c r="AC60" s="2058"/>
      <c r="AD60" s="2058"/>
      <c r="AF60" s="2060"/>
      <c r="AG60" s="2060"/>
      <c r="AH60" s="2060"/>
      <c r="AI60" s="2058"/>
      <c r="AJ60" s="2058"/>
      <c r="AK60" s="2058"/>
      <c r="AL60" s="2058"/>
      <c r="AM60" s="2058"/>
      <c r="AN60" s="2058"/>
      <c r="AO60" s="2058"/>
      <c r="AP60" s="2058"/>
      <c r="AQ60" s="2058"/>
      <c r="AR60" s="2058"/>
      <c r="AS60" s="2058"/>
    </row>
    <row r="61" spans="1:45" outlineLevel="1" x14ac:dyDescent="0.25">
      <c r="B61" s="1843"/>
      <c r="C61" s="1843"/>
      <c r="D61" s="1843"/>
      <c r="E61" s="1843"/>
      <c r="F61" s="1843"/>
      <c r="G61" s="1843"/>
      <c r="H61" s="1843"/>
      <c r="I61" s="1843"/>
      <c r="J61" s="1843"/>
      <c r="K61" s="1843"/>
      <c r="L61" s="1843"/>
      <c r="M61" s="1843"/>
      <c r="N61" s="1843"/>
      <c r="O61" s="1843"/>
      <c r="P61" s="1843"/>
      <c r="Q61" s="1843"/>
      <c r="R61" s="1843"/>
      <c r="S61" s="1843"/>
      <c r="T61" s="1843"/>
      <c r="U61" s="1843"/>
      <c r="V61" s="1843"/>
      <c r="W61" s="1843"/>
      <c r="X61" s="1843"/>
      <c r="Y61" s="1843"/>
      <c r="Z61" s="1843"/>
      <c r="AA61" s="1843"/>
      <c r="AB61" s="1843"/>
      <c r="AC61" s="1843"/>
      <c r="AD61" s="1843"/>
      <c r="AE61" s="1843"/>
      <c r="AF61" s="1843"/>
      <c r="AG61" s="1843"/>
      <c r="AH61" s="1843"/>
    </row>
    <row r="62" spans="1:45" outlineLevel="1" x14ac:dyDescent="0.25">
      <c r="B62" s="2259" t="s">
        <v>141</v>
      </c>
      <c r="C62" s="2255" t="str">
        <f>[31]Input_Cty!$B$2</f>
        <v>Quang Phát</v>
      </c>
      <c r="D62" s="2256"/>
      <c r="E62" s="2255" t="str">
        <f>'[31]DNCN (Tỷ)'!G9</f>
        <v>THG</v>
      </c>
      <c r="F62" s="2256"/>
      <c r="G62" s="2255" t="str">
        <f>'[31]DNCN (Tỷ)'!G10</f>
        <v>HCC</v>
      </c>
      <c r="H62" s="2256"/>
      <c r="I62" s="2255" t="str">
        <f>'[31]DNCN (Tỷ)'!G11</f>
        <v>PDB</v>
      </c>
      <c r="J62" s="2256"/>
      <c r="K62"/>
      <c r="L62"/>
      <c r="M62"/>
      <c r="N62"/>
      <c r="O62"/>
      <c r="P62"/>
      <c r="Q62"/>
      <c r="R62"/>
      <c r="S62"/>
      <c r="T62"/>
      <c r="U62"/>
      <c r="V62"/>
      <c r="W62"/>
      <c r="X62"/>
      <c r="Y62"/>
      <c r="Z62"/>
      <c r="AA62"/>
      <c r="AB62"/>
      <c r="AC62"/>
      <c r="AD62"/>
      <c r="AE62" s="1843"/>
      <c r="AF62" s="1843"/>
      <c r="AG62" s="1843"/>
      <c r="AH62" s="1843"/>
    </row>
    <row r="63" spans="1:45" outlineLevel="1" x14ac:dyDescent="0.25">
      <c r="B63" s="2260"/>
      <c r="C63" s="2117" t="s">
        <v>516</v>
      </c>
      <c r="D63" s="2117" t="s">
        <v>2088</v>
      </c>
      <c r="E63" s="2117" t="s">
        <v>516</v>
      </c>
      <c r="F63" s="2117" t="s">
        <v>2088</v>
      </c>
      <c r="G63" s="2117" t="s">
        <v>516</v>
      </c>
      <c r="H63" s="2117" t="s">
        <v>2088</v>
      </c>
      <c r="I63" s="2117" t="s">
        <v>516</v>
      </c>
      <c r="J63" s="2117" t="s">
        <v>2088</v>
      </c>
      <c r="K63"/>
      <c r="L63"/>
      <c r="M63"/>
      <c r="N63"/>
      <c r="O63"/>
      <c r="P63"/>
      <c r="Q63"/>
      <c r="R63"/>
      <c r="S63"/>
      <c r="T63"/>
      <c r="U63"/>
      <c r="V63"/>
      <c r="W63"/>
      <c r="X63"/>
      <c r="Y63"/>
      <c r="Z63"/>
      <c r="AA63"/>
      <c r="AB63"/>
      <c r="AC63"/>
      <c r="AD63"/>
      <c r="AE63" s="1843"/>
      <c r="AF63" s="1843"/>
      <c r="AG63" s="1843"/>
      <c r="AH63" s="1843"/>
    </row>
    <row r="64" spans="1:45" outlineLevel="1" x14ac:dyDescent="0.25">
      <c r="B64" s="2011" t="s">
        <v>2093</v>
      </c>
      <c r="C64" s="2107">
        <f>I10</f>
        <v>465.67807027599997</v>
      </c>
      <c r="D64" s="2107"/>
      <c r="E64" s="2107">
        <f>'5. DNCN (Tỷ)'!AV9</f>
        <v>1312.9521201709999</v>
      </c>
      <c r="F64" s="2107"/>
      <c r="G64" s="2107">
        <f>'5. DNCN (Tỷ)'!AV10</f>
        <v>88.693917643000006</v>
      </c>
      <c r="H64" s="2107"/>
      <c r="I64" s="2107">
        <f>'5. DNCN (Tỷ)'!AV11</f>
        <v>162.590834645</v>
      </c>
      <c r="J64" s="2107"/>
      <c r="K64"/>
      <c r="L64"/>
      <c r="M64"/>
      <c r="N64"/>
      <c r="O64"/>
      <c r="P64"/>
      <c r="Q64"/>
      <c r="R64"/>
      <c r="S64"/>
      <c r="T64"/>
      <c r="U64"/>
      <c r="V64"/>
      <c r="W64"/>
      <c r="X64"/>
      <c r="Y64"/>
      <c r="Z64"/>
      <c r="AA64"/>
      <c r="AB64"/>
      <c r="AC64"/>
      <c r="AD64"/>
      <c r="AE64" s="1843"/>
      <c r="AF64" s="1843"/>
      <c r="AG64" s="1843"/>
      <c r="AH64" s="1843"/>
    </row>
    <row r="65" spans="2:30" outlineLevel="1" x14ac:dyDescent="0.25">
      <c r="B65" s="2011" t="s">
        <v>2092</v>
      </c>
      <c r="C65" s="2107">
        <f>I11</f>
        <v>157.71835407299997</v>
      </c>
      <c r="D65" s="2107"/>
      <c r="E65" s="2109">
        <f>'5. DNCN (Tỷ)'!BA9</f>
        <v>539.27797916099996</v>
      </c>
      <c r="F65" s="2107"/>
      <c r="G65" s="2109">
        <f>'5. DNCN (Tỷ)'!BA10</f>
        <v>42.563630519</v>
      </c>
      <c r="H65" s="2107"/>
      <c r="I65" s="2109">
        <f>'5. DNCN (Tỷ)'!BA11</f>
        <v>60.689534289000001</v>
      </c>
      <c r="J65" s="2107"/>
      <c r="K65"/>
      <c r="L65"/>
      <c r="M65"/>
      <c r="N65"/>
      <c r="O65"/>
      <c r="P65"/>
      <c r="Q65"/>
      <c r="R65"/>
      <c r="S65"/>
      <c r="T65"/>
      <c r="U65"/>
      <c r="V65"/>
      <c r="W65"/>
      <c r="X65"/>
      <c r="Y65"/>
      <c r="Z65"/>
      <c r="AA65"/>
      <c r="AB65"/>
      <c r="AC65"/>
      <c r="AD65"/>
    </row>
    <row r="66" spans="2:30" outlineLevel="1" x14ac:dyDescent="0.25">
      <c r="B66" s="2065" t="s">
        <v>2091</v>
      </c>
      <c r="C66" s="2118">
        <f>SUM(C64:C65)</f>
        <v>623.39642434899997</v>
      </c>
      <c r="D66" s="2118"/>
      <c r="E66" s="2118">
        <f>SUM(E64:E65)</f>
        <v>1852.230099332</v>
      </c>
      <c r="F66" s="2118"/>
      <c r="G66" s="2118">
        <f>SUM(G64:G65)</f>
        <v>131.25754816200001</v>
      </c>
      <c r="H66" s="2118"/>
      <c r="I66" s="2118">
        <f>SUM(I64:I65)</f>
        <v>223.28036893399999</v>
      </c>
      <c r="J66" s="2118"/>
      <c r="K66"/>
      <c r="L66"/>
      <c r="M66"/>
      <c r="N66"/>
      <c r="O66"/>
      <c r="P66"/>
      <c r="Q66"/>
      <c r="R66"/>
      <c r="S66"/>
      <c r="T66"/>
      <c r="U66"/>
      <c r="V66"/>
      <c r="W66"/>
      <c r="X66"/>
      <c r="Y66"/>
      <c r="Z66"/>
      <c r="AA66"/>
      <c r="AB66"/>
      <c r="AC66"/>
      <c r="AD66"/>
    </row>
    <row r="67" spans="2:30" outlineLevel="1" x14ac:dyDescent="0.25">
      <c r="B67" s="2011" t="s">
        <v>2090</v>
      </c>
      <c r="C67" s="2107"/>
      <c r="D67" s="2107">
        <f>J13</f>
        <v>487.63170225199997</v>
      </c>
      <c r="E67" s="2107"/>
      <c r="F67" s="2107">
        <f>'5. DNCN (Tỷ)'!BT9</f>
        <v>990.639071167</v>
      </c>
      <c r="G67" s="2107"/>
      <c r="H67" s="2107">
        <f>'5. DNCN (Tỷ)'!BT10</f>
        <v>50.466657148000003</v>
      </c>
      <c r="I67" s="2107"/>
      <c r="J67" s="2107">
        <f>'5. DNCN (Tỷ)'!BT11</f>
        <v>92.872369246999995</v>
      </c>
      <c r="K67"/>
      <c r="L67"/>
      <c r="M67"/>
      <c r="N67"/>
      <c r="O67"/>
      <c r="P67"/>
      <c r="Q67"/>
      <c r="R67"/>
      <c r="S67"/>
      <c r="T67"/>
      <c r="U67"/>
      <c r="V67"/>
      <c r="W67"/>
      <c r="X67"/>
      <c r="Y67"/>
      <c r="Z67"/>
      <c r="AA67"/>
      <c r="AB67"/>
      <c r="AC67"/>
      <c r="AD67"/>
    </row>
    <row r="68" spans="2:30" outlineLevel="1" x14ac:dyDescent="0.25">
      <c r="B68" s="2011" t="s">
        <v>2089</v>
      </c>
      <c r="C68" s="2107"/>
      <c r="D68" s="2107">
        <f>J14</f>
        <v>31.925406698000003</v>
      </c>
      <c r="E68" s="2107"/>
      <c r="F68" s="2107">
        <f>'5. DNCN (Tỷ)'!BQ9</f>
        <v>173.117008701</v>
      </c>
      <c r="G68" s="2107"/>
      <c r="H68" s="2107">
        <f>'5. DNCN (Tỷ)'!BQ10</f>
        <v>0</v>
      </c>
      <c r="I68" s="2107"/>
      <c r="J68" s="2107">
        <f>'5. DNCN (Tỷ)'!BQ11</f>
        <v>0.79</v>
      </c>
      <c r="K68"/>
      <c r="L68"/>
      <c r="M68"/>
      <c r="N68"/>
      <c r="O68"/>
      <c r="P68"/>
      <c r="Q68"/>
      <c r="R68"/>
      <c r="S68"/>
      <c r="T68"/>
      <c r="U68"/>
      <c r="V68"/>
      <c r="W68"/>
      <c r="X68"/>
      <c r="Y68"/>
      <c r="Z68"/>
      <c r="AA68"/>
      <c r="AB68"/>
      <c r="AC68"/>
      <c r="AD68"/>
    </row>
    <row r="69" spans="2:30" outlineLevel="1" x14ac:dyDescent="0.25">
      <c r="B69" s="2011" t="s">
        <v>519</v>
      </c>
      <c r="C69" s="2107"/>
      <c r="D69" s="2107">
        <f>J15</f>
        <v>55.259416469000001</v>
      </c>
      <c r="E69" s="2107"/>
      <c r="F69" s="2107">
        <f>'5. DNCN (Tỷ)'!BW9</f>
        <v>688.47401946399998</v>
      </c>
      <c r="G69" s="2107"/>
      <c r="H69" s="2107">
        <f>'5. DNCN (Tỷ)'!BW10</f>
        <v>80.79089101400001</v>
      </c>
      <c r="I69" s="2107"/>
      <c r="J69" s="2107">
        <f>'5. DNCN (Tỷ)'!BW11</f>
        <v>129.61799968700001</v>
      </c>
      <c r="K69"/>
      <c r="L69"/>
      <c r="M69"/>
      <c r="N69"/>
      <c r="O69"/>
      <c r="P69"/>
      <c r="Q69"/>
      <c r="R69"/>
      <c r="S69"/>
      <c r="T69"/>
      <c r="U69"/>
      <c r="V69"/>
      <c r="W69"/>
      <c r="X69"/>
      <c r="Y69"/>
      <c r="Z69"/>
      <c r="AA69"/>
      <c r="AB69"/>
      <c r="AC69"/>
      <c r="AD69"/>
    </row>
    <row r="70" spans="2:30" outlineLevel="1" x14ac:dyDescent="0.25">
      <c r="B70" s="2065" t="s">
        <v>2088</v>
      </c>
      <c r="C70" s="2118"/>
      <c r="D70" s="2118">
        <f>SUM(D67:D69)</f>
        <v>574.81652541899996</v>
      </c>
      <c r="E70" s="2118"/>
      <c r="F70" s="2118">
        <f>SUM(F67:F69)</f>
        <v>1852.230099332</v>
      </c>
      <c r="G70" s="2118"/>
      <c r="H70" s="2118">
        <f>SUM(H67:H69)</f>
        <v>131.25754816200001</v>
      </c>
      <c r="I70" s="2118"/>
      <c r="J70" s="2118">
        <f>SUM(J67:J69)</f>
        <v>223.28036893400002</v>
      </c>
      <c r="K70"/>
      <c r="L70"/>
      <c r="M70"/>
      <c r="N70"/>
      <c r="O70"/>
      <c r="P70"/>
      <c r="Q70"/>
      <c r="R70"/>
      <c r="S70"/>
      <c r="T70"/>
      <c r="U70"/>
      <c r="V70"/>
      <c r="W70"/>
      <c r="X70"/>
      <c r="Y70"/>
      <c r="Z70"/>
      <c r="AA70"/>
      <c r="AB70"/>
      <c r="AC70"/>
      <c r="AD70"/>
    </row>
    <row r="71" spans="2:30" outlineLevel="1" x14ac:dyDescent="0.25">
      <c r="C71" s="2116"/>
      <c r="D71" s="2116"/>
      <c r="E71" s="2116"/>
      <c r="F71" s="2116"/>
      <c r="G71" s="2116"/>
      <c r="H71" s="2116"/>
      <c r="K71"/>
      <c r="L71"/>
      <c r="M71"/>
      <c r="N71"/>
      <c r="O71"/>
      <c r="P71"/>
      <c r="Q71"/>
      <c r="R71"/>
      <c r="S71"/>
      <c r="T71"/>
      <c r="U71"/>
      <c r="V71"/>
      <c r="W71"/>
      <c r="X71"/>
      <c r="Y71"/>
      <c r="Z71"/>
      <c r="AA71"/>
      <c r="AB71"/>
      <c r="AC71"/>
      <c r="AD71"/>
    </row>
    <row r="72" spans="2:30" outlineLevel="1" x14ac:dyDescent="0.25">
      <c r="C72" s="2116"/>
      <c r="D72" s="2116"/>
      <c r="E72" s="2116"/>
      <c r="F72" s="2116"/>
      <c r="G72" s="2116"/>
      <c r="H72" s="2116"/>
      <c r="K72"/>
      <c r="L72"/>
      <c r="M72"/>
      <c r="N72"/>
      <c r="O72"/>
      <c r="P72"/>
      <c r="Q72"/>
      <c r="R72"/>
      <c r="S72"/>
      <c r="T72"/>
      <c r="U72"/>
      <c r="V72"/>
      <c r="W72"/>
      <c r="X72"/>
      <c r="Y72"/>
      <c r="Z72"/>
      <c r="AA72"/>
      <c r="AB72"/>
      <c r="AC72"/>
      <c r="AD72"/>
    </row>
    <row r="73" spans="2:30" outlineLevel="1" x14ac:dyDescent="0.25">
      <c r="B73" s="2259" t="s">
        <v>556</v>
      </c>
      <c r="C73" s="2255" t="str">
        <f>[31]Input_Cty!$B$2</f>
        <v>Quang Phát</v>
      </c>
      <c r="D73" s="2256"/>
      <c r="E73" s="2255" t="str">
        <f>E62</f>
        <v>THG</v>
      </c>
      <c r="F73" s="2256"/>
      <c r="G73" s="2255" t="str">
        <f>G62</f>
        <v>HCC</v>
      </c>
      <c r="H73" s="2256"/>
      <c r="I73" s="2255" t="str">
        <f>I62</f>
        <v>PDB</v>
      </c>
      <c r="J73" s="2256"/>
      <c r="K73"/>
      <c r="L73"/>
      <c r="M73"/>
      <c r="N73"/>
      <c r="O73"/>
      <c r="P73"/>
      <c r="Q73"/>
      <c r="R73"/>
      <c r="S73"/>
      <c r="T73"/>
      <c r="U73"/>
      <c r="V73"/>
      <c r="W73"/>
      <c r="X73"/>
      <c r="Y73"/>
      <c r="Z73"/>
      <c r="AA73"/>
      <c r="AB73"/>
      <c r="AC73"/>
      <c r="AD73"/>
    </row>
    <row r="74" spans="2:30" outlineLevel="1" x14ac:dyDescent="0.25">
      <c r="B74" s="2260"/>
      <c r="C74" s="2117" t="s">
        <v>516</v>
      </c>
      <c r="D74" s="2117" t="s">
        <v>2088</v>
      </c>
      <c r="E74" s="2117" t="s">
        <v>516</v>
      </c>
      <c r="F74" s="2117" t="s">
        <v>2088</v>
      </c>
      <c r="G74" s="2117" t="s">
        <v>516</v>
      </c>
      <c r="H74" s="2117" t="s">
        <v>2088</v>
      </c>
      <c r="I74" s="2117" t="s">
        <v>516</v>
      </c>
      <c r="J74" s="2117" t="s">
        <v>2088</v>
      </c>
      <c r="K74"/>
      <c r="L74"/>
      <c r="M74"/>
      <c r="N74"/>
      <c r="O74"/>
      <c r="P74"/>
      <c r="Q74"/>
      <c r="R74"/>
      <c r="S74"/>
      <c r="T74"/>
      <c r="U74"/>
      <c r="V74"/>
      <c r="W74"/>
      <c r="X74"/>
      <c r="Y74"/>
      <c r="Z74"/>
      <c r="AA74"/>
      <c r="AB74"/>
      <c r="AC74"/>
      <c r="AD74"/>
    </row>
    <row r="75" spans="2:30" outlineLevel="1" x14ac:dyDescent="0.25">
      <c r="B75" s="2011" t="s">
        <v>2093</v>
      </c>
      <c r="C75" s="2010">
        <f>C64/C$66</f>
        <v>0.74700150993374392</v>
      </c>
      <c r="D75" s="2010"/>
      <c r="E75" s="2010">
        <f>E64/E$66</f>
        <v>0.70884935983089326</v>
      </c>
      <c r="F75" s="2010"/>
      <c r="G75" s="2010">
        <f>G64/G$66</f>
        <v>0.67572432126747228</v>
      </c>
      <c r="H75" s="2010"/>
      <c r="I75" s="2010">
        <f>I64/I$66</f>
        <v>0.7281913561019806</v>
      </c>
      <c r="J75" s="2010"/>
      <c r="K75" s="2088"/>
      <c r="L75" s="2088"/>
      <c r="M75" s="2088"/>
      <c r="N75" s="2088"/>
      <c r="O75" s="2088"/>
      <c r="P75" s="2088"/>
      <c r="Q75" s="2088"/>
      <c r="R75" s="2088"/>
      <c r="S75" s="2088"/>
      <c r="T75" s="2088"/>
      <c r="U75" s="2088"/>
      <c r="V75" s="2088"/>
      <c r="W75" s="2088"/>
      <c r="X75" s="2088"/>
      <c r="Y75" s="2088"/>
      <c r="Z75" s="2088"/>
      <c r="AA75" s="2088"/>
      <c r="AB75" s="2088"/>
      <c r="AC75" s="2088"/>
      <c r="AD75" s="2088"/>
    </row>
    <row r="76" spans="2:30" outlineLevel="1" x14ac:dyDescent="0.25">
      <c r="B76" s="2011" t="s">
        <v>2092</v>
      </c>
      <c r="C76" s="2010">
        <f>C65/C$66</f>
        <v>0.25299849006625597</v>
      </c>
      <c r="D76" s="2010"/>
      <c r="E76" s="2010">
        <f>E65/E$66</f>
        <v>0.29115064016910674</v>
      </c>
      <c r="F76" s="2010"/>
      <c r="G76" s="2010">
        <f>G65/G$66</f>
        <v>0.32427567873252772</v>
      </c>
      <c r="H76" s="2010"/>
      <c r="I76" s="2010">
        <f>I65/I$66</f>
        <v>0.2718086438980194</v>
      </c>
      <c r="J76" s="2010"/>
      <c r="K76" s="2088"/>
      <c r="L76" s="2088"/>
      <c r="M76" s="2088"/>
      <c r="N76" s="2088"/>
      <c r="O76" s="2088"/>
      <c r="P76" s="2088"/>
      <c r="Q76" s="2088"/>
      <c r="R76" s="2088"/>
      <c r="S76" s="2088"/>
      <c r="T76" s="2088"/>
      <c r="U76" s="2088"/>
      <c r="V76" s="2088"/>
      <c r="W76" s="2088"/>
      <c r="X76" s="2088"/>
      <c r="Y76" s="2088"/>
      <c r="Z76" s="2088"/>
      <c r="AA76" s="2088"/>
      <c r="AB76" s="2088"/>
      <c r="AC76" s="2088"/>
      <c r="AD76" s="2088"/>
    </row>
    <row r="77" spans="2:30" outlineLevel="1" x14ac:dyDescent="0.25">
      <c r="B77" s="2065" t="s">
        <v>2091</v>
      </c>
      <c r="C77" s="2064">
        <f>SUM(C75:C76)</f>
        <v>0.99999999999999989</v>
      </c>
      <c r="D77" s="2064"/>
      <c r="E77" s="2064">
        <f>SUM(E75:E76)</f>
        <v>1</v>
      </c>
      <c r="F77" s="2064"/>
      <c r="G77" s="2064">
        <f>SUM(G75:G76)</f>
        <v>1</v>
      </c>
      <c r="H77" s="2064"/>
      <c r="I77" s="2064">
        <f>SUM(I75:I76)</f>
        <v>1</v>
      </c>
      <c r="J77" s="2064"/>
      <c r="K77" s="2173"/>
      <c r="L77" s="2173"/>
      <c r="M77" s="2173"/>
      <c r="N77" s="2173"/>
      <c r="O77" s="2173"/>
      <c r="P77" s="2173"/>
      <c r="Q77" s="2173"/>
      <c r="R77" s="2173"/>
      <c r="S77" s="2173"/>
      <c r="T77" s="2173"/>
      <c r="U77" s="2173"/>
      <c r="V77" s="2173"/>
      <c r="W77" s="2173"/>
      <c r="X77" s="2173"/>
      <c r="Y77" s="2173"/>
      <c r="Z77" s="2173"/>
      <c r="AA77" s="2173"/>
      <c r="AB77" s="2173"/>
      <c r="AC77" s="2173"/>
      <c r="AD77" s="2173"/>
    </row>
    <row r="78" spans="2:30" outlineLevel="1" x14ac:dyDescent="0.25">
      <c r="B78" s="2011" t="s">
        <v>2090</v>
      </c>
      <c r="C78" s="2010"/>
      <c r="D78" s="2010">
        <f>D67/D$70</f>
        <v>0.84832582343827279</v>
      </c>
      <c r="E78" s="2010"/>
      <c r="F78" s="2010">
        <f>F67/F$70</f>
        <v>0.53483585626012142</v>
      </c>
      <c r="G78" s="2010"/>
      <c r="H78" s="2010">
        <f>H67/H$70</f>
        <v>0.38448575228384818</v>
      </c>
      <c r="I78" s="2010"/>
      <c r="J78" s="2010">
        <f>J67/J$70</f>
        <v>0.41594507251308044</v>
      </c>
      <c r="K78" s="2088"/>
      <c r="L78" s="2088"/>
      <c r="M78" s="2088"/>
      <c r="N78" s="2088"/>
      <c r="O78" s="2088"/>
      <c r="P78" s="2088"/>
      <c r="Q78" s="2088"/>
      <c r="R78" s="2088"/>
      <c r="S78" s="2088"/>
      <c r="T78" s="2088"/>
      <c r="U78" s="2088"/>
      <c r="V78" s="2088"/>
      <c r="W78" s="2088"/>
      <c r="X78" s="2088"/>
      <c r="Y78" s="2088"/>
      <c r="Z78" s="2088"/>
      <c r="AA78" s="2088"/>
      <c r="AB78" s="2088"/>
      <c r="AC78" s="2088"/>
      <c r="AD78" s="2088"/>
    </row>
    <row r="79" spans="2:30" outlineLevel="1" x14ac:dyDescent="0.25">
      <c r="B79" s="2011" t="s">
        <v>2089</v>
      </c>
      <c r="C79" s="2010"/>
      <c r="D79" s="2010">
        <f>D68/D$70</f>
        <v>5.5540168534174754E-2</v>
      </c>
      <c r="E79" s="2010"/>
      <c r="F79" s="2010">
        <f>F68/F$70</f>
        <v>9.346409431713372E-2</v>
      </c>
      <c r="G79" s="2010"/>
      <c r="H79" s="2010">
        <f>H68/H$70</f>
        <v>0</v>
      </c>
      <c r="I79" s="2010"/>
      <c r="J79" s="2010">
        <f>J68/J$70</f>
        <v>3.5381525199535925E-3</v>
      </c>
      <c r="K79" s="2088"/>
      <c r="L79" s="2088"/>
      <c r="M79" s="2088"/>
      <c r="N79" s="2088"/>
      <c r="O79" s="2088"/>
      <c r="P79" s="2088"/>
      <c r="Q79" s="2088"/>
      <c r="R79" s="2088"/>
      <c r="S79" s="2088"/>
      <c r="T79" s="2088"/>
      <c r="U79" s="2088"/>
      <c r="V79" s="2088"/>
      <c r="W79" s="2088"/>
      <c r="X79" s="2088"/>
      <c r="Y79" s="2088"/>
      <c r="Z79" s="2088"/>
      <c r="AA79" s="2088"/>
      <c r="AB79" s="2088"/>
      <c r="AC79" s="2088"/>
      <c r="AD79" s="2088"/>
    </row>
    <row r="80" spans="2:30" outlineLevel="1" x14ac:dyDescent="0.25">
      <c r="B80" s="2011" t="s">
        <v>519</v>
      </c>
      <c r="C80" s="2010"/>
      <c r="D80" s="2010">
        <f>D69/D$70</f>
        <v>9.6134008027552537E-2</v>
      </c>
      <c r="E80" s="2010"/>
      <c r="F80" s="2010">
        <f>F69/F$70</f>
        <v>0.37170004942274482</v>
      </c>
      <c r="G80" s="2010"/>
      <c r="H80" s="2010">
        <f>H69/H$70</f>
        <v>0.61551424771615193</v>
      </c>
      <c r="I80" s="2010"/>
      <c r="J80" s="2010">
        <f>J69/J$70</f>
        <v>0.58051677496696585</v>
      </c>
      <c r="K80" s="2088"/>
      <c r="L80" s="2088"/>
      <c r="M80" s="2088"/>
      <c r="N80" s="2088"/>
      <c r="O80" s="2088"/>
      <c r="P80" s="2088"/>
      <c r="Q80" s="2088"/>
      <c r="R80" s="2088"/>
      <c r="S80" s="2088"/>
      <c r="T80" s="2088"/>
      <c r="U80" s="2088"/>
      <c r="V80" s="2088"/>
      <c r="W80" s="2088"/>
      <c r="X80" s="2088"/>
      <c r="Y80" s="2088"/>
      <c r="Z80" s="2088"/>
      <c r="AA80" s="2088"/>
      <c r="AB80" s="2088"/>
      <c r="AC80" s="2088"/>
      <c r="AD80" s="2088"/>
    </row>
    <row r="81" spans="2:30" outlineLevel="1" x14ac:dyDescent="0.25">
      <c r="B81" s="2065" t="s">
        <v>2088</v>
      </c>
      <c r="C81" s="2064"/>
      <c r="D81" s="2064">
        <f>SUM(D78:D80)</f>
        <v>1</v>
      </c>
      <c r="E81" s="2064"/>
      <c r="F81" s="2064">
        <f>SUM(F78:F80)</f>
        <v>1</v>
      </c>
      <c r="G81" s="2064"/>
      <c r="H81" s="2064">
        <f>SUM(H78:H80)</f>
        <v>1</v>
      </c>
      <c r="I81" s="2064"/>
      <c r="J81" s="2064">
        <f>SUM(J78:J80)</f>
        <v>0.99999999999999989</v>
      </c>
      <c r="K81" s="2173"/>
      <c r="L81" s="2173"/>
      <c r="M81" s="2173"/>
      <c r="N81" s="2173"/>
      <c r="O81" s="2173"/>
      <c r="P81" s="2173"/>
      <c r="Q81" s="2173"/>
      <c r="R81" s="2173"/>
      <c r="S81" s="2173"/>
      <c r="T81" s="2173"/>
      <c r="U81" s="2173"/>
      <c r="V81" s="2173"/>
      <c r="W81" s="2173"/>
      <c r="X81" s="2173"/>
      <c r="Y81" s="2173"/>
      <c r="Z81" s="2173"/>
      <c r="AA81" s="2173"/>
      <c r="AB81" s="2173"/>
      <c r="AC81" s="2173"/>
      <c r="AD81" s="2173"/>
    </row>
    <row r="82" spans="2:30" outlineLevel="1" x14ac:dyDescent="0.25">
      <c r="C82" s="2116"/>
      <c r="D82" s="2116"/>
      <c r="E82" s="2116"/>
      <c r="F82" s="2116"/>
      <c r="G82" s="2116"/>
      <c r="H82" s="2116"/>
      <c r="I82" s="2116"/>
      <c r="J82" s="2116"/>
      <c r="K82" s="2116"/>
      <c r="L82" s="2116"/>
      <c r="M82" s="2116"/>
      <c r="N82" s="2116"/>
      <c r="O82" s="2116"/>
      <c r="P82" s="2116"/>
      <c r="Q82" s="2116"/>
      <c r="R82" s="2116"/>
      <c r="S82" s="2116"/>
      <c r="T82" s="2116"/>
      <c r="U82" s="2116"/>
      <c r="V82" s="2116"/>
      <c r="W82" s="2116"/>
      <c r="X82" s="2116"/>
      <c r="Y82" s="2116"/>
      <c r="Z82" s="2116"/>
      <c r="AA82" s="2116"/>
      <c r="AB82" s="2116"/>
      <c r="AC82" s="2116"/>
      <c r="AD82" s="2116"/>
    </row>
    <row r="83" spans="2:30" ht="13.15" customHeight="1" outlineLevel="1" x14ac:dyDescent="0.25">
      <c r="C83" s="2108"/>
      <c r="D83" s="1843"/>
      <c r="E83" s="2108"/>
      <c r="F83" s="2108"/>
      <c r="G83" s="2108"/>
      <c r="H83" s="1843"/>
      <c r="I83" s="1843"/>
      <c r="J83" s="1843"/>
      <c r="K83" s="1843"/>
      <c r="L83" s="1843"/>
      <c r="M83" s="1843"/>
      <c r="N83" s="1843"/>
      <c r="O83" s="1843"/>
      <c r="P83" s="1843"/>
      <c r="Q83" s="1843"/>
      <c r="R83" s="1843"/>
      <c r="S83" s="1843"/>
      <c r="T83" s="1843"/>
      <c r="U83" s="1843"/>
      <c r="V83" s="1843"/>
      <c r="W83" s="1843"/>
      <c r="X83" s="1843"/>
      <c r="Y83" s="1843"/>
      <c r="Z83" s="1843"/>
      <c r="AA83" s="1843"/>
      <c r="AB83" s="1843"/>
      <c r="AC83" s="1843"/>
      <c r="AD83" s="1843"/>
    </row>
    <row r="84" spans="2:30" ht="13.15" customHeight="1" x14ac:dyDescent="0.25">
      <c r="B84" s="1843"/>
      <c r="C84" s="2054"/>
      <c r="D84" s="2054"/>
      <c r="E84" s="2054"/>
      <c r="F84" s="1843"/>
      <c r="G84" s="1843"/>
      <c r="H84" s="1843"/>
      <c r="I84" s="1843"/>
      <c r="J84" s="1843"/>
      <c r="K84" s="1843"/>
      <c r="L84" s="1843"/>
      <c r="M84" s="1843"/>
      <c r="N84" s="1843"/>
      <c r="O84" s="1843"/>
      <c r="P84" s="1843"/>
      <c r="Q84" s="1843"/>
      <c r="R84" s="1843"/>
      <c r="S84" s="1843"/>
      <c r="T84" s="1843"/>
      <c r="U84" s="1843"/>
      <c r="V84" s="1843"/>
      <c r="W84" s="1843"/>
      <c r="X84" s="1843"/>
      <c r="Y84" s="1843"/>
      <c r="Z84" s="1843"/>
      <c r="AA84" s="1843"/>
      <c r="AB84" s="1843"/>
      <c r="AC84" s="1843"/>
      <c r="AD84" s="1843"/>
    </row>
  </sheetData>
  <mergeCells count="40">
    <mergeCell ref="U19:V19"/>
    <mergeCell ref="W19:X19"/>
    <mergeCell ref="Y19:Z19"/>
    <mergeCell ref="AA19:AB19"/>
    <mergeCell ref="AC19:AD19"/>
    <mergeCell ref="K19:L19"/>
    <mergeCell ref="M19:N19"/>
    <mergeCell ref="O19:P19"/>
    <mergeCell ref="Q19:R19"/>
    <mergeCell ref="S19:T19"/>
    <mergeCell ref="U8:V8"/>
    <mergeCell ref="W8:X8"/>
    <mergeCell ref="Y8:Z8"/>
    <mergeCell ref="AA8:AB8"/>
    <mergeCell ref="AC8:AD8"/>
    <mergeCell ref="K8:L8"/>
    <mergeCell ref="M8:N8"/>
    <mergeCell ref="O8:P8"/>
    <mergeCell ref="Q8:R8"/>
    <mergeCell ref="S8:T8"/>
    <mergeCell ref="I62:J62"/>
    <mergeCell ref="B62:B63"/>
    <mergeCell ref="I73:J73"/>
    <mergeCell ref="I8:J8"/>
    <mergeCell ref="G19:H19"/>
    <mergeCell ref="I19:J19"/>
    <mergeCell ref="G73:H73"/>
    <mergeCell ref="G62:H62"/>
    <mergeCell ref="B73:B74"/>
    <mergeCell ref="B8:B9"/>
    <mergeCell ref="B19:B20"/>
    <mergeCell ref="E73:F73"/>
    <mergeCell ref="C8:D8"/>
    <mergeCell ref="C19:D19"/>
    <mergeCell ref="C62:D62"/>
    <mergeCell ref="C73:D73"/>
    <mergeCell ref="E62:F62"/>
    <mergeCell ref="E8:F8"/>
    <mergeCell ref="G8:H8"/>
    <mergeCell ref="E19:F19"/>
  </mergeCells>
  <pageMargins left="0.7" right="0.7" top="0.75" bottom="0.75"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FFFA2-CA9C-4FE9-938D-1ED1FCD663B8}">
  <sheetPr>
    <tabColor theme="8" tint="-0.249977111117893"/>
  </sheetPr>
  <dimension ref="A2:AH72"/>
  <sheetViews>
    <sheetView showGridLines="0" topLeftCell="A28" zoomScale="55" zoomScaleNormal="55" workbookViewId="0">
      <selection activeCell="Z73" sqref="Z73"/>
    </sheetView>
  </sheetViews>
  <sheetFormatPr defaultColWidth="9.140625" defaultRowHeight="15" outlineLevelRow="1" x14ac:dyDescent="0.25"/>
  <cols>
    <col min="1" max="1" width="10.28515625" style="2005" customWidth="1"/>
    <col min="2" max="2" width="25.7109375" style="2004" customWidth="1"/>
    <col min="3" max="3" width="11.42578125" style="2003" customWidth="1"/>
    <col min="4" max="5" width="10.28515625" style="2003" customWidth="1"/>
    <col min="6" max="16" width="9.42578125" style="2003" customWidth="1"/>
    <col min="17" max="19" width="9.28515625" style="2003" customWidth="1"/>
    <col min="20" max="20" width="6.28515625" style="2003" customWidth="1"/>
    <col min="21" max="21" width="14.28515625" style="2003" bestFit="1" customWidth="1"/>
    <col min="22" max="22" width="14.7109375" style="2003" bestFit="1" customWidth="1"/>
    <col min="23" max="23" width="14.28515625" style="2003" customWidth="1"/>
    <col min="24" max="25" width="14.28515625" style="1843" customWidth="1"/>
    <col min="26" max="26" width="15.7109375" style="1843" bestFit="1" customWidth="1"/>
    <col min="27" max="27" width="5.140625" style="1843" bestFit="1" customWidth="1"/>
    <col min="28" max="28" width="17.28515625" style="1843" bestFit="1" customWidth="1"/>
    <col min="29" max="29" width="14.28515625" style="1843" bestFit="1" customWidth="1"/>
    <col min="30" max="30" width="14.7109375" style="1843" bestFit="1" customWidth="1"/>
    <col min="31" max="31" width="8.28515625" style="1843" bestFit="1" customWidth="1"/>
    <col min="32" max="32" width="6.85546875" style="1843" bestFit="1" customWidth="1"/>
    <col min="33" max="33" width="9.28515625" style="1843" bestFit="1" customWidth="1"/>
    <col min="34" max="34" width="15.7109375" style="1843" bestFit="1" customWidth="1"/>
    <col min="35" max="35" width="5.7109375" style="1843" bestFit="1" customWidth="1"/>
    <col min="36" max="36" width="32.7109375" style="1843" customWidth="1"/>
    <col min="37" max="37" width="7" style="1843" customWidth="1"/>
    <col min="38" max="39" width="6.42578125" style="1843" customWidth="1"/>
    <col min="40" max="40" width="9.140625" style="1843"/>
    <col min="41" max="41" width="19.7109375" style="1843" customWidth="1"/>
    <col min="42" max="42" width="5.5703125" style="1843" customWidth="1"/>
    <col min="43" max="43" width="5.85546875" style="1843" customWidth="1"/>
    <col min="44" max="44" width="5.5703125" style="1843" customWidth="1"/>
    <col min="45" max="45" width="9.140625" style="1843"/>
    <col min="46" max="46" width="41.85546875" style="1843" customWidth="1"/>
    <col min="47" max="48" width="7.7109375" style="1843" customWidth="1"/>
    <col min="49" max="49" width="6.7109375" style="1843" customWidth="1"/>
    <col min="50" max="50" width="9.140625" style="1843"/>
    <col min="51" max="51" width="37.42578125" style="1843" customWidth="1"/>
    <col min="52" max="52" width="8.28515625" style="1843" customWidth="1"/>
    <col min="53" max="53" width="5.5703125" style="1843" customWidth="1"/>
    <col min="54" max="54" width="8.28515625" style="1843" customWidth="1"/>
    <col min="55" max="55" width="9.140625" style="1843"/>
    <col min="56" max="56" width="13.28515625" style="1843" customWidth="1"/>
    <col min="57" max="59" width="9.140625" style="1843"/>
    <col min="60" max="60" width="15.42578125" style="1843" customWidth="1"/>
    <col min="61" max="61" width="14.28515625" style="1843" customWidth="1"/>
    <col min="62" max="63" width="9.140625" style="1843"/>
    <col min="64" max="64" width="16.42578125" style="1843" customWidth="1"/>
    <col min="65" max="65" width="15.42578125" style="1843" customWidth="1"/>
    <col min="66" max="66" width="13.28515625" style="1843" customWidth="1"/>
    <col min="67" max="67" width="18.28515625" style="1843" customWidth="1"/>
    <col min="68" max="16384" width="9.140625" style="1843"/>
  </cols>
  <sheetData>
    <row r="2" spans="1:34" x14ac:dyDescent="0.25">
      <c r="A2" s="2028" t="s">
        <v>2098</v>
      </c>
      <c r="B2" s="2027" t="s">
        <v>4</v>
      </c>
      <c r="C2" s="2026"/>
      <c r="D2" s="2026"/>
      <c r="E2" s="2026"/>
      <c r="F2" s="2026"/>
      <c r="G2" s="2026"/>
      <c r="H2" s="2026"/>
      <c r="I2" s="2026"/>
      <c r="J2" s="2026"/>
      <c r="K2" s="2026"/>
      <c r="L2" s="2026"/>
      <c r="M2" s="2026"/>
      <c r="N2" s="2026"/>
      <c r="O2" s="2026"/>
      <c r="P2" s="2026"/>
      <c r="Q2" s="2026"/>
      <c r="R2" s="2026"/>
      <c r="S2" s="2026"/>
      <c r="U2" s="2026"/>
      <c r="V2" s="2026"/>
      <c r="W2" s="2026"/>
      <c r="X2" s="2025"/>
      <c r="Y2" s="2025"/>
      <c r="Z2" s="2025"/>
      <c r="AA2" s="2025"/>
      <c r="AB2" s="2025"/>
      <c r="AC2" s="2025"/>
      <c r="AD2" s="2025"/>
      <c r="AE2" s="2025"/>
      <c r="AF2" s="2025"/>
      <c r="AG2" s="2025"/>
      <c r="AH2" s="2025"/>
    </row>
    <row r="3" spans="1:34" x14ac:dyDescent="0.25">
      <c r="A3" s="2024" t="s">
        <v>33</v>
      </c>
      <c r="B3" s="2023" t="s">
        <v>95</v>
      </c>
      <c r="C3" s="2022"/>
      <c r="D3" s="2021"/>
      <c r="E3" s="2021"/>
      <c r="F3" s="2021"/>
      <c r="G3" s="2021"/>
      <c r="H3" s="2021"/>
      <c r="I3" s="2021"/>
      <c r="J3" s="2021"/>
      <c r="K3" s="2021"/>
      <c r="L3" s="2021"/>
      <c r="M3" s="2021"/>
      <c r="N3" s="2021"/>
      <c r="O3" s="2021"/>
      <c r="P3" s="2021"/>
      <c r="Q3" s="2021"/>
      <c r="R3" s="2021"/>
      <c r="S3" s="2021"/>
      <c r="U3" s="2020"/>
      <c r="V3" s="2020"/>
      <c r="W3" s="2020"/>
      <c r="X3" s="2020"/>
      <c r="Y3" s="2019"/>
      <c r="Z3" s="2019"/>
      <c r="AA3" s="2019"/>
      <c r="AB3" s="2019"/>
      <c r="AC3" s="2019"/>
      <c r="AD3" s="2019"/>
      <c r="AE3" s="2019"/>
      <c r="AF3" s="2019"/>
      <c r="AG3" s="2019"/>
      <c r="AH3" s="2019"/>
    </row>
    <row r="4" spans="1:34" x14ac:dyDescent="0.25">
      <c r="T4" s="1843"/>
      <c r="U4" s="1843"/>
      <c r="V4" s="1843"/>
      <c r="W4" s="1843"/>
    </row>
    <row r="5" spans="1:34" ht="15.75" thickBot="1" x14ac:dyDescent="0.3">
      <c r="A5" s="2005">
        <v>1</v>
      </c>
      <c r="B5" s="2077" t="s">
        <v>2101</v>
      </c>
      <c r="C5" s="2006"/>
      <c r="D5" s="2006"/>
      <c r="E5" s="2006"/>
      <c r="F5" s="2006"/>
      <c r="G5" s="2006"/>
      <c r="H5" s="2006"/>
      <c r="I5" s="2006"/>
      <c r="J5" s="2006"/>
      <c r="K5" s="2006"/>
      <c r="L5" s="2006"/>
      <c r="M5" s="2006"/>
      <c r="N5" s="2006"/>
      <c r="O5" s="2006"/>
      <c r="P5" s="2006"/>
      <c r="Q5" s="2006"/>
      <c r="R5" s="2006"/>
      <c r="S5" s="2006"/>
      <c r="U5" s="2008"/>
      <c r="V5" s="2008"/>
      <c r="W5" s="2008"/>
      <c r="X5" s="2006"/>
      <c r="Y5" s="2006"/>
      <c r="Z5" s="2006"/>
      <c r="AA5" s="2006"/>
      <c r="AB5" s="2006"/>
      <c r="AC5" s="2006"/>
      <c r="AD5" s="2006"/>
      <c r="AE5" s="2006"/>
      <c r="AF5" s="2006"/>
      <c r="AG5" s="2006"/>
      <c r="AH5" s="2006"/>
    </row>
    <row r="6" spans="1:34" ht="15.75" thickTop="1" x14ac:dyDescent="0.25">
      <c r="A6" s="2005" t="s">
        <v>660</v>
      </c>
      <c r="B6" s="2075" t="s">
        <v>2100</v>
      </c>
      <c r="C6" s="2071"/>
      <c r="D6" s="2071"/>
      <c r="E6" s="2071"/>
      <c r="F6" s="2071"/>
      <c r="G6" s="2071"/>
      <c r="H6" s="2071"/>
      <c r="I6" s="2071"/>
      <c r="J6" s="2071"/>
      <c r="K6" s="2071"/>
      <c r="L6" s="2071"/>
      <c r="M6" s="2071"/>
      <c r="N6" s="2071"/>
      <c r="O6" s="2071"/>
      <c r="P6" s="2071"/>
      <c r="Q6" s="2073"/>
      <c r="R6" s="2073"/>
      <c r="S6" s="2073"/>
      <c r="T6" s="1843"/>
      <c r="U6" s="2071"/>
      <c r="V6" s="2071"/>
      <c r="W6" s="2071"/>
      <c r="X6" s="2071"/>
      <c r="Y6" s="2071"/>
      <c r="Z6" s="2071"/>
      <c r="AA6" s="2071"/>
      <c r="AB6" s="2071"/>
      <c r="AC6" s="2071"/>
      <c r="AD6" s="2071"/>
      <c r="AE6" s="2071"/>
      <c r="AF6" s="2071"/>
      <c r="AG6" s="2071"/>
      <c r="AH6" s="2071"/>
    </row>
    <row r="7" spans="1:34" outlineLevel="1" x14ac:dyDescent="0.25">
      <c r="B7" s="1843"/>
      <c r="C7" s="1843"/>
      <c r="D7" s="1843"/>
      <c r="E7" s="1843"/>
      <c r="F7" s="1843"/>
      <c r="G7" s="1843"/>
      <c r="H7" s="1843"/>
      <c r="I7" s="1843"/>
      <c r="J7" s="1843"/>
      <c r="K7" s="1843"/>
      <c r="L7" s="1843"/>
      <c r="M7" s="1843"/>
      <c r="N7" s="1843"/>
      <c r="O7" s="1843"/>
      <c r="P7" s="1843"/>
      <c r="T7" s="1843"/>
      <c r="U7" s="1843"/>
      <c r="V7" s="1843"/>
      <c r="W7" s="1843"/>
    </row>
    <row r="8" spans="1:34" outlineLevel="1" x14ac:dyDescent="0.25">
      <c r="B8" s="1" t="s">
        <v>141</v>
      </c>
      <c r="C8" s="1843"/>
      <c r="D8" s="1843"/>
      <c r="E8" s="1843"/>
      <c r="F8" s="1843"/>
      <c r="G8" s="1843"/>
      <c r="H8" s="1843"/>
      <c r="I8" s="1843"/>
      <c r="J8" s="1843"/>
      <c r="K8" s="1843"/>
      <c r="L8" s="1843"/>
      <c r="M8" s="1843"/>
      <c r="N8" s="1843"/>
      <c r="O8" s="1843"/>
      <c r="P8" s="1843"/>
      <c r="T8" s="1843"/>
      <c r="U8" s="1843"/>
      <c r="V8" s="1843"/>
      <c r="W8" s="1843"/>
    </row>
    <row r="9" spans="1:34" outlineLevel="1" x14ac:dyDescent="0.25">
      <c r="B9" s="2123"/>
      <c r="C9" s="2052">
        <v>2020</v>
      </c>
      <c r="D9" s="2012">
        <v>2021</v>
      </c>
      <c r="E9" s="2012">
        <v>2022</v>
      </c>
      <c r="F9" s="2052">
        <v>2023</v>
      </c>
      <c r="G9" s="2012">
        <v>2024</v>
      </c>
      <c r="H9" s="2012">
        <v>2025</v>
      </c>
      <c r="I9" s="2052">
        <v>2026</v>
      </c>
      <c r="J9" s="2012">
        <v>2027</v>
      </c>
      <c r="K9" s="2012">
        <v>2028</v>
      </c>
      <c r="L9" s="2052">
        <v>2029</v>
      </c>
      <c r="M9" s="2012">
        <v>2030</v>
      </c>
      <c r="N9" s="2012">
        <v>2031</v>
      </c>
      <c r="O9" s="2052">
        <v>2032</v>
      </c>
      <c r="P9" s="2012">
        <v>2033</v>
      </c>
      <c r="T9" s="1843"/>
      <c r="U9" s="1843"/>
      <c r="V9" s="1843"/>
      <c r="W9" s="1843"/>
    </row>
    <row r="10" spans="1:34" outlineLevel="1" x14ac:dyDescent="0.25">
      <c r="B10" s="2122" t="s">
        <v>2090</v>
      </c>
      <c r="C10" s="2130">
        <v>290.93096723600001</v>
      </c>
      <c r="D10" s="2130">
        <f>'1.BC_Muc tieu (ty) '!K98</f>
        <v>262.986739086</v>
      </c>
      <c r="E10" s="2130">
        <f>'1.BC_Muc tieu (ty) '!R98</f>
        <v>339.34042362500003</v>
      </c>
      <c r="F10" s="2130">
        <f>'1.BC_Muc tieu (ty) '!AL98</f>
        <v>487.63170225199997</v>
      </c>
      <c r="G10" s="2130">
        <f ca="1">'4. KQ- BS'!H73</f>
        <v>162.20407744211604</v>
      </c>
      <c r="H10" s="2130">
        <f ca="1">'4. KQ- BS'!I73</f>
        <v>146.15770857823551</v>
      </c>
      <c r="I10" s="2130">
        <f ca="1">'4. KQ- BS'!J73</f>
        <v>118.97075742999577</v>
      </c>
      <c r="J10" s="2130">
        <f ca="1">'4. KQ- BS'!K73</f>
        <v>92.803463575782843</v>
      </c>
      <c r="K10" s="2130">
        <f ca="1">'4. KQ- BS'!L73</f>
        <v>92.82343083059294</v>
      </c>
      <c r="L10" s="2130">
        <f ca="1">'4. KQ- BS'!M73</f>
        <v>92.834928024717343</v>
      </c>
      <c r="M10" s="2130">
        <f ca="1">'4. KQ- BS'!N73</f>
        <v>92.858282359869307</v>
      </c>
      <c r="N10" s="2130">
        <f ca="1">'4. KQ- BS'!O73</f>
        <v>92.880786109422644</v>
      </c>
      <c r="O10" s="2130">
        <f ca="1">'4. KQ- BS'!P73</f>
        <v>92.901196772428932</v>
      </c>
      <c r="P10" s="2130">
        <f ca="1">'4. KQ- BS'!Q73</f>
        <v>92.924416804508084</v>
      </c>
    </row>
    <row r="11" spans="1:34" outlineLevel="1" x14ac:dyDescent="0.25">
      <c r="B11" s="2122" t="s">
        <v>2089</v>
      </c>
      <c r="C11" s="2125">
        <v>0</v>
      </c>
      <c r="D11" s="2125">
        <f>'1.BC_Muc tieu (ty) '!K113</f>
        <v>0</v>
      </c>
      <c r="E11" s="2125">
        <f>'1.BC_Muc tieu (ty) '!R113</f>
        <v>0</v>
      </c>
      <c r="F11" s="2125">
        <f>'1.BC_Muc tieu (ty) '!AL113</f>
        <v>31.925406698000003</v>
      </c>
      <c r="G11" s="2125">
        <f>'4. KQ- BS'!H88</f>
        <v>19.056921242000001</v>
      </c>
      <c r="H11" s="2125">
        <f>'4. KQ- BS'!I88</f>
        <v>8.8620075210000007</v>
      </c>
      <c r="I11" s="2125">
        <f>'4. KQ- BS'!J88</f>
        <v>2.3749500020000003</v>
      </c>
      <c r="J11" s="2125">
        <f>'4. KQ- BS'!K88</f>
        <v>0</v>
      </c>
      <c r="K11" s="2125">
        <f>'4. KQ- BS'!L88</f>
        <v>0</v>
      </c>
      <c r="L11" s="2125">
        <f>'4. KQ- BS'!M88</f>
        <v>0</v>
      </c>
      <c r="M11" s="2125">
        <f>'4. KQ- BS'!N88</f>
        <v>0</v>
      </c>
      <c r="N11" s="2125">
        <f>'4. KQ- BS'!O88</f>
        <v>0</v>
      </c>
      <c r="O11" s="2125">
        <f>'4. KQ- BS'!P88</f>
        <v>0</v>
      </c>
      <c r="P11" s="2125">
        <f>'4. KQ- BS'!Q88</f>
        <v>0</v>
      </c>
    </row>
    <row r="12" spans="1:34" outlineLevel="1" x14ac:dyDescent="0.25">
      <c r="B12" s="2121" t="s">
        <v>519</v>
      </c>
      <c r="C12" s="2125">
        <v>55.016570064</v>
      </c>
      <c r="D12" s="2125">
        <f>'1.BC_Muc tieu (ty) '!K127</f>
        <v>64.876762150000005</v>
      </c>
      <c r="E12" s="2125">
        <f>'1.BC_Muc tieu (ty) '!R127</f>
        <v>75.259636196999992</v>
      </c>
      <c r="F12" s="2125">
        <f>'1.BC_Muc tieu (ty) '!AL127</f>
        <v>55.259416469000001</v>
      </c>
      <c r="G12" s="2125">
        <f ca="1">'4. KQ- BS'!H102</f>
        <v>60.665479457895387</v>
      </c>
      <c r="H12" s="2125">
        <f ca="1">'4. KQ- BS'!I102</f>
        <v>73.52733769883659</v>
      </c>
      <c r="I12" s="2125">
        <f ca="1">'4. KQ- BS'!J102</f>
        <v>92.699818176513475</v>
      </c>
      <c r="J12" s="2125">
        <f ca="1">'4. KQ- BS'!K102</f>
        <v>120.96939765086793</v>
      </c>
      <c r="K12" s="2125">
        <f ca="1">'4. KQ- BS'!L102</f>
        <v>152.31020268113784</v>
      </c>
      <c r="L12" s="2125">
        <f ca="1">'4. KQ- BS'!M102</f>
        <v>185.88142888963287</v>
      </c>
      <c r="M12" s="2125">
        <f ca="1">'4. KQ- BS'!N102</f>
        <v>219.87482697638586</v>
      </c>
      <c r="N12" s="2125">
        <f ca="1">'4. KQ- BS'!O102</f>
        <v>254.7082830330836</v>
      </c>
      <c r="O12" s="2125">
        <f ca="1">'4. KQ- BS'!P102</f>
        <v>290.48310000913534</v>
      </c>
      <c r="P12" s="2125">
        <f ca="1">'4. KQ- BS'!Q102</f>
        <v>326.92590618614543</v>
      </c>
    </row>
    <row r="13" spans="1:34" outlineLevel="1" x14ac:dyDescent="0.25">
      <c r="B13" s="2120" t="s">
        <v>615</v>
      </c>
      <c r="C13" s="2124">
        <f>SUM(C10:C12)</f>
        <v>345.94753730000002</v>
      </c>
      <c r="D13" s="2124">
        <f>SUM(D10:D12)</f>
        <v>327.86350123599999</v>
      </c>
      <c r="E13" s="2124">
        <f>SUM(E10:E12)</f>
        <v>414.60005982200005</v>
      </c>
      <c r="F13" s="2124">
        <f>SUM(F10:F12)</f>
        <v>574.81652541899996</v>
      </c>
      <c r="G13" s="2124">
        <f ca="1">SUM(G10:G12)</f>
        <v>241.92647814201143</v>
      </c>
      <c r="H13" s="2124">
        <f t="shared" ref="H13:P13" ca="1" si="0">SUM(H10:H12)</f>
        <v>228.54705379807211</v>
      </c>
      <c r="I13" s="2124">
        <f t="shared" ca="1" si="0"/>
        <v>214.04552560850925</v>
      </c>
      <c r="J13" s="2124">
        <f t="shared" ca="1" si="0"/>
        <v>213.77286122665078</v>
      </c>
      <c r="K13" s="2124">
        <f t="shared" ca="1" si="0"/>
        <v>245.13363351173078</v>
      </c>
      <c r="L13" s="2124">
        <f t="shared" ca="1" si="0"/>
        <v>278.71635691435023</v>
      </c>
      <c r="M13" s="2124">
        <f t="shared" ca="1" si="0"/>
        <v>312.73310933625515</v>
      </c>
      <c r="N13" s="2124">
        <f t="shared" ca="1" si="0"/>
        <v>347.58906914250622</v>
      </c>
      <c r="O13" s="2124">
        <f t="shared" ca="1" si="0"/>
        <v>383.38429678156427</v>
      </c>
      <c r="P13" s="2124">
        <f t="shared" ca="1" si="0"/>
        <v>419.85032299065352</v>
      </c>
      <c r="T13" s="1843"/>
      <c r="U13" s="1843"/>
      <c r="V13" s="1843"/>
      <c r="W13" s="1843"/>
    </row>
    <row r="14" spans="1:34" outlineLevel="1" x14ac:dyDescent="0.25">
      <c r="B14" s="1843"/>
      <c r="C14" s="1843"/>
      <c r="D14" s="1843"/>
      <c r="T14" s="1843"/>
      <c r="U14" s="1843"/>
      <c r="V14" s="1843"/>
      <c r="W14" s="1843"/>
    </row>
    <row r="15" spans="1:34" outlineLevel="1" x14ac:dyDescent="0.25">
      <c r="B15" s="2018" t="s">
        <v>556</v>
      </c>
      <c r="C15" s="1843"/>
      <c r="D15" s="1843"/>
      <c r="T15" s="1843"/>
      <c r="U15" s="1843"/>
      <c r="V15" s="1843"/>
      <c r="W15" s="1843"/>
    </row>
    <row r="16" spans="1:34" outlineLevel="1" x14ac:dyDescent="0.25">
      <c r="B16" s="2123"/>
      <c r="C16" s="2052">
        <v>2020</v>
      </c>
      <c r="D16" s="2012">
        <v>2021</v>
      </c>
      <c r="E16" s="2012">
        <v>2022</v>
      </c>
      <c r="F16" s="2052">
        <v>2023</v>
      </c>
      <c r="G16" s="2012">
        <v>2024</v>
      </c>
      <c r="H16" s="2012">
        <v>2025</v>
      </c>
      <c r="I16" s="2052">
        <v>2026</v>
      </c>
      <c r="J16" s="2012">
        <v>2027</v>
      </c>
      <c r="K16" s="2012">
        <v>2028</v>
      </c>
      <c r="L16" s="2052">
        <v>2029</v>
      </c>
      <c r="M16" s="2012">
        <v>2030</v>
      </c>
      <c r="N16" s="2012">
        <v>2031</v>
      </c>
      <c r="O16" s="2052">
        <v>2032</v>
      </c>
      <c r="P16" s="2012">
        <v>2033</v>
      </c>
      <c r="T16" s="1843"/>
      <c r="U16" s="1843"/>
      <c r="V16" s="1843"/>
      <c r="W16" s="1843"/>
    </row>
    <row r="17" spans="2:23" outlineLevel="1" x14ac:dyDescent="0.25">
      <c r="B17" s="2122" t="s">
        <v>2090</v>
      </c>
      <c r="C17" s="2126">
        <f t="shared" ref="C17:F19" si="1">C10/C$13</f>
        <v>0.84096845870508241</v>
      </c>
      <c r="D17" s="2126">
        <f t="shared" si="1"/>
        <v>0.8021226458406514</v>
      </c>
      <c r="E17" s="2126">
        <f t="shared" si="1"/>
        <v>0.81847654284152493</v>
      </c>
      <c r="F17" s="2126">
        <f t="shared" si="1"/>
        <v>0.84832582343827279</v>
      </c>
      <c r="G17" s="2126">
        <f t="shared" ref="G17:P17" ca="1" si="2">G10/G$13</f>
        <v>0.67046847739792192</v>
      </c>
      <c r="H17" s="2126">
        <f t="shared" ca="1" si="2"/>
        <v>0.6395081719468152</v>
      </c>
      <c r="I17" s="2126">
        <f t="shared" ca="1" si="2"/>
        <v>0.55581987566324609</v>
      </c>
      <c r="J17" s="2126">
        <f t="shared" ca="1" si="2"/>
        <v>0.43412181996941507</v>
      </c>
      <c r="K17" s="2126">
        <f t="shared" ca="1" si="2"/>
        <v>0.3786646063244149</v>
      </c>
      <c r="L17" s="2126">
        <f t="shared" ca="1" si="2"/>
        <v>0.33308030089258661</v>
      </c>
      <c r="M17" s="2126">
        <f t="shared" ca="1" si="2"/>
        <v>0.29692501237541413</v>
      </c>
      <c r="N17" s="2126">
        <f t="shared" ca="1" si="2"/>
        <v>0.26721434692568807</v>
      </c>
      <c r="O17" s="2126">
        <f t="shared" ca="1" si="2"/>
        <v>0.24231873228068077</v>
      </c>
      <c r="P17" s="2126">
        <f t="shared" ca="1" si="2"/>
        <v>0.22132748676384065</v>
      </c>
      <c r="T17" s="1843"/>
      <c r="U17" s="1843"/>
      <c r="V17" s="1843"/>
      <c r="W17" s="1843"/>
    </row>
    <row r="18" spans="2:23" outlineLevel="1" x14ac:dyDescent="0.25">
      <c r="B18" s="2122" t="s">
        <v>2089</v>
      </c>
      <c r="C18" s="2126">
        <f t="shared" si="1"/>
        <v>0</v>
      </c>
      <c r="D18" s="2126">
        <f t="shared" si="1"/>
        <v>0</v>
      </c>
      <c r="E18" s="2126">
        <f t="shared" si="1"/>
        <v>0</v>
      </c>
      <c r="F18" s="2126">
        <f t="shared" si="1"/>
        <v>5.5540168534174754E-2</v>
      </c>
      <c r="G18" s="2126">
        <f t="shared" ref="G18:P18" ca="1" si="3">G11/G$13</f>
        <v>7.8771539966838777E-2</v>
      </c>
      <c r="H18" s="2126">
        <f t="shared" ca="1" si="3"/>
        <v>3.8775417900726208E-2</v>
      </c>
      <c r="I18" s="2126">
        <f t="shared" ca="1" si="3"/>
        <v>1.1095536780076404E-2</v>
      </c>
      <c r="J18" s="2126">
        <f t="shared" ca="1" si="3"/>
        <v>0</v>
      </c>
      <c r="K18" s="2126">
        <f t="shared" ca="1" si="3"/>
        <v>0</v>
      </c>
      <c r="L18" s="2126">
        <f t="shared" ca="1" si="3"/>
        <v>0</v>
      </c>
      <c r="M18" s="2126">
        <f t="shared" ca="1" si="3"/>
        <v>0</v>
      </c>
      <c r="N18" s="2126">
        <f t="shared" ca="1" si="3"/>
        <v>0</v>
      </c>
      <c r="O18" s="2126">
        <f t="shared" ca="1" si="3"/>
        <v>0</v>
      </c>
      <c r="P18" s="2126">
        <f t="shared" ca="1" si="3"/>
        <v>0</v>
      </c>
      <c r="T18" s="1843"/>
      <c r="U18" s="1843"/>
      <c r="V18" s="1843"/>
      <c r="W18" s="1843"/>
    </row>
    <row r="19" spans="2:23" outlineLevel="1" x14ac:dyDescent="0.25">
      <c r="B19" s="2121" t="s">
        <v>519</v>
      </c>
      <c r="C19" s="2126">
        <f t="shared" si="1"/>
        <v>0.15903154129491759</v>
      </c>
      <c r="D19" s="2126">
        <f t="shared" si="1"/>
        <v>0.19787735415934862</v>
      </c>
      <c r="E19" s="2126">
        <f t="shared" si="1"/>
        <v>0.18152345715847498</v>
      </c>
      <c r="F19" s="2126">
        <f t="shared" si="1"/>
        <v>9.6134008027552537E-2</v>
      </c>
      <c r="G19" s="2126">
        <f t="shared" ref="G19:P19" ca="1" si="4">G12/G$13</f>
        <v>0.2507599826352393</v>
      </c>
      <c r="H19" s="2126">
        <f t="shared" ca="1" si="4"/>
        <v>0.32171641015245861</v>
      </c>
      <c r="I19" s="2126">
        <f t="shared" ca="1" si="4"/>
        <v>0.43308458755667745</v>
      </c>
      <c r="J19" s="2126">
        <f t="shared" ca="1" si="4"/>
        <v>0.56587818003058488</v>
      </c>
      <c r="K19" s="2126">
        <f t="shared" ca="1" si="4"/>
        <v>0.6213353936755851</v>
      </c>
      <c r="L19" s="2126">
        <f t="shared" ca="1" si="4"/>
        <v>0.66691969910741333</v>
      </c>
      <c r="M19" s="2126">
        <f t="shared" ca="1" si="4"/>
        <v>0.70307498762458587</v>
      </c>
      <c r="N19" s="2126">
        <f t="shared" ca="1" si="4"/>
        <v>0.73278565307431198</v>
      </c>
      <c r="O19" s="2126">
        <f t="shared" ca="1" si="4"/>
        <v>0.75768126771931921</v>
      </c>
      <c r="P19" s="2126">
        <f t="shared" ca="1" si="4"/>
        <v>0.77867251323615938</v>
      </c>
      <c r="T19" s="1843"/>
      <c r="U19" s="1843"/>
      <c r="V19" s="1843"/>
      <c r="W19" s="1843"/>
    </row>
    <row r="20" spans="2:23" outlineLevel="1" x14ac:dyDescent="0.25">
      <c r="B20" s="2120" t="s">
        <v>615</v>
      </c>
      <c r="C20" s="2119">
        <f>SUM(C17:C19)</f>
        <v>1</v>
      </c>
      <c r="D20" s="2119">
        <f>SUM(D17:D19)</f>
        <v>1</v>
      </c>
      <c r="E20" s="2119">
        <f>SUM(E17:E19)</f>
        <v>0.99999999999999989</v>
      </c>
      <c r="F20" s="2119">
        <f>SUM(F17:F19)</f>
        <v>1</v>
      </c>
      <c r="G20" s="2119">
        <f t="shared" ref="G20:P20" ca="1" si="5">SUM(G17:G19)</f>
        <v>1</v>
      </c>
      <c r="H20" s="2119">
        <f t="shared" ca="1" si="5"/>
        <v>1</v>
      </c>
      <c r="I20" s="2119">
        <f t="shared" ca="1" si="5"/>
        <v>0.99999999999999989</v>
      </c>
      <c r="J20" s="2119">
        <f t="shared" ca="1" si="5"/>
        <v>1</v>
      </c>
      <c r="K20" s="2119">
        <f t="shared" ca="1" si="5"/>
        <v>1</v>
      </c>
      <c r="L20" s="2119">
        <f t="shared" ca="1" si="5"/>
        <v>1</v>
      </c>
      <c r="M20" s="2119">
        <f t="shared" ca="1" si="5"/>
        <v>1</v>
      </c>
      <c r="N20" s="2119">
        <f t="shared" ca="1" si="5"/>
        <v>1</v>
      </c>
      <c r="O20" s="2119">
        <f t="shared" ca="1" si="5"/>
        <v>1</v>
      </c>
      <c r="P20" s="2119">
        <f t="shared" ca="1" si="5"/>
        <v>1</v>
      </c>
      <c r="T20" s="1843"/>
      <c r="U20" s="1843"/>
      <c r="V20" s="1843"/>
      <c r="W20" s="1843"/>
    </row>
    <row r="21" spans="2:23" outlineLevel="1" x14ac:dyDescent="0.25">
      <c r="B21" s="1843"/>
      <c r="C21" s="1843"/>
      <c r="D21" s="1843"/>
      <c r="T21" s="1843"/>
      <c r="U21" s="1843"/>
      <c r="V21" s="1843"/>
      <c r="W21" s="1843"/>
    </row>
    <row r="22" spans="2:23" outlineLevel="1" x14ac:dyDescent="0.25">
      <c r="B22" s="1843"/>
      <c r="C22" s="1843"/>
      <c r="D22" s="1843"/>
      <c r="T22" s="1843"/>
      <c r="U22" s="1843"/>
      <c r="V22" s="1843"/>
      <c r="W22" s="1843"/>
    </row>
    <row r="23" spans="2:23" outlineLevel="1" x14ac:dyDescent="0.25">
      <c r="B23" s="1843"/>
      <c r="C23" s="1843"/>
      <c r="D23" s="1843"/>
      <c r="T23" s="1843"/>
      <c r="U23" s="1843"/>
      <c r="V23" s="1843"/>
      <c r="W23" s="1843"/>
    </row>
    <row r="24" spans="2:23" outlineLevel="1" x14ac:dyDescent="0.25">
      <c r="B24" s="1843"/>
      <c r="C24" s="1843"/>
      <c r="D24" s="1843"/>
      <c r="T24" s="1843"/>
      <c r="U24" s="1843"/>
      <c r="V24" s="1843"/>
      <c r="W24" s="1843"/>
    </row>
    <row r="25" spans="2:23" outlineLevel="1" x14ac:dyDescent="0.25">
      <c r="B25" s="1843"/>
      <c r="C25" s="1843"/>
      <c r="D25" s="1843"/>
      <c r="T25" s="1843"/>
      <c r="U25" s="1843"/>
      <c r="V25" s="1843"/>
      <c r="W25" s="1843"/>
    </row>
    <row r="26" spans="2:23" outlineLevel="1" x14ac:dyDescent="0.25">
      <c r="B26" s="2129"/>
      <c r="C26" s="2128"/>
      <c r="D26" s="2128"/>
      <c r="F26" s="2127"/>
      <c r="G26" s="2127"/>
      <c r="H26" s="2127"/>
      <c r="I26" s="2127"/>
      <c r="J26" s="2127"/>
      <c r="K26" s="2127"/>
      <c r="L26" s="2127"/>
      <c r="M26" s="2127"/>
      <c r="N26" s="2127"/>
      <c r="O26" s="2127"/>
      <c r="P26" s="2127"/>
      <c r="T26" s="1843"/>
      <c r="U26" s="1843"/>
      <c r="V26" s="1843"/>
      <c r="W26" s="1843"/>
    </row>
    <row r="27" spans="2:23" outlineLevel="1" x14ac:dyDescent="0.25">
      <c r="B27" s="2129"/>
      <c r="C27" s="2128"/>
      <c r="D27" s="2128"/>
      <c r="F27" s="2127"/>
      <c r="G27" s="2127"/>
      <c r="H27" s="2127"/>
      <c r="I27" s="2127"/>
      <c r="J27" s="2127"/>
      <c r="K27" s="2127"/>
      <c r="L27" s="2127"/>
      <c r="M27" s="2127"/>
      <c r="N27" s="2127"/>
      <c r="O27" s="2127"/>
      <c r="P27" s="2127"/>
      <c r="T27" s="1843"/>
      <c r="U27" s="1843"/>
      <c r="V27" s="1843"/>
      <c r="W27" s="1843"/>
    </row>
    <row r="28" spans="2:23" outlineLevel="1" x14ac:dyDescent="0.25">
      <c r="B28" s="2129"/>
      <c r="C28" s="2128"/>
      <c r="D28" s="2128"/>
      <c r="F28" s="2127"/>
      <c r="G28" s="2127"/>
      <c r="H28" s="2127"/>
      <c r="I28" s="2127"/>
      <c r="J28" s="2127"/>
      <c r="K28" s="2127"/>
      <c r="L28" s="2127"/>
      <c r="M28" s="2127"/>
      <c r="N28" s="2127"/>
      <c r="O28" s="2127"/>
      <c r="P28" s="2127"/>
      <c r="T28" s="1843"/>
      <c r="U28" s="1843"/>
      <c r="V28" s="1843"/>
      <c r="W28" s="1843"/>
    </row>
    <row r="29" spans="2:23" outlineLevel="1" x14ac:dyDescent="0.25">
      <c r="B29" s="2129"/>
      <c r="C29" s="2128"/>
      <c r="D29" s="2128"/>
      <c r="F29" s="2127"/>
      <c r="G29" s="2127"/>
      <c r="H29" s="2127"/>
      <c r="I29" s="2127"/>
      <c r="J29" s="2127"/>
      <c r="K29" s="2127"/>
      <c r="L29" s="2127"/>
      <c r="M29" s="2127"/>
      <c r="N29" s="2127"/>
      <c r="O29" s="2127"/>
      <c r="P29" s="2127"/>
      <c r="T29" s="1843"/>
      <c r="U29" s="1843"/>
      <c r="V29" s="1843"/>
      <c r="W29" s="1843"/>
    </row>
    <row r="30" spans="2:23" outlineLevel="1" x14ac:dyDescent="0.25">
      <c r="B30" s="2129"/>
      <c r="C30" s="2128"/>
      <c r="D30" s="2128"/>
      <c r="F30" s="2127"/>
      <c r="G30" s="2127"/>
      <c r="H30" s="2127"/>
      <c r="I30" s="2127"/>
      <c r="J30" s="2127"/>
      <c r="K30" s="2127"/>
      <c r="L30" s="2127"/>
      <c r="M30" s="2127"/>
      <c r="N30" s="2127"/>
      <c r="O30" s="2127"/>
      <c r="P30" s="2127"/>
      <c r="T30" s="1843"/>
      <c r="U30" s="1843"/>
      <c r="V30" s="1843"/>
      <c r="W30" s="1843"/>
    </row>
    <row r="31" spans="2:23" outlineLevel="1" x14ac:dyDescent="0.25">
      <c r="B31" s="2129"/>
      <c r="C31" s="2128"/>
      <c r="D31" s="2128"/>
      <c r="F31" s="2127"/>
      <c r="G31" s="2127"/>
      <c r="H31" s="2127"/>
      <c r="I31" s="2127"/>
      <c r="J31" s="2127"/>
      <c r="K31" s="2127"/>
      <c r="L31" s="2127"/>
      <c r="M31" s="2127"/>
      <c r="N31" s="2127"/>
      <c r="O31" s="2127"/>
      <c r="P31" s="2127"/>
      <c r="T31" s="1843"/>
      <c r="U31" s="1843"/>
      <c r="V31" s="1843"/>
      <c r="W31" s="1843"/>
    </row>
    <row r="32" spans="2:23" outlineLevel="1" x14ac:dyDescent="0.25">
      <c r="B32" s="2129"/>
      <c r="C32" s="2128"/>
      <c r="D32" s="2128"/>
      <c r="F32" s="2127"/>
      <c r="G32" s="2127"/>
      <c r="H32" s="2127"/>
      <c r="I32" s="2127"/>
      <c r="J32" s="2127"/>
      <c r="K32" s="2127"/>
      <c r="L32" s="2127"/>
      <c r="M32" s="2127"/>
      <c r="N32" s="2127"/>
      <c r="O32" s="2127"/>
      <c r="P32" s="2127"/>
      <c r="T32" s="1843"/>
      <c r="U32" s="1843"/>
      <c r="V32" s="1843"/>
      <c r="W32" s="1843"/>
    </row>
    <row r="33" spans="2:23" outlineLevel="1" x14ac:dyDescent="0.25">
      <c r="B33" s="2129"/>
      <c r="C33" s="2128"/>
      <c r="D33" s="2128"/>
      <c r="F33" s="2127"/>
      <c r="G33" s="2127"/>
      <c r="H33" s="2127"/>
      <c r="I33" s="2127"/>
      <c r="J33" s="2127"/>
      <c r="K33" s="2127"/>
      <c r="L33" s="2127"/>
      <c r="M33" s="2127"/>
      <c r="N33" s="2127"/>
      <c r="O33" s="2127"/>
      <c r="P33" s="2127"/>
      <c r="T33" s="1843"/>
      <c r="U33" s="1843"/>
      <c r="V33" s="1843"/>
      <c r="W33" s="1843"/>
    </row>
    <row r="34" spans="2:23" outlineLevel="1" x14ac:dyDescent="0.25">
      <c r="B34" s="2129"/>
      <c r="C34" s="2128"/>
      <c r="D34" s="2128"/>
      <c r="F34" s="2127"/>
      <c r="G34" s="2127"/>
      <c r="H34" s="2127"/>
      <c r="I34" s="2127"/>
      <c r="J34" s="2127"/>
      <c r="K34" s="2127"/>
      <c r="L34" s="2127"/>
      <c r="M34" s="2127"/>
      <c r="N34" s="2127"/>
      <c r="O34" s="2127"/>
      <c r="P34" s="2127"/>
      <c r="T34" s="1843"/>
      <c r="U34" s="1843"/>
      <c r="V34" s="1843"/>
      <c r="W34" s="1843"/>
    </row>
    <row r="35" spans="2:23" outlineLevel="1" x14ac:dyDescent="0.25">
      <c r="B35" s="2129"/>
      <c r="C35" s="2128"/>
      <c r="D35" s="2128"/>
      <c r="F35" s="2127"/>
      <c r="G35" s="2127"/>
      <c r="H35" s="2127"/>
      <c r="I35" s="2127"/>
      <c r="J35" s="2127"/>
      <c r="K35" s="2127"/>
      <c r="L35" s="2127"/>
      <c r="M35" s="2127"/>
      <c r="N35" s="2127"/>
      <c r="O35" s="2127"/>
      <c r="P35" s="2127"/>
      <c r="T35" s="1843"/>
      <c r="U35" s="1843"/>
      <c r="V35" s="1843"/>
      <c r="W35" s="1843"/>
    </row>
    <row r="36" spans="2:23" outlineLevel="1" x14ac:dyDescent="0.25">
      <c r="B36" s="2129"/>
      <c r="C36" s="2128"/>
      <c r="D36" s="2128"/>
      <c r="F36" s="2127"/>
      <c r="G36" s="2127"/>
      <c r="H36" s="2127"/>
      <c r="I36" s="2127"/>
      <c r="J36" s="2127"/>
      <c r="K36" s="2127"/>
      <c r="L36" s="2127"/>
      <c r="M36" s="2127"/>
      <c r="N36" s="2127"/>
      <c r="O36" s="2127"/>
      <c r="P36" s="2127"/>
      <c r="T36" s="1843"/>
      <c r="U36" s="1843"/>
      <c r="V36" s="1843"/>
      <c r="W36" s="1843"/>
    </row>
    <row r="37" spans="2:23" outlineLevel="1" x14ac:dyDescent="0.25">
      <c r="B37" s="2129"/>
      <c r="C37" s="2128"/>
      <c r="D37" s="2128"/>
      <c r="F37" s="2127"/>
      <c r="G37" s="2127"/>
      <c r="H37" s="2127"/>
      <c r="I37" s="2127"/>
      <c r="J37" s="2127"/>
      <c r="K37" s="2127"/>
      <c r="L37" s="2127"/>
      <c r="M37" s="2127"/>
      <c r="N37" s="2127"/>
      <c r="O37" s="2127"/>
      <c r="P37" s="2127"/>
      <c r="T37" s="1843"/>
      <c r="U37" s="1843"/>
      <c r="V37" s="1843"/>
      <c r="W37" s="1843"/>
    </row>
    <row r="38" spans="2:23" outlineLevel="1" x14ac:dyDescent="0.25">
      <c r="B38" s="2129"/>
      <c r="C38" s="2128"/>
      <c r="D38" s="2128"/>
      <c r="F38" s="2127"/>
      <c r="G38" s="2127"/>
      <c r="H38" s="2127"/>
      <c r="I38" s="2127"/>
      <c r="J38" s="2127"/>
      <c r="K38" s="2127"/>
      <c r="L38" s="2127"/>
      <c r="M38" s="2127"/>
      <c r="N38" s="2127"/>
      <c r="O38" s="2127"/>
      <c r="P38" s="2127"/>
      <c r="T38" s="1843"/>
      <c r="U38" s="1843"/>
      <c r="V38" s="1843"/>
      <c r="W38" s="1843"/>
    </row>
    <row r="39" spans="2:23" outlineLevel="1" x14ac:dyDescent="0.25">
      <c r="B39" s="2129"/>
      <c r="C39" s="2128"/>
      <c r="D39" s="2128"/>
      <c r="F39" s="2127"/>
      <c r="G39" s="2127"/>
      <c r="H39" s="2127"/>
      <c r="I39" s="2127"/>
      <c r="J39" s="2127"/>
      <c r="K39" s="2127"/>
      <c r="L39" s="2127"/>
      <c r="M39" s="2127"/>
      <c r="N39" s="2127"/>
      <c r="O39" s="2127"/>
      <c r="P39" s="2127"/>
      <c r="T39" s="1843"/>
      <c r="U39" s="1843"/>
      <c r="V39" s="1843"/>
      <c r="W39" s="1843"/>
    </row>
    <row r="40" spans="2:23" outlineLevel="1" x14ac:dyDescent="0.25">
      <c r="B40" s="2129"/>
      <c r="C40" s="2128"/>
      <c r="D40" s="2128"/>
      <c r="F40" s="2127"/>
      <c r="G40" s="2127"/>
      <c r="H40" s="2127"/>
      <c r="I40" s="2127"/>
      <c r="J40" s="2127"/>
      <c r="K40" s="2127"/>
      <c r="L40" s="2127"/>
      <c r="M40" s="2127"/>
      <c r="N40" s="2127"/>
      <c r="O40" s="2127"/>
      <c r="P40" s="2127"/>
      <c r="T40" s="1843"/>
      <c r="U40" s="1843"/>
      <c r="V40" s="1843"/>
      <c r="W40" s="1843"/>
    </row>
    <row r="41" spans="2:23" outlineLevel="1" x14ac:dyDescent="0.25">
      <c r="B41" s="2129"/>
      <c r="C41" s="2128"/>
      <c r="D41" s="2128"/>
      <c r="F41" s="2127"/>
      <c r="G41" s="2127"/>
      <c r="H41" s="2127"/>
      <c r="I41" s="2127"/>
      <c r="J41" s="2127"/>
      <c r="K41" s="2127"/>
      <c r="L41" s="2127"/>
      <c r="M41" s="2127"/>
      <c r="N41" s="2127"/>
      <c r="O41" s="2127"/>
      <c r="P41" s="2127"/>
      <c r="T41" s="1843"/>
      <c r="U41" s="1843"/>
      <c r="V41" s="1843"/>
      <c r="W41" s="1843"/>
    </row>
    <row r="42" spans="2:23" outlineLevel="1" x14ac:dyDescent="0.25">
      <c r="B42" s="2129"/>
      <c r="C42" s="2128"/>
      <c r="D42" s="2128"/>
      <c r="F42" s="2127"/>
      <c r="G42" s="2127"/>
      <c r="H42" s="2127"/>
      <c r="I42" s="2127"/>
      <c r="J42" s="2127"/>
      <c r="K42" s="2127"/>
      <c r="L42" s="2127"/>
      <c r="M42" s="2127"/>
      <c r="N42" s="2127"/>
      <c r="O42" s="2127"/>
      <c r="P42" s="2127"/>
      <c r="T42" s="1843"/>
      <c r="U42" s="1843"/>
      <c r="V42" s="1843"/>
      <c r="W42" s="1843"/>
    </row>
    <row r="43" spans="2:23" outlineLevel="1" x14ac:dyDescent="0.25">
      <c r="B43" s="2129"/>
      <c r="C43" s="2128"/>
      <c r="D43" s="2128"/>
      <c r="F43" s="2127"/>
      <c r="G43" s="2127"/>
      <c r="H43" s="2127"/>
      <c r="I43" s="2127"/>
      <c r="J43" s="2127"/>
      <c r="K43" s="2127"/>
      <c r="L43" s="2127"/>
      <c r="M43" s="2127"/>
      <c r="N43" s="2127"/>
      <c r="O43" s="2127"/>
      <c r="P43" s="2127"/>
      <c r="T43" s="1843"/>
      <c r="U43" s="1843"/>
      <c r="V43" s="1843"/>
      <c r="W43" s="1843"/>
    </row>
    <row r="44" spans="2:23" outlineLevel="1" x14ac:dyDescent="0.25">
      <c r="B44" s="2129"/>
      <c r="C44" s="2128"/>
      <c r="D44" s="2128"/>
      <c r="F44" s="2127"/>
      <c r="G44" s="2127"/>
      <c r="H44" s="2127"/>
      <c r="I44" s="2127"/>
      <c r="J44" s="2127"/>
      <c r="K44" s="2127"/>
      <c r="L44" s="2127"/>
      <c r="M44" s="2127"/>
      <c r="N44" s="2127"/>
      <c r="O44" s="2127"/>
      <c r="P44" s="2127"/>
      <c r="T44" s="1843"/>
      <c r="U44" s="1843"/>
      <c r="V44" s="1843"/>
      <c r="W44" s="1843"/>
    </row>
    <row r="45" spans="2:23" outlineLevel="1" x14ac:dyDescent="0.25">
      <c r="B45" s="2129"/>
      <c r="C45" s="2128"/>
      <c r="D45" s="2128"/>
      <c r="F45" s="2127"/>
      <c r="G45" s="2127"/>
      <c r="H45" s="2127"/>
      <c r="I45" s="2127"/>
      <c r="J45" s="2127"/>
      <c r="K45" s="2127"/>
      <c r="L45" s="2127"/>
      <c r="M45" s="2127"/>
      <c r="N45" s="2127"/>
      <c r="O45" s="2127"/>
      <c r="P45" s="2127"/>
      <c r="T45" s="1843"/>
      <c r="U45" s="1843"/>
      <c r="V45" s="1843"/>
      <c r="W45" s="1843"/>
    </row>
    <row r="46" spans="2:23" outlineLevel="1" x14ac:dyDescent="0.25">
      <c r="B46" s="2129"/>
      <c r="C46" s="2128"/>
      <c r="D46" s="2128"/>
      <c r="F46" s="2127"/>
      <c r="G46" s="2127"/>
      <c r="H46" s="2127"/>
      <c r="I46" s="2127"/>
      <c r="J46" s="2127"/>
      <c r="K46" s="2127"/>
      <c r="L46" s="2127"/>
      <c r="M46" s="2127"/>
      <c r="N46" s="2127"/>
      <c r="O46" s="2127"/>
      <c r="P46" s="2127"/>
      <c r="T46" s="1843"/>
      <c r="U46" s="1843"/>
      <c r="V46" s="1843"/>
      <c r="W46" s="1843"/>
    </row>
    <row r="47" spans="2:23" outlineLevel="1" x14ac:dyDescent="0.25">
      <c r="B47" s="2129"/>
      <c r="C47" s="2128"/>
      <c r="D47" s="2128"/>
      <c r="F47" s="2127"/>
      <c r="G47" s="2127"/>
      <c r="H47" s="2127"/>
      <c r="I47" s="2127"/>
      <c r="J47" s="2127"/>
      <c r="K47" s="2127"/>
      <c r="L47" s="2127"/>
      <c r="M47" s="2127"/>
      <c r="N47" s="2127"/>
      <c r="O47" s="2127"/>
      <c r="P47" s="2127"/>
      <c r="T47" s="1843"/>
      <c r="U47" s="1843"/>
      <c r="V47" s="1843"/>
      <c r="W47" s="1843"/>
    </row>
    <row r="48" spans="2:23" outlineLevel="1" x14ac:dyDescent="0.25">
      <c r="B48" s="2129"/>
      <c r="C48" s="2128"/>
      <c r="D48" s="2128"/>
      <c r="F48" s="2127"/>
      <c r="G48" s="2127"/>
      <c r="H48" s="2127"/>
      <c r="I48" s="2127"/>
      <c r="J48" s="2127"/>
      <c r="K48" s="2127"/>
      <c r="L48" s="2127"/>
      <c r="M48" s="2127"/>
      <c r="N48" s="2127"/>
      <c r="O48" s="2127"/>
      <c r="P48" s="2127"/>
      <c r="T48" s="1843"/>
      <c r="U48" s="1843"/>
      <c r="V48" s="1843"/>
      <c r="W48" s="1843"/>
    </row>
    <row r="49" spans="1:34" outlineLevel="1" x14ac:dyDescent="0.25">
      <c r="B49" s="2129"/>
      <c r="C49" s="2128"/>
      <c r="D49" s="2128"/>
      <c r="F49" s="2127"/>
      <c r="G49" s="2127"/>
      <c r="H49" s="2127"/>
      <c r="I49" s="2127"/>
      <c r="J49" s="2127"/>
      <c r="K49" s="2127"/>
      <c r="L49" s="2127"/>
      <c r="M49" s="2127"/>
      <c r="N49" s="2127"/>
      <c r="O49" s="2127"/>
      <c r="P49" s="2127"/>
      <c r="T49" s="1843"/>
      <c r="U49" s="1843"/>
      <c r="V49" s="1843"/>
      <c r="W49" s="1843"/>
    </row>
    <row r="50" spans="1:34" outlineLevel="1" x14ac:dyDescent="0.25">
      <c r="B50" s="2129"/>
      <c r="C50" s="2128"/>
      <c r="D50" s="2128"/>
      <c r="F50" s="2127"/>
      <c r="G50" s="2127"/>
      <c r="H50" s="2127"/>
      <c r="I50" s="2127"/>
      <c r="J50" s="2127"/>
      <c r="K50" s="2127"/>
      <c r="L50" s="2127"/>
      <c r="M50" s="2127"/>
      <c r="N50" s="2127"/>
      <c r="O50" s="2127"/>
      <c r="P50" s="2127"/>
      <c r="T50" s="1843"/>
      <c r="U50" s="1843"/>
      <c r="V50" s="1843"/>
      <c r="W50" s="1843"/>
    </row>
    <row r="51" spans="1:34" outlineLevel="1" x14ac:dyDescent="0.25">
      <c r="B51" s="2129"/>
      <c r="C51" s="2128"/>
      <c r="D51" s="2128"/>
      <c r="F51" s="2127"/>
      <c r="G51" s="2127"/>
      <c r="H51" s="2127"/>
      <c r="I51" s="2127"/>
      <c r="J51" s="2127"/>
      <c r="K51" s="2127"/>
      <c r="L51" s="2127"/>
      <c r="M51" s="2127"/>
      <c r="N51" s="2127"/>
      <c r="O51" s="2127"/>
      <c r="P51" s="2127"/>
      <c r="T51" s="1843"/>
      <c r="U51" s="1843"/>
      <c r="V51" s="1843"/>
      <c r="W51" s="1843"/>
    </row>
    <row r="52" spans="1:34" outlineLevel="1" x14ac:dyDescent="0.25">
      <c r="B52" s="2129"/>
      <c r="C52" s="2128"/>
      <c r="D52" s="2128"/>
      <c r="F52" s="2127"/>
      <c r="G52" s="2127"/>
      <c r="H52" s="2127"/>
      <c r="I52" s="2127"/>
      <c r="J52" s="2127"/>
      <c r="K52" s="2127"/>
      <c r="L52" s="2127"/>
      <c r="M52" s="2127"/>
      <c r="N52" s="2127"/>
      <c r="O52" s="2127"/>
      <c r="P52" s="2127"/>
      <c r="T52" s="1843"/>
      <c r="U52" s="1843"/>
      <c r="V52" s="1843"/>
      <c r="W52" s="1843"/>
    </row>
    <row r="53" spans="1:34" outlineLevel="1" x14ac:dyDescent="0.25">
      <c r="E53" s="1843"/>
      <c r="F53" s="1843"/>
      <c r="G53" s="1843"/>
      <c r="H53" s="1843"/>
      <c r="I53" s="1843"/>
      <c r="J53" s="1843"/>
      <c r="K53" s="1843"/>
      <c r="L53" s="1843"/>
      <c r="M53" s="1843"/>
      <c r="N53" s="1843"/>
      <c r="O53" s="1843"/>
      <c r="P53" s="1843"/>
      <c r="Q53" s="1843"/>
      <c r="R53" s="1843"/>
      <c r="S53" s="1843"/>
      <c r="T53" s="1843"/>
      <c r="U53" s="1843"/>
      <c r="V53" s="1843"/>
      <c r="W53" s="1843"/>
    </row>
    <row r="54" spans="1:34" x14ac:dyDescent="0.25">
      <c r="A54" s="2005" t="s">
        <v>662</v>
      </c>
      <c r="B54" s="2062" t="s">
        <v>2099</v>
      </c>
      <c r="C54" s="2058"/>
      <c r="D54" s="2058"/>
      <c r="E54" s="2058"/>
      <c r="F54" s="2058"/>
      <c r="G54" s="2058"/>
      <c r="H54" s="2058"/>
      <c r="I54" s="2058"/>
      <c r="J54" s="2058"/>
      <c r="K54" s="2058"/>
      <c r="L54" s="2058"/>
      <c r="M54" s="2058"/>
      <c r="N54" s="2058"/>
      <c r="O54" s="2058"/>
      <c r="P54" s="2058"/>
      <c r="Q54" s="2058"/>
      <c r="R54" s="2058"/>
      <c r="S54" s="2058"/>
      <c r="U54" s="2060"/>
      <c r="V54" s="2060"/>
      <c r="W54" s="2060"/>
      <c r="X54" s="2058"/>
      <c r="Y54" s="2058"/>
      <c r="Z54" s="2058"/>
      <c r="AA54" s="2058"/>
      <c r="AB54" s="2058"/>
      <c r="AC54" s="2058"/>
      <c r="AD54" s="2058"/>
      <c r="AE54" s="2058"/>
      <c r="AF54" s="2058"/>
      <c r="AG54" s="2058"/>
      <c r="AH54" s="2058"/>
    </row>
    <row r="55" spans="1:34" outlineLevel="1" x14ac:dyDescent="0.25">
      <c r="B55" s="1843"/>
      <c r="C55" s="1843"/>
      <c r="D55" s="1843"/>
      <c r="E55" s="1843"/>
      <c r="F55" s="1843"/>
      <c r="G55" s="1843"/>
      <c r="H55" s="1843"/>
      <c r="I55" s="1843"/>
      <c r="J55" s="1843"/>
      <c r="K55" s="1843"/>
      <c r="L55" s="1843"/>
      <c r="M55" s="1843"/>
      <c r="N55" s="1843"/>
      <c r="O55" s="1843"/>
      <c r="P55" s="1843"/>
    </row>
    <row r="56" spans="1:34" outlineLevel="1" x14ac:dyDescent="0.25">
      <c r="B56" s="2013"/>
      <c r="C56" s="2052">
        <v>2020</v>
      </c>
      <c r="D56" s="2012">
        <v>2021</v>
      </c>
      <c r="E56" s="2012">
        <v>2022</v>
      </c>
      <c r="F56" s="2052">
        <v>2023</v>
      </c>
      <c r="G56" s="2012">
        <v>2024</v>
      </c>
      <c r="H56" s="2012">
        <v>2025</v>
      </c>
      <c r="I56" s="2052">
        <v>2026</v>
      </c>
      <c r="J56" s="2012">
        <v>2027</v>
      </c>
      <c r="K56" s="2012">
        <v>2028</v>
      </c>
      <c r="L56" s="2052">
        <v>2029</v>
      </c>
      <c r="M56" s="2012">
        <v>2030</v>
      </c>
      <c r="N56" s="2012">
        <v>2031</v>
      </c>
      <c r="O56" s="2052">
        <v>2032</v>
      </c>
      <c r="P56" s="2012">
        <v>2033</v>
      </c>
    </row>
    <row r="57" spans="1:34" outlineLevel="1" x14ac:dyDescent="0.25">
      <c r="B57" s="2011" t="str">
        <f>[31]Input_Cty!$B$2</f>
        <v>Quang Phát</v>
      </c>
      <c r="C57" s="2010">
        <f>'[31]BC-PN (tỷ)'!BL126/'[31]BC-PN (tỷ)'!BL148</f>
        <v>0.15903154129491759</v>
      </c>
      <c r="D57" s="2098">
        <f>'4. KQ- BS'!E102/'4. KQ- BS'!E123</f>
        <v>0.19787735415934862</v>
      </c>
      <c r="E57" s="2098">
        <f>'4. KQ- BS'!F102/'4. KQ- BS'!F123</f>
        <v>0.18152345715847498</v>
      </c>
      <c r="F57" s="2098">
        <f>'4. KQ- BS'!G102/'4. KQ- BS'!G123</f>
        <v>9.6134008027552537E-2</v>
      </c>
      <c r="G57" s="2098">
        <f ca="1">'4. KQ- BS'!H102/'4. KQ- BS'!H123</f>
        <v>0.2507599826352393</v>
      </c>
      <c r="H57" s="2098">
        <f ca="1">'4. KQ- BS'!I102/'4. KQ- BS'!I123</f>
        <v>0.32171641015245861</v>
      </c>
      <c r="I57" s="2098">
        <f ca="1">'4. KQ- BS'!J102/'4. KQ- BS'!J123</f>
        <v>0.43308458755667745</v>
      </c>
      <c r="J57" s="2098">
        <f ca="1">'4. KQ- BS'!K102/'4. KQ- BS'!K123</f>
        <v>0.56587818003058488</v>
      </c>
      <c r="K57" s="2098">
        <f ca="1">'4. KQ- BS'!L102/'4. KQ- BS'!L123</f>
        <v>0.6213353936755851</v>
      </c>
      <c r="L57" s="2098">
        <f ca="1">'4. KQ- BS'!M102/'4. KQ- BS'!M123</f>
        <v>0.66691969910741333</v>
      </c>
      <c r="M57" s="2098">
        <f ca="1">'4. KQ- BS'!N102/'4. KQ- BS'!N123</f>
        <v>0.70307498762458587</v>
      </c>
      <c r="N57" s="2098">
        <f ca="1">'4. KQ- BS'!O102/'4. KQ- BS'!O123</f>
        <v>0.73278565307431198</v>
      </c>
      <c r="O57" s="2098">
        <f ca="1">'4. KQ- BS'!P102/'4. KQ- BS'!P123</f>
        <v>0.75768126771931921</v>
      </c>
      <c r="P57" s="2098">
        <f ca="1">'4. KQ- BS'!Q102/'4. KQ- BS'!Q123</f>
        <v>0.77867251323615938</v>
      </c>
    </row>
    <row r="58" spans="1:34" outlineLevel="1" x14ac:dyDescent="0.25">
      <c r="B58" s="2011" t="s">
        <v>2069</v>
      </c>
      <c r="C58" s="2010">
        <f>'[31]DNCN (Tỷ)'!$BW$17/'[31]DNCN (Tỷ)'!$BF$17</f>
        <v>0.51486882816109347</v>
      </c>
      <c r="D58" s="2098">
        <f>'5. DNCN (Tỷ)'!$BW$17/'5. DNCN (Tỷ)'!$BF$17</f>
        <v>0.51486882816109347</v>
      </c>
      <c r="E58" s="2098">
        <f>'5. DNCN (Tỷ)'!$BW$17/'5. DNCN (Tỷ)'!$BF$17</f>
        <v>0.51486882816109347</v>
      </c>
      <c r="F58" s="2098">
        <f>'5. DNCN (Tỷ)'!$BW$17/'5. DNCN (Tỷ)'!$BF$17</f>
        <v>0.51486882816109347</v>
      </c>
      <c r="G58" s="2098">
        <f>'5. DNCN (Tỷ)'!$BW$17/'5. DNCN (Tỷ)'!$BF$17</f>
        <v>0.51486882816109347</v>
      </c>
      <c r="H58" s="2098">
        <f>'5. DNCN (Tỷ)'!$BW$17/'5. DNCN (Tỷ)'!$BF$17</f>
        <v>0.51486882816109347</v>
      </c>
      <c r="I58" s="2098">
        <f>'5. DNCN (Tỷ)'!$BW$17/'5. DNCN (Tỷ)'!$BF$17</f>
        <v>0.51486882816109347</v>
      </c>
      <c r="J58" s="2098">
        <f>'5. DNCN (Tỷ)'!$BW$17/'5. DNCN (Tỷ)'!$BF$17</f>
        <v>0.51486882816109347</v>
      </c>
      <c r="K58" s="2098">
        <f>'5. DNCN (Tỷ)'!$BW$17/'5. DNCN (Tỷ)'!$BF$17</f>
        <v>0.51486882816109347</v>
      </c>
      <c r="L58" s="2098">
        <f>'5. DNCN (Tỷ)'!$BW$17/'5. DNCN (Tỷ)'!$BF$17</f>
        <v>0.51486882816109347</v>
      </c>
      <c r="M58" s="2098">
        <f>'5. DNCN (Tỷ)'!$BW$17/'5. DNCN (Tỷ)'!$BF$17</f>
        <v>0.51486882816109347</v>
      </c>
      <c r="N58" s="2098">
        <f>'5. DNCN (Tỷ)'!$BW$17/'5. DNCN (Tỷ)'!$BF$17</f>
        <v>0.51486882816109347</v>
      </c>
      <c r="O58" s="2098">
        <f>'5. DNCN (Tỷ)'!$BW$17/'5. DNCN (Tỷ)'!$BF$17</f>
        <v>0.51486882816109347</v>
      </c>
      <c r="P58" s="2098">
        <f>'5. DNCN (Tỷ)'!$BW$17/'5. DNCN (Tỷ)'!$BF$17</f>
        <v>0.51486882816109347</v>
      </c>
    </row>
    <row r="59" spans="1:34" outlineLevel="1" x14ac:dyDescent="0.25">
      <c r="B59" s="2011" t="s">
        <v>2073</v>
      </c>
      <c r="C59" s="2010">
        <f>'[31]DNCN (Tỷ)'!$BW$18/'[31]DNCN (Tỷ)'!$BF$18</f>
        <v>0.40733004261135841</v>
      </c>
      <c r="D59" s="2098">
        <f>'5. DNCN (Tỷ)'!BW18/'5. DNCN (Tỷ)'!BF18</f>
        <v>0.40733004261135841</v>
      </c>
      <c r="E59" s="2098">
        <f>D59</f>
        <v>0.40733004261135841</v>
      </c>
      <c r="F59" s="2098">
        <f t="shared" ref="F59:P59" si="6">E59</f>
        <v>0.40733004261135841</v>
      </c>
      <c r="G59" s="2098">
        <f t="shared" si="6"/>
        <v>0.40733004261135841</v>
      </c>
      <c r="H59" s="2098">
        <f t="shared" si="6"/>
        <v>0.40733004261135841</v>
      </c>
      <c r="I59" s="2098">
        <f t="shared" si="6"/>
        <v>0.40733004261135841</v>
      </c>
      <c r="J59" s="2098">
        <f t="shared" si="6"/>
        <v>0.40733004261135841</v>
      </c>
      <c r="K59" s="2098">
        <f t="shared" si="6"/>
        <v>0.40733004261135841</v>
      </c>
      <c r="L59" s="2098">
        <f t="shared" si="6"/>
        <v>0.40733004261135841</v>
      </c>
      <c r="M59" s="2098">
        <f t="shared" si="6"/>
        <v>0.40733004261135841</v>
      </c>
      <c r="N59" s="2098">
        <f t="shared" si="6"/>
        <v>0.40733004261135841</v>
      </c>
      <c r="O59" s="2098">
        <f t="shared" si="6"/>
        <v>0.40733004261135841</v>
      </c>
      <c r="P59" s="2098">
        <f t="shared" si="6"/>
        <v>0.40733004261135841</v>
      </c>
    </row>
    <row r="60" spans="1:34" outlineLevel="1" x14ac:dyDescent="0.25"/>
    <row r="61" spans="1:34" outlineLevel="1" x14ac:dyDescent="0.25"/>
    <row r="62" spans="1:34" outlineLevel="1" x14ac:dyDescent="0.25"/>
    <row r="63" spans="1:34" outlineLevel="1" x14ac:dyDescent="0.25"/>
    <row r="64" spans="1:34" outlineLevel="1" x14ac:dyDescent="0.25"/>
    <row r="65" outlineLevel="1" x14ac:dyDescent="0.25"/>
    <row r="66" outlineLevel="1" x14ac:dyDescent="0.25"/>
    <row r="67" outlineLevel="1" x14ac:dyDescent="0.25"/>
    <row r="68" outlineLevel="1" x14ac:dyDescent="0.25"/>
    <row r="69" outlineLevel="1" x14ac:dyDescent="0.25"/>
    <row r="70" outlineLevel="1" x14ac:dyDescent="0.25"/>
    <row r="71" outlineLevel="1" x14ac:dyDescent="0.25"/>
    <row r="72" outlineLevel="1" x14ac:dyDescent="0.25"/>
  </sheetData>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10">
    <tabColor theme="1" tint="0.249977111117893"/>
    <pageSetUpPr fitToPage="1"/>
  </sheetPr>
  <dimension ref="B2:AD25"/>
  <sheetViews>
    <sheetView showGridLines="0" zoomScale="70" zoomScaleNormal="70" workbookViewId="0">
      <selection activeCell="O31" sqref="A31:O31"/>
    </sheetView>
  </sheetViews>
  <sheetFormatPr defaultRowHeight="15" x14ac:dyDescent="0.25"/>
  <cols>
    <col min="1" max="1" width="5.42578125" customWidth="1"/>
    <col min="2" max="2" width="16.42578125" customWidth="1"/>
    <col min="3" max="3" width="30.7109375" customWidth="1"/>
    <col min="4" max="4" width="11.42578125" customWidth="1"/>
    <col min="5" max="5" width="10.5703125" customWidth="1"/>
    <col min="6" max="6" width="9.5703125" customWidth="1"/>
    <col min="7" max="7" width="11.28515625" customWidth="1"/>
    <col min="14" max="17" width="9.5703125" bestFit="1" customWidth="1"/>
  </cols>
  <sheetData>
    <row r="2" spans="2:18" ht="14.65" customHeight="1" x14ac:dyDescent="0.25">
      <c r="B2" s="2270" t="s">
        <v>162</v>
      </c>
      <c r="C2" s="2270"/>
      <c r="D2" s="2274" t="s">
        <v>163</v>
      </c>
      <c r="E2" s="2275"/>
      <c r="F2" s="2267" t="s">
        <v>164</v>
      </c>
      <c r="G2" s="19" t="s">
        <v>166</v>
      </c>
    </row>
    <row r="3" spans="2:18" x14ac:dyDescent="0.25">
      <c r="B3" s="2270"/>
      <c r="C3" s="2270"/>
      <c r="D3" s="2276"/>
      <c r="E3" s="2277"/>
      <c r="F3" s="2267"/>
      <c r="G3" s="19" t="s">
        <v>167</v>
      </c>
    </row>
    <row r="4" spans="2:18" x14ac:dyDescent="0.25">
      <c r="B4" s="2270"/>
      <c r="C4" s="2270"/>
      <c r="D4" s="2276"/>
      <c r="E4" s="2277"/>
      <c r="F4" s="2267"/>
      <c r="G4" s="19" t="s">
        <v>168</v>
      </c>
    </row>
    <row r="5" spans="2:18" x14ac:dyDescent="0.25">
      <c r="B5" s="2270"/>
      <c r="C5" s="2270"/>
      <c r="D5" s="2278"/>
      <c r="E5" s="2279"/>
      <c r="F5" s="2267"/>
      <c r="G5" s="19"/>
      <c r="H5" s="28" t="s">
        <v>165</v>
      </c>
      <c r="I5" s="28" t="s">
        <v>166</v>
      </c>
      <c r="J5" s="28" t="s">
        <v>167</v>
      </c>
      <c r="K5" s="28" t="s">
        <v>168</v>
      </c>
      <c r="L5" s="28" t="s">
        <v>169</v>
      </c>
      <c r="M5" s="28" t="s">
        <v>170</v>
      </c>
      <c r="N5" s="29" t="s">
        <v>171</v>
      </c>
      <c r="O5" s="29" t="s">
        <v>172</v>
      </c>
      <c r="P5" s="28" t="s">
        <v>173</v>
      </c>
      <c r="Q5" s="28" t="s">
        <v>174</v>
      </c>
      <c r="R5" s="28" t="s">
        <v>175</v>
      </c>
    </row>
    <row r="6" spans="2:18" ht="3.6" customHeight="1" x14ac:dyDescent="0.25">
      <c r="B6" s="20"/>
      <c r="C6" s="20"/>
      <c r="D6" s="21"/>
      <c r="E6" s="21"/>
      <c r="F6" s="20"/>
      <c r="G6" s="27"/>
      <c r="H6" s="6"/>
      <c r="I6" s="6"/>
      <c r="J6" s="6"/>
      <c r="K6" s="6"/>
      <c r="L6" s="6"/>
      <c r="M6" s="6"/>
      <c r="N6" s="6"/>
      <c r="O6" s="6"/>
      <c r="P6" s="6"/>
      <c r="Q6" s="6"/>
      <c r="R6" s="6"/>
    </row>
    <row r="7" spans="2:18" x14ac:dyDescent="0.25">
      <c r="B7" s="45" t="s">
        <v>210</v>
      </c>
      <c r="C7" s="74" t="s">
        <v>185</v>
      </c>
      <c r="D7" s="75"/>
      <c r="E7" s="30">
        <f>'1.BC_Muc tieu (ty) '!AL127</f>
        <v>55.259416469000001</v>
      </c>
      <c r="F7" s="32"/>
      <c r="G7" s="31" t="s">
        <v>176</v>
      </c>
      <c r="H7" s="32">
        <f>H15</f>
        <v>0</v>
      </c>
      <c r="I7" s="32">
        <f t="shared" ref="I7:R7" si="0">I15</f>
        <v>5.0000000000000044E-2</v>
      </c>
      <c r="J7" s="32">
        <f t="shared" si="0"/>
        <v>9.9999999999999978E-2</v>
      </c>
      <c r="K7" s="32">
        <f t="shared" si="0"/>
        <v>0.15000000000000002</v>
      </c>
      <c r="L7" s="32">
        <f t="shared" si="0"/>
        <v>0.19999999999999996</v>
      </c>
      <c r="M7" s="32">
        <f t="shared" si="0"/>
        <v>0.25</v>
      </c>
      <c r="N7" s="32">
        <f t="shared" si="0"/>
        <v>0.30000000000000004</v>
      </c>
      <c r="O7" s="32">
        <f t="shared" si="0"/>
        <v>0.35</v>
      </c>
      <c r="P7" s="32">
        <f t="shared" si="0"/>
        <v>0.4</v>
      </c>
      <c r="Q7" s="32">
        <f t="shared" si="0"/>
        <v>0.44999999999999996</v>
      </c>
      <c r="R7" s="32">
        <f t="shared" si="0"/>
        <v>0.5</v>
      </c>
    </row>
    <row r="8" spans="2:18" x14ac:dyDescent="0.25">
      <c r="B8" s="2271" t="s">
        <v>186</v>
      </c>
      <c r="C8" s="45" t="s">
        <v>525</v>
      </c>
      <c r="D8" s="1998"/>
      <c r="E8" s="1999">
        <f>'5.DG- Ty so'!E61</f>
        <v>181.93826964960968</v>
      </c>
      <c r="F8" s="136">
        <v>0.5</v>
      </c>
      <c r="G8" s="31" t="s">
        <v>524</v>
      </c>
      <c r="H8" s="32">
        <f t="shared" ref="H8:R8" si="1">H$16*$F$8</f>
        <v>0.5</v>
      </c>
      <c r="I8" s="32">
        <f t="shared" si="1"/>
        <v>0.47499999999999998</v>
      </c>
      <c r="J8" s="32">
        <f t="shared" si="1"/>
        <v>0.45</v>
      </c>
      <c r="K8" s="32">
        <f t="shared" si="1"/>
        <v>0.42499999999999999</v>
      </c>
      <c r="L8" s="32">
        <f t="shared" si="1"/>
        <v>0.4</v>
      </c>
      <c r="M8" s="32">
        <f t="shared" si="1"/>
        <v>0.375</v>
      </c>
      <c r="N8" s="32">
        <f t="shared" si="1"/>
        <v>0.35</v>
      </c>
      <c r="O8" s="32">
        <f t="shared" si="1"/>
        <v>0.32500000000000001</v>
      </c>
      <c r="P8" s="32">
        <f t="shared" si="1"/>
        <v>0.3</v>
      </c>
      <c r="Q8" s="32">
        <f t="shared" si="1"/>
        <v>0.27500000000000002</v>
      </c>
      <c r="R8" s="32">
        <f t="shared" si="1"/>
        <v>0.25</v>
      </c>
    </row>
    <row r="9" spans="2:18" x14ac:dyDescent="0.25">
      <c r="B9" s="2272"/>
      <c r="C9" s="76" t="s">
        <v>526</v>
      </c>
      <c r="D9" s="75"/>
      <c r="E9" s="30">
        <f ca="1">'5.ĐG-FCFF'!C21</f>
        <v>337.7705085875121</v>
      </c>
      <c r="F9" s="136">
        <v>0.3</v>
      </c>
      <c r="G9" s="31" t="s">
        <v>187</v>
      </c>
      <c r="H9" s="32">
        <f t="shared" ref="H9:R9" si="2">H$16*$F$9</f>
        <v>0.3</v>
      </c>
      <c r="I9" s="32">
        <f t="shared" si="2"/>
        <v>0.28499999999999998</v>
      </c>
      <c r="J9" s="32">
        <f t="shared" si="2"/>
        <v>0.27</v>
      </c>
      <c r="K9" s="32">
        <f t="shared" si="2"/>
        <v>0.255</v>
      </c>
      <c r="L9" s="32">
        <f t="shared" si="2"/>
        <v>0.24</v>
      </c>
      <c r="M9" s="32">
        <f t="shared" si="2"/>
        <v>0.22499999999999998</v>
      </c>
      <c r="N9" s="32">
        <f t="shared" si="2"/>
        <v>0.21</v>
      </c>
      <c r="O9" s="32">
        <f t="shared" si="2"/>
        <v>0.19500000000000001</v>
      </c>
      <c r="P9" s="32">
        <f t="shared" si="2"/>
        <v>0.18</v>
      </c>
      <c r="Q9" s="32">
        <f t="shared" si="2"/>
        <v>0.16500000000000001</v>
      </c>
      <c r="R9" s="32">
        <f t="shared" si="2"/>
        <v>0.15</v>
      </c>
    </row>
    <row r="10" spans="2:18" x14ac:dyDescent="0.25">
      <c r="B10" s="2273"/>
      <c r="C10" s="76" t="s">
        <v>527</v>
      </c>
      <c r="D10" s="75"/>
      <c r="E10" s="30">
        <f ca="1">'5.ĐG-FCFE'!D18</f>
        <v>-9.3835725483891679</v>
      </c>
      <c r="F10" s="136">
        <f>1-F9-F8</f>
        <v>0.19999999999999996</v>
      </c>
      <c r="G10" s="31" t="s">
        <v>736</v>
      </c>
      <c r="H10" s="32">
        <f t="shared" ref="H10:R10" si="3">H$16*$F$10</f>
        <v>0.19999999999999996</v>
      </c>
      <c r="I10" s="32">
        <f t="shared" si="3"/>
        <v>0.18999999999999995</v>
      </c>
      <c r="J10" s="32">
        <f t="shared" si="3"/>
        <v>0.17999999999999997</v>
      </c>
      <c r="K10" s="32">
        <f t="shared" si="3"/>
        <v>0.16999999999999996</v>
      </c>
      <c r="L10" s="32">
        <f t="shared" si="3"/>
        <v>0.15999999999999998</v>
      </c>
      <c r="M10" s="32">
        <f t="shared" si="3"/>
        <v>0.14999999999999997</v>
      </c>
      <c r="N10" s="32">
        <f t="shared" si="3"/>
        <v>0.13999999999999996</v>
      </c>
      <c r="O10" s="32">
        <f t="shared" si="3"/>
        <v>0.12999999999999998</v>
      </c>
      <c r="P10" s="32">
        <f t="shared" si="3"/>
        <v>0.11999999999999997</v>
      </c>
      <c r="Q10" s="32">
        <f t="shared" si="3"/>
        <v>0.10999999999999999</v>
      </c>
      <c r="R10" s="32">
        <f t="shared" si="3"/>
        <v>9.9999999999999978E-2</v>
      </c>
    </row>
    <row r="11" spans="2:18" x14ac:dyDescent="0.25">
      <c r="B11" s="2268" t="s">
        <v>616</v>
      </c>
      <c r="C11" s="2269"/>
      <c r="D11" s="75"/>
      <c r="E11" s="135"/>
      <c r="F11" s="34"/>
      <c r="G11" s="33"/>
      <c r="H11" s="34">
        <f t="shared" ref="H11:R11" si="4">SUM(H7:H10)</f>
        <v>1</v>
      </c>
      <c r="I11" s="34">
        <f t="shared" si="4"/>
        <v>1</v>
      </c>
      <c r="J11" s="34">
        <f t="shared" si="4"/>
        <v>1</v>
      </c>
      <c r="K11" s="34">
        <f t="shared" si="4"/>
        <v>0.99999999999999989</v>
      </c>
      <c r="L11" s="34">
        <f t="shared" si="4"/>
        <v>1</v>
      </c>
      <c r="M11" s="34">
        <f t="shared" si="4"/>
        <v>1</v>
      </c>
      <c r="N11" s="34">
        <f t="shared" si="4"/>
        <v>1</v>
      </c>
      <c r="O11" s="34">
        <f t="shared" si="4"/>
        <v>1</v>
      </c>
      <c r="P11" s="34">
        <f t="shared" si="4"/>
        <v>0.99999999999999989</v>
      </c>
      <c r="Q11" s="34">
        <f t="shared" si="4"/>
        <v>1</v>
      </c>
      <c r="R11" s="34">
        <f t="shared" si="4"/>
        <v>1</v>
      </c>
    </row>
    <row r="12" spans="2:18" x14ac:dyDescent="0.25">
      <c r="H12" s="22" t="s">
        <v>165</v>
      </c>
      <c r="I12" s="22" t="s">
        <v>166</v>
      </c>
      <c r="J12" s="22" t="s">
        <v>167</v>
      </c>
      <c r="K12" s="22" t="s">
        <v>168</v>
      </c>
      <c r="L12" s="22" t="s">
        <v>169</v>
      </c>
      <c r="M12" s="22" t="s">
        <v>170</v>
      </c>
      <c r="N12" s="22" t="s">
        <v>171</v>
      </c>
      <c r="O12" s="22" t="s">
        <v>172</v>
      </c>
      <c r="P12" s="22" t="s">
        <v>173</v>
      </c>
      <c r="Q12" s="22" t="s">
        <v>174</v>
      </c>
      <c r="R12" s="22" t="s">
        <v>175</v>
      </c>
    </row>
    <row r="13" spans="2:18" x14ac:dyDescent="0.25">
      <c r="B13" s="23"/>
      <c r="C13" s="24"/>
      <c r="D13" s="36"/>
      <c r="E13" s="36"/>
      <c r="F13" s="23"/>
      <c r="G13" s="77" t="s">
        <v>177</v>
      </c>
      <c r="H13" s="139">
        <f t="shared" ref="H13:R13" ca="1" si="5">H7*$E$7+H9*$E$9+$E$10*H10+$E$8*H8</f>
        <v>190.42357289138062</v>
      </c>
      <c r="I13" s="139">
        <f t="shared" ca="1" si="5"/>
        <v>183.6653650702616</v>
      </c>
      <c r="J13" s="140">
        <f t="shared" ca="1" si="5"/>
        <v>176.90715724914256</v>
      </c>
      <c r="K13" s="139">
        <f t="shared" ca="1" si="5"/>
        <v>170.14894942802354</v>
      </c>
      <c r="L13" s="139">
        <f t="shared" ca="1" si="5"/>
        <v>163.3907416069045</v>
      </c>
      <c r="M13" s="26">
        <f t="shared" ca="1" si="5"/>
        <v>156.63253378578548</v>
      </c>
      <c r="N13" s="26">
        <f t="shared" ca="1" si="5"/>
        <v>149.87432596466644</v>
      </c>
      <c r="O13" s="26">
        <f t="shared" ca="1" si="5"/>
        <v>143.11611814354742</v>
      </c>
      <c r="P13" s="26">
        <f t="shared" ca="1" si="5"/>
        <v>136.35791032242838</v>
      </c>
      <c r="Q13" s="26">
        <f t="shared" ca="1" si="5"/>
        <v>129.59970250130937</v>
      </c>
      <c r="R13" s="26">
        <f t="shared" ca="1" si="5"/>
        <v>122.84149468019032</v>
      </c>
    </row>
    <row r="14" spans="2:18" x14ac:dyDescent="0.25">
      <c r="B14" s="42"/>
      <c r="C14" s="43"/>
      <c r="D14" s="44"/>
      <c r="E14" s="44"/>
      <c r="F14" s="42"/>
      <c r="G14" s="42"/>
      <c r="H14" s="17"/>
      <c r="I14" s="17"/>
      <c r="J14" s="17"/>
      <c r="K14" s="17"/>
      <c r="L14" s="17"/>
      <c r="M14" s="17"/>
      <c r="N14" s="17"/>
      <c r="O14" s="17"/>
      <c r="P14" s="17"/>
      <c r="Q14" s="17"/>
      <c r="R14" s="17"/>
    </row>
    <row r="15" spans="2:18" x14ac:dyDescent="0.25">
      <c r="B15" s="38"/>
      <c r="C15" s="38"/>
      <c r="D15" s="54" t="s">
        <v>183</v>
      </c>
      <c r="E15" s="54"/>
      <c r="F15" s="38" t="s">
        <v>210</v>
      </c>
      <c r="G15" s="38"/>
      <c r="H15" s="40">
        <f>1-H16</f>
        <v>0</v>
      </c>
      <c r="I15" s="40">
        <f>1-I16</f>
        <v>5.0000000000000044E-2</v>
      </c>
      <c r="J15" s="40">
        <f t="shared" ref="J15:R15" si="6">1-J16</f>
        <v>9.9999999999999978E-2</v>
      </c>
      <c r="K15" s="40">
        <f t="shared" si="6"/>
        <v>0.15000000000000002</v>
      </c>
      <c r="L15" s="40">
        <f t="shared" si="6"/>
        <v>0.19999999999999996</v>
      </c>
      <c r="M15" s="40">
        <f t="shared" si="6"/>
        <v>0.25</v>
      </c>
      <c r="N15" s="40">
        <f t="shared" si="6"/>
        <v>0.30000000000000004</v>
      </c>
      <c r="O15" s="40">
        <f t="shared" si="6"/>
        <v>0.35</v>
      </c>
      <c r="P15" s="40">
        <f t="shared" si="6"/>
        <v>0.4</v>
      </c>
      <c r="Q15" s="40">
        <f t="shared" si="6"/>
        <v>0.44999999999999996</v>
      </c>
      <c r="R15" s="40">
        <f t="shared" si="6"/>
        <v>0.5</v>
      </c>
    </row>
    <row r="16" spans="2:18" x14ac:dyDescent="0.25">
      <c r="B16" s="38"/>
      <c r="C16" s="39"/>
      <c r="D16" s="38"/>
      <c r="E16" s="38"/>
      <c r="F16" s="38" t="s">
        <v>184</v>
      </c>
      <c r="G16" s="38"/>
      <c r="H16" s="40">
        <v>1</v>
      </c>
      <c r="I16" s="40">
        <v>0.95</v>
      </c>
      <c r="J16" s="40">
        <v>0.9</v>
      </c>
      <c r="K16" s="40">
        <v>0.85</v>
      </c>
      <c r="L16" s="40">
        <v>0.8</v>
      </c>
      <c r="M16" s="40">
        <v>0.75</v>
      </c>
      <c r="N16" s="40">
        <v>0.7</v>
      </c>
      <c r="O16" s="40">
        <v>0.65</v>
      </c>
      <c r="P16" s="40">
        <v>0.6</v>
      </c>
      <c r="Q16" s="40">
        <v>0.55000000000000004</v>
      </c>
      <c r="R16" s="40">
        <v>0.5</v>
      </c>
    </row>
    <row r="17" spans="2:30" x14ac:dyDescent="0.25">
      <c r="B17" s="38"/>
      <c r="C17" s="38"/>
      <c r="D17" s="38"/>
      <c r="E17" s="38"/>
      <c r="F17" s="38"/>
      <c r="G17" s="38"/>
      <c r="H17" s="41">
        <f t="shared" ref="H17:R17" si="7">SUM(H15:H16)</f>
        <v>1</v>
      </c>
      <c r="I17" s="41">
        <f t="shared" si="7"/>
        <v>1</v>
      </c>
      <c r="J17" s="41">
        <f t="shared" si="7"/>
        <v>1</v>
      </c>
      <c r="K17" s="41">
        <f t="shared" si="7"/>
        <v>1</v>
      </c>
      <c r="L17" s="41">
        <f t="shared" si="7"/>
        <v>1</v>
      </c>
      <c r="M17" s="41">
        <f t="shared" si="7"/>
        <v>1</v>
      </c>
      <c r="N17" s="41">
        <f t="shared" si="7"/>
        <v>1</v>
      </c>
      <c r="O17" s="41">
        <f t="shared" si="7"/>
        <v>1</v>
      </c>
      <c r="P17" s="41">
        <f t="shared" si="7"/>
        <v>1</v>
      </c>
      <c r="Q17" s="41">
        <f t="shared" si="7"/>
        <v>1</v>
      </c>
      <c r="R17" s="41">
        <f t="shared" si="7"/>
        <v>1</v>
      </c>
    </row>
    <row r="19" spans="2:30" x14ac:dyDescent="0.25">
      <c r="L19" s="46" t="e">
        <f>N15/(1+'5.ĐG-FCFF'!#REF!)^N16</f>
        <v>#REF!</v>
      </c>
      <c r="M19" s="47">
        <v>1</v>
      </c>
      <c r="N19" s="47">
        <v>2</v>
      </c>
      <c r="O19" s="47">
        <v>3</v>
      </c>
      <c r="P19" s="47">
        <v>4</v>
      </c>
      <c r="Q19" s="47">
        <v>5</v>
      </c>
      <c r="R19" s="47"/>
      <c r="S19" s="47"/>
      <c r="T19" s="47"/>
      <c r="U19" s="47"/>
      <c r="V19" s="47"/>
      <c r="W19" s="47"/>
      <c r="X19" s="47"/>
      <c r="Y19" s="47"/>
      <c r="Z19" s="47"/>
      <c r="AA19" s="47"/>
      <c r="AB19" s="47"/>
      <c r="AC19" s="47"/>
      <c r="AD19" s="47"/>
    </row>
    <row r="20" spans="2:30" x14ac:dyDescent="0.25">
      <c r="G20" s="6"/>
      <c r="H20" s="6"/>
      <c r="I20" s="6"/>
      <c r="J20" s="6"/>
      <c r="K20" s="6"/>
      <c r="L20" s="48"/>
      <c r="M20" s="48"/>
      <c r="N20" s="48"/>
      <c r="O20" s="48"/>
      <c r="P20" s="48"/>
      <c r="Q20" s="48"/>
      <c r="R20" s="48"/>
      <c r="S20" s="47"/>
      <c r="T20" s="47"/>
      <c r="U20" s="47"/>
      <c r="V20" s="47"/>
      <c r="W20" s="47"/>
      <c r="X20" s="47"/>
      <c r="Y20" s="47"/>
      <c r="Z20" s="47"/>
      <c r="AA20" s="47"/>
      <c r="AB20" s="47"/>
      <c r="AC20" s="47"/>
      <c r="AD20" s="47"/>
    </row>
    <row r="21" spans="2:30" x14ac:dyDescent="0.25">
      <c r="G21" s="6"/>
      <c r="H21" s="6"/>
      <c r="I21" s="6"/>
      <c r="J21" s="6"/>
      <c r="K21" s="6"/>
      <c r="L21" s="49"/>
      <c r="M21" s="49"/>
      <c r="N21" s="49"/>
      <c r="O21" s="49"/>
      <c r="P21" s="49"/>
      <c r="Q21" s="49"/>
      <c r="R21" s="50"/>
      <c r="S21" s="51" t="s">
        <v>14</v>
      </c>
      <c r="T21" s="47"/>
      <c r="U21" s="47"/>
      <c r="V21" s="47"/>
      <c r="W21" s="47"/>
      <c r="X21" s="47"/>
      <c r="Y21" s="47"/>
      <c r="Z21" s="47"/>
      <c r="AA21" s="47"/>
      <c r="AB21" s="47"/>
      <c r="AC21" s="47"/>
      <c r="AD21" s="47"/>
    </row>
    <row r="22" spans="2:30" x14ac:dyDescent="0.25">
      <c r="L22" s="49"/>
      <c r="M22" s="49"/>
      <c r="N22" s="387"/>
      <c r="O22" s="49"/>
      <c r="P22" s="49"/>
      <c r="Q22" s="49"/>
      <c r="R22" s="50"/>
      <c r="S22" s="51" t="s">
        <v>188</v>
      </c>
      <c r="T22" s="47"/>
      <c r="U22" s="47"/>
      <c r="V22" s="47"/>
      <c r="W22" s="47"/>
      <c r="X22" s="47"/>
      <c r="Y22" s="47"/>
      <c r="Z22" s="47"/>
      <c r="AA22" s="47"/>
      <c r="AB22" s="47"/>
      <c r="AC22" s="47"/>
      <c r="AD22" s="47"/>
    </row>
    <row r="23" spans="2:30" x14ac:dyDescent="0.25">
      <c r="L23" s="52"/>
      <c r="M23" s="52"/>
      <c r="N23" s="388"/>
      <c r="O23" s="52"/>
      <c r="P23" s="52"/>
      <c r="Q23" s="52"/>
      <c r="R23" s="52"/>
      <c r="S23" s="47" t="s">
        <v>189</v>
      </c>
      <c r="T23" s="47"/>
      <c r="U23" s="47"/>
      <c r="V23" s="47"/>
      <c r="W23" s="47"/>
      <c r="X23" s="47"/>
      <c r="Y23" s="47"/>
      <c r="Z23" s="47"/>
      <c r="AA23" s="47"/>
      <c r="AB23" s="47"/>
      <c r="AC23" s="47"/>
      <c r="AD23" s="47"/>
    </row>
    <row r="24" spans="2:30" x14ac:dyDescent="0.25">
      <c r="G24" s="25"/>
      <c r="H24" s="25"/>
      <c r="I24" s="25"/>
      <c r="J24" s="25"/>
      <c r="K24" s="25"/>
      <c r="L24" s="53"/>
      <c r="M24" s="53"/>
      <c r="N24" s="53"/>
      <c r="O24" s="53"/>
      <c r="P24" s="53"/>
      <c r="Q24" s="53"/>
      <c r="R24" s="47"/>
      <c r="S24" s="47" t="s">
        <v>195</v>
      </c>
      <c r="T24" s="47"/>
      <c r="U24" s="47"/>
      <c r="V24" s="47"/>
      <c r="W24" s="47"/>
      <c r="X24" s="47"/>
      <c r="Y24" s="47"/>
      <c r="Z24" s="47"/>
      <c r="AA24" s="47"/>
      <c r="AB24" s="47"/>
      <c r="AC24" s="47"/>
      <c r="AD24" s="47"/>
    </row>
    <row r="25" spans="2:30" x14ac:dyDescent="0.25">
      <c r="L25" s="47"/>
      <c r="M25" s="47"/>
      <c r="N25" s="47"/>
      <c r="O25" s="47"/>
      <c r="P25" s="47"/>
      <c r="Q25" s="47"/>
      <c r="R25" s="47"/>
      <c r="S25" s="47"/>
      <c r="T25" s="47"/>
      <c r="U25" s="47"/>
      <c r="V25" s="47"/>
      <c r="W25" s="47"/>
      <c r="X25" s="47"/>
      <c r="Y25" s="47"/>
      <c r="Z25" s="47"/>
      <c r="AA25" s="47"/>
      <c r="AB25" s="47"/>
      <c r="AC25" s="47"/>
      <c r="AD25" s="47"/>
    </row>
  </sheetData>
  <mergeCells count="5">
    <mergeCell ref="F2:F5"/>
    <mergeCell ref="B11:C11"/>
    <mergeCell ref="B2:C5"/>
    <mergeCell ref="B8:B10"/>
    <mergeCell ref="D2:E5"/>
  </mergeCells>
  <phoneticPr fontId="6" type="noConversion"/>
  <dataValidations count="2">
    <dataValidation type="list" allowBlank="1" showInputMessage="1" showErrorMessage="1" sqref="D8" xr:uid="{00000000-0002-0000-2F00-000000000000}">
      <formula1>#REF!</formula1>
    </dataValidation>
    <dataValidation type="list" allowBlank="1" showInputMessage="1" showErrorMessage="1" sqref="E11" xr:uid="{00000000-0002-0000-2F00-000001000000}">
      <formula1>#REF!</formula1>
    </dataValidation>
  </dataValidations>
  <pageMargins left="0.2" right="0.2" top="0.25" bottom="0.25" header="0.3" footer="0.3"/>
  <pageSetup paperSize="9" scale="78" fitToHeight="0" orientation="landscape"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1" tint="0.249977111117893"/>
  </sheetPr>
  <dimension ref="A1:R18"/>
  <sheetViews>
    <sheetView showGridLines="0" zoomScaleNormal="100" workbookViewId="0">
      <pane xSplit="2" ySplit="4" topLeftCell="C5" activePane="bottomRight" state="frozen"/>
      <selection activeCell="C22" sqref="C22"/>
      <selection pane="topRight" activeCell="C22" sqref="C22"/>
      <selection pane="bottomLeft" activeCell="C22" sqref="C22"/>
      <selection pane="bottomRight" activeCell="E12" sqref="E12"/>
    </sheetView>
  </sheetViews>
  <sheetFormatPr defaultColWidth="8.85546875" defaultRowHeight="15" x14ac:dyDescent="0.25"/>
  <cols>
    <col min="1" max="1" width="8.85546875" style="506"/>
    <col min="2" max="2" width="62.85546875" style="506" bestFit="1" customWidth="1"/>
    <col min="3" max="13" width="10.5703125" style="1596" customWidth="1"/>
    <col min="14" max="14" width="9.140625" style="1596" bestFit="1" customWidth="1"/>
    <col min="15" max="17" width="20.5703125" style="506" customWidth="1"/>
    <col min="18" max="18" width="21.42578125" style="506" customWidth="1"/>
    <col min="19" max="16384" width="8.85546875" style="506"/>
  </cols>
  <sheetData>
    <row r="1" spans="1:18" x14ac:dyDescent="0.25">
      <c r="B1" s="4" t="s">
        <v>1825</v>
      </c>
      <c r="C1" s="1592"/>
      <c r="D1" s="1592"/>
      <c r="E1" s="1592"/>
      <c r="F1" s="1592"/>
      <c r="G1" s="1593"/>
      <c r="H1" s="1593"/>
      <c r="I1" s="1593"/>
      <c r="J1" s="1593"/>
      <c r="K1" s="1593"/>
      <c r="L1" s="1593"/>
      <c r="M1" s="1593"/>
      <c r="N1" s="1594"/>
      <c r="O1" s="1588"/>
      <c r="P1" s="1589"/>
      <c r="Q1" s="1588"/>
    </row>
    <row r="2" spans="1:18" x14ac:dyDescent="0.25">
      <c r="B2" s="156" t="s">
        <v>1821</v>
      </c>
    </row>
    <row r="3" spans="1:18" x14ac:dyDescent="0.25">
      <c r="B3" s="693"/>
      <c r="C3" s="1595"/>
      <c r="D3" s="1596">
        <v>0</v>
      </c>
      <c r="E3" s="1596">
        <f t="shared" ref="E3:M3" si="0">D3+1</f>
        <v>1</v>
      </c>
      <c r="F3" s="1596">
        <f t="shared" si="0"/>
        <v>2</v>
      </c>
      <c r="G3" s="1596">
        <f t="shared" si="0"/>
        <v>3</v>
      </c>
      <c r="H3" s="1596">
        <f t="shared" si="0"/>
        <v>4</v>
      </c>
      <c r="I3" s="1596">
        <f t="shared" si="0"/>
        <v>5</v>
      </c>
      <c r="J3" s="1596">
        <f t="shared" si="0"/>
        <v>6</v>
      </c>
      <c r="K3" s="1596">
        <f t="shared" si="0"/>
        <v>7</v>
      </c>
      <c r="L3" s="1596">
        <f t="shared" si="0"/>
        <v>8</v>
      </c>
      <c r="M3" s="1596">
        <f t="shared" si="0"/>
        <v>9</v>
      </c>
    </row>
    <row r="4" spans="1:18" s="679" customFormat="1" x14ac:dyDescent="0.25">
      <c r="A4" s="1601" t="s">
        <v>1</v>
      </c>
      <c r="B4" s="1604" t="s">
        <v>3</v>
      </c>
      <c r="C4" s="1631">
        <v>2023</v>
      </c>
      <c r="D4" s="1632" t="s">
        <v>6</v>
      </c>
      <c r="E4" s="1632" t="s">
        <v>7</v>
      </c>
      <c r="F4" s="1632" t="s">
        <v>8</v>
      </c>
      <c r="G4" s="1632" t="s">
        <v>9</v>
      </c>
      <c r="H4" s="1632" t="s">
        <v>10</v>
      </c>
      <c r="I4" s="1632" t="s">
        <v>247</v>
      </c>
      <c r="J4" s="1632" t="s">
        <v>248</v>
      </c>
      <c r="K4" s="1632" t="s">
        <v>249</v>
      </c>
      <c r="L4" s="1632" t="s">
        <v>250</v>
      </c>
      <c r="M4" s="1632" t="s">
        <v>251</v>
      </c>
      <c r="N4" s="1632" t="s">
        <v>1822</v>
      </c>
    </row>
    <row r="5" spans="1:18" x14ac:dyDescent="0.25">
      <c r="A5" s="1602" t="s">
        <v>576</v>
      </c>
      <c r="B5" s="1626" t="s">
        <v>150</v>
      </c>
      <c r="C5" s="1602"/>
      <c r="D5" s="1629">
        <f ca="1">'4. KQ-PL'!I58</f>
        <v>5.4060629888953873</v>
      </c>
      <c r="E5" s="1629">
        <f ca="1">'4. KQ-PL'!J58</f>
        <v>12.86185824094121</v>
      </c>
      <c r="F5" s="1629">
        <f ca="1">'4. KQ-PL'!K58</f>
        <v>19.172480477676874</v>
      </c>
      <c r="G5" s="1629">
        <f ca="1">'4. KQ-PL'!L58</f>
        <v>28.269579474354455</v>
      </c>
      <c r="H5" s="1629">
        <f ca="1">'4. KQ-PL'!M58</f>
        <v>31.340805030269905</v>
      </c>
      <c r="I5" s="1629">
        <f ca="1">'4. KQ-PL'!N58</f>
        <v>33.571226208495048</v>
      </c>
      <c r="J5" s="1629">
        <f ca="1">'4. KQ-PL'!O58</f>
        <v>33.993398086752975</v>
      </c>
      <c r="K5" s="1629">
        <f ca="1">'4. KQ-PL'!P58</f>
        <v>34.833456056697749</v>
      </c>
      <c r="L5" s="1629">
        <f ca="1">'4. KQ-PL'!Q58</f>
        <v>35.774816976051767</v>
      </c>
      <c r="M5" s="1629">
        <f ca="1">'4. KQ-PL'!R58</f>
        <v>36.44280617701007</v>
      </c>
      <c r="N5" s="1627"/>
    </row>
    <row r="6" spans="1:18" s="693" customFormat="1" x14ac:dyDescent="0.25">
      <c r="A6" s="1602" t="s">
        <v>577</v>
      </c>
      <c r="B6" s="1626" t="s">
        <v>23</v>
      </c>
      <c r="C6" s="1602"/>
      <c r="D6" s="1629">
        <f>'3.CP-KH'!D10</f>
        <v>20.662273527019995</v>
      </c>
      <c r="E6" s="1629">
        <f>'3.CP-KH'!E10</f>
        <v>19.444429658101068</v>
      </c>
      <c r="F6" s="1629">
        <f>'3.CP-KH'!F10</f>
        <v>15.216971019397629</v>
      </c>
      <c r="G6" s="1629">
        <f>'3.CP-KH'!G10</f>
        <v>7.1299795507893355</v>
      </c>
      <c r="H6" s="1629">
        <f>'3.CP-KH'!H10</f>
        <v>5.2262909369523118</v>
      </c>
      <c r="I6" s="1629">
        <f>'3.CP-KH'!I10</f>
        <v>2.9552403617905787</v>
      </c>
      <c r="J6" s="1629">
        <f>'3.CP-KH'!J10</f>
        <v>2.9552403617905787</v>
      </c>
      <c r="K6" s="1629">
        <f>'3.CP-KH'!K10</f>
        <v>2.4842139206026372</v>
      </c>
      <c r="L6" s="1629">
        <f>'3.CP-KH'!L10</f>
        <v>1.8718510669103741</v>
      </c>
      <c r="M6" s="1629">
        <f>'3.CP-KH'!M10</f>
        <v>1.6198890860873134</v>
      </c>
      <c r="N6" s="1602"/>
    </row>
    <row r="7" spans="1:18" x14ac:dyDescent="0.25">
      <c r="A7" s="1602" t="s">
        <v>645</v>
      </c>
      <c r="B7" s="1626" t="s">
        <v>158</v>
      </c>
      <c r="C7" s="1602"/>
      <c r="D7" s="1630">
        <v>0</v>
      </c>
      <c r="E7" s="1630">
        <v>0</v>
      </c>
      <c r="F7" s="1630">
        <v>0</v>
      </c>
      <c r="G7" s="1630">
        <v>0</v>
      </c>
      <c r="H7" s="1630">
        <v>0</v>
      </c>
      <c r="I7" s="1630">
        <v>0</v>
      </c>
      <c r="J7" s="1630">
        <v>0</v>
      </c>
      <c r="K7" s="1630">
        <v>0</v>
      </c>
      <c r="L7" s="1630">
        <v>0</v>
      </c>
      <c r="M7" s="1630">
        <v>0</v>
      </c>
      <c r="N7" s="1602"/>
    </row>
    <row r="8" spans="1:18" x14ac:dyDescent="0.25">
      <c r="A8" s="1602" t="s">
        <v>604</v>
      </c>
      <c r="B8" s="1626" t="s">
        <v>1811</v>
      </c>
      <c r="C8" s="1627">
        <f>'4. KQ- BS'!G14+'4. KQ- BS'!G23+'4. KQ- BS'!G26-('4. KQ- BS'!G73-'4. KQ- BS'!G83)</f>
        <v>126.40738140000008</v>
      </c>
      <c r="D8" s="1629">
        <f ca="1">'4. KQ- BS'!H14+'4. KQ- BS'!H23+'4. KQ- BS'!H26-('4. KQ- BS'!H73-'4. KQ- BS'!H83)</f>
        <v>21.305192929592735</v>
      </c>
      <c r="E8" s="1629">
        <f ca="1">'4. KQ- BS'!I14+'4. KQ- BS'!I23+'4. KQ- BS'!I26-('4. KQ- BS'!I73-'4. KQ- BS'!I83)</f>
        <v>21.707711308633407</v>
      </c>
      <c r="F8" s="1629">
        <f ca="1">'4. KQ- BS'!J14+'4. KQ- BS'!J23+'4. KQ- BS'!J26-('4. KQ- BS'!J73-'4. KQ- BS'!J83)</f>
        <v>22.114427859059361</v>
      </c>
      <c r="G8" s="1629">
        <f ca="1">'4. KQ- BS'!K14+'4. KQ- BS'!K23+'4. KQ- BS'!K26-('4. KQ- BS'!K73-'4. KQ- BS'!K83)</f>
        <v>22.525388039635104</v>
      </c>
      <c r="H8" s="1629">
        <f ca="1">'4. KQ- BS'!L14+'4. KQ- BS'!L23+'4. KQ- BS'!L26-('4. KQ- BS'!L73-'4. KQ- BS'!L83)</f>
        <v>22.940637833601542</v>
      </c>
      <c r="I8" s="1629">
        <f ca="1">'4. KQ- BS'!M14+'4. KQ- BS'!M23+'4. KQ- BS'!M26-('4. KQ- BS'!M73-'4. KQ- BS'!M83)</f>
        <v>23.36022375532545</v>
      </c>
      <c r="J8" s="1629">
        <f ca="1">'4. KQ- BS'!N14+'4. KQ- BS'!N23+'4. KQ- BS'!N26-('4. KQ- BS'!N73-'4. KQ- BS'!N83)</f>
        <v>23.78419285704372</v>
      </c>
      <c r="K8" s="1629">
        <f ca="1">'4. KQ- BS'!O14+'4. KQ- BS'!O23+'4. KQ- BS'!O26-('4. KQ- BS'!O73-'4. KQ- BS'!O83)</f>
        <v>24.212592735703907</v>
      </c>
      <c r="L8" s="1629">
        <f ca="1">'4. KQ- BS'!P14+'4. KQ- BS'!P23+'4. KQ- BS'!P26-('4. KQ- BS'!P73-'4. KQ- BS'!P83)</f>
        <v>24.645471539902516</v>
      </c>
      <c r="M8" s="1629">
        <f ca="1">'4. KQ- BS'!Q14+'4. KQ- BS'!Q23+'4. KQ- BS'!Q26-('4. KQ- BS'!Q73-'4. KQ- BS'!Q83)</f>
        <v>25.082877976922674</v>
      </c>
      <c r="N8" s="1602"/>
    </row>
    <row r="9" spans="1:18" s="310" customFormat="1" x14ac:dyDescent="0.25">
      <c r="A9" s="1602" t="s">
        <v>605</v>
      </c>
      <c r="B9" s="1628" t="s">
        <v>157</v>
      </c>
      <c r="C9" s="1627"/>
      <c r="D9" s="1629">
        <f ca="1">D8-C8</f>
        <v>-105.10218847040734</v>
      </c>
      <c r="E9" s="1629">
        <f t="shared" ref="E9:M9" ca="1" si="1">E8-D8</f>
        <v>0.40251837904067145</v>
      </c>
      <c r="F9" s="1629">
        <f t="shared" ca="1" si="1"/>
        <v>0.40671655042595489</v>
      </c>
      <c r="G9" s="1629">
        <f t="shared" ca="1" si="1"/>
        <v>0.41096018057574213</v>
      </c>
      <c r="H9" s="1629">
        <f t="shared" ca="1" si="1"/>
        <v>0.41524979396643857</v>
      </c>
      <c r="I9" s="1629">
        <f t="shared" ca="1" si="1"/>
        <v>0.41958592172390752</v>
      </c>
      <c r="J9" s="1629">
        <f t="shared" ca="1" si="1"/>
        <v>0.42396910171827074</v>
      </c>
      <c r="K9" s="1629">
        <f t="shared" ca="1" si="1"/>
        <v>0.42839987866018703</v>
      </c>
      <c r="L9" s="1629">
        <f t="shared" ca="1" si="1"/>
        <v>0.43287880419860869</v>
      </c>
      <c r="M9" s="1629">
        <f t="shared" ca="1" si="1"/>
        <v>0.43740643702015802</v>
      </c>
      <c r="N9" s="1627"/>
    </row>
    <row r="10" spans="1:18" x14ac:dyDescent="0.25">
      <c r="A10" s="1617" t="s">
        <v>644</v>
      </c>
      <c r="B10" s="1626" t="s">
        <v>159</v>
      </c>
      <c r="C10" s="1602"/>
      <c r="D10" s="1629">
        <f>('4. KQ- BS'!H83-'4. KQ- BS'!G83)+('4. KQ- BS'!H96-'4. KQ- BS'!G96)</f>
        <v>-135.55752552950108</v>
      </c>
      <c r="E10" s="1629">
        <f ca="1">('4. KQ- BS'!I83-'4. KQ- BS'!H83)+('4. KQ- BS'!I96-'4. KQ- BS'!H96)</f>
        <v>-26.265374608250887</v>
      </c>
      <c r="F10" s="1629">
        <f ca="1">('4. KQ- BS'!J83-'4. KQ- BS'!I83)+('4. KQ- BS'!J96-'4. KQ- BS'!I96)</f>
        <v>-33.692444254431749</v>
      </c>
      <c r="G10" s="1629">
        <f ca="1">('4. KQ- BS'!K83-'4. KQ- BS'!J83)+('4. KQ- BS'!K96-'4. KQ- BS'!J96)</f>
        <v>-28.558425659816287</v>
      </c>
      <c r="H10" s="1629">
        <f ca="1">('4. KQ- BS'!L83-'4. KQ- BS'!K83)+('4. KQ- BS'!L96-'4. KQ- BS'!K96)</f>
        <v>0</v>
      </c>
      <c r="I10" s="1629">
        <f ca="1">('4. KQ- BS'!M83-'4. KQ- BS'!L83)+('4. KQ- BS'!M96-'4. KQ- BS'!L96)</f>
        <v>0</v>
      </c>
      <c r="J10" s="1629">
        <f ca="1">('4. KQ- BS'!N83-'4. KQ- BS'!M83)+('4. KQ- BS'!N96-'4. KQ- BS'!M96)</f>
        <v>0</v>
      </c>
      <c r="K10" s="1629">
        <f ca="1">('4. KQ- BS'!O83-'4. KQ- BS'!N83)+('4. KQ- BS'!O96-'4. KQ- BS'!N96)</f>
        <v>0</v>
      </c>
      <c r="L10" s="1629">
        <f ca="1">('4. KQ- BS'!P83-'4. KQ- BS'!O83)+('4. KQ- BS'!P96-'4. KQ- BS'!O96)</f>
        <v>0</v>
      </c>
      <c r="M10" s="1629">
        <f ca="1">('4. KQ- BS'!Q83-'4. KQ- BS'!P83)+('4. KQ- BS'!Q96-'4. KQ- BS'!P96)</f>
        <v>0</v>
      </c>
      <c r="N10" s="1602"/>
    </row>
    <row r="11" spans="1:18" s="693" customFormat="1" x14ac:dyDescent="0.25">
      <c r="A11" s="1617" t="s">
        <v>1459</v>
      </c>
      <c r="B11" s="1626" t="s">
        <v>196</v>
      </c>
      <c r="C11" s="1602"/>
      <c r="D11" s="1629">
        <f ca="1">D5+D6-D7-D9+D10</f>
        <v>-4.3870005431783454</v>
      </c>
      <c r="E11" s="1629">
        <f t="shared" ref="E11:L11" ca="1" si="2">E5+E6-E7-E9+E10</f>
        <v>5.6383949117507157</v>
      </c>
      <c r="F11" s="1629">
        <f t="shared" ca="1" si="2"/>
        <v>0.29029069221680004</v>
      </c>
      <c r="G11" s="1629">
        <f t="shared" ca="1" si="2"/>
        <v>6.4301731847517587</v>
      </c>
      <c r="H11" s="1629">
        <f t="shared" ca="1" si="2"/>
        <v>36.151846173255777</v>
      </c>
      <c r="I11" s="1629">
        <f t="shared" ca="1" si="2"/>
        <v>36.10688064856172</v>
      </c>
      <c r="J11" s="1629">
        <f t="shared" ca="1" si="2"/>
        <v>36.524669346825284</v>
      </c>
      <c r="K11" s="1629">
        <f t="shared" ca="1" si="2"/>
        <v>36.889270098640196</v>
      </c>
      <c r="L11" s="1629">
        <f t="shared" ca="1" si="2"/>
        <v>37.213789238763532</v>
      </c>
      <c r="M11" s="1629">
        <f ca="1">M5+M6-M7-M9+M10</f>
        <v>37.625288826077224</v>
      </c>
      <c r="N11" s="1627">
        <f ca="1">'5.ĐG-FCFE'!$M11*(1+'2. Input'!$C$18)</f>
        <v>38.001541714337996</v>
      </c>
      <c r="O11" s="506"/>
      <c r="P11" s="506"/>
      <c r="Q11" s="506"/>
      <c r="R11" s="506"/>
    </row>
    <row r="12" spans="1:18" s="693" customFormat="1" x14ac:dyDescent="0.25">
      <c r="A12" s="1617" t="s">
        <v>1462</v>
      </c>
      <c r="B12" s="1626" t="s">
        <v>200</v>
      </c>
      <c r="C12" s="1602"/>
      <c r="D12" s="1629">
        <f t="shared" ref="D12:M12" ca="1" si="3">D11/(1+$D$14)^D3</f>
        <v>-4.3870005431783454</v>
      </c>
      <c r="E12" s="1629">
        <f t="shared" ca="1" si="3"/>
        <v>5.0423850042485379</v>
      </c>
      <c r="F12" s="1629">
        <f t="shared" ca="1" si="3"/>
        <v>0.23216360304064573</v>
      </c>
      <c r="G12" s="1629">
        <f t="shared" ca="1" si="3"/>
        <v>4.5990084362421513</v>
      </c>
      <c r="H12" s="1629">
        <f t="shared" ca="1" si="3"/>
        <v>23.123444555206969</v>
      </c>
      <c r="I12" s="1629">
        <f t="shared" ca="1" si="3"/>
        <v>20.653446347186726</v>
      </c>
      <c r="J12" s="1629">
        <f t="shared" ca="1" si="3"/>
        <v>18.683978784384795</v>
      </c>
      <c r="K12" s="1629">
        <f t="shared" ca="1" si="3"/>
        <v>16.875771905377096</v>
      </c>
      <c r="L12" s="1629">
        <f t="shared" ca="1" si="3"/>
        <v>15.224673588283473</v>
      </c>
      <c r="M12" s="1629">
        <f t="shared" ca="1" si="3"/>
        <v>13.765894952196911</v>
      </c>
      <c r="N12" s="1627">
        <f ca="1">N11/(D14-'2. Input'!$C$18)</f>
        <v>351.21572748926059</v>
      </c>
      <c r="O12" s="506"/>
      <c r="P12" s="506"/>
      <c r="Q12" s="506"/>
      <c r="R12" s="506"/>
    </row>
    <row r="13" spans="1:18" s="693" customFormat="1" x14ac:dyDescent="0.25">
      <c r="A13" s="1633"/>
      <c r="B13" s="506"/>
      <c r="C13" s="1596"/>
      <c r="D13" s="1597"/>
      <c r="E13" s="1597"/>
      <c r="F13" s="1597"/>
      <c r="G13" s="1597"/>
      <c r="H13" s="1597"/>
      <c r="I13" s="1597"/>
      <c r="J13" s="1597"/>
      <c r="K13" s="1597"/>
      <c r="L13" s="1597"/>
      <c r="M13" s="1597"/>
      <c r="N13" s="1597"/>
      <c r="O13" s="506"/>
      <c r="P13" s="506"/>
      <c r="Q13" s="506"/>
      <c r="R13" s="506"/>
    </row>
    <row r="14" spans="1:18" x14ac:dyDescent="0.25">
      <c r="A14" s="1633"/>
      <c r="B14" s="506" t="s">
        <v>160</v>
      </c>
      <c r="C14" s="1599"/>
      <c r="D14" s="1590">
        <f>'2. WACC'!D15</f>
        <v>0.1182</v>
      </c>
      <c r="E14" s="1600"/>
      <c r="F14" s="1600"/>
      <c r="G14" s="1600"/>
      <c r="H14" s="1600"/>
      <c r="I14" s="1600"/>
      <c r="J14" s="1600"/>
      <c r="K14" s="1600"/>
      <c r="L14" s="1600"/>
      <c r="M14" s="1600"/>
      <c r="N14" s="1600"/>
    </row>
    <row r="15" spans="1:18" x14ac:dyDescent="0.25">
      <c r="A15" s="1633"/>
      <c r="B15" s="506" t="s">
        <v>1826</v>
      </c>
      <c r="C15" s="1599"/>
      <c r="D15" s="1634">
        <f ca="1">SUM(D12:M12)+N12/((1+D14)^M3)</f>
        <v>242.31241637161077</v>
      </c>
      <c r="E15" s="1600"/>
      <c r="F15" s="1600"/>
      <c r="G15" s="1600"/>
      <c r="H15" s="1600"/>
      <c r="I15" s="1600"/>
      <c r="J15" s="1600"/>
      <c r="K15" s="1600"/>
      <c r="L15" s="1600"/>
      <c r="M15" s="1600"/>
      <c r="N15" s="1600"/>
    </row>
    <row r="16" spans="1:18" x14ac:dyDescent="0.25">
      <c r="B16" s="506" t="s">
        <v>1827</v>
      </c>
      <c r="C16" s="1590"/>
      <c r="D16" s="1598">
        <f>'1.BC_Muc tieu (ty) '!AL32</f>
        <v>43.787349978000002</v>
      </c>
      <c r="E16" s="1590"/>
    </row>
    <row r="17" spans="2:5" x14ac:dyDescent="0.25">
      <c r="B17" s="506" t="s">
        <v>1828</v>
      </c>
      <c r="C17" s="1591"/>
      <c r="D17" s="1598">
        <f>'4. KQ- BS'!G72-'5.ĐG-FCFF'!C20</f>
        <v>295.48333889799994</v>
      </c>
      <c r="E17" s="1591"/>
    </row>
    <row r="18" spans="2:5" x14ac:dyDescent="0.25">
      <c r="B18" s="560" t="s">
        <v>1810</v>
      </c>
      <c r="D18" s="1815">
        <f ca="1">D15+D16-D17</f>
        <v>-9.3835725483891679</v>
      </c>
    </row>
  </sheetData>
  <phoneticPr fontId="6" type="noConversion"/>
  <pageMargins left="0.7" right="0.7" top="0.75" bottom="0.75" header="0.3" footer="0.3"/>
  <pageSetup orientation="portrait" r:id="rId1"/>
  <ignoredErrors>
    <ignoredError sqref="D4:M4 E10:M10 F7:M7" numberStoredAsText="1"/>
  </ignoredError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17">
    <tabColor theme="1" tint="0.249977111117893"/>
  </sheetPr>
  <dimension ref="A1:Q21"/>
  <sheetViews>
    <sheetView showGridLines="0" zoomScaleNormal="100" workbookViewId="0">
      <pane xSplit="2" ySplit="4" topLeftCell="C5" activePane="bottomRight" state="frozen"/>
      <selection pane="topRight" activeCell="C1" sqref="C1"/>
      <selection pane="bottomLeft" activeCell="A5" sqref="A5"/>
      <selection pane="bottomRight" activeCell="D16" sqref="D16"/>
    </sheetView>
  </sheetViews>
  <sheetFormatPr defaultColWidth="8.85546875" defaultRowHeight="15" x14ac:dyDescent="0.25"/>
  <cols>
    <col min="1" max="1" width="6" customWidth="1"/>
    <col min="2" max="2" width="38.42578125" bestFit="1" customWidth="1"/>
    <col min="3" max="3" width="10.28515625" customWidth="1"/>
    <col min="4" max="4" width="9.5703125" bestFit="1" customWidth="1"/>
    <col min="5" max="13" width="10.28515625" bestFit="1" customWidth="1"/>
    <col min="14" max="14" width="8.5703125" bestFit="1" customWidth="1"/>
    <col min="15" max="17" width="20.5703125" customWidth="1"/>
    <col min="18" max="18" width="21.42578125" customWidth="1"/>
  </cols>
  <sheetData>
    <row r="1" spans="1:17" x14ac:dyDescent="0.25">
      <c r="B1" s="4" t="s">
        <v>1824</v>
      </c>
      <c r="C1" s="1586"/>
      <c r="D1" s="304"/>
      <c r="E1" s="304"/>
      <c r="F1" s="1587"/>
      <c r="G1" s="1583"/>
      <c r="H1" s="1583"/>
      <c r="I1" s="1583"/>
      <c r="J1" s="1583"/>
      <c r="K1" s="1583"/>
      <c r="L1" s="1583"/>
      <c r="M1" s="1583"/>
      <c r="N1" s="1584"/>
      <c r="O1" s="1584"/>
      <c r="P1" s="1585"/>
      <c r="Q1" s="1584"/>
    </row>
    <row r="2" spans="1:17" x14ac:dyDescent="0.25">
      <c r="B2" s="156" t="s">
        <v>1821</v>
      </c>
    </row>
    <row r="3" spans="1:17" x14ac:dyDescent="0.25">
      <c r="B3" s="156"/>
      <c r="D3">
        <v>0</v>
      </c>
      <c r="E3">
        <v>1</v>
      </c>
      <c r="F3">
        <v>2</v>
      </c>
      <c r="G3">
        <v>3</v>
      </c>
      <c r="H3">
        <v>4</v>
      </c>
      <c r="I3">
        <v>5</v>
      </c>
      <c r="J3">
        <v>6</v>
      </c>
      <c r="K3">
        <v>7</v>
      </c>
      <c r="L3">
        <v>8</v>
      </c>
      <c r="M3">
        <v>9</v>
      </c>
    </row>
    <row r="4" spans="1:17" x14ac:dyDescent="0.25">
      <c r="A4" s="1601" t="s">
        <v>1</v>
      </c>
      <c r="B4" s="1604" t="s">
        <v>142</v>
      </c>
      <c r="C4" s="1605">
        <v>2023</v>
      </c>
      <c r="D4" s="1605">
        <v>2024</v>
      </c>
      <c r="E4" s="1605">
        <v>2025</v>
      </c>
      <c r="F4" s="1605">
        <v>2026</v>
      </c>
      <c r="G4" s="1605">
        <v>2027</v>
      </c>
      <c r="H4" s="1605">
        <v>2028</v>
      </c>
      <c r="I4" s="1605">
        <v>2029</v>
      </c>
      <c r="J4" s="1605">
        <v>2030</v>
      </c>
      <c r="K4" s="1605">
        <v>2031</v>
      </c>
      <c r="L4" s="1605">
        <v>2032</v>
      </c>
      <c r="M4" s="1605">
        <v>2033</v>
      </c>
      <c r="N4" s="1605" t="s">
        <v>1822</v>
      </c>
    </row>
    <row r="5" spans="1:17" x14ac:dyDescent="0.25">
      <c r="A5" s="1602" t="s">
        <v>576</v>
      </c>
      <c r="B5" s="1606" t="s">
        <v>1812</v>
      </c>
      <c r="C5" s="1606"/>
      <c r="D5" s="1607">
        <f ca="1">'4. KQ-PL'!I56</f>
        <v>6.7575787361192408</v>
      </c>
      <c r="E5" s="1607">
        <f ca="1">'4. KQ-PL'!J56</f>
        <v>16.077322801176514</v>
      </c>
      <c r="F5" s="1607">
        <f ca="1">'4. KQ-PL'!K56</f>
        <v>23.965600597096078</v>
      </c>
      <c r="G5" s="1607">
        <f ca="1">'4. KQ-PL'!L56</f>
        <v>35.336974342943066</v>
      </c>
      <c r="H5" s="1607">
        <f ca="1">'4. KQ-PL'!M56</f>
        <v>39.176006287837382</v>
      </c>
      <c r="I5" s="1607">
        <f ca="1">'4. KQ-PL'!N56</f>
        <v>41.964032760618807</v>
      </c>
      <c r="J5" s="1607">
        <f ca="1">'4. KQ-PL'!O56</f>
        <v>42.491747608441202</v>
      </c>
      <c r="K5" s="1607">
        <f ca="1">'4. KQ-PL'!P56</f>
        <v>43.541820070872177</v>
      </c>
      <c r="L5" s="1607">
        <f ca="1">'4. KQ-PL'!Q56</f>
        <v>44.718521220064702</v>
      </c>
      <c r="M5" s="1607">
        <f ca="1">'4. KQ-PL'!R56</f>
        <v>45.553507721262562</v>
      </c>
      <c r="N5" s="1607"/>
    </row>
    <row r="6" spans="1:17" x14ac:dyDescent="0.25">
      <c r="A6" s="1602" t="s">
        <v>577</v>
      </c>
      <c r="B6" s="1606" t="s">
        <v>15</v>
      </c>
      <c r="C6" s="1606"/>
      <c r="D6" s="1607">
        <f ca="1">'4. KQ-PL'!I57</f>
        <v>1.3515157472238533</v>
      </c>
      <c r="E6" s="1607">
        <f ca="1">'4. KQ-PL'!J57</f>
        <v>3.2154645602353042</v>
      </c>
      <c r="F6" s="1607">
        <f ca="1">'4. KQ-PL'!K57</f>
        <v>4.7931201194192026</v>
      </c>
      <c r="G6" s="1607">
        <f ca="1">'4. KQ-PL'!L57</f>
        <v>7.067394868588611</v>
      </c>
      <c r="H6" s="1607">
        <f ca="1">'4. KQ-PL'!M57</f>
        <v>7.8352012575674763</v>
      </c>
      <c r="I6" s="1607">
        <f ca="1">'4. KQ-PL'!N57</f>
        <v>8.392806552123762</v>
      </c>
      <c r="J6" s="1607">
        <f ca="1">'4. KQ-PL'!O57</f>
        <v>8.4983495216882261</v>
      </c>
      <c r="K6" s="1607">
        <f ca="1">'4. KQ-PL'!P57</f>
        <v>8.7083640141744265</v>
      </c>
      <c r="L6" s="1607">
        <f ca="1">'4. KQ-PL'!Q57</f>
        <v>8.9437042440129328</v>
      </c>
      <c r="M6" s="1607">
        <f ca="1">'4. KQ-PL'!R57</f>
        <v>9.1107015442524908</v>
      </c>
      <c r="N6" s="1607"/>
    </row>
    <row r="7" spans="1:17" x14ac:dyDescent="0.25">
      <c r="A7" s="1602" t="s">
        <v>645</v>
      </c>
      <c r="B7" s="1608" t="s">
        <v>1813</v>
      </c>
      <c r="C7" s="1606"/>
      <c r="D7" s="1607">
        <f t="shared" ref="D7:M7" ca="1" si="0">D5-D6</f>
        <v>5.4060629888953873</v>
      </c>
      <c r="E7" s="1607">
        <f t="shared" ca="1" si="0"/>
        <v>12.86185824094121</v>
      </c>
      <c r="F7" s="1607">
        <f t="shared" ca="1" si="0"/>
        <v>19.172480477676874</v>
      </c>
      <c r="G7" s="1607">
        <f t="shared" ca="1" si="0"/>
        <v>28.269579474354455</v>
      </c>
      <c r="H7" s="1607">
        <f t="shared" ca="1" si="0"/>
        <v>31.340805030269905</v>
      </c>
      <c r="I7" s="1607">
        <f t="shared" ca="1" si="0"/>
        <v>33.571226208495048</v>
      </c>
      <c r="J7" s="1607">
        <f t="shared" ca="1" si="0"/>
        <v>33.993398086752975</v>
      </c>
      <c r="K7" s="1607">
        <f t="shared" ca="1" si="0"/>
        <v>34.833456056697749</v>
      </c>
      <c r="L7" s="1607">
        <f t="shared" ca="1" si="0"/>
        <v>35.774816976051767</v>
      </c>
      <c r="M7" s="1607">
        <f t="shared" ca="1" si="0"/>
        <v>36.44280617701007</v>
      </c>
      <c r="N7" s="1607"/>
    </row>
    <row r="8" spans="1:17" x14ac:dyDescent="0.25">
      <c r="A8" s="1602" t="s">
        <v>604</v>
      </c>
      <c r="B8" s="1608" t="s">
        <v>1814</v>
      </c>
      <c r="C8" s="1606"/>
      <c r="D8" s="1607">
        <f>'4. KQ-PL'!I37</f>
        <v>16.592179068504947</v>
      </c>
      <c r="E8" s="1607">
        <f ca="1">'4. KQ-PL'!J37</f>
        <v>8.2386706203073476</v>
      </c>
      <c r="F8" s="1607">
        <f ca="1">'4. KQ-PL'!K37</f>
        <v>4.9534377298632162</v>
      </c>
      <c r="G8" s="1607">
        <f ca="1">'4. KQ-PL'!L37</f>
        <v>1.5704182831108144</v>
      </c>
      <c r="H8" s="1607">
        <f ca="1">'4. KQ-PL'!M37</f>
        <v>0</v>
      </c>
      <c r="I8" s="1607">
        <f ca="1">'4. KQ-PL'!N37</f>
        <v>0</v>
      </c>
      <c r="J8" s="1607">
        <f ca="1">'4. KQ-PL'!O37</f>
        <v>0</v>
      </c>
      <c r="K8" s="1607">
        <f ca="1">'4. KQ-PL'!P37</f>
        <v>0</v>
      </c>
      <c r="L8" s="1607">
        <f ca="1">'4. KQ-PL'!Q37</f>
        <v>0</v>
      </c>
      <c r="M8" s="1607">
        <f ca="1">'4. KQ-PL'!R37</f>
        <v>0</v>
      </c>
      <c r="N8" s="1607"/>
    </row>
    <row r="9" spans="1:17" x14ac:dyDescent="0.25">
      <c r="A9" s="1602" t="s">
        <v>605</v>
      </c>
      <c r="B9" s="1608" t="s">
        <v>1815</v>
      </c>
      <c r="C9" s="1609"/>
      <c r="D9" s="1607">
        <f t="shared" ref="D9:M9" ca="1" si="1">D5+D8</f>
        <v>23.34975780462419</v>
      </c>
      <c r="E9" s="1607">
        <f t="shared" ca="1" si="1"/>
        <v>24.31599342148386</v>
      </c>
      <c r="F9" s="1607">
        <f t="shared" ca="1" si="1"/>
        <v>28.919038326959296</v>
      </c>
      <c r="G9" s="1607">
        <f t="shared" ca="1" si="1"/>
        <v>36.907392626053877</v>
      </c>
      <c r="H9" s="1607">
        <f t="shared" ca="1" si="1"/>
        <v>39.176006287837382</v>
      </c>
      <c r="I9" s="1607">
        <f t="shared" ca="1" si="1"/>
        <v>41.964032760618807</v>
      </c>
      <c r="J9" s="1607">
        <f t="shared" ca="1" si="1"/>
        <v>42.491747608441202</v>
      </c>
      <c r="K9" s="1607">
        <f t="shared" ca="1" si="1"/>
        <v>43.541820070872177</v>
      </c>
      <c r="L9" s="1607">
        <f t="shared" ca="1" si="1"/>
        <v>44.718521220064702</v>
      </c>
      <c r="M9" s="1607">
        <f t="shared" ca="1" si="1"/>
        <v>45.553507721262562</v>
      </c>
      <c r="N9" s="1607"/>
    </row>
    <row r="10" spans="1:17" s="1" customFormat="1" x14ac:dyDescent="0.25">
      <c r="A10" s="1617" t="s">
        <v>644</v>
      </c>
      <c r="B10" s="1618" t="s">
        <v>1820</v>
      </c>
      <c r="C10" s="1609"/>
      <c r="D10" s="1619">
        <f t="shared" ref="D10:M10" ca="1" si="2">D9-D6</f>
        <v>21.998242057400336</v>
      </c>
      <c r="E10" s="1619">
        <f t="shared" ca="1" si="2"/>
        <v>21.100528861248556</v>
      </c>
      <c r="F10" s="1619">
        <f t="shared" ca="1" si="2"/>
        <v>24.125918207540092</v>
      </c>
      <c r="G10" s="1619">
        <f t="shared" ca="1" si="2"/>
        <v>29.839997757465266</v>
      </c>
      <c r="H10" s="1619">
        <f t="shared" ca="1" si="2"/>
        <v>31.340805030269905</v>
      </c>
      <c r="I10" s="1619">
        <f t="shared" ca="1" si="2"/>
        <v>33.571226208495048</v>
      </c>
      <c r="J10" s="1619">
        <f t="shared" ca="1" si="2"/>
        <v>33.993398086752975</v>
      </c>
      <c r="K10" s="1619">
        <f t="shared" ca="1" si="2"/>
        <v>34.833456056697749</v>
      </c>
      <c r="L10" s="1619">
        <f t="shared" ca="1" si="2"/>
        <v>35.774816976051767</v>
      </c>
      <c r="M10" s="1619">
        <f t="shared" ca="1" si="2"/>
        <v>36.44280617701007</v>
      </c>
      <c r="N10" s="1619"/>
    </row>
    <row r="11" spans="1:17" s="1" customFormat="1" x14ac:dyDescent="0.25">
      <c r="A11" s="1617" t="s">
        <v>1459</v>
      </c>
      <c r="B11" s="1618" t="s">
        <v>1816</v>
      </c>
      <c r="C11" s="1620"/>
      <c r="D11" s="1619">
        <f>'3.CP-KH'!D10</f>
        <v>20.662273527019995</v>
      </c>
      <c r="E11" s="1619">
        <f>'3.CP-KH'!E10</f>
        <v>19.444429658101068</v>
      </c>
      <c r="F11" s="1619">
        <f>'3.CP-KH'!F10</f>
        <v>15.216971019397629</v>
      </c>
      <c r="G11" s="1619">
        <f>'3.CP-KH'!G10</f>
        <v>7.1299795507893355</v>
      </c>
      <c r="H11" s="1619">
        <f>'3.CP-KH'!H10</f>
        <v>5.2262909369523118</v>
      </c>
      <c r="I11" s="1619">
        <f>'3.CP-KH'!I10</f>
        <v>2.9552403617905787</v>
      </c>
      <c r="J11" s="1619">
        <f>'3.CP-KH'!J10</f>
        <v>2.9552403617905787</v>
      </c>
      <c r="K11" s="1619">
        <f>'3.CP-KH'!K10</f>
        <v>2.4842139206026372</v>
      </c>
      <c r="L11" s="1619">
        <f>'3.CP-KH'!L10</f>
        <v>1.8718510669103741</v>
      </c>
      <c r="M11" s="1619">
        <f>'3.CP-KH'!M10</f>
        <v>1.6198890860873134</v>
      </c>
      <c r="N11" s="1619"/>
    </row>
    <row r="12" spans="1:17" s="1" customFormat="1" x14ac:dyDescent="0.25">
      <c r="A12" s="1617" t="s">
        <v>1462</v>
      </c>
      <c r="B12" s="1618" t="s">
        <v>158</v>
      </c>
      <c r="C12" s="1620"/>
      <c r="D12" s="1619"/>
      <c r="E12" s="1619"/>
      <c r="F12" s="1619"/>
      <c r="G12" s="1619"/>
      <c r="H12" s="1619"/>
      <c r="I12" s="1619"/>
      <c r="J12" s="1619"/>
      <c r="K12" s="1619"/>
      <c r="L12" s="1619"/>
      <c r="M12" s="1619"/>
      <c r="N12" s="1619"/>
    </row>
    <row r="13" spans="1:17" s="1" customFormat="1" ht="30" x14ac:dyDescent="0.25">
      <c r="A13" s="1617" t="s">
        <v>1465</v>
      </c>
      <c r="B13" s="1621" t="s">
        <v>1811</v>
      </c>
      <c r="C13" s="1619">
        <f>'4. KQ- BS'!G14+'4. KQ- BS'!G23+'4. KQ- BS'!G26-('4. KQ- BS'!G73-'4. KQ- BS'!G83)</f>
        <v>126.40738140000008</v>
      </c>
      <c r="D13" s="1619">
        <f ca="1">'4. KQ- BS'!H14+'4. KQ- BS'!H23+'4. KQ- BS'!H26-('4. KQ- BS'!H73-'4. KQ- BS'!H83)</f>
        <v>21.305192929592735</v>
      </c>
      <c r="E13" s="1619">
        <f ca="1">'4. KQ- BS'!I14+'4. KQ- BS'!I23+'4. KQ- BS'!I26-('4. KQ- BS'!I73-'4. KQ- BS'!I83)</f>
        <v>21.707711308633407</v>
      </c>
      <c r="F13" s="1619">
        <f ca="1">'4. KQ- BS'!J14+'4. KQ- BS'!J23+'4. KQ- BS'!J26-('4. KQ- BS'!J73-'4. KQ- BS'!J83)</f>
        <v>22.114427859059361</v>
      </c>
      <c r="G13" s="1619">
        <f ca="1">'4. KQ- BS'!K14+'4. KQ- BS'!K23+'4. KQ- BS'!K26-('4. KQ- BS'!K73-'4. KQ- BS'!K83)</f>
        <v>22.525388039635104</v>
      </c>
      <c r="H13" s="1619">
        <f ca="1">'4. KQ- BS'!L14+'4. KQ- BS'!L23+'4. KQ- BS'!L26-('4. KQ- BS'!L73-'4. KQ- BS'!L83)</f>
        <v>22.940637833601542</v>
      </c>
      <c r="I13" s="1619">
        <f ca="1">'4. KQ- BS'!M14+'4. KQ- BS'!M23+'4. KQ- BS'!M26-('4. KQ- BS'!M73-'4. KQ- BS'!M83)</f>
        <v>23.36022375532545</v>
      </c>
      <c r="J13" s="1619">
        <f ca="1">'4. KQ- BS'!N14+'4. KQ- BS'!N23+'4. KQ- BS'!N26-('4. KQ- BS'!N73-'4. KQ- BS'!N83)</f>
        <v>23.78419285704372</v>
      </c>
      <c r="K13" s="1619">
        <f ca="1">'4. KQ- BS'!O14+'4. KQ- BS'!O23+'4. KQ- BS'!O26-('4. KQ- BS'!O73-'4. KQ- BS'!O83)</f>
        <v>24.212592735703907</v>
      </c>
      <c r="L13" s="1619">
        <f ca="1">'4. KQ- BS'!P14+'4. KQ- BS'!P23+'4. KQ- BS'!P26-('4. KQ- BS'!P73-'4. KQ- BS'!P83)</f>
        <v>24.645471539902516</v>
      </c>
      <c r="M13" s="1619">
        <f ca="1">'4. KQ- BS'!Q14+'4. KQ- BS'!Q23+'4. KQ- BS'!Q26-('4. KQ- BS'!Q73-'4. KQ- BS'!Q83)</f>
        <v>25.082877976922674</v>
      </c>
      <c r="N13" s="1619"/>
    </row>
    <row r="14" spans="1:17" s="1" customFormat="1" ht="30" x14ac:dyDescent="0.25">
      <c r="A14" s="1617" t="s">
        <v>276</v>
      </c>
      <c r="B14" s="1621" t="s">
        <v>1817</v>
      </c>
      <c r="C14" s="1620"/>
      <c r="D14" s="1619">
        <f ca="1">D13-C13</f>
        <v>-105.10218847040734</v>
      </c>
      <c r="E14" s="1619">
        <f t="shared" ref="E14:M14" ca="1" si="3">E13-D13</f>
        <v>0.40251837904067145</v>
      </c>
      <c r="F14" s="1619">
        <f t="shared" ca="1" si="3"/>
        <v>0.40671655042595489</v>
      </c>
      <c r="G14" s="1619">
        <f t="shared" ca="1" si="3"/>
        <v>0.41096018057574213</v>
      </c>
      <c r="H14" s="1619">
        <f t="shared" ca="1" si="3"/>
        <v>0.41524979396643857</v>
      </c>
      <c r="I14" s="1619">
        <f t="shared" ca="1" si="3"/>
        <v>0.41958592172390752</v>
      </c>
      <c r="J14" s="1619">
        <f t="shared" ca="1" si="3"/>
        <v>0.42396910171827074</v>
      </c>
      <c r="K14" s="1619">
        <f t="shared" ca="1" si="3"/>
        <v>0.42839987866018703</v>
      </c>
      <c r="L14" s="1619">
        <f t="shared" ca="1" si="3"/>
        <v>0.43287880419860869</v>
      </c>
      <c r="M14" s="1619">
        <f t="shared" ca="1" si="3"/>
        <v>0.43740643702015802</v>
      </c>
      <c r="N14" s="1619"/>
    </row>
    <row r="15" spans="1:17" s="1" customFormat="1" x14ac:dyDescent="0.25">
      <c r="A15" s="1617" t="s">
        <v>277</v>
      </c>
      <c r="B15" s="1622" t="s">
        <v>1818</v>
      </c>
      <c r="C15" s="1609"/>
      <c r="D15" s="1619">
        <f ca="1">D10+D11-D14-D12</f>
        <v>147.76270405482768</v>
      </c>
      <c r="E15" s="1619">
        <f t="shared" ref="E15:M15" ca="1" si="4">E10+E11-E14-E12</f>
        <v>40.142440140308949</v>
      </c>
      <c r="F15" s="1619">
        <f t="shared" ca="1" si="4"/>
        <v>38.936172676511767</v>
      </c>
      <c r="G15" s="1619">
        <f t="shared" ca="1" si="4"/>
        <v>36.559017127678857</v>
      </c>
      <c r="H15" s="1619">
        <f t="shared" ca="1" si="4"/>
        <v>36.151846173255777</v>
      </c>
      <c r="I15" s="1619">
        <f t="shared" ca="1" si="4"/>
        <v>36.10688064856172</v>
      </c>
      <c r="J15" s="1619">
        <f t="shared" ca="1" si="4"/>
        <v>36.524669346825284</v>
      </c>
      <c r="K15" s="1619">
        <f t="shared" ca="1" si="4"/>
        <v>36.889270098640196</v>
      </c>
      <c r="L15" s="1619">
        <f t="shared" ca="1" si="4"/>
        <v>37.213789238763532</v>
      </c>
      <c r="M15" s="1619">
        <f t="shared" ca="1" si="4"/>
        <v>37.625288826077224</v>
      </c>
      <c r="N15" s="1619">
        <f ca="1">M15*(1+'2. Input'!C18)^M3</f>
        <v>41.150224269576114</v>
      </c>
    </row>
    <row r="16" spans="1:17" ht="30" x14ac:dyDescent="0.25">
      <c r="A16" s="1616" t="s">
        <v>646</v>
      </c>
      <c r="B16" s="1611" t="s">
        <v>1819</v>
      </c>
      <c r="C16" s="1612"/>
      <c r="D16" s="1610">
        <f ca="1">D15/((1+$C$17)^D3)</f>
        <v>147.76270405482768</v>
      </c>
      <c r="E16" s="1610">
        <f t="shared" ref="E16:M16" ca="1" si="5">E15/((1+$C$17)^E3)</f>
        <v>36.177797022595676</v>
      </c>
      <c r="F16" s="1610">
        <f t="shared" ca="1" si="5"/>
        <v>31.624958043764131</v>
      </c>
      <c r="G16" s="1610">
        <f t="shared" ca="1" si="5"/>
        <v>26.761444987934972</v>
      </c>
      <c r="H16" s="1610">
        <f t="shared" ca="1" si="5"/>
        <v>23.849752574155819</v>
      </c>
      <c r="I16" s="1610">
        <f t="shared" ca="1" si="5"/>
        <v>21.467512144368893</v>
      </c>
      <c r="J16" s="1610">
        <f t="shared" ca="1" si="5"/>
        <v>19.571151968990545</v>
      </c>
      <c r="K16" s="1610">
        <f t="shared" ca="1" si="5"/>
        <v>17.814289584878452</v>
      </c>
      <c r="L16" s="1610">
        <f t="shared" ca="1" si="5"/>
        <v>16.196108914387558</v>
      </c>
      <c r="M16" s="1610">
        <f t="shared" ca="1" si="5"/>
        <v>14.757914391873856</v>
      </c>
      <c r="N16" s="1610">
        <f ca="1">N15/(C17-'2. Input'!C18)</f>
        <v>413.20571270819562</v>
      </c>
    </row>
    <row r="17" spans="1:14" x14ac:dyDescent="0.25">
      <c r="A17" s="1603"/>
      <c r="B17" s="561" t="s">
        <v>19</v>
      </c>
      <c r="C17" s="2002">
        <f>'2. WACC'!D12</f>
        <v>0.10958774286994491</v>
      </c>
      <c r="D17" s="1613"/>
      <c r="E17" s="1613"/>
      <c r="F17" s="1613"/>
      <c r="G17" s="1613"/>
      <c r="H17" s="1613"/>
      <c r="I17" s="1613"/>
      <c r="J17" s="1613"/>
      <c r="K17" s="1613"/>
      <c r="L17" s="1613"/>
      <c r="M17" s="1613"/>
      <c r="N17" s="6"/>
    </row>
    <row r="18" spans="1:14" x14ac:dyDescent="0.25">
      <c r="A18" s="1603"/>
      <c r="B18" s="562" t="s">
        <v>161</v>
      </c>
      <c r="C18" s="1623">
        <f ca="1">SUM(D16:M16)+N16/((1+C17)^M3)</f>
        <v>518.05692866151207</v>
      </c>
      <c r="D18" s="1613"/>
      <c r="E18" s="1613"/>
      <c r="F18" s="1613"/>
      <c r="G18" s="1613"/>
      <c r="H18" s="1613"/>
      <c r="I18" s="1613"/>
      <c r="J18" s="1613"/>
      <c r="K18" s="1613"/>
      <c r="L18" s="1613"/>
      <c r="M18" s="1613"/>
    </row>
    <row r="19" spans="1:14" x14ac:dyDescent="0.25">
      <c r="A19" s="562"/>
      <c r="B19" s="562" t="s">
        <v>1809</v>
      </c>
      <c r="C19" s="1624">
        <f>'1.BC_Muc tieu (ty) '!AL31</f>
        <v>43.787349978000002</v>
      </c>
      <c r="D19" s="1614"/>
      <c r="E19" s="1614"/>
      <c r="F19" s="1614"/>
      <c r="G19" s="1614"/>
      <c r="H19" s="1614"/>
      <c r="I19" s="1614"/>
      <c r="J19" s="1614"/>
      <c r="K19" s="1614"/>
      <c r="L19" s="1614"/>
      <c r="M19" s="1614"/>
    </row>
    <row r="20" spans="1:14" x14ac:dyDescent="0.25">
      <c r="A20" s="562"/>
      <c r="B20" s="562" t="s">
        <v>1823</v>
      </c>
      <c r="C20" s="1625">
        <f>'1.BC_Muc tieu (ty) '!AL108+'1.BC_Muc tieu (ty) '!AL121</f>
        <v>224.07377005199999</v>
      </c>
      <c r="D20" s="1614"/>
      <c r="E20" s="1614"/>
      <c r="F20" s="1614"/>
      <c r="G20" s="1614"/>
      <c r="H20" s="1614"/>
      <c r="I20" s="1614"/>
      <c r="J20" s="1614"/>
      <c r="K20" s="1614"/>
      <c r="L20" s="1614"/>
      <c r="M20" s="1614"/>
    </row>
    <row r="21" spans="1:14" x14ac:dyDescent="0.25">
      <c r="A21" s="562"/>
      <c r="B21" s="560" t="s">
        <v>1810</v>
      </c>
      <c r="C21" s="1615">
        <f ca="1">C18-C20+C19</f>
        <v>337.7705085875121</v>
      </c>
      <c r="D21" s="562"/>
      <c r="E21" s="562"/>
      <c r="F21" s="562"/>
      <c r="G21" s="562"/>
      <c r="H21" s="562"/>
      <c r="I21" s="562"/>
      <c r="J21" s="562"/>
      <c r="K21" s="562"/>
      <c r="L21" s="562"/>
      <c r="M21" s="562"/>
    </row>
  </sheetData>
  <phoneticPr fontId="6" type="noConversion"/>
  <pageMargins left="0.7" right="0.7" top="0.75" bottom="0.75" header="0.3" footer="0.3"/>
  <pageSetup orientation="portrait" r:id="rId1"/>
  <ignoredErrors>
    <ignoredError sqref="A5:A12" numberStoredAsText="1"/>
  </ignoredError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theme="1" tint="0.249977111117893"/>
  </sheetPr>
  <dimension ref="B1:M61"/>
  <sheetViews>
    <sheetView showGridLines="0" topLeftCell="A25" zoomScale="55" zoomScaleNormal="55" workbookViewId="0">
      <selection activeCell="F66" sqref="F66"/>
    </sheetView>
  </sheetViews>
  <sheetFormatPr defaultColWidth="11" defaultRowHeight="15" x14ac:dyDescent="0.25"/>
  <cols>
    <col min="1" max="1" width="8.7109375" style="562" customWidth="1"/>
    <col min="2" max="2" width="74.5703125" style="562" bestFit="1" customWidth="1"/>
    <col min="3" max="3" width="24.28515625" style="1899" bestFit="1" customWidth="1"/>
    <col min="4" max="4" width="29.28515625" style="1899" customWidth="1"/>
    <col min="5" max="5" width="25.42578125" style="1899" customWidth="1"/>
    <col min="6" max="6" width="24.5703125" style="562" customWidth="1"/>
    <col min="7" max="8" width="22.28515625" style="562" customWidth="1"/>
    <col min="9" max="9" width="27.28515625" style="562" bestFit="1" customWidth="1"/>
    <col min="10" max="10" width="24" style="562" bestFit="1" customWidth="1"/>
    <col min="11" max="23" width="22.28515625" style="562" customWidth="1"/>
    <col min="24" max="24" width="20.7109375" style="562" customWidth="1"/>
    <col min="25" max="25" width="23" style="562" customWidth="1"/>
    <col min="26" max="26" width="19.42578125" style="562" bestFit="1" customWidth="1"/>
    <col min="27" max="16384" width="11" style="562"/>
  </cols>
  <sheetData>
    <row r="1" spans="2:13" x14ac:dyDescent="0.25">
      <c r="C1" s="1898"/>
      <c r="D1" s="1898"/>
    </row>
    <row r="3" spans="2:13" ht="30.95" customHeight="1" x14ac:dyDescent="0.25">
      <c r="B3" s="1936" t="s">
        <v>499</v>
      </c>
      <c r="C3" s="2281" t="s">
        <v>500</v>
      </c>
      <c r="D3" s="2281"/>
      <c r="E3" s="2281"/>
      <c r="F3" s="2282" t="s">
        <v>501</v>
      </c>
      <c r="G3" s="2282"/>
      <c r="I3" s="2283" t="s">
        <v>502</v>
      </c>
      <c r="J3" s="2284"/>
      <c r="K3" s="2284"/>
      <c r="L3" s="2284"/>
    </row>
    <row r="4" spans="2:13" ht="16.149999999999999" customHeight="1" x14ac:dyDescent="0.25">
      <c r="B4" s="1900"/>
      <c r="C4" s="1879" t="s">
        <v>121</v>
      </c>
      <c r="D4" s="1879" t="s">
        <v>229</v>
      </c>
      <c r="E4" s="1879" t="s">
        <v>2</v>
      </c>
      <c r="F4" s="1880" t="s">
        <v>220</v>
      </c>
      <c r="G4" s="1880" t="s">
        <v>221</v>
      </c>
      <c r="I4" s="1901" t="s">
        <v>503</v>
      </c>
      <c r="J4" s="2285">
        <v>2022</v>
      </c>
      <c r="K4" s="2285"/>
      <c r="L4" s="2285"/>
    </row>
    <row r="5" spans="2:13" x14ac:dyDescent="0.25">
      <c r="B5" s="1900" t="s">
        <v>246</v>
      </c>
      <c r="C5" s="1881">
        <v>2023</v>
      </c>
      <c r="D5" s="1881">
        <v>2023</v>
      </c>
      <c r="E5" s="1881">
        <v>2023</v>
      </c>
      <c r="F5" s="1881">
        <v>2023</v>
      </c>
      <c r="G5" s="1881">
        <v>2023</v>
      </c>
      <c r="I5" s="1902" t="str">
        <f>'[33]Chi tieu đánh giá tương đồng'!A15</f>
        <v>ROE</v>
      </c>
      <c r="J5" s="1903">
        <f>'Chi tieu đánh giá tương đồng'!B15</f>
        <v>8.9885186525385519E-2</v>
      </c>
      <c r="K5" s="1903">
        <f>'Chi tieu đánh giá tương đồng'!C15</f>
        <v>0.26965555957615656</v>
      </c>
      <c r="L5" s="1903">
        <f>'Chi tieu đánh giá tương đồng'!D15</f>
        <v>8.9885186525385519E-2</v>
      </c>
    </row>
    <row r="6" spans="2:13" x14ac:dyDescent="0.25">
      <c r="B6" s="1904" t="s">
        <v>986</v>
      </c>
      <c r="C6" s="1883">
        <f>'5.DNCN (VND)'!BW5</f>
        <v>55259416469</v>
      </c>
      <c r="D6" s="1883">
        <f>'5.DNCN (VND)'!Q5</f>
        <v>531998349973</v>
      </c>
      <c r="E6" s="1883">
        <f>'5.DNCN (VND)'!T5</f>
        <v>66474844940</v>
      </c>
      <c r="F6" s="1905">
        <f>'5.DNCN (VND)'!CS5</f>
        <v>2.2604558630388676E-2</v>
      </c>
      <c r="G6" s="1905">
        <f>'5.DNCN (VND)'!CT5</f>
        <v>0.17977037305077104</v>
      </c>
      <c r="I6" s="1902" t="str">
        <f>'[33]Chi tieu đánh giá tương đồng'!A16</f>
        <v>VCSH</v>
      </c>
      <c r="J6" s="1906">
        <f>'Chi tieu đánh giá tương đồng'!B16</f>
        <v>27629708234.5</v>
      </c>
      <c r="K6" s="1906">
        <f>'Chi tieu đánh giá tương đồng'!C16</f>
        <v>82889124703.5</v>
      </c>
      <c r="L6" s="1906">
        <f>'Chi tieu đánh giá tương đồng'!D16</f>
        <v>27629708234.5</v>
      </c>
    </row>
    <row r="7" spans="2:13" x14ac:dyDescent="0.25">
      <c r="B7" s="1882" t="str">
        <f>'5.DNCN (VND)'!D7</f>
        <v>CTCP Đầu tư và Xây dựng Bình Dương ACC</v>
      </c>
      <c r="C7" s="1883">
        <f>'5.DNCN (VND)'!BW7</f>
        <v>1285040813541</v>
      </c>
      <c r="D7" s="1883">
        <f>'5.DNCN (VND)'!Q7</f>
        <v>651590436819</v>
      </c>
      <c r="E7" s="1883">
        <f>'5.DNCN (VND)'!T7</f>
        <v>126557693605</v>
      </c>
      <c r="F7" s="1905">
        <f>'5.DNCN (VND)'!CS7</f>
        <v>3.1517334957226036E-2</v>
      </c>
      <c r="G7" s="1905">
        <f>'5.DNCN (VND)'!CT7</f>
        <v>5.6374525655824036E-2</v>
      </c>
      <c r="I7" s="1902" t="str">
        <f>'[33]Chi tieu đánh giá tương đồng'!A17</f>
        <v>LNST</v>
      </c>
      <c r="J7" s="1906">
        <f>'Chi tieu đánh giá tương đồng'!B17</f>
        <v>5865864697.0000124</v>
      </c>
      <c r="K7" s="1906">
        <f>'Chi tieu đánh giá tương đồng'!C17</f>
        <v>17597594091.000038</v>
      </c>
      <c r="L7" s="1906">
        <f>'Chi tieu đánh giá tương đồng'!D17</f>
        <v>5865864697.0000124</v>
      </c>
    </row>
    <row r="8" spans="2:13" x14ac:dyDescent="0.25">
      <c r="B8" s="1882" t="str">
        <f>'5.DNCN (VND)'!D8</f>
        <v>CTCP Khoáng sản FECON</v>
      </c>
      <c r="C8" s="1883">
        <f>'5.DNCN (VND)'!BW8</f>
        <v>584611968140</v>
      </c>
      <c r="D8" s="1883">
        <f>'5.DNCN (VND)'!Q8</f>
        <v>458971576519</v>
      </c>
      <c r="E8" s="1883">
        <f>'5.DNCN (VND)'!T8</f>
        <v>55273656678</v>
      </c>
      <c r="F8" s="1905">
        <f>'5.DNCN (VND)'!CS8</f>
        <v>1.9070814047068417E-2</v>
      </c>
      <c r="G8" s="1905">
        <f>'5.DNCN (VND)'!CT8</f>
        <v>2.7064511290414605E-2</v>
      </c>
      <c r="I8" s="1902" t="str">
        <f>'[33]Chi tieu đánh giá tương đồng'!A18</f>
        <v>TS</v>
      </c>
      <c r="J8" s="1906">
        <f>'Chi tieu đánh giá tương đồng'!B18</f>
        <v>311698212174.5</v>
      </c>
      <c r="K8" s="1906">
        <f>'Chi tieu đánh giá tương đồng'!C18</f>
        <v>935094636523.5</v>
      </c>
      <c r="L8" s="1906">
        <f>'Chi tieu đánh giá tương đồng'!D18</f>
        <v>311698212174.5</v>
      </c>
    </row>
    <row r="9" spans="2:13" x14ac:dyDescent="0.25">
      <c r="B9" s="1882" t="str">
        <f>'5.DNCN (VND)'!D9</f>
        <v>CTCP Đầu tư và Xây dựng Tiền Giang</v>
      </c>
      <c r="C9" s="1883">
        <f>'5.DNCN (VND)'!BW9</f>
        <v>688474019464</v>
      </c>
      <c r="D9" s="1883">
        <f>'5.DNCN (VND)'!Q9</f>
        <v>1669780465317</v>
      </c>
      <c r="E9" s="1883">
        <f>'5.DNCN (VND)'!T9</f>
        <v>381796786248</v>
      </c>
      <c r="F9" s="1905">
        <f>'5.DNCN (VND)'!CS9</f>
        <v>9.8121274131844571E-2</v>
      </c>
      <c r="G9" s="1905">
        <f>'5.DNCN (VND)'!CT9</f>
        <v>0.27298562443829005</v>
      </c>
      <c r="I9" s="1902" t="str">
        <f>'[33]Chi tieu đánh giá tương đồng'!A19</f>
        <v>ROA</v>
      </c>
      <c r="J9" s="1903">
        <f>'Chi tieu đánh giá tương đồng'!B19</f>
        <v>1.1302279315194338E-2</v>
      </c>
      <c r="K9" s="1903">
        <f>'Chi tieu đánh giá tương đồng'!C19</f>
        <v>3.390683794558301E-2</v>
      </c>
      <c r="L9" s="1903">
        <f>'Chi tieu đánh giá tương đồng'!D19</f>
        <v>1.1302279315194338E-2</v>
      </c>
    </row>
    <row r="10" spans="2:13" x14ac:dyDescent="0.25">
      <c r="B10" s="1882" t="str">
        <f>'5.DNCN (VND)'!D10</f>
        <v>CTCP Bê tông Hòa Cầm - Intimex</v>
      </c>
      <c r="C10" s="1883">
        <f>'5.DNCN (VND)'!BW10</f>
        <v>80790891014</v>
      </c>
      <c r="D10" s="1883">
        <f>'5.DNCN (VND)'!Q10</f>
        <v>233500103053</v>
      </c>
      <c r="E10" s="1883">
        <f>'5.DNCN (VND)'!T10</f>
        <v>20479641199</v>
      </c>
      <c r="F10" s="1905">
        <f>'5.DNCN (VND)'!CS10</f>
        <v>6.4544469171822341E-2</v>
      </c>
      <c r="G10" s="1905">
        <f>'5.DNCN (VND)'!CT10</f>
        <v>0.11213119436949526</v>
      </c>
      <c r="I10" s="1902" t="str">
        <f>'[33]Chi tieu đánh giá tương đồng'!A20</f>
        <v>ROS</v>
      </c>
      <c r="J10" s="1903">
        <f>'Chi tieu đánh giá tương đồng'!B20</f>
        <v>1.102609565856307E-2</v>
      </c>
      <c r="K10" s="1903">
        <f>'Chi tieu đánh giá tương đồng'!C20</f>
        <v>3.3078286975689208E-2</v>
      </c>
      <c r="L10" s="1903">
        <f>'Chi tieu đánh giá tương đồng'!D20</f>
        <v>1.102609565856307E-2</v>
      </c>
    </row>
    <row r="11" spans="2:13" x14ac:dyDescent="0.25">
      <c r="B11" s="1882" t="str">
        <f>'5.DNCN (VND)'!D11</f>
        <v>CTCP Tập đoàn Đầu tư Din Capital</v>
      </c>
      <c r="C11" s="1883">
        <f>'5.DNCN (VND)'!BW11</f>
        <v>129617999687</v>
      </c>
      <c r="D11" s="1883">
        <f>'5.DNCN (VND)'!Q11</f>
        <v>235219645366</v>
      </c>
      <c r="E11" s="1883">
        <f>'5.DNCN (VND)'!T11</f>
        <v>18433326983</v>
      </c>
      <c r="F11" s="1905">
        <f>'5.DNCN (VND)'!CS11</f>
        <v>1.1463644740365661E-2</v>
      </c>
      <c r="G11" s="1905">
        <f>'5.DNCN (VND)'!CT11</f>
        <v>1.9875531054757496E-2</v>
      </c>
      <c r="I11" s="1902" t="str">
        <f>'[33]Chi tieu đánh giá tương đồng'!A21</f>
        <v>DTT</v>
      </c>
      <c r="J11" s="1906">
        <f>'Chi tieu đánh giá tương đồng'!B21</f>
        <v>265999174986.5</v>
      </c>
      <c r="K11" s="1906">
        <f>'Chi tieu đánh giá tương đồng'!C21</f>
        <v>797997524959.5</v>
      </c>
      <c r="L11" s="1906">
        <f>'Chi tieu đánh giá tương đồng'!D21</f>
        <v>265999174986.5</v>
      </c>
    </row>
    <row r="12" spans="2:13" x14ac:dyDescent="0.25">
      <c r="B12" s="1882" t="str">
        <f>'5.DNCN (VND)'!D12</f>
        <v xml:space="preserve">CTCP Bê tông Ly tâm An Giang </v>
      </c>
      <c r="C12" s="1883">
        <f>'5.DNCN (VND)'!BW12</f>
        <v>71337332381</v>
      </c>
      <c r="D12" s="1883">
        <f>'5.DNCN (VND)'!Q12</f>
        <v>295481188173</v>
      </c>
      <c r="E12" s="1883">
        <f>'5.DNCN (VND)'!T12</f>
        <v>53267414286</v>
      </c>
      <c r="F12" s="1905">
        <f>'5.DNCN (VND)'!CS12</f>
        <v>8.6827555746091425E-2</v>
      </c>
      <c r="G12" s="1905">
        <f>'5.DNCN (VND)'!CT12</f>
        <v>0.20822205899305132</v>
      </c>
      <c r="I12" s="1907" t="str">
        <f>'[33]Chi tieu đánh giá tương đồng'!A22</f>
        <v>LNG</v>
      </c>
      <c r="J12" s="1906">
        <f>'Chi tieu đánh giá tương đồng'!B22</f>
        <v>33237422470</v>
      </c>
      <c r="K12" s="1906">
        <f>'Chi tieu đánh giá tương đồng'!C22</f>
        <v>99712267410</v>
      </c>
      <c r="L12" s="1906">
        <f>'Chi tieu đánh giá tương đồng'!D22</f>
        <v>33237422470</v>
      </c>
      <c r="M12" s="66"/>
    </row>
    <row r="13" spans="2:13" x14ac:dyDescent="0.25">
      <c r="B13" s="1882" t="str">
        <f>'5.DNCN (VND)'!D13</f>
        <v>CTCP DIC - Đồng Tiến</v>
      </c>
      <c r="C13" s="1883">
        <f>'5.DNCN (VND)'!BW13</f>
        <v>183339075454</v>
      </c>
      <c r="D13" s="1883">
        <f>'5.DNCN (VND)'!Q13</f>
        <v>227416474050</v>
      </c>
      <c r="E13" s="1883">
        <f>'5.DNCN (VND)'!T13</f>
        <v>16426588260</v>
      </c>
      <c r="F13" s="1905">
        <f>'5.DNCN (VND)'!CS13</f>
        <v>8.7258264880348945E-4</v>
      </c>
      <c r="G13" s="1905">
        <f>'5.DNCN (VND)'!CT13</f>
        <v>1.7233236390260694E-3</v>
      </c>
      <c r="I13" s="1908"/>
      <c r="J13" s="1904"/>
      <c r="K13" s="1904"/>
      <c r="L13" s="1904"/>
    </row>
    <row r="14" spans="2:13" x14ac:dyDescent="0.25">
      <c r="B14" s="1882" t="str">
        <f>'5.DNCN (VND)'!D14</f>
        <v>CTCP Bê tông Ly tâm Điện Lực Khánh Hòa</v>
      </c>
      <c r="C14" s="1883">
        <f>'5.DNCN (VND)'!BW14</f>
        <v>29491064049</v>
      </c>
      <c r="D14" s="1883">
        <f>'5.DNCN (VND)'!Q14</f>
        <v>40904083152</v>
      </c>
      <c r="E14" s="1883">
        <f>'5.DNCN (VND)'!T14</f>
        <v>8768748308</v>
      </c>
      <c r="F14" s="1905">
        <f>'5.DNCN (VND)'!CS14</f>
        <v>5.5239156409959071E-2</v>
      </c>
      <c r="G14" s="1905">
        <f>'5.DNCN (VND)'!CT14</f>
        <v>6.3830139257626095E-2</v>
      </c>
      <c r="I14" s="1908"/>
      <c r="J14" s="1904"/>
      <c r="K14" s="1904"/>
      <c r="L14" s="1885"/>
    </row>
    <row r="15" spans="2:13" x14ac:dyDescent="0.25">
      <c r="B15" s="1882" t="str">
        <f>'5.DNCN (VND)'!D15</f>
        <v>CTCP Đầu tư Kinh doanh Nhà Thành Đạt</v>
      </c>
      <c r="C15" s="1883">
        <f>'5.DNCN (VND)'!BW15</f>
        <v>17140701567</v>
      </c>
      <c r="D15" s="1883">
        <f>'5.DNCN (VND)'!Q15</f>
        <v>50441339361</v>
      </c>
      <c r="E15" s="1883">
        <f>'5.DNCN (VND)'!T15</f>
        <v>-2142629085</v>
      </c>
      <c r="F15" s="1905">
        <f>'5.DNCN (VND)'!CS15</f>
        <v>-0.11210053910847902</v>
      </c>
      <c r="G15" s="1905">
        <f>'5.DNCN (VND)'!CT15</f>
        <v>-0.29243516117763779</v>
      </c>
      <c r="I15" s="1908"/>
      <c r="J15" s="1904"/>
      <c r="K15" s="1904"/>
      <c r="L15" s="1904"/>
    </row>
    <row r="16" spans="2:13" x14ac:dyDescent="0.25">
      <c r="B16" s="1882" t="str">
        <f>'5.DNCN (VND)'!D16</f>
        <v xml:space="preserve">CTCP Xuân Mai - Đạo Tú </v>
      </c>
      <c r="C16" s="1883">
        <f>'5.DNCN (VND)'!BW16</f>
        <v>39719130553</v>
      </c>
      <c r="D16" s="1883">
        <f>'5.DNCN (VND)'!Q16</f>
        <v>101803441146</v>
      </c>
      <c r="E16" s="1883">
        <f>'5.DNCN (VND)'!T16</f>
        <v>5434267060</v>
      </c>
      <c r="F16" s="1905">
        <f>'5.DNCN (VND)'!CS16</f>
        <v>-2.2615248807905861E-2</v>
      </c>
      <c r="G16" s="1905">
        <f>'5.DNCN (VND)'!CT16</f>
        <v>-5.5546011592011099E-2</v>
      </c>
      <c r="I16" s="1908"/>
      <c r="J16" s="1904"/>
      <c r="K16" s="1904"/>
      <c r="L16" s="1904"/>
    </row>
    <row r="17" spans="2:13" x14ac:dyDescent="0.25">
      <c r="B17" s="1867"/>
      <c r="C17" s="1868"/>
      <c r="D17" s="1869"/>
      <c r="E17" s="1868"/>
      <c r="F17" s="1870"/>
      <c r="G17" s="1870"/>
      <c r="H17" s="1909"/>
      <c r="M17" s="1909"/>
    </row>
    <row r="18" spans="2:13" x14ac:dyDescent="0.25">
      <c r="B18" s="1867"/>
      <c r="G18" s="1909"/>
      <c r="H18" s="1909"/>
      <c r="M18" s="1909"/>
    </row>
    <row r="19" spans="2:13" ht="50.45" customHeight="1" x14ac:dyDescent="0.25">
      <c r="B19" s="2286" t="s">
        <v>500</v>
      </c>
      <c r="C19" s="1937" t="str">
        <f>B6</f>
        <v>Quang Phát</v>
      </c>
      <c r="D19" s="1937" t="str">
        <f>B7</f>
        <v>CTCP Đầu tư và Xây dựng Bình Dương ACC</v>
      </c>
      <c r="E19" s="1937" t="str">
        <f>B8</f>
        <v>CTCP Khoáng sản FECON</v>
      </c>
      <c r="F19" s="1937" t="str">
        <f>B9</f>
        <v>CTCP Đầu tư và Xây dựng Tiền Giang</v>
      </c>
      <c r="G19" s="1937" t="str">
        <f>B10</f>
        <v>CTCP Bê tông Hòa Cầm - Intimex</v>
      </c>
      <c r="H19" s="1937" t="str">
        <f>B11</f>
        <v>CTCP Tập đoàn Đầu tư Din Capital</v>
      </c>
      <c r="I19" s="1937" t="str">
        <f>B12</f>
        <v xml:space="preserve">CTCP Bê tông Ly tâm An Giang </v>
      </c>
      <c r="J19" s="1937" t="str">
        <f>B13</f>
        <v>CTCP DIC - Đồng Tiến</v>
      </c>
      <c r="K19" s="1937" t="str">
        <f>B14</f>
        <v>CTCP Bê tông Ly tâm Điện Lực Khánh Hòa</v>
      </c>
      <c r="L19" s="1937" t="str">
        <f>B15</f>
        <v>CTCP Đầu tư Kinh doanh Nhà Thành Đạt</v>
      </c>
      <c r="M19" s="1937" t="str">
        <f>B16</f>
        <v xml:space="preserve">CTCP Xuân Mai - Đạo Tú </v>
      </c>
    </row>
    <row r="20" spans="2:13" s="738" customFormat="1" x14ac:dyDescent="0.25">
      <c r="B20" s="2287"/>
      <c r="C20" s="1938">
        <f>$C$5</f>
        <v>2023</v>
      </c>
      <c r="D20" s="1938">
        <f t="shared" ref="D20:L20" si="0">$C$5</f>
        <v>2023</v>
      </c>
      <c r="E20" s="1938">
        <f t="shared" si="0"/>
        <v>2023</v>
      </c>
      <c r="F20" s="1938">
        <f t="shared" si="0"/>
        <v>2023</v>
      </c>
      <c r="G20" s="1938">
        <f t="shared" si="0"/>
        <v>2023</v>
      </c>
      <c r="H20" s="1938">
        <f t="shared" si="0"/>
        <v>2023</v>
      </c>
      <c r="I20" s="1938">
        <f t="shared" si="0"/>
        <v>2023</v>
      </c>
      <c r="J20" s="1938">
        <f t="shared" si="0"/>
        <v>2023</v>
      </c>
      <c r="K20" s="1938">
        <f t="shared" si="0"/>
        <v>2023</v>
      </c>
      <c r="L20" s="1938">
        <f t="shared" si="0"/>
        <v>2023</v>
      </c>
      <c r="M20" s="1938">
        <v>2022</v>
      </c>
    </row>
    <row r="21" spans="2:13" x14ac:dyDescent="0.25">
      <c r="B21" s="2280" t="s">
        <v>121</v>
      </c>
      <c r="C21" s="1886">
        <f>C6</f>
        <v>55259416469</v>
      </c>
      <c r="D21" s="1910">
        <f>C7</f>
        <v>1285040813541</v>
      </c>
      <c r="E21" s="1887">
        <f>C8</f>
        <v>584611968140</v>
      </c>
      <c r="F21" s="1887">
        <f>C9</f>
        <v>688474019464</v>
      </c>
      <c r="G21" s="1887">
        <f>C10</f>
        <v>80790891014</v>
      </c>
      <c r="H21" s="1887">
        <f>C11</f>
        <v>129617999687</v>
      </c>
      <c r="I21" s="1887">
        <f>C12</f>
        <v>71337332381</v>
      </c>
      <c r="J21" s="1887">
        <f>C13</f>
        <v>183339075454</v>
      </c>
      <c r="K21" s="1887">
        <f>C14</f>
        <v>29491064049</v>
      </c>
      <c r="L21" s="1887">
        <f>C15</f>
        <v>17140701567</v>
      </c>
      <c r="M21" s="1887">
        <f>C16</f>
        <v>39719130553</v>
      </c>
    </row>
    <row r="22" spans="2:13" x14ac:dyDescent="0.25">
      <c r="B22" s="2280"/>
      <c r="C22" s="1886"/>
      <c r="D22" s="1887" t="str">
        <f>IF(AND(D21&gt;($L$6),($K$6)&gt;D21),"Tương đồng", "Ít tương đồng")</f>
        <v>Ít tương đồng</v>
      </c>
      <c r="E22" s="1887" t="str">
        <f t="shared" ref="E22:M22" si="1">IF(AND(E21&gt;($L$6),($K$6)&gt;E21),"Tương đồng", "Ít tương đồng")</f>
        <v>Ít tương đồng</v>
      </c>
      <c r="F22" s="1888" t="str">
        <f t="shared" si="1"/>
        <v>Ít tương đồng</v>
      </c>
      <c r="G22" s="1888" t="str">
        <f t="shared" si="1"/>
        <v>Tương đồng</v>
      </c>
      <c r="H22" s="1888" t="str">
        <f t="shared" si="1"/>
        <v>Ít tương đồng</v>
      </c>
      <c r="I22" s="1888" t="str">
        <f t="shared" si="1"/>
        <v>Tương đồng</v>
      </c>
      <c r="J22" s="1888" t="str">
        <f t="shared" si="1"/>
        <v>Ít tương đồng</v>
      </c>
      <c r="K22" s="1887" t="str">
        <f t="shared" si="1"/>
        <v>Tương đồng</v>
      </c>
      <c r="L22" s="1888" t="str">
        <f t="shared" si="1"/>
        <v>Ít tương đồng</v>
      </c>
      <c r="M22" s="1887" t="str">
        <f t="shared" si="1"/>
        <v>Tương đồng</v>
      </c>
    </row>
    <row r="23" spans="2:13" x14ac:dyDescent="0.25">
      <c r="B23" s="2280" t="s">
        <v>229</v>
      </c>
      <c r="C23" s="1886">
        <f>'[33]Báo cáo kết quả kinh doanh'!F15</f>
        <v>1332672814272</v>
      </c>
      <c r="D23" s="1910">
        <f>D7</f>
        <v>651590436819</v>
      </c>
      <c r="E23" s="1887">
        <f>D8</f>
        <v>458971576519</v>
      </c>
      <c r="F23" s="1887">
        <f>D9</f>
        <v>1669780465317</v>
      </c>
      <c r="G23" s="1887">
        <f>D10</f>
        <v>233500103053</v>
      </c>
      <c r="H23" s="1887">
        <f>D11</f>
        <v>235219645366</v>
      </c>
      <c r="I23" s="1887">
        <f>D12</f>
        <v>295481188173</v>
      </c>
      <c r="J23" s="1887">
        <f>D13</f>
        <v>227416474050</v>
      </c>
      <c r="K23" s="1887">
        <f>D14</f>
        <v>40904083152</v>
      </c>
      <c r="L23" s="1887">
        <f>D15</f>
        <v>50441339361</v>
      </c>
      <c r="M23" s="1887">
        <f>D16</f>
        <v>101803441146</v>
      </c>
    </row>
    <row r="24" spans="2:13" x14ac:dyDescent="0.25">
      <c r="B24" s="2280"/>
      <c r="C24" s="1886"/>
      <c r="D24" s="1887" t="str">
        <f t="shared" ref="D24:M24" si="2">IF(AND(D23&gt;($L$11),($K11)&gt;D23),"Tương đồng", "Ít tương đồng")</f>
        <v>Tương đồng</v>
      </c>
      <c r="E24" s="1887" t="str">
        <f t="shared" si="2"/>
        <v>Tương đồng</v>
      </c>
      <c r="F24" s="1887" t="str">
        <f t="shared" si="2"/>
        <v>Ít tương đồng</v>
      </c>
      <c r="G24" s="1887" t="str">
        <f t="shared" si="2"/>
        <v>Ít tương đồng</v>
      </c>
      <c r="H24" s="1887" t="str">
        <f t="shared" si="2"/>
        <v>Ít tương đồng</v>
      </c>
      <c r="I24" s="1888" t="str">
        <f t="shared" si="2"/>
        <v>Tương đồng</v>
      </c>
      <c r="J24" s="1887" t="str">
        <f t="shared" si="2"/>
        <v>Ít tương đồng</v>
      </c>
      <c r="K24" s="1887" t="str">
        <f t="shared" si="2"/>
        <v>Ít tương đồng</v>
      </c>
      <c r="L24" s="1887" t="str">
        <f t="shared" si="2"/>
        <v>Ít tương đồng</v>
      </c>
      <c r="M24" s="1887" t="str">
        <f t="shared" si="2"/>
        <v>Ít tương đồng</v>
      </c>
    </row>
    <row r="25" spans="2:13" x14ac:dyDescent="0.25">
      <c r="B25" s="2280" t="s">
        <v>2</v>
      </c>
      <c r="C25" s="1886">
        <f>E6</f>
        <v>66474844940</v>
      </c>
      <c r="D25" s="1910">
        <f>E7</f>
        <v>126557693605</v>
      </c>
      <c r="E25" s="1887">
        <f>E8</f>
        <v>55273656678</v>
      </c>
      <c r="F25" s="1887">
        <f>E9</f>
        <v>381796786248</v>
      </c>
      <c r="G25" s="1887">
        <f>E10</f>
        <v>20479641199</v>
      </c>
      <c r="H25" s="1887">
        <f>E11</f>
        <v>18433326983</v>
      </c>
      <c r="I25" s="1887">
        <f>E13</f>
        <v>16426588260</v>
      </c>
      <c r="J25" s="1887">
        <f>E13</f>
        <v>16426588260</v>
      </c>
      <c r="K25" s="1887">
        <f>E14</f>
        <v>8768748308</v>
      </c>
      <c r="L25" s="1889">
        <f>E15</f>
        <v>-2142629085</v>
      </c>
      <c r="M25" s="1887">
        <f>E16</f>
        <v>5434267060</v>
      </c>
    </row>
    <row r="26" spans="2:13" x14ac:dyDescent="0.25">
      <c r="B26" s="2280"/>
      <c r="C26" s="1886"/>
      <c r="D26" s="1887" t="str">
        <f t="shared" ref="D26:M26" si="3">IF(AND(D25&gt;($L$12),($K12)&gt;D25),"Tương đồng", "Ít tương đồng")</f>
        <v>Ít tương đồng</v>
      </c>
      <c r="E26" s="1887" t="str">
        <f t="shared" si="3"/>
        <v>Tương đồng</v>
      </c>
      <c r="F26" s="1887" t="str">
        <f t="shared" si="3"/>
        <v>Ít tương đồng</v>
      </c>
      <c r="G26" s="1887" t="str">
        <f t="shared" si="3"/>
        <v>Ít tương đồng</v>
      </c>
      <c r="H26" s="1887" t="str">
        <f t="shared" si="3"/>
        <v>Ít tương đồng</v>
      </c>
      <c r="I26" s="1888" t="str">
        <f t="shared" si="3"/>
        <v>Ít tương đồng</v>
      </c>
      <c r="J26" s="1888" t="str">
        <f t="shared" si="3"/>
        <v>Ít tương đồng</v>
      </c>
      <c r="K26" s="1887" t="str">
        <f t="shared" si="3"/>
        <v>Ít tương đồng</v>
      </c>
      <c r="L26" s="1887" t="str">
        <f t="shared" si="3"/>
        <v>Ít tương đồng</v>
      </c>
      <c r="M26" s="1887" t="str">
        <f t="shared" si="3"/>
        <v>Ít tương đồng</v>
      </c>
    </row>
    <row r="27" spans="2:13" s="1914" customFormat="1" x14ac:dyDescent="0.25">
      <c r="B27" s="1911" t="s">
        <v>504</v>
      </c>
      <c r="C27" s="1912"/>
      <c r="D27" s="1913" t="s">
        <v>505</v>
      </c>
      <c r="E27" s="1913" t="s">
        <v>505</v>
      </c>
      <c r="F27" s="1913" t="s">
        <v>505</v>
      </c>
      <c r="G27" s="1913" t="s">
        <v>505</v>
      </c>
      <c r="H27" s="1913" t="s">
        <v>505</v>
      </c>
      <c r="I27" s="1913" t="s">
        <v>505</v>
      </c>
      <c r="J27" s="1913" t="s">
        <v>505</v>
      </c>
      <c r="K27" s="1913" t="s">
        <v>505</v>
      </c>
      <c r="L27" s="1913" t="s">
        <v>505</v>
      </c>
      <c r="M27" s="1913" t="s">
        <v>505</v>
      </c>
    </row>
    <row r="28" spans="2:13" x14ac:dyDescent="0.25">
      <c r="B28" s="1900" t="s">
        <v>506</v>
      </c>
      <c r="C28" s="1915"/>
      <c r="D28" s="1900"/>
      <c r="E28" s="1900"/>
      <c r="F28" s="1900"/>
      <c r="G28" s="1900"/>
      <c r="H28" s="1900"/>
      <c r="I28" s="1900"/>
      <c r="J28" s="1900"/>
      <c r="K28" s="1900"/>
      <c r="L28" s="1900"/>
      <c r="M28" s="1904"/>
    </row>
    <row r="29" spans="2:13" x14ac:dyDescent="0.25">
      <c r="B29" s="2280" t="s">
        <v>221</v>
      </c>
      <c r="C29" s="1916">
        <f>G6</f>
        <v>0.17977037305077104</v>
      </c>
      <c r="D29" s="1903">
        <f>G7</f>
        <v>5.6374525655824036E-2</v>
      </c>
      <c r="E29" s="1917">
        <f>G8</f>
        <v>2.7064511290414605E-2</v>
      </c>
      <c r="F29" s="1917">
        <f>G9</f>
        <v>0.27298562443829005</v>
      </c>
      <c r="G29" s="1917">
        <f>G10</f>
        <v>0.11213119436949526</v>
      </c>
      <c r="H29" s="1903">
        <f>G11</f>
        <v>1.9875531054757496E-2</v>
      </c>
      <c r="I29" s="1917">
        <f>G12</f>
        <v>0.20822205899305132</v>
      </c>
      <c r="J29" s="1903">
        <f>G13</f>
        <v>1.7233236390260694E-3</v>
      </c>
      <c r="K29" s="1903">
        <f>G14</f>
        <v>6.3830139257626095E-2</v>
      </c>
      <c r="L29" s="1903">
        <f>G15</f>
        <v>-0.29243516117763779</v>
      </c>
      <c r="M29" s="1916">
        <f>G16</f>
        <v>-5.5546011592011099E-2</v>
      </c>
    </row>
    <row r="30" spans="2:13" x14ac:dyDescent="0.25">
      <c r="B30" s="2280"/>
      <c r="C30" s="1916"/>
      <c r="D30" s="1887" t="str">
        <f t="shared" ref="D30:M30" si="4">IF(AND(D29&gt;($L$5),($K5)&gt;D29),"Tương đồng", "Ít tương đồng")</f>
        <v>Ít tương đồng</v>
      </c>
      <c r="E30" s="1887" t="str">
        <f t="shared" si="4"/>
        <v>Ít tương đồng</v>
      </c>
      <c r="F30" s="1887" t="str">
        <f t="shared" si="4"/>
        <v>Ít tương đồng</v>
      </c>
      <c r="G30" s="1887" t="str">
        <f t="shared" si="4"/>
        <v>Tương đồng</v>
      </c>
      <c r="H30" s="1887" t="str">
        <f t="shared" si="4"/>
        <v>Ít tương đồng</v>
      </c>
      <c r="I30" s="1887" t="str">
        <f t="shared" si="4"/>
        <v>Tương đồng</v>
      </c>
      <c r="J30" s="1887" t="str">
        <f t="shared" si="4"/>
        <v>Ít tương đồng</v>
      </c>
      <c r="K30" s="1887" t="str">
        <f t="shared" si="4"/>
        <v>Ít tương đồng</v>
      </c>
      <c r="L30" s="1887" t="str">
        <f t="shared" si="4"/>
        <v>Ít tương đồng</v>
      </c>
      <c r="M30" s="1916" t="str">
        <f t="shared" si="4"/>
        <v>Ít tương đồng</v>
      </c>
    </row>
    <row r="31" spans="2:13" x14ac:dyDescent="0.25">
      <c r="B31" s="2280" t="s">
        <v>220</v>
      </c>
      <c r="C31" s="1916">
        <f>F6</f>
        <v>2.2604558630388676E-2</v>
      </c>
      <c r="D31" s="1905">
        <f>F7</f>
        <v>3.1517334957226036E-2</v>
      </c>
      <c r="E31" s="1917">
        <f>F8</f>
        <v>1.9070814047068417E-2</v>
      </c>
      <c r="F31" s="1917">
        <f>F9</f>
        <v>9.8121274131844571E-2</v>
      </c>
      <c r="G31" s="1884">
        <f>F10</f>
        <v>6.4544469171822341E-2</v>
      </c>
      <c r="H31" s="1905">
        <f>F11</f>
        <v>1.1463644740365661E-2</v>
      </c>
      <c r="I31" s="1884">
        <f>F12</f>
        <v>8.6827555746091425E-2</v>
      </c>
      <c r="J31" s="1905">
        <f>F13</f>
        <v>8.7258264880348945E-4</v>
      </c>
      <c r="K31" s="1905">
        <f>F14</f>
        <v>5.5239156409959071E-2</v>
      </c>
      <c r="L31" s="1905">
        <f>F15</f>
        <v>-0.11210053910847902</v>
      </c>
      <c r="M31" s="1916">
        <f>F16</f>
        <v>-2.2615248807905861E-2</v>
      </c>
    </row>
    <row r="32" spans="2:13" x14ac:dyDescent="0.25">
      <c r="B32" s="2280"/>
      <c r="C32" s="1918"/>
      <c r="D32" s="1887" t="str">
        <f t="shared" ref="D32:M32" si="5">IF(AND(D31&gt;($L$9),($K9)&gt;D31),"Tương đồng", "Ít tương đồng")</f>
        <v>Tương đồng</v>
      </c>
      <c r="E32" s="1887" t="str">
        <f t="shared" si="5"/>
        <v>Tương đồng</v>
      </c>
      <c r="F32" s="1887" t="str">
        <f t="shared" si="5"/>
        <v>Ít tương đồng</v>
      </c>
      <c r="G32" s="1887" t="str">
        <f t="shared" si="5"/>
        <v>Ít tương đồng</v>
      </c>
      <c r="H32" s="1887" t="str">
        <f t="shared" si="5"/>
        <v>Tương đồng</v>
      </c>
      <c r="I32" s="1887" t="str">
        <f t="shared" si="5"/>
        <v>Ít tương đồng</v>
      </c>
      <c r="J32" s="1887" t="str">
        <f t="shared" si="5"/>
        <v>Ít tương đồng</v>
      </c>
      <c r="K32" s="1887" t="str">
        <f t="shared" si="5"/>
        <v>Ít tương đồng</v>
      </c>
      <c r="L32" s="1887" t="str">
        <f t="shared" si="5"/>
        <v>Ít tương đồng</v>
      </c>
      <c r="M32" s="1887" t="str">
        <f t="shared" si="5"/>
        <v>Ít tương đồng</v>
      </c>
    </row>
    <row r="33" spans="2:13" x14ac:dyDescent="0.25">
      <c r="B33" s="1890" t="s">
        <v>504</v>
      </c>
      <c r="C33" s="1918"/>
      <c r="D33" s="1913" t="s">
        <v>505</v>
      </c>
      <c r="E33" s="1913" t="s">
        <v>505</v>
      </c>
      <c r="F33" s="1913" t="s">
        <v>505</v>
      </c>
      <c r="G33" s="1913" t="s">
        <v>505</v>
      </c>
      <c r="H33" s="1913" t="s">
        <v>505</v>
      </c>
      <c r="I33" s="1913" t="s">
        <v>505</v>
      </c>
      <c r="J33" s="1913" t="s">
        <v>505</v>
      </c>
      <c r="K33" s="1913" t="s">
        <v>505</v>
      </c>
      <c r="L33" s="1913" t="s">
        <v>505</v>
      </c>
      <c r="M33" s="1913" t="s">
        <v>505</v>
      </c>
    </row>
    <row r="34" spans="2:13" x14ac:dyDescent="0.25">
      <c r="B34" s="1872"/>
      <c r="C34" s="1871"/>
      <c r="D34" s="1919"/>
      <c r="E34" s="1919"/>
      <c r="F34" s="1919"/>
      <c r="G34" s="1919"/>
      <c r="H34" s="1919"/>
    </row>
    <row r="35" spans="2:13" ht="42.6" customHeight="1" x14ac:dyDescent="0.25">
      <c r="B35" s="2288" t="s">
        <v>507</v>
      </c>
      <c r="C35" s="2288"/>
      <c r="D35" s="2288"/>
      <c r="E35" s="2288"/>
      <c r="F35" s="1920"/>
      <c r="G35" s="1920"/>
      <c r="H35" s="1920"/>
    </row>
    <row r="36" spans="2:13" x14ac:dyDescent="0.25">
      <c r="B36" s="1921" t="s">
        <v>508</v>
      </c>
      <c r="C36" s="1891" t="s">
        <v>233</v>
      </c>
      <c r="D36" s="1891" t="s">
        <v>234</v>
      </c>
      <c r="E36" s="1891" t="s">
        <v>235</v>
      </c>
      <c r="F36" s="1891" t="s">
        <v>236</v>
      </c>
      <c r="G36" s="1891" t="s">
        <v>237</v>
      </c>
    </row>
    <row r="37" spans="2:13" x14ac:dyDescent="0.25">
      <c r="B37" s="1921"/>
      <c r="C37" s="1892">
        <v>2023</v>
      </c>
      <c r="D37" s="1892">
        <v>2023</v>
      </c>
      <c r="E37" s="1892">
        <v>2023</v>
      </c>
      <c r="F37" s="1892">
        <v>2023</v>
      </c>
      <c r="G37" s="1892">
        <v>2023</v>
      </c>
    </row>
    <row r="38" spans="2:13" s="1914" customFormat="1" ht="15.95" customHeight="1" x14ac:dyDescent="0.25">
      <c r="B38" s="1922" t="str">
        <f>B7</f>
        <v>CTCP Đầu tư và Xây dựng Bình Dương ACC</v>
      </c>
      <c r="C38" s="1893">
        <f>'5.DNCN (VND)'!DD7</f>
        <v>6.1364372311798867</v>
      </c>
      <c r="D38" s="1893">
        <f>'5.DNCN (VND)'!DE7</f>
        <v>0.33500879253300436</v>
      </c>
      <c r="E38" s="1893">
        <f>'5.DNCN (VND)'!DF7</f>
        <v>0.66069105219170832</v>
      </c>
      <c r="F38" s="1893">
        <f>'5.DNCN (VND)'!DG7</f>
        <v>7.716156287087335</v>
      </c>
      <c r="G38" s="1893">
        <f>'5.DNCN (VND)'!DH7</f>
        <v>1.6062914603974441</v>
      </c>
      <c r="H38" s="1923"/>
    </row>
    <row r="39" spans="2:13" s="1914" customFormat="1" x14ac:dyDescent="0.25">
      <c r="B39" s="1922" t="str">
        <f t="shared" ref="B39:B46" si="6">B8</f>
        <v>CTCP Khoáng sản FECON</v>
      </c>
      <c r="C39" s="1893">
        <f>'5.DNCN (VND)'!DD8</f>
        <v>13.052446959472645</v>
      </c>
      <c r="D39" s="1893">
        <f>'5.DNCN (VND)'!DE8</f>
        <v>0.35219238248270934</v>
      </c>
      <c r="E39" s="1893">
        <f>'5.DNCN (VND)'!DF8</f>
        <v>0.44513183391334143</v>
      </c>
      <c r="F39" s="1893">
        <f>'5.DNCN (VND)'!DG8</f>
        <v>4.7961407616459422</v>
      </c>
      <c r="G39" s="1893">
        <f>'5.DNCN (VND)'!DH8</f>
        <v>0.55689396500878741</v>
      </c>
      <c r="H39" s="1923"/>
    </row>
    <row r="40" spans="2:13" s="1914" customFormat="1" x14ac:dyDescent="0.25">
      <c r="B40" s="1922" t="str">
        <f t="shared" si="6"/>
        <v>CTCP Đầu tư và Xây dựng Tiền Giang</v>
      </c>
      <c r="C40" s="1893">
        <f>'5.DNCN (VND)'!DD9</f>
        <v>5.228501590610624</v>
      </c>
      <c r="D40" s="1893">
        <f>'5.DNCN (VND)'!DE9</f>
        <v>1.4501931890403754</v>
      </c>
      <c r="E40" s="1893">
        <f>'5.DNCN (VND)'!DF9</f>
        <v>0.56852323962226869</v>
      </c>
      <c r="F40" s="1893">
        <f>'5.DNCN (VND)'!DG9</f>
        <v>5.5793473690598905</v>
      </c>
      <c r="G40" s="1893">
        <f>'5.DNCN (VND)'!DH9</f>
        <v>0.73341210161630943</v>
      </c>
      <c r="H40" s="1923"/>
    </row>
    <row r="41" spans="2:13" s="1914" customFormat="1" ht="15.6" customHeight="1" x14ac:dyDescent="0.25">
      <c r="B41" s="1922" t="str">
        <f t="shared" si="6"/>
        <v>CTCP Bê tông Hòa Cầm - Intimex</v>
      </c>
      <c r="C41" s="1893">
        <f>'5.DNCN (VND)'!DD10</f>
        <v>7.7092883322871906</v>
      </c>
      <c r="D41" s="1893">
        <f>'5.DNCN (VND)'!DE10</f>
        <v>0.87626399673677913</v>
      </c>
      <c r="E41" s="1893">
        <f>'5.DNCN (VND)'!DF10</f>
        <v>0.30150011361674001</v>
      </c>
      <c r="F41" s="1893">
        <f>'5.DNCN (VND)'!DG10</f>
        <v>4.0799086898035135</v>
      </c>
      <c r="G41" s="1893">
        <f>'5.DNCN (VND)'!DH10</f>
        <v>0.3772221461761292</v>
      </c>
      <c r="H41" s="1923"/>
    </row>
    <row r="42" spans="2:13" s="1914" customFormat="1" x14ac:dyDescent="0.25">
      <c r="B42" s="1922" t="str">
        <f t="shared" si="6"/>
        <v>CTCP Tập đoàn Đầu tư Din Capital</v>
      </c>
      <c r="C42" s="1893">
        <f>'5.DNCN (VND)'!DD11</f>
        <v>34.52484414103791</v>
      </c>
      <c r="D42" s="1893">
        <f>'5.DNCN (VND)'!DE11</f>
        <v>0.68052903233351536</v>
      </c>
      <c r="E42" s="1893">
        <f>'5.DNCN (VND)'!DF11</f>
        <v>0.37500614271715171</v>
      </c>
      <c r="F42" s="1893">
        <f>'5.DNCN (VND)'!DG11</f>
        <v>5.4967065046066867</v>
      </c>
      <c r="G42" s="1893">
        <f>'5.DNCN (VND)'!DH11</f>
        <v>0.45890153999272482</v>
      </c>
      <c r="H42" s="1923"/>
    </row>
    <row r="43" spans="2:13" s="1914" customFormat="1" x14ac:dyDescent="0.25">
      <c r="B43" s="1922" t="str">
        <f t="shared" si="6"/>
        <v xml:space="preserve">CTCP Bê tông Ly tâm An Giang </v>
      </c>
      <c r="C43" s="1893">
        <f>'5.DNCN (VND)'!DD12</f>
        <v>7.2625979773481717</v>
      </c>
      <c r="D43" s="1893">
        <f>'5.DNCN (VND)'!DE12</f>
        <v>1.5366215600701545</v>
      </c>
      <c r="E43" s="1893">
        <f>'5.DNCN (VND)'!DF12</f>
        <v>0.36549754002196888</v>
      </c>
      <c r="F43" s="1893">
        <f>'5.DNCN (VND)'!DG12</f>
        <v>5.6668821007742896</v>
      </c>
      <c r="G43" s="1893">
        <f>'5.DNCN (VND)'!DH12</f>
        <v>0.52547998793104878</v>
      </c>
      <c r="H43" s="1923"/>
    </row>
    <row r="44" spans="2:13" s="1914" customFormat="1" x14ac:dyDescent="0.25">
      <c r="B44" s="1922" t="str">
        <f t="shared" si="6"/>
        <v>CTCP DIC - Đồng Tiến</v>
      </c>
      <c r="C44" s="1893">
        <f>'5.DNCN (VND)'!DD13</f>
        <v>202.82454666166421</v>
      </c>
      <c r="D44" s="1893">
        <f>'5.DNCN (VND)'!DE13</f>
        <v>0.34936612962287378</v>
      </c>
      <c r="E44" s="1893">
        <f>'5.DNCN (VND)'!DF13</f>
        <v>0.28165269674314519</v>
      </c>
      <c r="F44" s="1893">
        <f>'5.DNCN (VND)'!DG13</f>
        <v>11.213731566539694</v>
      </c>
      <c r="G44" s="1893">
        <f>'5.DNCN (VND)'!DH13</f>
        <v>0.65178289836826353</v>
      </c>
      <c r="H44" s="1923"/>
    </row>
    <row r="45" spans="2:13" s="1914" customFormat="1" x14ac:dyDescent="0.25">
      <c r="B45" s="1922" t="str">
        <f t="shared" si="6"/>
        <v>CTCP Bê tông Ly tâm Điện Lực Khánh Hòa</v>
      </c>
      <c r="C45" s="1893">
        <f>'5.DNCN (VND)'!DD14</f>
        <v>7.5076848948201826</v>
      </c>
      <c r="D45" s="1893">
        <f>'5.DNCN (VND)'!DE14</f>
        <v>0.46793835505802778</v>
      </c>
      <c r="E45" s="1893">
        <f>'5.DNCN (VND)'!DF14</f>
        <v>0.33737463198280365</v>
      </c>
      <c r="F45" s="1893">
        <f>'5.DNCN (VND)'!DG14</f>
        <v>1.7172933173329665</v>
      </c>
      <c r="G45" s="1893">
        <f>'5.DNCN (VND)'!DH14</f>
        <v>0.17385303155614903</v>
      </c>
      <c r="H45" s="1923"/>
    </row>
    <row r="46" spans="2:13" s="1914" customFormat="1" x14ac:dyDescent="0.25">
      <c r="B46" s="1922" t="str">
        <f t="shared" si="6"/>
        <v>CTCP Đầu tư Kinh doanh Nhà Thành Đạt</v>
      </c>
      <c r="C46" s="1893">
        <f>'5.DNCN (VND)'!DD15</f>
        <v>-4.8158894649966406</v>
      </c>
      <c r="D46" s="1893">
        <f>'5.DNCN (VND)'!DE15</f>
        <v>1.6627090722394582</v>
      </c>
      <c r="E46" s="1893">
        <f>'5.DNCN (VND)'!DF15</f>
        <v>0.56501275265572137</v>
      </c>
      <c r="F46" s="1893">
        <f>'5.DNCN (VND)'!DG15</f>
        <v>-6.1010767186690869</v>
      </c>
      <c r="G46" s="1893">
        <f>'5.DNCN (VND)'!DH15</f>
        <v>0.5580811667892619</v>
      </c>
      <c r="H46" s="1923"/>
    </row>
    <row r="47" spans="2:13" s="1914" customFormat="1" x14ac:dyDescent="0.25">
      <c r="B47" s="1922"/>
      <c r="C47" s="1893">
        <f>'5.DNCN (VND)'!DD16</f>
        <v>-11.522735297395826</v>
      </c>
      <c r="D47" s="1893">
        <f>'5.DNCN (VND)'!DE16</f>
        <v>0.65459640324468804</v>
      </c>
      <c r="E47" s="1893">
        <f>'5.DNCN (VND)'!DF16</f>
        <v>0.25539411740230333</v>
      </c>
      <c r="F47" s="1893">
        <f>'5.DNCN (VND)'!DG16</f>
        <v>18.760490179794186</v>
      </c>
      <c r="G47" s="1893">
        <f>'5.DNCN (VND)'!DH16</f>
        <v>0.49388196351725705</v>
      </c>
      <c r="H47" s="1923"/>
    </row>
    <row r="48" spans="2:13" s="1926" customFormat="1" x14ac:dyDescent="0.25">
      <c r="B48" s="1924" t="s">
        <v>733</v>
      </c>
      <c r="C48" s="1894">
        <f>AVERAGE(C38:C47)</f>
        <v>26.790772302602829</v>
      </c>
      <c r="D48" s="1894">
        <f>AVERAGE(D38:D47)</f>
        <v>0.83654189133615875</v>
      </c>
      <c r="E48" s="1894">
        <f>AVERAGE(E38:E47)</f>
        <v>0.41557841208671514</v>
      </c>
      <c r="F48" s="1894">
        <f>AVERAGE(F38:F47)</f>
        <v>5.8925580057975422</v>
      </c>
      <c r="G48" s="1894">
        <f>AVERAGE(G38:G47)</f>
        <v>0.61358002613533746</v>
      </c>
      <c r="H48" s="1925"/>
    </row>
    <row r="49" spans="2:11" ht="15.6" customHeight="1" x14ac:dyDescent="0.25"/>
    <row r="50" spans="2:11" ht="15.6" customHeight="1" x14ac:dyDescent="0.25">
      <c r="H50" s="1927"/>
    </row>
    <row r="51" spans="2:11" ht="34.15" customHeight="1" x14ac:dyDescent="0.25">
      <c r="B51" s="1873" t="s">
        <v>509</v>
      </c>
      <c r="C51" s="1874"/>
      <c r="D51" s="1874"/>
      <c r="E51" s="1874"/>
      <c r="F51" s="1928"/>
      <c r="G51" s="1928"/>
      <c r="H51" s="1928"/>
    </row>
    <row r="52" spans="2:11" ht="14.45" customHeight="1" x14ac:dyDescent="0.25">
      <c r="B52" s="1939"/>
      <c r="C52" s="1940"/>
      <c r="D52" s="2289" t="s">
        <v>510</v>
      </c>
      <c r="E52" s="2289"/>
      <c r="F52" s="2289"/>
      <c r="G52" s="1875"/>
      <c r="H52" s="583"/>
      <c r="I52" s="583"/>
      <c r="J52" s="583"/>
      <c r="K52" s="20"/>
    </row>
    <row r="53" spans="2:11" ht="14.45" customHeight="1" x14ac:dyDescent="0.25">
      <c r="B53" s="1939"/>
      <c r="C53" s="1939"/>
      <c r="D53" s="1895" t="s">
        <v>166</v>
      </c>
      <c r="E53" s="1895" t="s">
        <v>167</v>
      </c>
      <c r="F53" s="1895" t="s">
        <v>168</v>
      </c>
      <c r="G53" s="1876"/>
      <c r="H53" s="1877"/>
      <c r="I53" s="583"/>
      <c r="J53" s="583"/>
      <c r="K53" s="20"/>
    </row>
    <row r="54" spans="2:11" ht="14.45" customHeight="1" x14ac:dyDescent="0.25">
      <c r="B54" s="1929" t="s">
        <v>571</v>
      </c>
      <c r="C54" s="1929">
        <f>C48*'1.BC_Muc tieu (ty) '!AL25</f>
        <v>314.30209091040734</v>
      </c>
      <c r="D54" s="1896">
        <v>0.2</v>
      </c>
      <c r="E54" s="1896">
        <v>0.25</v>
      </c>
      <c r="F54" s="1896">
        <v>0.3</v>
      </c>
      <c r="G54" s="1878"/>
      <c r="H54" s="1930"/>
      <c r="I54" s="583"/>
      <c r="J54" s="583"/>
      <c r="K54" s="20"/>
    </row>
    <row r="55" spans="2:11" x14ac:dyDescent="0.25">
      <c r="B55" s="1929" t="s">
        <v>511</v>
      </c>
      <c r="C55" s="1929">
        <f>D48*'1.BC_Muc tieu (ty) '!AL127</f>
        <v>46.226816767109739</v>
      </c>
      <c r="D55" s="1896">
        <v>0.2</v>
      </c>
      <c r="E55" s="1896">
        <v>0.25</v>
      </c>
      <c r="F55" s="1896">
        <v>0.3</v>
      </c>
      <c r="G55" s="130"/>
      <c r="H55" s="1931"/>
      <c r="I55" s="1931"/>
      <c r="J55" s="1931"/>
      <c r="K55" s="1931"/>
    </row>
    <row r="56" spans="2:11" s="1932" customFormat="1" x14ac:dyDescent="0.25">
      <c r="B56" s="1929" t="s">
        <v>512</v>
      </c>
      <c r="C56" s="1929">
        <f>E48*'1.BC_Muc tieu (ty) '!AL9</f>
        <v>221.08702951453191</v>
      </c>
      <c r="D56" s="1896">
        <v>0.3</v>
      </c>
      <c r="E56" s="1896">
        <v>0.25</v>
      </c>
      <c r="F56" s="1896">
        <v>0.2</v>
      </c>
      <c r="G56" s="130"/>
      <c r="H56" s="20"/>
      <c r="I56" s="20"/>
      <c r="J56" s="20"/>
      <c r="K56" s="20"/>
    </row>
    <row r="57" spans="2:11" s="138" customFormat="1" x14ac:dyDescent="0.25">
      <c r="B57" s="1933" t="s">
        <v>572</v>
      </c>
      <c r="C57" s="1933">
        <f>'5. DNCN (Tỷ)'!DC5*F48-'1.BC_Muc tieu (ty) '!AL108-'1.BC_Muc tieu (ty) '!AL121+'1.BC_Muc tieu (ty) '!AL32</f>
        <v>-436.81063810283808</v>
      </c>
      <c r="D57" s="1897">
        <v>0</v>
      </c>
      <c r="E57" s="1897">
        <v>0</v>
      </c>
      <c r="F57" s="1897">
        <v>0</v>
      </c>
      <c r="G57" s="137"/>
      <c r="H57" s="43"/>
    </row>
    <row r="58" spans="2:11" s="138" customFormat="1" x14ac:dyDescent="0.25">
      <c r="B58" s="1933" t="s">
        <v>513</v>
      </c>
      <c r="C58" s="1933">
        <f>G48*'1.BC_Muc tieu (ty) '!AL9-'1.BC_Muc tieu (ty) '!AL108-'1.BC_Muc tieu (ty) '!AL121+'1.BC_Muc tieu (ty) '!AL32</f>
        <v>146.13714140638976</v>
      </c>
      <c r="D58" s="1897">
        <v>0.3</v>
      </c>
      <c r="E58" s="1897">
        <v>0.25</v>
      </c>
      <c r="F58" s="1897">
        <v>0.2</v>
      </c>
      <c r="G58" s="137"/>
      <c r="H58" s="43"/>
    </row>
    <row r="59" spans="2:11" x14ac:dyDescent="0.25">
      <c r="B59" s="1904"/>
      <c r="C59" s="1910"/>
      <c r="D59" s="1934">
        <f>SUM(D54:D58)</f>
        <v>1</v>
      </c>
      <c r="E59" s="1934">
        <f>SUM(E54:E58)</f>
        <v>1</v>
      </c>
      <c r="F59" s="1934">
        <f>SUM(F54:F58)</f>
        <v>1</v>
      </c>
      <c r="G59" s="1935"/>
    </row>
    <row r="61" spans="2:11" x14ac:dyDescent="0.25">
      <c r="B61" s="560" t="s">
        <v>2041</v>
      </c>
      <c r="D61" s="1997">
        <f>SUMPRODUCT($C$54:$C$58,D54:D58)</f>
        <v>182.2730328117799</v>
      </c>
      <c r="E61" s="1997">
        <f>SUMPRODUCT($C$54:$C$58,E54:E58)</f>
        <v>181.93826964960968</v>
      </c>
      <c r="F61" s="1997">
        <f>SUMPRODUCT($C$54:$C$58,F54:F58)</f>
        <v>181.60350648743946</v>
      </c>
    </row>
  </sheetData>
  <mergeCells count="12">
    <mergeCell ref="B25:B26"/>
    <mergeCell ref="B29:B30"/>
    <mergeCell ref="B31:B32"/>
    <mergeCell ref="B35:E35"/>
    <mergeCell ref="D52:F52"/>
    <mergeCell ref="B23:B24"/>
    <mergeCell ref="C3:E3"/>
    <mergeCell ref="F3:G3"/>
    <mergeCell ref="I3:L3"/>
    <mergeCell ref="J4:L4"/>
    <mergeCell ref="B21:B22"/>
    <mergeCell ref="B19:B20"/>
  </mergeCells>
  <pageMargins left="0.7" right="0.7" top="0.75" bottom="0.75" header="0.3" footer="0.3"/>
  <pageSetup paperSize="9" orientation="portrait" verticalDpi="0"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6A1E6-4822-43CC-ADEF-8CCD55AC76D9}">
  <sheetPr>
    <tabColor theme="1" tint="4.9989318521683403E-2"/>
  </sheetPr>
  <dimension ref="A1:EF60"/>
  <sheetViews>
    <sheetView showGridLines="0" zoomScale="70" zoomScaleNormal="70" workbookViewId="0">
      <pane xSplit="4" ySplit="5" topLeftCell="P6" activePane="bottomRight" state="frozen"/>
      <selection activeCell="BC16" sqref="BC16"/>
      <selection pane="topRight" activeCell="BC16" sqref="BC16"/>
      <selection pane="bottomLeft" activeCell="BC16" sqref="BC16"/>
      <selection pane="bottomRight" activeCell="CX25" sqref="CX25"/>
    </sheetView>
  </sheetViews>
  <sheetFormatPr defaultColWidth="8.7109375" defaultRowHeight="15" outlineLevelCol="2" x14ac:dyDescent="0.25"/>
  <cols>
    <col min="1" max="2" width="8.7109375" style="1384"/>
    <col min="3" max="3" width="11.85546875" style="1384" customWidth="1"/>
    <col min="4" max="4" width="51.28515625" style="1384" customWidth="1"/>
    <col min="5" max="5" width="16.140625" style="1384" customWidth="1"/>
    <col min="6" max="6" width="36" style="1384" customWidth="1"/>
    <col min="7" max="7" width="10.28515625" style="1384" customWidth="1"/>
    <col min="8" max="8" width="8.7109375" style="1384" customWidth="1"/>
    <col min="9" max="9" width="10.5703125" style="1384" customWidth="1"/>
    <col min="10" max="11" width="12.85546875" style="1384" customWidth="1"/>
    <col min="12" max="12" width="18.7109375" style="1384" customWidth="1"/>
    <col min="13" max="14" width="12.28515625" style="1384" customWidth="1" outlineLevel="2"/>
    <col min="15" max="15" width="20.5703125" style="1384" customWidth="1"/>
    <col min="16" max="16" width="14.140625" style="1384" customWidth="1"/>
    <col min="17" max="17" width="21.28515625" style="1384" bestFit="1" customWidth="1"/>
    <col min="18" max="18" width="9.7109375" style="1384" customWidth="1" outlineLevel="2"/>
    <col min="19" max="20" width="21.28515625" style="1384" customWidth="1" outlineLevel="1"/>
    <col min="21" max="21" width="10" style="1384" customWidth="1" outlineLevel="2"/>
    <col min="22" max="22" width="9.7109375" style="1384" customWidth="1" outlineLevel="1"/>
    <col min="23" max="24" width="18.5703125" style="1384" customWidth="1" outlineLevel="1"/>
    <col min="25" max="25" width="19.7109375" style="1384" customWidth="1" outlineLevel="1"/>
    <col min="26" max="27" width="19.28515625" style="1384" customWidth="1" outlineLevel="1"/>
    <col min="28" max="29" width="19.7109375" style="1384" customWidth="1" outlineLevel="1"/>
    <col min="30" max="30" width="20.28515625" style="1384" customWidth="1" outlineLevel="1"/>
    <col min="31" max="31" width="12.5703125" style="1384" customWidth="1" outlineLevel="2" collapsed="1"/>
    <col min="32" max="32" width="19.7109375" style="1384" bestFit="1" customWidth="1"/>
    <col min="33" max="34" width="21.28515625" style="1384" customWidth="1" outlineLevel="1"/>
    <col min="35" max="35" width="10.28515625" style="1384" customWidth="1" outlineLevel="1"/>
    <col min="36" max="37" width="19.7109375" style="1384" customWidth="1" outlineLevel="1"/>
    <col min="38" max="38" width="9.7109375" style="1384" customWidth="1" outlineLevel="1"/>
    <col min="39" max="39" width="21.28515625" style="1384" customWidth="1" outlineLevel="1"/>
    <col min="40" max="40" width="10.140625" style="1384" customWidth="1" outlineLevel="1"/>
    <col min="41" max="42" width="20" style="1384" customWidth="1" outlineLevel="1"/>
    <col min="43" max="44" width="19.5703125" style="1384" customWidth="1" outlineLevel="1"/>
    <col min="45" max="47" width="18.5703125" style="1384" customWidth="1" outlineLevel="1"/>
    <col min="48" max="48" width="21.28515625" style="1384" customWidth="1" outlineLevel="1"/>
    <col min="49" max="49" width="9.7109375" style="1384" customWidth="1" outlineLevel="2"/>
    <col min="50" max="50" width="10.7109375" style="1384" customWidth="1" outlineLevel="2"/>
    <col min="51" max="51" width="10.42578125" style="1384" customWidth="1" outlineLevel="2"/>
    <col min="52" max="53" width="21.28515625" style="1384" customWidth="1" outlineLevel="1"/>
    <col min="54" max="54" width="8.28515625" style="1384" customWidth="1" outlineLevel="2"/>
    <col min="55" max="55" width="9" style="1384" customWidth="1" outlineLevel="2"/>
    <col min="56" max="56" width="8.7109375" style="1384" customWidth="1" outlineLevel="2"/>
    <col min="57" max="58" width="21.28515625" style="1384" customWidth="1" outlineLevel="1"/>
    <col min="59" max="59" width="9.7109375" style="1384" customWidth="1" outlineLevel="2"/>
    <col min="60" max="61" width="21.28515625" style="1384" customWidth="1" outlineLevel="1"/>
    <col min="62" max="62" width="19.7109375" style="1384" bestFit="1" customWidth="1"/>
    <col min="63" max="63" width="19.7109375" style="1384" customWidth="1" outlineLevel="1"/>
    <col min="64" max="64" width="10.28515625" style="1384" customWidth="1" outlineLevel="1"/>
    <col min="65" max="65" width="21.28515625" style="1384" customWidth="1" outlineLevel="1"/>
    <col min="66" max="68" width="21.140625" style="1384" customWidth="1" outlineLevel="1"/>
    <col min="69" max="69" width="19.5703125" style="1384" customWidth="1" outlineLevel="1"/>
    <col min="70" max="70" width="10.7109375" style="1384" customWidth="1" outlineLevel="2"/>
    <col min="71" max="71" width="19.5703125" style="1384" customWidth="1" outlineLevel="1"/>
    <col min="72" max="72" width="21.28515625" style="1384" customWidth="1" outlineLevel="1"/>
    <col min="73" max="73" width="10.85546875" style="1384" customWidth="1" outlineLevel="2"/>
    <col min="74" max="75" width="21.28515625" style="1384" customWidth="1" outlineLevel="1"/>
    <col min="76" max="76" width="10.7109375" style="1384" customWidth="1" outlineLevel="2"/>
    <col min="77" max="78" width="8.85546875" style="1384" customWidth="1" outlineLevel="2"/>
    <col min="79" max="80" width="21.28515625" style="1384" customWidth="1" outlineLevel="1"/>
    <col min="81" max="81" width="19.7109375" style="1384" customWidth="1" outlineLevel="1"/>
    <col min="82" max="82" width="14.5703125" style="1384" customWidth="1" outlineLevel="1"/>
    <col min="83" max="83" width="11.85546875" style="1384" customWidth="1"/>
    <col min="84" max="84" width="8.5703125" style="1384" customWidth="1" outlineLevel="1"/>
    <col min="85" max="89" width="10.5703125" style="1384" customWidth="1" outlineLevel="1"/>
    <col min="90" max="90" width="9.85546875" style="1384" customWidth="1" outlineLevel="1"/>
    <col min="91" max="91" width="10.85546875" style="1384" customWidth="1" outlineLevel="1"/>
    <col min="92" max="92" width="8.5703125" style="1384" customWidth="1" outlineLevel="1"/>
    <col min="93" max="93" width="10.7109375" style="1384" customWidth="1" outlineLevel="1"/>
    <col min="94" max="96" width="9.7109375" style="1384" customWidth="1" outlineLevel="1"/>
    <col min="97" max="97" width="10.7109375" style="1384" customWidth="1" outlineLevel="1"/>
    <col min="98" max="98" width="7.7109375" style="1384" customWidth="1" outlineLevel="1"/>
    <col min="99" max="99" width="10.5703125" style="1384" customWidth="1" outlineLevel="1"/>
    <col min="100" max="100" width="10.28515625" style="1384" customWidth="1" outlineLevel="1"/>
    <col min="101" max="101" width="10.85546875" style="1384" customWidth="1" outlineLevel="1"/>
    <col min="102" max="104" width="8.7109375" style="1384" customWidth="1" outlineLevel="1"/>
    <col min="105" max="105" width="9.7109375" style="1384" customWidth="1" outlineLevel="1"/>
    <col min="106" max="106" width="20" style="1384" customWidth="1" outlineLevel="1"/>
    <col min="107" max="107" width="18.140625" style="1384" customWidth="1" outlineLevel="1"/>
    <col min="108" max="112" width="8.7109375" style="1384" customWidth="1" outlineLevel="1"/>
    <col min="113" max="16384" width="8.7109375" style="1384"/>
  </cols>
  <sheetData>
    <row r="1" spans="1:136" ht="25.15" customHeight="1" x14ac:dyDescent="0.25">
      <c r="AF1" s="1644"/>
      <c r="AG1" s="1644"/>
      <c r="AH1" s="1644"/>
      <c r="AI1" s="1644"/>
      <c r="AJ1" s="1644"/>
      <c r="AK1" s="1644"/>
      <c r="AL1" s="1644"/>
      <c r="AM1" s="1644"/>
      <c r="AN1" s="1644"/>
      <c r="AO1" s="1644"/>
      <c r="AP1" s="1644"/>
      <c r="AQ1" s="1644"/>
      <c r="AR1" s="1644"/>
      <c r="AS1" s="1644"/>
      <c r="AT1" s="1644"/>
      <c r="AU1" s="1644"/>
      <c r="AV1" s="1644"/>
      <c r="AW1" s="1644"/>
      <c r="AX1" s="1644"/>
      <c r="AY1" s="1644"/>
      <c r="AZ1" s="1644"/>
      <c r="BA1" s="1644"/>
      <c r="BB1" s="1644"/>
      <c r="BC1" s="1644"/>
      <c r="BD1" s="1644"/>
      <c r="BE1" s="1644"/>
      <c r="BF1" s="1644"/>
      <c r="BG1" s="1644"/>
      <c r="BH1" s="1644"/>
    </row>
    <row r="2" spans="1:136" s="1645" customFormat="1" ht="24" customHeight="1" x14ac:dyDescent="0.25">
      <c r="B2" s="2324"/>
      <c r="C2" s="2326" t="s">
        <v>1413</v>
      </c>
      <c r="D2" s="2328" t="s">
        <v>1833</v>
      </c>
      <c r="E2" s="2329"/>
      <c r="F2" s="2326"/>
      <c r="G2" s="2328" t="s">
        <v>1834</v>
      </c>
      <c r="H2" s="2329"/>
      <c r="I2" s="2329"/>
      <c r="J2" s="2329"/>
      <c r="K2" s="2329"/>
      <c r="L2" s="2329"/>
      <c r="M2" s="2329"/>
      <c r="N2" s="2329"/>
      <c r="O2" s="2329"/>
      <c r="P2" s="2326"/>
      <c r="Q2" s="2332" t="s">
        <v>1835</v>
      </c>
      <c r="R2" s="2333"/>
      <c r="S2" s="2333"/>
      <c r="T2" s="2333"/>
      <c r="U2" s="2333"/>
      <c r="V2" s="2333"/>
      <c r="W2" s="2333"/>
      <c r="X2" s="2333"/>
      <c r="Y2" s="2333"/>
      <c r="Z2" s="2333"/>
      <c r="AA2" s="2333"/>
      <c r="AB2" s="2333"/>
      <c r="AC2" s="2333"/>
      <c r="AD2" s="2333"/>
      <c r="AE2" s="2334"/>
      <c r="AF2" s="2321" t="s">
        <v>24</v>
      </c>
      <c r="AG2" s="2321"/>
      <c r="AH2" s="2321"/>
      <c r="AI2" s="2321"/>
      <c r="AJ2" s="2321"/>
      <c r="AK2" s="2321"/>
      <c r="AL2" s="2321"/>
      <c r="AM2" s="2321"/>
      <c r="AN2" s="2321"/>
      <c r="AO2" s="2321"/>
      <c r="AP2" s="2321"/>
      <c r="AQ2" s="2321"/>
      <c r="AR2" s="2321"/>
      <c r="AS2" s="2321"/>
      <c r="AT2" s="2321"/>
      <c r="AU2" s="2321"/>
      <c r="AV2" s="2321"/>
      <c r="AW2" s="2321"/>
      <c r="AX2" s="2321"/>
      <c r="AY2" s="2321"/>
      <c r="AZ2" s="2321"/>
      <c r="BA2" s="2321"/>
      <c r="BB2" s="2321"/>
      <c r="BC2" s="2321"/>
      <c r="BD2" s="2321"/>
      <c r="BE2" s="2321"/>
      <c r="BF2" s="2321"/>
      <c r="BG2" s="2321"/>
      <c r="BH2" s="2321"/>
      <c r="BI2" s="2321"/>
      <c r="BJ2" s="2307" t="s">
        <v>95</v>
      </c>
      <c r="BK2" s="2307"/>
      <c r="BL2" s="2307"/>
      <c r="BM2" s="2307"/>
      <c r="BN2" s="2307"/>
      <c r="BO2" s="2307"/>
      <c r="BP2" s="2307"/>
      <c r="BQ2" s="2307"/>
      <c r="BR2" s="2307"/>
      <c r="BS2" s="2307"/>
      <c r="BT2" s="2307"/>
      <c r="BU2" s="2307"/>
      <c r="BV2" s="2307"/>
      <c r="BW2" s="2307"/>
      <c r="BX2" s="2307"/>
      <c r="BY2" s="2307"/>
      <c r="BZ2" s="2307"/>
      <c r="CA2" s="2307"/>
      <c r="CB2" s="2307"/>
      <c r="CC2" s="2307"/>
      <c r="CD2" s="2307"/>
      <c r="CE2" s="2308" t="s">
        <v>1836</v>
      </c>
      <c r="CF2" s="2309"/>
      <c r="CG2" s="2309"/>
      <c r="CH2" s="2309"/>
      <c r="CI2" s="2309"/>
      <c r="CJ2" s="2309"/>
      <c r="CK2" s="2309"/>
      <c r="CL2" s="2309"/>
      <c r="CM2" s="2309"/>
      <c r="CN2" s="2309"/>
      <c r="CO2" s="2309"/>
      <c r="CP2" s="2309"/>
      <c r="CQ2" s="2309"/>
      <c r="CR2" s="2309"/>
      <c r="CS2" s="2309"/>
      <c r="CT2" s="2309"/>
      <c r="CU2" s="2309"/>
      <c r="CV2" s="2309"/>
      <c r="CW2" s="2309"/>
      <c r="CX2" s="2309"/>
      <c r="CY2" s="2309"/>
      <c r="CZ2" s="2309"/>
      <c r="DA2" s="2309"/>
      <c r="DB2" s="2309"/>
      <c r="DC2" s="2309"/>
      <c r="DD2" s="2309"/>
      <c r="DE2" s="2309"/>
      <c r="DF2" s="2309"/>
      <c r="DG2" s="2309"/>
      <c r="DH2" s="2309"/>
    </row>
    <row r="3" spans="1:136" s="1647" customFormat="1" ht="24" customHeight="1" x14ac:dyDescent="0.25">
      <c r="A3" s="1384"/>
      <c r="B3" s="2325"/>
      <c r="C3" s="2327"/>
      <c r="D3" s="2330"/>
      <c r="E3" s="2331"/>
      <c r="F3" s="2327"/>
      <c r="G3" s="2330"/>
      <c r="H3" s="2331"/>
      <c r="I3" s="2331"/>
      <c r="J3" s="2331"/>
      <c r="K3" s="2331"/>
      <c r="L3" s="2331"/>
      <c r="M3" s="2331"/>
      <c r="N3" s="2331"/>
      <c r="O3" s="2331"/>
      <c r="P3" s="2331"/>
      <c r="Q3" s="2310" t="s">
        <v>1837</v>
      </c>
      <c r="R3" s="2310"/>
      <c r="S3" s="2310"/>
      <c r="T3" s="2310" t="s">
        <v>2</v>
      </c>
      <c r="U3" s="2310"/>
      <c r="V3" s="2310"/>
      <c r="W3" s="2311" t="s">
        <v>1838</v>
      </c>
      <c r="X3" s="2312"/>
      <c r="Y3" s="2312"/>
      <c r="Z3" s="2312"/>
      <c r="AA3" s="2312"/>
      <c r="AB3" s="2313"/>
      <c r="AC3" s="2314" t="s">
        <v>1839</v>
      </c>
      <c r="AD3" s="2315"/>
      <c r="AE3" s="2316"/>
      <c r="AF3" s="1646" t="s">
        <v>562</v>
      </c>
      <c r="AG3" s="2317" t="s">
        <v>1840</v>
      </c>
      <c r="AH3" s="2317"/>
      <c r="AI3" s="2317"/>
      <c r="AJ3" s="2317" t="s">
        <v>55</v>
      </c>
      <c r="AK3" s="2317"/>
      <c r="AL3" s="2317"/>
      <c r="AM3" s="2318" t="s">
        <v>1841</v>
      </c>
      <c r="AN3" s="2319"/>
      <c r="AO3" s="2318" t="s">
        <v>73</v>
      </c>
      <c r="AP3" s="2320"/>
      <c r="AQ3" s="2320"/>
      <c r="AR3" s="2319"/>
      <c r="AS3" s="2317" t="s">
        <v>1842</v>
      </c>
      <c r="AT3" s="2317"/>
      <c r="AU3" s="2317"/>
      <c r="AV3" s="2317" t="s">
        <v>178</v>
      </c>
      <c r="AW3" s="2317"/>
      <c r="AX3" s="2317"/>
      <c r="AY3" s="2317"/>
      <c r="AZ3" s="2317"/>
      <c r="BA3" s="2318" t="s">
        <v>264</v>
      </c>
      <c r="BB3" s="2320"/>
      <c r="BC3" s="2320"/>
      <c r="BD3" s="2320"/>
      <c r="BE3" s="2319"/>
      <c r="BF3" s="2317" t="s">
        <v>1843</v>
      </c>
      <c r="BG3" s="2317"/>
      <c r="BH3" s="2317"/>
      <c r="BI3" s="2317"/>
      <c r="BJ3" s="2303" t="s">
        <v>1844</v>
      </c>
      <c r="BK3" s="2303"/>
      <c r="BL3" s="2303"/>
      <c r="BM3" s="2303" t="s">
        <v>1845</v>
      </c>
      <c r="BN3" s="2303"/>
      <c r="BO3" s="2303"/>
      <c r="BP3" s="2303"/>
      <c r="BQ3" s="2304" t="s">
        <v>105</v>
      </c>
      <c r="BR3" s="2305"/>
      <c r="BS3" s="2306"/>
      <c r="BT3" s="2303" t="s">
        <v>98</v>
      </c>
      <c r="BU3" s="2303"/>
      <c r="BV3" s="2303"/>
      <c r="BW3" s="2303" t="s">
        <v>121</v>
      </c>
      <c r="BX3" s="2303"/>
      <c r="BY3" s="2303"/>
      <c r="BZ3" s="2303"/>
      <c r="CA3" s="2303"/>
      <c r="CB3" s="2303"/>
      <c r="CC3" s="2304" t="s">
        <v>1846</v>
      </c>
      <c r="CD3" s="2306"/>
      <c r="CE3" s="2292" t="s">
        <v>1847</v>
      </c>
      <c r="CF3" s="2293"/>
      <c r="CG3" s="2294"/>
      <c r="CH3" s="2295" t="s">
        <v>1848</v>
      </c>
      <c r="CI3" s="2295"/>
      <c r="CJ3" s="2295"/>
      <c r="CK3" s="2296" t="s">
        <v>1849</v>
      </c>
      <c r="CL3" s="2297"/>
      <c r="CM3" s="2297"/>
      <c r="CN3" s="2298"/>
      <c r="CO3" s="2322" t="s">
        <v>1850</v>
      </c>
      <c r="CP3" s="2323"/>
      <c r="CQ3" s="2323"/>
      <c r="CR3" s="2323"/>
      <c r="CS3" s="2299" t="s">
        <v>1851</v>
      </c>
      <c r="CT3" s="2300"/>
      <c r="CU3" s="2300"/>
      <c r="CV3" s="2300"/>
      <c r="CW3" s="2300"/>
      <c r="CX3" s="2300"/>
      <c r="CY3" s="2301"/>
      <c r="CZ3" s="2299" t="s">
        <v>1852</v>
      </c>
      <c r="DA3" s="2300"/>
      <c r="DB3" s="2300"/>
      <c r="DC3" s="2300"/>
      <c r="DD3" s="2300"/>
      <c r="DE3" s="2300"/>
      <c r="DF3" s="2300"/>
      <c r="DG3" s="2300"/>
      <c r="DH3" s="2302"/>
      <c r="DI3" s="1384"/>
      <c r="DJ3" s="1384"/>
      <c r="DK3" s="1384"/>
      <c r="DL3" s="1384"/>
      <c r="DM3" s="1384"/>
      <c r="DN3" s="1384"/>
      <c r="DO3" s="1384"/>
      <c r="DP3" s="1384"/>
      <c r="DQ3" s="1384"/>
      <c r="DR3" s="1384"/>
      <c r="DS3" s="1384"/>
      <c r="DT3" s="1384"/>
      <c r="DU3" s="1384"/>
      <c r="DV3" s="1384"/>
      <c r="DW3" s="1384"/>
      <c r="DX3" s="1384"/>
      <c r="DY3" s="1384"/>
      <c r="DZ3" s="1384"/>
      <c r="EA3" s="1384"/>
      <c r="EB3" s="1384"/>
      <c r="EC3" s="1384"/>
      <c r="ED3" s="1384"/>
      <c r="EE3" s="1384"/>
      <c r="EF3" s="1384"/>
    </row>
    <row r="4" spans="1:136" s="1648" customFormat="1" ht="68.45" customHeight="1" x14ac:dyDescent="0.25">
      <c r="B4" s="1649" t="s">
        <v>1</v>
      </c>
      <c r="C4" s="1649" t="s">
        <v>1853</v>
      </c>
      <c r="D4" s="1650" t="s">
        <v>1854</v>
      </c>
      <c r="E4" s="1650" t="s">
        <v>1855</v>
      </c>
      <c r="F4" s="1650" t="s">
        <v>1856</v>
      </c>
      <c r="G4" s="1651" t="s">
        <v>563</v>
      </c>
      <c r="H4" s="1651" t="s">
        <v>1857</v>
      </c>
      <c r="I4" s="1651" t="s">
        <v>1858</v>
      </c>
      <c r="J4" s="1651" t="s">
        <v>566</v>
      </c>
      <c r="K4" s="1651" t="s">
        <v>222</v>
      </c>
      <c r="L4" s="1652" t="s">
        <v>232</v>
      </c>
      <c r="M4" s="1653" t="s">
        <v>1859</v>
      </c>
      <c r="N4" s="1653" t="s">
        <v>1860</v>
      </c>
      <c r="O4" s="1652" t="s">
        <v>610</v>
      </c>
      <c r="P4" s="1652" t="s">
        <v>611</v>
      </c>
      <c r="Q4" s="1654" t="s">
        <v>520</v>
      </c>
      <c r="R4" s="1654" t="s">
        <v>1861</v>
      </c>
      <c r="S4" s="1654" t="s">
        <v>13</v>
      </c>
      <c r="T4" s="1655" t="s">
        <v>518</v>
      </c>
      <c r="U4" s="1655" t="s">
        <v>1862</v>
      </c>
      <c r="V4" s="1655" t="s">
        <v>1863</v>
      </c>
      <c r="W4" s="1654" t="s">
        <v>1864</v>
      </c>
      <c r="X4" s="1654" t="s">
        <v>1865</v>
      </c>
      <c r="Y4" s="1654" t="s">
        <v>542</v>
      </c>
      <c r="Z4" s="1654" t="s">
        <v>1866</v>
      </c>
      <c r="AA4" s="1654" t="s">
        <v>1867</v>
      </c>
      <c r="AB4" s="1656" t="s">
        <v>1447</v>
      </c>
      <c r="AC4" s="1653" t="s">
        <v>17</v>
      </c>
      <c r="AD4" s="1655" t="s">
        <v>1868</v>
      </c>
      <c r="AE4" s="1655" t="s">
        <v>1869</v>
      </c>
      <c r="AF4" s="1650" t="s">
        <v>1870</v>
      </c>
      <c r="AG4" s="1652" t="s">
        <v>718</v>
      </c>
      <c r="AH4" s="1652" t="s">
        <v>719</v>
      </c>
      <c r="AI4" s="1652" t="s">
        <v>1871</v>
      </c>
      <c r="AJ4" s="1657" t="s">
        <v>1872</v>
      </c>
      <c r="AK4" s="1657" t="s">
        <v>1873</v>
      </c>
      <c r="AL4" s="1657" t="s">
        <v>1874</v>
      </c>
      <c r="AM4" s="1652" t="s">
        <v>1875</v>
      </c>
      <c r="AN4" s="1652" t="s">
        <v>1876</v>
      </c>
      <c r="AO4" s="1657" t="s">
        <v>1877</v>
      </c>
      <c r="AP4" s="1657" t="s">
        <v>1878</v>
      </c>
      <c r="AQ4" s="1657" t="s">
        <v>1879</v>
      </c>
      <c r="AR4" s="1657" t="s">
        <v>1880</v>
      </c>
      <c r="AS4" s="1651" t="s">
        <v>1881</v>
      </c>
      <c r="AT4" s="1651" t="s">
        <v>1882</v>
      </c>
      <c r="AU4" s="1651" t="s">
        <v>1883</v>
      </c>
      <c r="AV4" s="1657" t="s">
        <v>1884</v>
      </c>
      <c r="AW4" s="1657" t="s">
        <v>1885</v>
      </c>
      <c r="AX4" s="1657" t="s">
        <v>1886</v>
      </c>
      <c r="AY4" s="1657" t="s">
        <v>1887</v>
      </c>
      <c r="AZ4" s="1657" t="s">
        <v>1888</v>
      </c>
      <c r="BA4" s="1652" t="s">
        <v>1889</v>
      </c>
      <c r="BB4" s="1652" t="s">
        <v>1890</v>
      </c>
      <c r="BC4" s="1652" t="s">
        <v>1891</v>
      </c>
      <c r="BD4" s="1652" t="s">
        <v>1892</v>
      </c>
      <c r="BE4" s="1652" t="s">
        <v>1893</v>
      </c>
      <c r="BF4" s="1657" t="s">
        <v>1894</v>
      </c>
      <c r="BG4" s="1657" t="s">
        <v>1895</v>
      </c>
      <c r="BH4" s="1657" t="s">
        <v>1896</v>
      </c>
      <c r="BI4" s="1657" t="s">
        <v>1897</v>
      </c>
      <c r="BJ4" s="1652" t="s">
        <v>1898</v>
      </c>
      <c r="BK4" s="1652" t="s">
        <v>1899</v>
      </c>
      <c r="BL4" s="1652" t="s">
        <v>1900</v>
      </c>
      <c r="BM4" s="1657" t="s">
        <v>1901</v>
      </c>
      <c r="BN4" s="1657" t="s">
        <v>1902</v>
      </c>
      <c r="BO4" s="1657" t="s">
        <v>1903</v>
      </c>
      <c r="BP4" s="1657" t="s">
        <v>1904</v>
      </c>
      <c r="BQ4" s="1651" t="s">
        <v>1905</v>
      </c>
      <c r="BR4" s="1651" t="s">
        <v>1906</v>
      </c>
      <c r="BS4" s="1651" t="s">
        <v>1907</v>
      </c>
      <c r="BT4" s="1657" t="s">
        <v>1908</v>
      </c>
      <c r="BU4" s="1657" t="s">
        <v>1909</v>
      </c>
      <c r="BV4" s="1657" t="s">
        <v>1910</v>
      </c>
      <c r="BW4" s="1652" t="s">
        <v>1911</v>
      </c>
      <c r="BX4" s="1652" t="s">
        <v>1912</v>
      </c>
      <c r="BY4" s="1652" t="s">
        <v>1913</v>
      </c>
      <c r="BZ4" s="1652" t="s">
        <v>1914</v>
      </c>
      <c r="CA4" s="1652" t="s">
        <v>1915</v>
      </c>
      <c r="CB4" s="1652" t="s">
        <v>1916</v>
      </c>
      <c r="CC4" s="1657" t="s">
        <v>609</v>
      </c>
      <c r="CD4" s="1657" t="s">
        <v>1917</v>
      </c>
      <c r="CE4" s="1658" t="s">
        <v>1918</v>
      </c>
      <c r="CF4" s="1658" t="s">
        <v>1919</v>
      </c>
      <c r="CG4" s="1658" t="s">
        <v>1920</v>
      </c>
      <c r="CH4" s="1659" t="s">
        <v>1921</v>
      </c>
      <c r="CI4" s="1660" t="s">
        <v>1922</v>
      </c>
      <c r="CJ4" s="1660" t="s">
        <v>1923</v>
      </c>
      <c r="CK4" s="1658" t="s">
        <v>1924</v>
      </c>
      <c r="CL4" s="1658" t="s">
        <v>1925</v>
      </c>
      <c r="CM4" s="1658" t="s">
        <v>1926</v>
      </c>
      <c r="CN4" s="1658" t="s">
        <v>1927</v>
      </c>
      <c r="CO4" s="1661" t="s">
        <v>1928</v>
      </c>
      <c r="CP4" s="1661" t="s">
        <v>1929</v>
      </c>
      <c r="CQ4" s="1660" t="s">
        <v>1930</v>
      </c>
      <c r="CR4" s="1661" t="s">
        <v>1931</v>
      </c>
      <c r="CS4" s="1649" t="s">
        <v>220</v>
      </c>
      <c r="CT4" s="1649" t="s">
        <v>221</v>
      </c>
      <c r="CU4" s="1649" t="s">
        <v>238</v>
      </c>
      <c r="CV4" s="1662" t="s">
        <v>1932</v>
      </c>
      <c r="CW4" s="1663" t="s">
        <v>1933</v>
      </c>
      <c r="CX4" s="1662" t="s">
        <v>1934</v>
      </c>
      <c r="CY4" s="1662" t="s">
        <v>1935</v>
      </c>
      <c r="CZ4" s="1664" t="s">
        <v>227</v>
      </c>
      <c r="DA4" s="1664" t="s">
        <v>1936</v>
      </c>
      <c r="DB4" s="1664" t="s">
        <v>230</v>
      </c>
      <c r="DC4" s="1664" t="s">
        <v>231</v>
      </c>
      <c r="DD4" s="1665" t="s">
        <v>233</v>
      </c>
      <c r="DE4" s="1666" t="s">
        <v>234</v>
      </c>
      <c r="DF4" s="1666" t="s">
        <v>235</v>
      </c>
      <c r="DG4" s="1667" t="s">
        <v>1937</v>
      </c>
      <c r="DH4" s="1668" t="s">
        <v>237</v>
      </c>
    </row>
    <row r="5" spans="1:136" s="1669" customFormat="1" ht="33" customHeight="1" x14ac:dyDescent="0.25">
      <c r="B5" s="1670"/>
      <c r="C5" s="1671">
        <v>1.1000000000000001</v>
      </c>
      <c r="D5" s="1672" t="str">
        <f>[31]Input_Cty!$B$1</f>
        <v>CTCP DVTM Quang Phát</v>
      </c>
      <c r="E5" s="1672" t="str">
        <f>[31]Input_Cty!$B$2</f>
        <v>Quang Phát</v>
      </c>
      <c r="F5" s="1670"/>
      <c r="G5" s="1670"/>
      <c r="H5" s="1673"/>
      <c r="I5" s="1674"/>
      <c r="J5" s="1674"/>
      <c r="K5" s="1675">
        <f>'1.BC_Muc tieu (ty) '!AK130*10^9/10000</f>
        <v>9700000</v>
      </c>
      <c r="L5" s="1676">
        <f>K5*10000</f>
        <v>97000000000</v>
      </c>
      <c r="M5" s="1676">
        <f>RANK(L5,L$5:L$16,0)+COUNTIF($L$5:L5,L5)-1</f>
        <v>6</v>
      </c>
      <c r="N5" s="1676">
        <f>[31]Input_Cty!BN130</f>
        <v>0</v>
      </c>
      <c r="O5" s="1676">
        <f>I5*L5/10000</f>
        <v>0</v>
      </c>
      <c r="P5" s="1676">
        <f>IFERROR(O5/BI5*10000,"")</f>
        <v>0</v>
      </c>
      <c r="Q5" s="1674">
        <f>'1.BC_Muc tieu (ty) '!AL9*10^9</f>
        <v>531998349973</v>
      </c>
      <c r="R5" s="1676">
        <f>RANK(Q5,Q$5:Q$16,0)+COUNTIF($Q$5:Q5,Q5)-1</f>
        <v>3</v>
      </c>
      <c r="S5" s="1674">
        <f>'1.BC_Muc tieu (ty) '!AL10*10^9</f>
        <v>465523505033</v>
      </c>
      <c r="T5" s="1677">
        <f>Q5-S5</f>
        <v>66474844940</v>
      </c>
      <c r="U5" s="1676">
        <f>RANK(T5,T$5:T$16,0)+COUNTIF($T$5:T5,T5)-1</f>
        <v>3</v>
      </c>
      <c r="V5" s="1678">
        <f>IFERROR(T5/Q5,"")</f>
        <v>0.12495310360149375</v>
      </c>
      <c r="W5" s="1674">
        <f>[31]Input_Cty!BO14</f>
        <v>0</v>
      </c>
      <c r="X5" s="1674">
        <f>'1.BC_Muc tieu (ty) '!AL14*10^9</f>
        <v>18194325678.000004</v>
      </c>
      <c r="Y5" s="1674">
        <f>'1.BC_Muc tieu (ty) '!AL16*10^9</f>
        <v>240600000</v>
      </c>
      <c r="Z5" s="1674">
        <f>'1.BC_Muc tieu (ty) '!AL17*10^9</f>
        <v>28221520755</v>
      </c>
      <c r="AA5" s="1674">
        <f>'1.BC_Muc tieu (ty) '!AL20*10^9</f>
        <v>155378293.99999997</v>
      </c>
      <c r="AB5" s="1674">
        <f>SUM(AA5,X5,Y5,Z5)</f>
        <v>46811824727</v>
      </c>
      <c r="AC5" s="1674">
        <f>'1.BC_Muc tieu (ty) '!AL22*10^9</f>
        <v>19732686502.000027</v>
      </c>
      <c r="AD5" s="1674">
        <f>'1.BC_Muc tieu (ty) '!AL25*10^9</f>
        <v>11731729394.000025</v>
      </c>
      <c r="AE5" s="1676">
        <f>RANK(AD5,AD$5:AD$16,0)+COUNTIF($AD$5:AD5,AD5)-1</f>
        <v>5</v>
      </c>
      <c r="AF5" s="1679">
        <f>'1.BC_Muc tieu (ty) '!AL32*10^9</f>
        <v>43787349978</v>
      </c>
      <c r="AG5" s="1680">
        <f>'1.BC_Muc tieu (ty) '!AK39*10^9</f>
        <v>217798472010</v>
      </c>
      <c r="AH5" s="1680">
        <f>'1.BC_Muc tieu (ty) '!Q39*10^9</f>
        <v>85210321151.999985</v>
      </c>
      <c r="AI5" s="1680">
        <f>IFERROR(Q5/((AG5+AH5)/2),"")</f>
        <v>3.5114383607248882</v>
      </c>
      <c r="AJ5" s="1681">
        <f>'1.BC_Muc tieu (ty) '!AL48*10^9</f>
        <v>131640877873</v>
      </c>
      <c r="AK5" s="1681">
        <f>'1.BC_Muc tieu (ty) '!Q48*10^9</f>
        <v>114754993424</v>
      </c>
      <c r="AL5" s="1680">
        <f>IFERROR((S5/((AJ5+AK5)/2)),"")</f>
        <v>3.7786631941723448</v>
      </c>
      <c r="AM5" s="1680">
        <f>((AV5+AZ5)/2)-((BT5+BV5)/2)</f>
        <v>-69663696109</v>
      </c>
      <c r="AN5" s="1680">
        <f>IFERROR(Q5/AM5,"")</f>
        <v>-7.6366655760068118</v>
      </c>
      <c r="AO5" s="1680">
        <f>'1.BC_Muc tieu (ty) '!AL66*10^9</f>
        <v>124979952949.99998</v>
      </c>
      <c r="AP5" s="1680">
        <f>'1.BC_Muc tieu (ty) '!R66*10^9</f>
        <v>127247553444.99998</v>
      </c>
      <c r="AQ5" s="1680">
        <f>IFERROR(AVERAGE(AP5,AO5),"")</f>
        <v>126113753197.49998</v>
      </c>
      <c r="AR5" s="1680">
        <f>'1.BC_Muc tieu (ty) '!AL68*10^9</f>
        <v>-63266278836.000008</v>
      </c>
      <c r="AS5" s="1680">
        <f>'1.BC_Muc tieu (ty) '!AL72*10^9</f>
        <v>0</v>
      </c>
      <c r="AT5" s="1680">
        <f>'1.BC_Muc tieu (ty) '!R72*10^9</f>
        <v>0</v>
      </c>
      <c r="AU5" s="1679">
        <f>IFERROR(AVERAGE(AS5:AT5),"")</f>
        <v>0</v>
      </c>
      <c r="AV5" s="1680">
        <f>'1.BC_Muc tieu (ty) '!AL30*10^9</f>
        <v>465678070276</v>
      </c>
      <c r="AW5" s="1676">
        <f>RANK(AV5,AV$5:AV$16,0)+COUNTIF(AV$5:AV5,AV5)-1</f>
        <v>4</v>
      </c>
      <c r="AX5" s="1682">
        <f>AV5/BF5</f>
        <v>0.74700150993374392</v>
      </c>
      <c r="AY5" s="1676">
        <f>RANK(AX5,AX$5:AX$16,0)+COUNTIF(AX$5:AX5,AX5)-1</f>
        <v>4</v>
      </c>
      <c r="AZ5" s="1680">
        <f>'1.BC_Muc tieu (ty) '!Q30*10^9</f>
        <v>253892070081</v>
      </c>
      <c r="BA5" s="1680">
        <f>'1.BC_Muc tieu (ty) '!AL56*10^9</f>
        <v>157718354072.99997</v>
      </c>
      <c r="BB5" s="1676">
        <f>RANK(BA5,BA$5:BA$16,0)+COUNTIF(BA$5:BA5,BA5)-1</f>
        <v>4</v>
      </c>
      <c r="BC5" s="1683">
        <f>BA5/BF5</f>
        <v>0.25299849006625597</v>
      </c>
      <c r="BD5" s="1676">
        <f>RANK(BC5,BC$5:BC$16,0)+COUNTIF(BC$5:BC5,BC5)-1</f>
        <v>8</v>
      </c>
      <c r="BE5" s="1680">
        <f>'1.BC_Muc tieu (ty) '!R56*10^9</f>
        <v>160708273020.99997</v>
      </c>
      <c r="BF5" s="1680">
        <f>'1.BC_Muc tieu (ty) '!AL92*10^9</f>
        <v>623396424349</v>
      </c>
      <c r="BG5" s="1676">
        <f>RANK(BF5,BF$5:BF$16,0)+COUNTIF(BF5:BF$7,BF5)-1</f>
        <v>4</v>
      </c>
      <c r="BH5" s="1680">
        <f>'1.BC_Muc tieu (ty) '!R92*10^9</f>
        <v>414600343101.99994</v>
      </c>
      <c r="BI5" s="1680">
        <f>(BF5+BH5)/2</f>
        <v>518998383725.5</v>
      </c>
      <c r="BJ5" s="1681">
        <f>'1.BC_Muc tieu (ty) '!AK99*10^9</f>
        <v>204945958309.00003</v>
      </c>
      <c r="BK5" s="1681">
        <f>'1.BC_Muc tieu (ty) '!Q99*10^9</f>
        <v>81222388960</v>
      </c>
      <c r="BL5" s="1680">
        <f>IFERROR(S5/((BJ5+BK5)/2),"")</f>
        <v>3.2534940322760786</v>
      </c>
      <c r="BM5" s="1680">
        <f>'1.BC_Muc tieu (ty) '!R108*10^9</f>
        <v>242948484411</v>
      </c>
      <c r="BN5" s="1674">
        <f>('1.BC_Muc tieu (ty) '!AL108+'1.BC_Muc tieu (ty) '!AL121)*10^9</f>
        <v>224073770052</v>
      </c>
      <c r="BO5" s="1674">
        <f>'1.BC_Muc tieu (ty) '!R108*10^9</f>
        <v>242948484411</v>
      </c>
      <c r="BP5" s="1684">
        <f>IFERROR(AVERAGE(BN5:BO5),"")</f>
        <v>233511127231.5</v>
      </c>
      <c r="BQ5" s="1684">
        <f>[31]Input_Cty!BO112</f>
        <v>0</v>
      </c>
      <c r="BR5" s="1685">
        <f>BQ5/SUM(BQ5,BT5,BW5)</f>
        <v>0</v>
      </c>
      <c r="BS5" s="1684">
        <f>[31]Input_Cty!BN112</f>
        <v>0</v>
      </c>
      <c r="BT5" s="1680">
        <f>'1.BC_Muc tieu (ty) '!AL97*10^9</f>
        <v>519557108949.99994</v>
      </c>
      <c r="BU5" s="1685">
        <f>BT5/SUM(BQ5,BT5,BW5)</f>
        <v>0.90386599197244732</v>
      </c>
      <c r="BV5" s="1680">
        <f>'1.BC_Muc tieu (ty) '!R98*10^9</f>
        <v>339340423625</v>
      </c>
      <c r="BW5" s="1674">
        <f>'1.BC_Muc tieu (ty) '!AL127*10^9</f>
        <v>55259416469</v>
      </c>
      <c r="BX5" s="1676">
        <f>RANK(BW5,BW$5:BW$16,0)+COUNTIF(BW5:BW$7,BW5)-1</f>
        <v>8</v>
      </c>
      <c r="BY5" s="1685">
        <f>BW5/SUM(BQ5,BT5,BW5)</f>
        <v>9.6134008027552537E-2</v>
      </c>
      <c r="BZ5" s="1676">
        <f>RANK(BY5,BY$5:BY$16,0)+COUNTIF(BY5:BY$7,BY5)-1</f>
        <v>11</v>
      </c>
      <c r="CA5" s="1674">
        <f>'1.BC_Muc tieu (ty) '!Q127*10^9</f>
        <v>75259636196.999985</v>
      </c>
      <c r="CB5" s="1674">
        <f>(BW5+CA5)/2</f>
        <v>65259526332.999992</v>
      </c>
      <c r="CC5" s="1674">
        <f>SUM([31]Input_Cty!BO140,[31]Input_Cty!BO133)</f>
        <v>-13566477890</v>
      </c>
      <c r="CD5" s="1678">
        <f>IFERROR(CC5/L5,"")</f>
        <v>-0.13986059680412372</v>
      </c>
      <c r="CE5" s="1686">
        <f>IFERROR(AV5/BT5,"")</f>
        <v>0.89629813980817841</v>
      </c>
      <c r="CF5" s="1686">
        <f>IFERROR((AV5-AJ5)/BT5,"")</f>
        <v>0.64292680563657989</v>
      </c>
      <c r="CG5" s="1686">
        <f>IFERROR(AF5/BT5,"")</f>
        <v>8.4278223170677305E-2</v>
      </c>
      <c r="CH5" s="1687" t="str">
        <f>IFERROR((AC5+W5)/W5,"")</f>
        <v/>
      </c>
      <c r="CI5" s="1687">
        <f>IFERROR((BW5-N5)/(BQ5+BW5),"")</f>
        <v>1</v>
      </c>
      <c r="CJ5" s="1687">
        <f>IFERROR(N5/(BQ5+BW5),"")</f>
        <v>0</v>
      </c>
      <c r="CK5" s="1686">
        <f>IFERROR(BQ5/BW5,"")</f>
        <v>0</v>
      </c>
      <c r="CL5" s="1686">
        <f>IFERROR(SUM(BQ5,BT5)/BW5,"")</f>
        <v>9.4021461345229085</v>
      </c>
      <c r="CM5" s="1686">
        <f>IFERROR(BQ5/BF5,"")</f>
        <v>0</v>
      </c>
      <c r="CN5" s="1688">
        <f>IFERROR(SUM(BT5,BQ5)/BF5,"")</f>
        <v>0.83342972249570202</v>
      </c>
      <c r="CO5" s="1687">
        <f>IFERROR(Q5/BI5,"")</f>
        <v>1.0250481825283984</v>
      </c>
      <c r="CP5" s="1687">
        <f>IFERROR(Q5/CB5,"")</f>
        <v>8.1520412400539097</v>
      </c>
      <c r="CQ5" s="1687">
        <f>IFERROR(Q5/AQ5,"")</f>
        <v>4.2184007412725713</v>
      </c>
      <c r="CR5" s="1689">
        <f>IFERROR(Q5/AVERAGE(AV5,AZ5),"")</f>
        <v>1.4786559923374805</v>
      </c>
      <c r="CS5" s="1682">
        <f>IFERROR(AD5/BI5,"")</f>
        <v>2.2604558630388676E-2</v>
      </c>
      <c r="CT5" s="1678">
        <f>IFERROR(AD5/CB5,"")</f>
        <v>0.17977037305077104</v>
      </c>
      <c r="CU5" s="1682">
        <f>AD5/Q5</f>
        <v>2.205219131712614E-2</v>
      </c>
      <c r="CV5" s="1690">
        <f>IFERROR(Q5/BF5,"")</f>
        <v>0.85338691271537992</v>
      </c>
      <c r="CW5" s="1690">
        <f>IFERROR(Q5/BW5,"")</f>
        <v>9.6272885956268812</v>
      </c>
      <c r="CX5" s="1682">
        <f>IFERROR((AC5+W5)/BF5,"")</f>
        <v>3.1653512486226505E-2</v>
      </c>
      <c r="CY5" s="1682">
        <f>IFERROR(AC5/L5,"")</f>
        <v>0.2034297577525776</v>
      </c>
      <c r="CZ5" s="1679">
        <f>IFERROR(AD5/K5,"")</f>
        <v>1209.4566385567036</v>
      </c>
      <c r="DA5" s="1679">
        <f>IFERROR((BW5-AS5)/K5,"")</f>
        <v>5696.8470586597941</v>
      </c>
      <c r="DB5" s="1691" t="str">
        <f>IF(I5&gt;0,(K5*I5)+BO5-AF5,"")</f>
        <v/>
      </c>
      <c r="DC5" s="1684">
        <f>IFERROR(AC5+AR5+W5,"")</f>
        <v>-43533592333.999985</v>
      </c>
      <c r="DD5" s="1692">
        <f>IFERROR(I5/CZ5,"")</f>
        <v>0</v>
      </c>
      <c r="DE5" s="1693">
        <f>IFERROR(I5/DA5,"")</f>
        <v>0</v>
      </c>
      <c r="DF5" s="1692">
        <f>IFERROR(I5/(Q5/K5),"")</f>
        <v>0</v>
      </c>
      <c r="DG5" s="1694" t="str">
        <f>IFERROR(DB5/DC5,"")</f>
        <v/>
      </c>
      <c r="DH5" s="1695" t="str">
        <f>IFERROR(DB5/Q5,"")</f>
        <v/>
      </c>
    </row>
    <row r="6" spans="1:136" s="1669" customFormat="1" ht="14.45" customHeight="1" x14ac:dyDescent="0.25">
      <c r="B6" s="1696"/>
      <c r="C6" s="1697"/>
      <c r="D6" s="1698"/>
      <c r="E6" s="1698"/>
      <c r="F6" s="1699"/>
      <c r="G6" s="1699"/>
      <c r="H6" s="1700"/>
      <c r="I6" s="1701"/>
      <c r="J6" s="1701"/>
      <c r="K6" s="1701"/>
      <c r="L6" s="1702"/>
      <c r="M6" s="1702"/>
      <c r="N6" s="1702"/>
      <c r="O6" s="1702"/>
      <c r="P6" s="1702"/>
      <c r="Q6" s="1701"/>
      <c r="R6" s="1702"/>
      <c r="S6" s="1701"/>
      <c r="T6" s="1701"/>
      <c r="U6" s="1701"/>
      <c r="V6" s="1703"/>
      <c r="W6" s="1701"/>
      <c r="X6" s="1701"/>
      <c r="Y6" s="1701"/>
      <c r="Z6" s="1701"/>
      <c r="AA6" s="1701"/>
      <c r="AB6" s="1701"/>
      <c r="AC6" s="1701"/>
      <c r="AD6" s="1701"/>
      <c r="AE6" s="1702"/>
      <c r="AF6" s="1704"/>
      <c r="AG6" s="1701"/>
      <c r="AH6" s="1701"/>
      <c r="AI6" s="1701"/>
      <c r="AJ6" s="1705"/>
      <c r="AK6" s="1705"/>
      <c r="AL6" s="1701"/>
      <c r="AM6" s="1701"/>
      <c r="AN6" s="1701"/>
      <c r="AO6" s="1701"/>
      <c r="AP6" s="1701"/>
      <c r="AQ6" s="1701"/>
      <c r="AR6" s="1701"/>
      <c r="AS6" s="1701"/>
      <c r="AT6" s="1701"/>
      <c r="AU6" s="1704"/>
      <c r="AV6" s="1701"/>
      <c r="AW6" s="1701"/>
      <c r="AX6" s="1701"/>
      <c r="AY6" s="1701"/>
      <c r="AZ6" s="1701"/>
      <c r="BA6" s="1701"/>
      <c r="BB6" s="1701"/>
      <c r="BC6" s="1701"/>
      <c r="BD6" s="1701"/>
      <c r="BE6" s="1701"/>
      <c r="BF6" s="1701"/>
      <c r="BG6" s="1702"/>
      <c r="BH6" s="1701"/>
      <c r="BI6" s="1701"/>
      <c r="BJ6" s="1705"/>
      <c r="BK6" s="1705"/>
      <c r="BL6" s="1701"/>
      <c r="BM6" s="1701"/>
      <c r="BN6" s="1701"/>
      <c r="BO6" s="1701"/>
      <c r="BP6" s="1704"/>
      <c r="BQ6" s="1704"/>
      <c r="BR6" s="1706"/>
      <c r="BS6" s="1706"/>
      <c r="BT6" s="1701"/>
      <c r="BU6" s="1703"/>
      <c r="BV6" s="1701"/>
      <c r="BW6" s="1701"/>
      <c r="BX6" s="1702"/>
      <c r="BY6" s="1703"/>
      <c r="BZ6" s="1703"/>
      <c r="CA6" s="1701"/>
      <c r="CB6" s="1701"/>
      <c r="CC6" s="1701"/>
      <c r="CD6" s="1703"/>
      <c r="CE6" s="1707"/>
      <c r="CF6" s="1707"/>
      <c r="CG6" s="1707"/>
      <c r="CH6" s="1708"/>
      <c r="CI6" s="1708"/>
      <c r="CJ6" s="1708"/>
      <c r="CK6" s="1707"/>
      <c r="CL6" s="1707"/>
      <c r="CM6" s="1707"/>
      <c r="CN6" s="1709"/>
      <c r="CO6" s="1710"/>
      <c r="CP6" s="1710"/>
      <c r="CQ6" s="1710"/>
      <c r="CR6" s="1710"/>
      <c r="CS6" s="1703"/>
      <c r="CT6" s="1703"/>
      <c r="CU6" s="1703"/>
      <c r="CV6" s="1711"/>
      <c r="CW6" s="1711"/>
      <c r="CX6" s="1703"/>
      <c r="CY6" s="1703"/>
      <c r="CZ6" s="1704"/>
      <c r="DA6" s="1704"/>
      <c r="DB6" s="1704"/>
      <c r="DC6" s="1704"/>
      <c r="DD6" s="1712"/>
      <c r="DE6" s="1713"/>
      <c r="DF6" s="1712"/>
      <c r="DG6" s="1712"/>
      <c r="DH6" s="1714"/>
    </row>
    <row r="7" spans="1:136" s="1715" customFormat="1" ht="18.600000000000001" customHeight="1" x14ac:dyDescent="0.25">
      <c r="B7" s="1716">
        <v>1</v>
      </c>
      <c r="C7" s="1716"/>
      <c r="D7" s="1717" t="s">
        <v>1938</v>
      </c>
      <c r="E7" s="1718" t="s">
        <v>1939</v>
      </c>
      <c r="F7" s="1719" t="s">
        <v>1940</v>
      </c>
      <c r="G7" s="1717" t="s">
        <v>1939</v>
      </c>
      <c r="H7" s="1717" t="s">
        <v>570</v>
      </c>
      <c r="I7" s="1720">
        <v>4100</v>
      </c>
      <c r="J7" s="1720">
        <v>19386</v>
      </c>
      <c r="K7" s="1721">
        <v>104999993</v>
      </c>
      <c r="L7" s="1722">
        <f>K7*10000</f>
        <v>1049999930000</v>
      </c>
      <c r="M7" s="1722">
        <f>RANK(L7,L$5:L$16,0)+COUNTIF($L$5:L7,L7)-1</f>
        <v>1</v>
      </c>
      <c r="N7" s="1723">
        <v>0</v>
      </c>
      <c r="O7" s="1722">
        <f t="shared" ref="O7:O16" si="0">I7*L7/10000</f>
        <v>430499971300</v>
      </c>
      <c r="P7" s="1722">
        <f t="shared" ref="P7:P16" si="1">IFERROR(O7/BI7*10000,"")</f>
        <v>1934.041476590892</v>
      </c>
      <c r="Q7" s="1724">
        <v>651590436819</v>
      </c>
      <c r="R7" s="1722">
        <f>RANK(Q7,Q$5:Q$16,0)+COUNTIF($Q$5:Q7,Q7)-1</f>
        <v>2</v>
      </c>
      <c r="S7" s="1724">
        <v>525032743214</v>
      </c>
      <c r="T7" s="1677">
        <f t="shared" ref="T7:T16" si="2">Q7-S7</f>
        <v>126557693605</v>
      </c>
      <c r="U7" s="1722">
        <f>RANK(T7,T$5:T$16,0)+COUNTIF($T$5:T7,T7)-1</f>
        <v>2</v>
      </c>
      <c r="V7" s="1725">
        <f t="shared" ref="V7:V16" si="3">IFERROR(T7/Q7,"")</f>
        <v>0.19422889971013407</v>
      </c>
      <c r="W7" s="1724">
        <v>44623825944</v>
      </c>
      <c r="X7" s="1726">
        <v>44623825944</v>
      </c>
      <c r="Y7" s="1724">
        <v>13138682809</v>
      </c>
      <c r="Z7" s="1724">
        <v>17043068730</v>
      </c>
      <c r="AA7" s="1726">
        <v>469571840</v>
      </c>
      <c r="AB7" s="1727">
        <f t="shared" ref="AB7:AB16" si="4">SUM(AA7,X7,Y7,Z7)</f>
        <v>75275149323</v>
      </c>
      <c r="AC7" s="1724">
        <v>87341704499</v>
      </c>
      <c r="AD7" s="1724">
        <v>70154709497</v>
      </c>
      <c r="AE7" s="1722">
        <f>RANK(AD7,AD$5:AD$16,0)+COUNTIF($AD$5:AD7,AD7)-1</f>
        <v>2</v>
      </c>
      <c r="AF7" s="1724">
        <v>19393373718</v>
      </c>
      <c r="AG7" s="1728">
        <v>697595883406</v>
      </c>
      <c r="AH7" s="1728">
        <v>864707149808</v>
      </c>
      <c r="AI7" s="1727">
        <f t="shared" ref="AI7:AI16" si="5">IFERROR(Q7/((AG7+AH7)/2),"")</f>
        <v>0.8341409098829381</v>
      </c>
      <c r="AJ7" s="1729">
        <v>1006505319661</v>
      </c>
      <c r="AK7" s="1729">
        <v>911989583809</v>
      </c>
      <c r="AL7" s="1727">
        <f t="shared" ref="AL7:AL16" si="6">IFERROR((S7/((AJ7+AK7)/2)),"")</f>
        <v>0.54733816833640614</v>
      </c>
      <c r="AM7" s="1727">
        <f t="shared" ref="AM7:AM16" si="7">((AV7+AZ7)/2)-((BT7+BV7)/2)</f>
        <v>936231150492</v>
      </c>
      <c r="AN7" s="1727">
        <f t="shared" ref="AN7:AN16" si="8">IFERROR(Q7/AM7,"")</f>
        <v>0.69597175492033336</v>
      </c>
      <c r="AO7" s="1729">
        <v>9575058916</v>
      </c>
      <c r="AP7" s="1729">
        <v>12052731565</v>
      </c>
      <c r="AQ7" s="1727">
        <f t="shared" ref="AQ7:AQ16" si="9">IFERROR(AVERAGE(AP7,AO7),"")</f>
        <v>10813895240.5</v>
      </c>
      <c r="AR7" s="1724">
        <v>3677672649</v>
      </c>
      <c r="AS7" s="1724">
        <v>0</v>
      </c>
      <c r="AT7" s="1724">
        <v>9565418</v>
      </c>
      <c r="AU7" s="1730">
        <f t="shared" ref="AU7:AU16" si="10">IFERROR(AVERAGE(AS7:AT7),"")</f>
        <v>4782709</v>
      </c>
      <c r="AV7" s="1731">
        <v>1752179531777</v>
      </c>
      <c r="AW7" s="1722">
        <f>RANK(AV7,AV$5:AV$16,0)+COUNTIF(AV$5:AV7,AV7)-1</f>
        <v>1</v>
      </c>
      <c r="AX7" s="1725">
        <f t="shared" ref="AX7:AX16" si="11">AV7/BF7</f>
        <v>0.74496075271952444</v>
      </c>
      <c r="AY7" s="1722">
        <f>RANK(AX7,AX$5:AX$16,0)+COUNTIF(AX$5:AX7,AX7)-1</f>
        <v>5</v>
      </c>
      <c r="AZ7" s="1729">
        <v>1889388844329</v>
      </c>
      <c r="BA7" s="1732">
        <v>599863210583</v>
      </c>
      <c r="BB7" s="1722">
        <f>RANK(BA7,BA$5:BA$16,0)+COUNTIF(BA$5:BA7,BA7)-1</f>
        <v>1</v>
      </c>
      <c r="BC7" s="1733">
        <f t="shared" ref="BC7:BC16" si="12">BA7/BF7</f>
        <v>0.25503924728047561</v>
      </c>
      <c r="BD7" s="1722">
        <f>RANK(BC7,BC$5:BC$16,0)+COUNTIF(BC$5:BC7,BC7)-1</f>
        <v>7</v>
      </c>
      <c r="BE7" s="1732">
        <v>210385776182</v>
      </c>
      <c r="BF7" s="1734">
        <f t="shared" ref="BF7:BF16" si="13">AV7+BA7</f>
        <v>2352042742360</v>
      </c>
      <c r="BG7" s="1722">
        <f>RANK(BF7,BF$5:BF$16,0)+COUNTIF(BF7:BF$7,BF7)-1</f>
        <v>1</v>
      </c>
      <c r="BH7" s="1734">
        <f t="shared" ref="BH7:BH16" si="14">AZ7+BE7</f>
        <v>2099774620511</v>
      </c>
      <c r="BI7" s="1727">
        <f t="shared" ref="BI7:BI16" si="15">(BF7+BH7)/2</f>
        <v>2225908681435.5</v>
      </c>
      <c r="BJ7" s="1732">
        <v>201026431626</v>
      </c>
      <c r="BK7" s="1732">
        <v>98745636145</v>
      </c>
      <c r="BL7" s="1727">
        <f t="shared" ref="BL7:BL16" si="16">IFERROR(S7/((BJ7+BK7)/2),"")</f>
        <v>3.5028796853419961</v>
      </c>
      <c r="BM7" s="1724">
        <v>596761945346</v>
      </c>
      <c r="BN7" s="1724">
        <v>769881570346</v>
      </c>
      <c r="BO7" s="1724">
        <v>635537556757</v>
      </c>
      <c r="BP7" s="1735">
        <f t="shared" ref="BP7:BP16" si="17">IFERROR(AVERAGE(BN7:BO7),"")</f>
        <v>702709563551.5</v>
      </c>
      <c r="BQ7" s="1728">
        <v>182448891258</v>
      </c>
      <c r="BR7" s="1733">
        <f>BQ7/SUM(BQ7,BT7,BW7)</f>
        <v>7.7570397838490748E-2</v>
      </c>
      <c r="BS7" s="1726">
        <v>11382581331</v>
      </c>
      <c r="BT7" s="1728">
        <v>884553037561</v>
      </c>
      <c r="BU7" s="1733">
        <f t="shared" ref="BU7:BU16" si="18">BT7/SUM(BQ7,BT7,BW7)</f>
        <v>0.37607864076205283</v>
      </c>
      <c r="BV7" s="1728">
        <v>884553037561</v>
      </c>
      <c r="BW7" s="1734">
        <f>BF7-BQ7-BT7</f>
        <v>1285040813541</v>
      </c>
      <c r="BX7" s="1722">
        <f>RANK(BW7,BW$5:BW$16,0)+COUNTIF(BW7:BW$7,BW7)-1</f>
        <v>1</v>
      </c>
      <c r="BY7" s="1733">
        <f t="shared" ref="BY7:BY16" si="19">BW7/SUM(BQ7,BT7,BW7)</f>
        <v>0.54635096139945638</v>
      </c>
      <c r="BZ7" s="1722">
        <f>RANK(BY7,BY$5:BY$16,0)+COUNTIF(BY7:BY$7,BY7)-1</f>
        <v>5</v>
      </c>
      <c r="CA7" s="1734">
        <f>BH7-BS7-BV7</f>
        <v>1203839001619</v>
      </c>
      <c r="CB7" s="1727">
        <f>(BW7+CA7)/2</f>
        <v>1244439907580</v>
      </c>
      <c r="CC7" s="1736">
        <v>172149269821</v>
      </c>
      <c r="CD7" s="1725">
        <f t="shared" ref="CD7:CD16" si="20">IFERROR(CC7/L7,"")</f>
        <v>0.16395169647392263</v>
      </c>
      <c r="CE7" s="1737">
        <f t="shared" ref="CE7:CE16" si="21">IFERROR(AV7/BT7,"")</f>
        <v>1.9808642979829993</v>
      </c>
      <c r="CF7" s="1738">
        <f t="shared" ref="CF7:CF16" si="22">IFERROR((AV7-AJ7)/BT7,"")</f>
        <v>0.84299547958375221</v>
      </c>
      <c r="CG7" s="1737">
        <f t="shared" ref="CG7:CG16" si="23">IFERROR(AF7/BT7,"")</f>
        <v>2.192448942516079E-2</v>
      </c>
      <c r="CH7" s="1739">
        <f t="shared" ref="CH7:CH16" si="24">IFERROR((AC7+W7)/W7,"")</f>
        <v>2.9572885706529997</v>
      </c>
      <c r="CI7" s="1739">
        <f t="shared" ref="CI7:CI16" si="25">IFERROR((BW7-N7)/(BQ7+BW7),"")</f>
        <v>0.87567279643505935</v>
      </c>
      <c r="CJ7" s="1739">
        <f t="shared" ref="CJ7:CJ16" si="26">IFERROR(N7/(BQ7+BW7),"")</f>
        <v>0</v>
      </c>
      <c r="CK7" s="1737">
        <f t="shared" ref="CK7:CK16" si="27">IFERROR(BQ7/BW7,"")</f>
        <v>0.14197906349390735</v>
      </c>
      <c r="CL7" s="1737">
        <f t="shared" ref="CL7:CL16" si="28">IFERROR(SUM(BQ7,BT7)/BW7,"")</f>
        <v>0.83032532319251251</v>
      </c>
      <c r="CM7" s="1737">
        <f t="shared" ref="CM7:CM16" si="29">IFERROR(BQ7/BF7,"")</f>
        <v>7.7570397838490748E-2</v>
      </c>
      <c r="CN7" s="1740">
        <f t="shared" ref="CN7:CN16" si="30">IFERROR(SUM(BT7,BQ7)/BF7,"")</f>
        <v>0.45364903860054356</v>
      </c>
      <c r="CO7" s="1738">
        <f t="shared" ref="CO7:CO16" si="31">IFERROR(Q7/BI7,"")</f>
        <v>0.29273008468558825</v>
      </c>
      <c r="CP7" s="1738">
        <f t="shared" ref="CP7:CP16" si="32">IFERROR(Q7/CB7,"")</f>
        <v>0.52360136704882387</v>
      </c>
      <c r="CQ7" s="1738">
        <f t="shared" ref="CQ7:CQ16" si="33">IFERROR(Q7/AQ7,"")</f>
        <v>60.25492408865545</v>
      </c>
      <c r="CR7" s="1741">
        <f t="shared" ref="CR7:CR16" si="34">IFERROR(Q7/AVERAGE(AV7,AZ7),"")</f>
        <v>0.35786253038354771</v>
      </c>
      <c r="CS7" s="1725">
        <f t="shared" ref="CS7:CS16" si="35">IFERROR(AD7/BI7,"")</f>
        <v>3.1517334957226036E-2</v>
      </c>
      <c r="CT7" s="1725">
        <f t="shared" ref="CT7:CT16" si="36">IFERROR(AD7/CB7,"")</f>
        <v>5.6374525655824036E-2</v>
      </c>
      <c r="CU7" s="1725">
        <f t="shared" ref="CU7:CU16" si="37">IFERROR(AD7/Q7,"")</f>
        <v>0.10766688019469461</v>
      </c>
      <c r="CV7" s="1742">
        <f t="shared" ref="CV7:CV16" si="38">IFERROR(Q7/BF7,"")</f>
        <v>0.27703171591397407</v>
      </c>
      <c r="CW7" s="1742">
        <f t="shared" ref="CW7:CW16" si="39">IFERROR(Q7/BW7,"")</f>
        <v>0.50705816496482092</v>
      </c>
      <c r="CX7" s="1725">
        <f t="shared" ref="CX7:CX16" si="40">IFERROR((AC7+W7)/BF7,"")</f>
        <v>5.6106773940080706E-2</v>
      </c>
      <c r="CY7" s="1725">
        <f t="shared" ref="CY7:CY16" si="41">IFERROR(AC7/L7,"")</f>
        <v>8.3182581258838748E-2</v>
      </c>
      <c r="CZ7" s="1743">
        <f t="shared" ref="CZ7:CZ16" si="42">IFERROR(AD7/K7,"")</f>
        <v>668.14013499029477</v>
      </c>
      <c r="DA7" s="1679">
        <f t="shared" ref="DA7:DA16" si="43">IFERROR((BW7-AS7)/K7,"")</f>
        <v>12238.484754384697</v>
      </c>
      <c r="DB7" s="1743">
        <f t="shared" ref="DB7:DB16" si="44">IF(I7&gt;0,(K7*I7)+BO7-AF7,"")</f>
        <v>1046644154339</v>
      </c>
      <c r="DC7" s="1743">
        <f t="shared" ref="DC7:DC16" si="45">IFERROR(AC7+AR7+W7,"")</f>
        <v>135643203092</v>
      </c>
      <c r="DD7" s="1744">
        <f t="shared" ref="DD7:DD16" si="46">IFERROR(I7/CZ7,"")</f>
        <v>6.1364372311798867</v>
      </c>
      <c r="DE7" s="1745">
        <f t="shared" ref="DE7:DE16" si="47">IFERROR(I7/DA7,"")</f>
        <v>0.33500879253300436</v>
      </c>
      <c r="DF7" s="1744">
        <f t="shared" ref="DF7:DF16" si="48">IFERROR(I7/(Q7/K7),"")</f>
        <v>0.66069105219170832</v>
      </c>
      <c r="DG7" s="1746">
        <f t="shared" ref="DG7:DG16" si="49">IFERROR(DB7/DC7,"")</f>
        <v>7.716156287087335</v>
      </c>
      <c r="DH7" s="1695">
        <f t="shared" ref="DH7:DH16" si="50">IFERROR(DB7/Q7,"")</f>
        <v>1.6062914603974441</v>
      </c>
    </row>
    <row r="8" spans="1:136" s="1715" customFormat="1" ht="18.600000000000001" customHeight="1" x14ac:dyDescent="0.25">
      <c r="B8" s="1716">
        <f>B7+1</f>
        <v>2</v>
      </c>
      <c r="C8" s="1716"/>
      <c r="D8" s="1717" t="s">
        <v>1941</v>
      </c>
      <c r="E8" s="1718" t="s">
        <v>1942</v>
      </c>
      <c r="F8" s="1719" t="s">
        <v>1943</v>
      </c>
      <c r="G8" s="1717" t="s">
        <v>1944</v>
      </c>
      <c r="H8" s="1717" t="s">
        <v>570</v>
      </c>
      <c r="I8" s="1720">
        <v>4530</v>
      </c>
      <c r="J8" s="1720">
        <v>105076</v>
      </c>
      <c r="K8" s="1721">
        <v>45099969</v>
      </c>
      <c r="L8" s="1722">
        <f t="shared" ref="L8:L10" si="51">K8*10000</f>
        <v>450999690000</v>
      </c>
      <c r="M8" s="1722">
        <f>RANK(L8,L$5:L$16,0)+COUNTIF($L$5:L8,L8)-1</f>
        <v>2</v>
      </c>
      <c r="N8" s="1723">
        <v>0</v>
      </c>
      <c r="O8" s="1722">
        <f t="shared" si="0"/>
        <v>204302859570</v>
      </c>
      <c r="P8" s="1722">
        <f>IFERROR(O8/BI8*10000,"")</f>
        <v>2489.2078882332639</v>
      </c>
      <c r="Q8" s="1724">
        <v>458971576519</v>
      </c>
      <c r="R8" s="1722">
        <f>RANK(Q8,Q$5:Q$16,0)+COUNTIF($Q$5:Q8,Q8)-1</f>
        <v>4</v>
      </c>
      <c r="S8" s="1724">
        <v>403697919841</v>
      </c>
      <c r="T8" s="1677">
        <f t="shared" si="2"/>
        <v>55273656678</v>
      </c>
      <c r="U8" s="1722">
        <f>RANK(T8,T$5:T$16,0)+COUNTIF($T$5:T8,T8)-1</f>
        <v>4</v>
      </c>
      <c r="V8" s="1725">
        <f t="shared" si="3"/>
        <v>0.12042936753777789</v>
      </c>
      <c r="W8" s="1724">
        <v>9783093083</v>
      </c>
      <c r="X8" s="1726">
        <v>11722854411</v>
      </c>
      <c r="Y8" s="1724">
        <v>919041396</v>
      </c>
      <c r="Z8" s="1724">
        <v>26021905668</v>
      </c>
      <c r="AA8" s="1726">
        <v>77170249</v>
      </c>
      <c r="AB8" s="1727">
        <f t="shared" si="4"/>
        <v>38740971724</v>
      </c>
      <c r="AC8" s="1724">
        <v>20367835274</v>
      </c>
      <c r="AD8" s="1724">
        <v>15652456601</v>
      </c>
      <c r="AE8" s="1722">
        <f>RANK(AD8,AD$5:AD$16,0)+COUNTIF($AD$5:AD8,AD8)-1</f>
        <v>3</v>
      </c>
      <c r="AF8" s="1724">
        <v>60276416254</v>
      </c>
      <c r="AG8" s="1728">
        <v>502872417675</v>
      </c>
      <c r="AH8" s="1728">
        <v>504039330328</v>
      </c>
      <c r="AI8" s="1727">
        <f t="shared" si="5"/>
        <v>0.91164211248756333</v>
      </c>
      <c r="AJ8" s="1729">
        <v>88528875427</v>
      </c>
      <c r="AK8" s="1729">
        <v>108836728298</v>
      </c>
      <c r="AL8" s="1727">
        <f t="shared" si="6"/>
        <v>4.0908639825964181</v>
      </c>
      <c r="AM8" s="1727">
        <f t="shared" si="7"/>
        <v>450515611460.5</v>
      </c>
      <c r="AN8" s="1727">
        <f t="shared" si="8"/>
        <v>1.0187695272780606</v>
      </c>
      <c r="AO8" s="1729">
        <v>75184705333</v>
      </c>
      <c r="AP8" s="1729">
        <v>98507920889</v>
      </c>
      <c r="AQ8" s="1727">
        <f t="shared" si="9"/>
        <v>86846313111</v>
      </c>
      <c r="AR8" s="1724">
        <v>23141606991</v>
      </c>
      <c r="AS8" s="1724">
        <v>4523159490</v>
      </c>
      <c r="AT8" s="1724">
        <v>4704768055</v>
      </c>
      <c r="AU8" s="1730">
        <f t="shared" si="10"/>
        <v>4613963772.5</v>
      </c>
      <c r="AV8" s="1731">
        <v>682187734636</v>
      </c>
      <c r="AW8" s="1722">
        <f>RANK(AV8,AV$5:AV$16,0)+COUNTIF(AV$5:AV8,AV8)-1</f>
        <v>3</v>
      </c>
      <c r="AX8" s="1725">
        <f t="shared" si="11"/>
        <v>0.84475047173300488</v>
      </c>
      <c r="AY8" s="1722">
        <f>RANK(AX8,AX$5:AX$16,0)+COUNTIF(AX$5:AX8,AX8)-1</f>
        <v>2</v>
      </c>
      <c r="AZ8" s="1729">
        <v>703103932528</v>
      </c>
      <c r="BA8" s="1732">
        <v>125373500857</v>
      </c>
      <c r="BB8" s="1722">
        <f>RANK(BA8,BA$5:BA$16,0)+COUNTIF(BA$5:BA8,BA8)-1</f>
        <v>5</v>
      </c>
      <c r="BC8" s="1733">
        <f t="shared" si="12"/>
        <v>0.15524952826699512</v>
      </c>
      <c r="BD8" s="1722">
        <f>RANK(BC8,BC$5:BC$16,0)+COUNTIF(BC$5:BC8,BC8)-1</f>
        <v>10</v>
      </c>
      <c r="BE8" s="1732">
        <v>130843848046</v>
      </c>
      <c r="BF8" s="1734">
        <f t="shared" si="13"/>
        <v>807561235493</v>
      </c>
      <c r="BG8" s="1722">
        <f>RANK(BF8,BF$5:BF$16,0)+COUNTIF(BF$7:BF8,BF8)-1</f>
        <v>3</v>
      </c>
      <c r="BH8" s="1734">
        <f t="shared" si="14"/>
        <v>833947780574</v>
      </c>
      <c r="BI8" s="1727">
        <f t="shared" si="15"/>
        <v>820754508033.5</v>
      </c>
      <c r="BJ8" s="1732">
        <v>86352286820</v>
      </c>
      <c r="BK8" s="1732">
        <v>106791630138</v>
      </c>
      <c r="BL8" s="1727">
        <f t="shared" si="16"/>
        <v>4.1802809656054132</v>
      </c>
      <c r="BM8" s="1724">
        <v>111426508935</v>
      </c>
      <c r="BN8" s="1724">
        <v>111426508935</v>
      </c>
      <c r="BO8" s="1724">
        <v>111572057758</v>
      </c>
      <c r="BP8" s="1735">
        <f t="shared" si="17"/>
        <v>111499283346.5</v>
      </c>
      <c r="BQ8" s="1728">
        <v>286000000</v>
      </c>
      <c r="BR8" s="1733">
        <f t="shared" ref="BR8:BR16" si="52">BQ8/SUM(BQ8,BT8,BW8)</f>
        <v>3.5415270994948477E-4</v>
      </c>
      <c r="BS8" s="1726">
        <v>285000000</v>
      </c>
      <c r="BT8" s="1728">
        <v>222663267353</v>
      </c>
      <c r="BU8" s="1733">
        <f t="shared" si="18"/>
        <v>0.27572307531213841</v>
      </c>
      <c r="BV8" s="1728">
        <v>261597176890</v>
      </c>
      <c r="BW8" s="1734">
        <f t="shared" ref="BW8:BW16" si="53">BF8-BQ8-BT8</f>
        <v>584611968140</v>
      </c>
      <c r="BX8" s="1722">
        <f>RANK(BW8,BW$5:BW$16,0)+COUNTIF(BW$7:BW8,BW8)-1</f>
        <v>3</v>
      </c>
      <c r="BY8" s="1733">
        <f t="shared" si="19"/>
        <v>0.72392277197791211</v>
      </c>
      <c r="BZ8" s="1722">
        <f>RANK(BY8,BY$5:BY$16,0)+COUNTIF(BY$7:BY8,BY8)-1</f>
        <v>2</v>
      </c>
      <c r="CA8" s="1734">
        <f t="shared" ref="CA8:CA16" si="54">BH8-BS8-BV8</f>
        <v>572065603684</v>
      </c>
      <c r="CB8" s="1727">
        <f t="shared" ref="CB8:CB16" si="55">(BW8+CA8)/2</f>
        <v>578338785912</v>
      </c>
      <c r="CC8" s="1736">
        <v>48894219764</v>
      </c>
      <c r="CD8" s="1725">
        <f t="shared" si="20"/>
        <v>0.10841297865193654</v>
      </c>
      <c r="CE8" s="1737">
        <f t="shared" si="21"/>
        <v>3.0637641437035561</v>
      </c>
      <c r="CF8" s="1738">
        <f t="shared" si="22"/>
        <v>2.6661733040494768</v>
      </c>
      <c r="CG8" s="1737">
        <f t="shared" si="23"/>
        <v>0.27070660091608451</v>
      </c>
      <c r="CH8" s="1739">
        <f t="shared" si="24"/>
        <v>3.0819422958770595</v>
      </c>
      <c r="CI8" s="1739">
        <f t="shared" si="25"/>
        <v>0.99951102582744566</v>
      </c>
      <c r="CJ8" s="1739">
        <f t="shared" si="26"/>
        <v>0</v>
      </c>
      <c r="CK8" s="1737">
        <f t="shared" si="27"/>
        <v>4.8921338526465151E-4</v>
      </c>
      <c r="CL8" s="1737">
        <f t="shared" si="28"/>
        <v>0.38136281756655588</v>
      </c>
      <c r="CM8" s="1737">
        <f t="shared" si="29"/>
        <v>3.5415270994948477E-4</v>
      </c>
      <c r="CN8" s="1740">
        <f t="shared" si="30"/>
        <v>0.27607722802208789</v>
      </c>
      <c r="CO8" s="1738">
        <f t="shared" si="31"/>
        <v>0.5592068907652793</v>
      </c>
      <c r="CP8" s="1738">
        <f t="shared" si="32"/>
        <v>0.79360331297032716</v>
      </c>
      <c r="CQ8" s="1738">
        <f t="shared" si="33"/>
        <v>5.2848711715876675</v>
      </c>
      <c r="CR8" s="1741">
        <f t="shared" si="34"/>
        <v>0.66263529536507915</v>
      </c>
      <c r="CS8" s="1725">
        <f t="shared" si="35"/>
        <v>1.9070814047068417E-2</v>
      </c>
      <c r="CT8" s="1725">
        <f t="shared" si="36"/>
        <v>2.7064511290414605E-2</v>
      </c>
      <c r="CU8" s="1725">
        <f t="shared" si="37"/>
        <v>3.4103324479728511E-2</v>
      </c>
      <c r="CV8" s="1742">
        <f t="shared" si="38"/>
        <v>0.56834275389507405</v>
      </c>
      <c r="CW8" s="1742">
        <f t="shared" si="39"/>
        <v>0.78508754786403512</v>
      </c>
      <c r="CX8" s="1725">
        <f t="shared" si="40"/>
        <v>3.7335779668266844E-2</v>
      </c>
      <c r="CY8" s="1725">
        <f t="shared" si="41"/>
        <v>4.5161528323888651E-2</v>
      </c>
      <c r="CZ8" s="1743">
        <f t="shared" si="42"/>
        <v>347.06136052998176</v>
      </c>
      <c r="DA8" s="1679">
        <f t="shared" si="43"/>
        <v>12862.288411994252</v>
      </c>
      <c r="DB8" s="1743">
        <f t="shared" si="44"/>
        <v>255598501074</v>
      </c>
      <c r="DC8" s="1743">
        <f t="shared" si="45"/>
        <v>53292535348</v>
      </c>
      <c r="DD8" s="1744">
        <f t="shared" si="46"/>
        <v>13.052446959472645</v>
      </c>
      <c r="DE8" s="1745">
        <f t="shared" si="47"/>
        <v>0.35219238248270934</v>
      </c>
      <c r="DF8" s="1744">
        <f t="shared" si="48"/>
        <v>0.44513183391334143</v>
      </c>
      <c r="DG8" s="1746">
        <f t="shared" si="49"/>
        <v>4.7961407616459422</v>
      </c>
      <c r="DH8" s="1695">
        <f t="shared" si="50"/>
        <v>0.55689396500878741</v>
      </c>
    </row>
    <row r="9" spans="1:136" s="1715" customFormat="1" ht="18.600000000000001" customHeight="1" x14ac:dyDescent="0.25">
      <c r="B9" s="1716">
        <f t="shared" ref="B9:B16" si="56">B8+1</f>
        <v>3</v>
      </c>
      <c r="C9" s="1716">
        <v>1</v>
      </c>
      <c r="D9" s="1717" t="s">
        <v>1945</v>
      </c>
      <c r="E9" s="1718" t="s">
        <v>1946</v>
      </c>
      <c r="F9" s="1719" t="s">
        <v>1947</v>
      </c>
      <c r="G9" s="1717" t="s">
        <v>1948</v>
      </c>
      <c r="H9" s="1717" t="s">
        <v>570</v>
      </c>
      <c r="I9" s="1720">
        <v>41350</v>
      </c>
      <c r="J9" s="1720">
        <v>49105</v>
      </c>
      <c r="K9" s="1721">
        <v>22957896</v>
      </c>
      <c r="L9" s="1722">
        <f t="shared" si="51"/>
        <v>229578960000</v>
      </c>
      <c r="M9" s="1722">
        <f>RANK(L9,L$5:L$16,0)+COUNTIF($L$5:L9,L9)-1</f>
        <v>4</v>
      </c>
      <c r="N9" s="1723">
        <v>0</v>
      </c>
      <c r="O9" s="1722">
        <f t="shared" si="0"/>
        <v>949308999600</v>
      </c>
      <c r="P9" s="1722">
        <f t="shared" ref="P9:P10" si="57">IFERROR(O9/BI9*10000,"")</f>
        <v>5130.2723787109035</v>
      </c>
      <c r="Q9" s="1724">
        <v>1669780465317</v>
      </c>
      <c r="R9" s="1722">
        <f>RANK(Q9,Q$5:Q$16,0)+COUNTIF($Q$5:Q9,Q9)-1</f>
        <v>1</v>
      </c>
      <c r="S9" s="1724">
        <v>1287983679069</v>
      </c>
      <c r="T9" s="1677">
        <f t="shared" si="2"/>
        <v>381796786248</v>
      </c>
      <c r="U9" s="1722">
        <f>RANK(T9,T$5:T$16,0)+COUNTIF($T$5:T9,T9)-1</f>
        <v>1</v>
      </c>
      <c r="V9" s="1725">
        <f t="shared" si="3"/>
        <v>0.22865088805283015</v>
      </c>
      <c r="W9" s="1724">
        <v>19868241314</v>
      </c>
      <c r="X9" s="1726">
        <v>19899248467</v>
      </c>
      <c r="Y9" s="1724">
        <v>161087424070</v>
      </c>
      <c r="Z9" s="1724">
        <v>61999600604</v>
      </c>
      <c r="AA9" s="1726">
        <v>1321876001</v>
      </c>
      <c r="AB9" s="1727">
        <f t="shared" si="4"/>
        <v>244308149142</v>
      </c>
      <c r="AC9" s="1724">
        <v>147282928382</v>
      </c>
      <c r="AD9" s="1724">
        <v>181564255676</v>
      </c>
      <c r="AE9" s="1722">
        <f>RANK(AD9,AD$5:AD$16,0)+COUNTIF($AD$5:AD9,AD9)-1</f>
        <v>1</v>
      </c>
      <c r="AF9" s="1724">
        <v>216604276306</v>
      </c>
      <c r="AG9" s="1728">
        <v>287482141337</v>
      </c>
      <c r="AH9" s="1728">
        <v>335661112442</v>
      </c>
      <c r="AI9" s="1727">
        <f t="shared" si="5"/>
        <v>5.3592186232965098</v>
      </c>
      <c r="AJ9" s="1729">
        <v>730160294207</v>
      </c>
      <c r="AK9" s="1729">
        <v>628794930719</v>
      </c>
      <c r="AL9" s="1727">
        <f t="shared" si="6"/>
        <v>1.8955498392364405</v>
      </c>
      <c r="AM9" s="1727">
        <f t="shared" si="7"/>
        <v>330874357296</v>
      </c>
      <c r="AN9" s="1727">
        <f t="shared" si="8"/>
        <v>5.0465695769322352</v>
      </c>
      <c r="AO9" s="1729">
        <v>305205719012</v>
      </c>
      <c r="AP9" s="1729">
        <v>338960015173</v>
      </c>
      <c r="AQ9" s="1727">
        <f t="shared" si="9"/>
        <v>322082867092.5</v>
      </c>
      <c r="AR9" s="1724">
        <v>52343534487</v>
      </c>
      <c r="AS9" s="1724">
        <v>33865373682</v>
      </c>
      <c r="AT9" s="1724">
        <v>32316067901</v>
      </c>
      <c r="AU9" s="1730">
        <f t="shared" si="10"/>
        <v>33090720791.5</v>
      </c>
      <c r="AV9" s="1731">
        <v>1312952120171</v>
      </c>
      <c r="AW9" s="1722">
        <f>RANK(AV9,AV$5:AV$16,0)+COUNTIF(AV$5:AV9,AV9)-1</f>
        <v>2</v>
      </c>
      <c r="AX9" s="1725">
        <f t="shared" si="11"/>
        <v>0.70884935983089326</v>
      </c>
      <c r="AY9" s="1722">
        <f>RANK(AX9,AX$5:AX$16,0)+COUNTIF(AX$5:AX9,AX9)-1</f>
        <v>8</v>
      </c>
      <c r="AZ9" s="1729">
        <v>1237599202156</v>
      </c>
      <c r="BA9" s="1732">
        <v>539277979161</v>
      </c>
      <c r="BB9" s="1722">
        <f>RANK(BA9,BA$5:BA$16,0)+COUNTIF(BA$5:BA9,BA9)-1</f>
        <v>2</v>
      </c>
      <c r="BC9" s="1733">
        <f t="shared" si="12"/>
        <v>0.29115064016910674</v>
      </c>
      <c r="BD9" s="1722">
        <f>RANK(BC9,BC$5:BC$16,0)+COUNTIF(BC$5:BC9,BC9)-1</f>
        <v>4</v>
      </c>
      <c r="BE9" s="1732">
        <v>610983947880</v>
      </c>
      <c r="BF9" s="1734">
        <f t="shared" si="13"/>
        <v>1852230099332</v>
      </c>
      <c r="BG9" s="1722">
        <f>RANK(BF9,BF$5:BF$16,0)+COUNTIF(BF$7:BF9,BF9)-1</f>
        <v>2</v>
      </c>
      <c r="BH9" s="1734">
        <f t="shared" si="14"/>
        <v>1848583150036</v>
      </c>
      <c r="BI9" s="1727">
        <f t="shared" si="15"/>
        <v>1850406624684</v>
      </c>
      <c r="BJ9" s="1732">
        <v>321577748910</v>
      </c>
      <c r="BK9" s="1732">
        <v>269247579491</v>
      </c>
      <c r="BL9" s="1727">
        <f t="shared" si="16"/>
        <v>4.3599474062995167</v>
      </c>
      <c r="BM9" s="1724">
        <v>316577994929</v>
      </c>
      <c r="BN9" s="1724">
        <v>485639548471</v>
      </c>
      <c r="BO9" s="1724">
        <v>491932477012</v>
      </c>
      <c r="BP9" s="1735">
        <f t="shared" si="17"/>
        <v>488786012741.5</v>
      </c>
      <c r="BQ9" s="1728">
        <v>173117008701</v>
      </c>
      <c r="BR9" s="1733">
        <f t="shared" si="52"/>
        <v>9.346409431713372E-2</v>
      </c>
      <c r="BS9" s="1726">
        <v>308682519804</v>
      </c>
      <c r="BT9" s="1728">
        <v>990639071167</v>
      </c>
      <c r="BU9" s="1733">
        <f t="shared" si="18"/>
        <v>0.53483585626012142</v>
      </c>
      <c r="BV9" s="1728">
        <v>898163536568</v>
      </c>
      <c r="BW9" s="1734">
        <f t="shared" si="53"/>
        <v>688474019464</v>
      </c>
      <c r="BX9" s="1722">
        <f>RANK(BW9,BW$5:BW$16,0)+COUNTIF(BW$7:BW9,BW9)-1</f>
        <v>2</v>
      </c>
      <c r="BY9" s="1733">
        <f t="shared" si="19"/>
        <v>0.37170004942274487</v>
      </c>
      <c r="BZ9" s="1722">
        <f>RANK(BY9,BY$5:BY$16,0)+COUNTIF(BY$7:BY9,BY9)-1</f>
        <v>9</v>
      </c>
      <c r="CA9" s="1734">
        <f t="shared" si="54"/>
        <v>641737093664</v>
      </c>
      <c r="CB9" s="1727">
        <f t="shared" si="55"/>
        <v>665105556564</v>
      </c>
      <c r="CC9" s="1736">
        <v>253866508953</v>
      </c>
      <c r="CD9" s="1725">
        <f t="shared" si="20"/>
        <v>1.1057917021359449</v>
      </c>
      <c r="CE9" s="1737">
        <f t="shared" si="21"/>
        <v>1.325358708721539</v>
      </c>
      <c r="CF9" s="1738">
        <f t="shared" si="22"/>
        <v>0.58829884962790258</v>
      </c>
      <c r="CG9" s="1737">
        <f t="shared" si="23"/>
        <v>0.21865105325477849</v>
      </c>
      <c r="CH9" s="1739">
        <f t="shared" si="24"/>
        <v>8.4129826618432624</v>
      </c>
      <c r="CI9" s="1739">
        <f t="shared" si="25"/>
        <v>0.79907287443591268</v>
      </c>
      <c r="CJ9" s="1739">
        <f t="shared" si="26"/>
        <v>0</v>
      </c>
      <c r="CK9" s="1737">
        <f t="shared" si="27"/>
        <v>0.2514503144734167</v>
      </c>
      <c r="CL9" s="1737">
        <f t="shared" si="28"/>
        <v>1.6903413156737896</v>
      </c>
      <c r="CM9" s="1737">
        <f t="shared" si="29"/>
        <v>9.346409431713372E-2</v>
      </c>
      <c r="CN9" s="1740">
        <f t="shared" si="30"/>
        <v>0.62829995057725518</v>
      </c>
      <c r="CO9" s="1738">
        <f t="shared" si="31"/>
        <v>0.90238569352406739</v>
      </c>
      <c r="CP9" s="1738">
        <f t="shared" si="32"/>
        <v>2.5105495644078637</v>
      </c>
      <c r="CQ9" s="1738">
        <f t="shared" si="33"/>
        <v>5.1843194280726843</v>
      </c>
      <c r="CR9" s="1741">
        <f t="shared" si="34"/>
        <v>1.3093486499958549</v>
      </c>
      <c r="CS9" s="1725">
        <f t="shared" si="35"/>
        <v>9.8121274131844571E-2</v>
      </c>
      <c r="CT9" s="1725">
        <f t="shared" si="36"/>
        <v>0.27298562443829005</v>
      </c>
      <c r="CU9" s="1725">
        <f t="shared" si="37"/>
        <v>0.1087354053106202</v>
      </c>
      <c r="CV9" s="1742">
        <f t="shared" si="38"/>
        <v>0.90149731716334824</v>
      </c>
      <c r="CW9" s="1742">
        <f t="shared" si="39"/>
        <v>2.4253354783336341</v>
      </c>
      <c r="CX9" s="1725">
        <f t="shared" si="40"/>
        <v>9.0243199133996616E-2</v>
      </c>
      <c r="CY9" s="1725">
        <f t="shared" si="41"/>
        <v>0.64153495765465618</v>
      </c>
      <c r="CZ9" s="1743">
        <f t="shared" si="42"/>
        <v>7908.5755800967127</v>
      </c>
      <c r="DA9" s="1679">
        <f t="shared" si="43"/>
        <v>28513.442424427743</v>
      </c>
      <c r="DB9" s="1743">
        <f t="shared" si="44"/>
        <v>1224637200306</v>
      </c>
      <c r="DC9" s="1743">
        <f t="shared" si="45"/>
        <v>219494704183</v>
      </c>
      <c r="DD9" s="1744">
        <f t="shared" si="46"/>
        <v>5.228501590610624</v>
      </c>
      <c r="DE9" s="1745">
        <f t="shared" si="47"/>
        <v>1.4501931890403754</v>
      </c>
      <c r="DF9" s="1744">
        <f t="shared" si="48"/>
        <v>0.56852323962226869</v>
      </c>
      <c r="DG9" s="1746">
        <f t="shared" si="49"/>
        <v>5.5793473690598905</v>
      </c>
      <c r="DH9" s="1695">
        <f t="shared" si="50"/>
        <v>0.73341210161630943</v>
      </c>
    </row>
    <row r="10" spans="1:136" s="1715" customFormat="1" ht="18.600000000000001" customHeight="1" x14ac:dyDescent="0.25">
      <c r="B10" s="1716">
        <f t="shared" si="56"/>
        <v>4</v>
      </c>
      <c r="C10" s="1716">
        <v>1</v>
      </c>
      <c r="D10" s="1717" t="s">
        <v>1949</v>
      </c>
      <c r="E10" s="1718" t="s">
        <v>1950</v>
      </c>
      <c r="F10" s="1719" t="s">
        <v>1947</v>
      </c>
      <c r="G10" s="1717" t="s">
        <v>1951</v>
      </c>
      <c r="H10" s="1717" t="s">
        <v>1952</v>
      </c>
      <c r="I10" s="1720">
        <v>10800</v>
      </c>
      <c r="J10" s="1720">
        <v>3154</v>
      </c>
      <c r="K10" s="1721">
        <v>6518547</v>
      </c>
      <c r="L10" s="1722">
        <f t="shared" si="51"/>
        <v>65185470000</v>
      </c>
      <c r="M10" s="1722">
        <f>RANK(L10,L$5:L$16,0)+COUNTIF($L$5:L10,L10)-1</f>
        <v>8</v>
      </c>
      <c r="N10" s="1723">
        <v>0</v>
      </c>
      <c r="O10" s="1722">
        <f t="shared" si="0"/>
        <v>70400307600</v>
      </c>
      <c r="P10" s="1722">
        <f t="shared" si="57"/>
        <v>4975.9192310000026</v>
      </c>
      <c r="Q10" s="1724">
        <v>233500103053</v>
      </c>
      <c r="R10" s="1722">
        <f>RANK(Q10,Q$5:Q$16,0)+COUNTIF($Q$5:Q10,Q10)-1</f>
        <v>7</v>
      </c>
      <c r="S10" s="1724">
        <v>213020461854</v>
      </c>
      <c r="T10" s="1677">
        <f t="shared" si="2"/>
        <v>20479641199</v>
      </c>
      <c r="U10" s="1722">
        <f>RANK(T10,T$5:T$16,0)+COUNTIF($T$5:T10,T10)-1</f>
        <v>6</v>
      </c>
      <c r="V10" s="1725">
        <f t="shared" si="3"/>
        <v>8.7707204113531029E-2</v>
      </c>
      <c r="W10" s="1724">
        <v>1491949419</v>
      </c>
      <c r="X10" s="1726">
        <v>2220895791</v>
      </c>
      <c r="Y10" s="1724">
        <v>0</v>
      </c>
      <c r="Z10" s="1724">
        <v>6190461516</v>
      </c>
      <c r="AA10" s="1726">
        <v>917802054</v>
      </c>
      <c r="AB10" s="1727">
        <f t="shared" si="4"/>
        <v>9329159361</v>
      </c>
      <c r="AC10" s="1724">
        <v>11258779492</v>
      </c>
      <c r="AD10" s="1724">
        <v>9131881513</v>
      </c>
      <c r="AE10" s="1722">
        <f>RANK(AD10,AD$5:AD$16,0)+COUNTIF($AD$5:AD10,AD10)-1</f>
        <v>6</v>
      </c>
      <c r="AF10" s="1724">
        <v>1519151890</v>
      </c>
      <c r="AG10" s="1728">
        <v>76290258294</v>
      </c>
      <c r="AH10" s="1728">
        <v>91153624087</v>
      </c>
      <c r="AI10" s="1727">
        <f t="shared" si="5"/>
        <v>2.7889953306469137</v>
      </c>
      <c r="AJ10" s="1729">
        <v>10716132847</v>
      </c>
      <c r="AK10" s="1729">
        <v>6572977824</v>
      </c>
      <c r="AL10" s="1727">
        <f t="shared" si="6"/>
        <v>24.6421537703858</v>
      </c>
      <c r="AM10" s="1727">
        <f t="shared" si="7"/>
        <v>34315385104</v>
      </c>
      <c r="AN10" s="1727">
        <f t="shared" si="8"/>
        <v>6.8045310389298788</v>
      </c>
      <c r="AO10" s="1729">
        <v>34227758130</v>
      </c>
      <c r="AP10" s="1729">
        <v>41283861917</v>
      </c>
      <c r="AQ10" s="1727">
        <f t="shared" si="9"/>
        <v>37755810023.5</v>
      </c>
      <c r="AR10" s="1724">
        <v>8838335135</v>
      </c>
      <c r="AS10" s="1724">
        <v>449455257</v>
      </c>
      <c r="AT10" s="1724">
        <v>559455237</v>
      </c>
      <c r="AU10" s="1730">
        <f t="shared" si="10"/>
        <v>504455247</v>
      </c>
      <c r="AV10" s="1731">
        <v>88693917643</v>
      </c>
      <c r="AW10" s="1722">
        <f>RANK(AV10,AV$5:AV$16,0)+COUNTIF(AV$5:AV10,AV10)-1</f>
        <v>7</v>
      </c>
      <c r="AX10" s="1725">
        <f t="shared" si="11"/>
        <v>0.67572432126747228</v>
      </c>
      <c r="AY10" s="1722">
        <f>RANK(AX10,AX$5:AX$16,0)+COUNTIF(AX$5:AX10,AX10)-1</f>
        <v>10</v>
      </c>
      <c r="AZ10" s="1729">
        <v>100022360879</v>
      </c>
      <c r="BA10" s="1732">
        <v>42563630519</v>
      </c>
      <c r="BB10" s="1722">
        <f>RANK(BA10,BA$5:BA$16,0)+COUNTIF(BA$5:BA10,BA10)-1</f>
        <v>7</v>
      </c>
      <c r="BC10" s="1733">
        <f t="shared" si="12"/>
        <v>0.32427567873252777</v>
      </c>
      <c r="BD10" s="1722">
        <f>RANK(BC10,BC$5:BC$16,0)+COUNTIF(BC$5:BC10,BC10)-1</f>
        <v>2</v>
      </c>
      <c r="BE10" s="1732">
        <v>51684119641</v>
      </c>
      <c r="BF10" s="1734">
        <f t="shared" si="13"/>
        <v>131257548162</v>
      </c>
      <c r="BG10" s="1722">
        <f>RANK(BF10,BF$5:BF$16,0)+COUNTIF(BF$7:BF10,BF10)-1</f>
        <v>8</v>
      </c>
      <c r="BH10" s="1734">
        <f t="shared" si="14"/>
        <v>151706480520</v>
      </c>
      <c r="BI10" s="1727">
        <f t="shared" si="15"/>
        <v>141482014341</v>
      </c>
      <c r="BJ10" s="1732">
        <v>38180129501</v>
      </c>
      <c r="BK10" s="1732">
        <v>40738168472</v>
      </c>
      <c r="BL10" s="1727">
        <f t="shared" si="16"/>
        <v>5.398506235572385</v>
      </c>
      <c r="BM10" s="1724">
        <v>5180171810</v>
      </c>
      <c r="BN10" s="1724">
        <v>5180171810</v>
      </c>
      <c r="BO10" s="1724">
        <v>19200254296</v>
      </c>
      <c r="BP10" s="1735">
        <f t="shared" si="17"/>
        <v>12190213053</v>
      </c>
      <c r="BQ10" s="1728">
        <v>0</v>
      </c>
      <c r="BR10" s="1733">
        <f t="shared" si="52"/>
        <v>0</v>
      </c>
      <c r="BS10" s="1726">
        <v>0</v>
      </c>
      <c r="BT10" s="1728">
        <v>50466657148</v>
      </c>
      <c r="BU10" s="1733">
        <f t="shared" si="18"/>
        <v>0.38448575228384813</v>
      </c>
      <c r="BV10" s="1728">
        <v>69618851166</v>
      </c>
      <c r="BW10" s="1734">
        <f t="shared" si="53"/>
        <v>80790891014</v>
      </c>
      <c r="BX10" s="1722">
        <f>RANK(BW10,BW$5:BW$16,0)+COUNTIF(BW$7:BW10,BW10)-1</f>
        <v>6</v>
      </c>
      <c r="BY10" s="1733">
        <f t="shared" si="19"/>
        <v>0.61551424771615182</v>
      </c>
      <c r="BZ10" s="1722">
        <f>RANK(BY10,BY$5:BY$16,0)+COUNTIF(BY$7:BY10,BY10)-1</f>
        <v>3</v>
      </c>
      <c r="CA10" s="1734">
        <f t="shared" si="54"/>
        <v>82087629354</v>
      </c>
      <c r="CB10" s="1727">
        <f t="shared" si="55"/>
        <v>81439260184</v>
      </c>
      <c r="CC10" s="1736">
        <v>9131940013</v>
      </c>
      <c r="CD10" s="1725">
        <f t="shared" si="20"/>
        <v>0.14009164945807709</v>
      </c>
      <c r="CE10" s="1737">
        <f t="shared" si="21"/>
        <v>1.7574755820044434</v>
      </c>
      <c r="CF10" s="1738">
        <f t="shared" si="22"/>
        <v>1.545134732568477</v>
      </c>
      <c r="CG10" s="1737">
        <f t="shared" si="23"/>
        <v>3.010209068424902E-2</v>
      </c>
      <c r="CH10" s="1739">
        <f t="shared" si="24"/>
        <v>8.5463546877791305</v>
      </c>
      <c r="CI10" s="1739">
        <f t="shared" si="25"/>
        <v>1</v>
      </c>
      <c r="CJ10" s="1739">
        <f t="shared" si="26"/>
        <v>0</v>
      </c>
      <c r="CK10" s="1737">
        <f t="shared" si="27"/>
        <v>0</v>
      </c>
      <c r="CL10" s="1737">
        <f t="shared" si="28"/>
        <v>0.62465776171789955</v>
      </c>
      <c r="CM10" s="1737">
        <f t="shared" si="29"/>
        <v>0</v>
      </c>
      <c r="CN10" s="1740">
        <f t="shared" si="30"/>
        <v>0.38448575228384813</v>
      </c>
      <c r="CO10" s="1738">
        <f t="shared" si="31"/>
        <v>1.6503871827143906</v>
      </c>
      <c r="CP10" s="1738">
        <f t="shared" si="32"/>
        <v>2.8671687651071602</v>
      </c>
      <c r="CQ10" s="1738">
        <f t="shared" si="33"/>
        <v>6.1844813528742915</v>
      </c>
      <c r="CR10" s="1741">
        <f t="shared" si="34"/>
        <v>2.4746153843403524</v>
      </c>
      <c r="CS10" s="1725">
        <f t="shared" si="35"/>
        <v>6.4544469171822341E-2</v>
      </c>
      <c r="CT10" s="1725">
        <f t="shared" si="36"/>
        <v>0.11213119436949526</v>
      </c>
      <c r="CU10" s="1725">
        <f t="shared" si="37"/>
        <v>3.9108683009562696E-2</v>
      </c>
      <c r="CV10" s="1742">
        <f t="shared" si="38"/>
        <v>1.7789460973688975</v>
      </c>
      <c r="CW10" s="1742">
        <f t="shared" si="39"/>
        <v>2.8901785847681456</v>
      </c>
      <c r="CX10" s="1725">
        <f t="shared" si="40"/>
        <v>9.7142824085536497E-2</v>
      </c>
      <c r="CY10" s="1725">
        <f t="shared" si="41"/>
        <v>0.17271915799640625</v>
      </c>
      <c r="CZ10" s="1743">
        <f t="shared" si="42"/>
        <v>1400.9075201881647</v>
      </c>
      <c r="DA10" s="1679">
        <f t="shared" si="43"/>
        <v>12325.052769735341</v>
      </c>
      <c r="DB10" s="1743">
        <f t="shared" si="44"/>
        <v>88081410006</v>
      </c>
      <c r="DC10" s="1743">
        <f t="shared" si="45"/>
        <v>21589064046</v>
      </c>
      <c r="DD10" s="1744">
        <f t="shared" si="46"/>
        <v>7.7092883322871906</v>
      </c>
      <c r="DE10" s="1745">
        <f t="shared" si="47"/>
        <v>0.87626399673677913</v>
      </c>
      <c r="DF10" s="1744">
        <f t="shared" si="48"/>
        <v>0.30150011361674001</v>
      </c>
      <c r="DG10" s="1746">
        <f t="shared" si="49"/>
        <v>4.0799086898035135</v>
      </c>
      <c r="DH10" s="1695">
        <f t="shared" si="50"/>
        <v>0.3772221461761292</v>
      </c>
    </row>
    <row r="11" spans="1:136" s="1715" customFormat="1" ht="18.600000000000001" customHeight="1" x14ac:dyDescent="0.25">
      <c r="B11" s="1716">
        <f t="shared" si="56"/>
        <v>5</v>
      </c>
      <c r="C11" s="1747">
        <v>1</v>
      </c>
      <c r="D11" s="1717" t="s">
        <v>1953</v>
      </c>
      <c r="E11" s="1719" t="s">
        <v>1954</v>
      </c>
      <c r="F11" s="1719" t="s">
        <v>1947</v>
      </c>
      <c r="G11" s="1717" t="s">
        <v>1955</v>
      </c>
      <c r="H11" s="1717" t="s">
        <v>1952</v>
      </c>
      <c r="I11" s="1720">
        <v>9900</v>
      </c>
      <c r="J11" s="1720">
        <v>10004</v>
      </c>
      <c r="K11" s="1721">
        <v>8909981</v>
      </c>
      <c r="L11" s="1748">
        <v>343594160000</v>
      </c>
      <c r="M11" s="1749">
        <f>RANK(L11,L$5:L$16,0)+COUNTIF($L$5:L11,L11)-1</f>
        <v>3</v>
      </c>
      <c r="N11" s="1723">
        <v>0</v>
      </c>
      <c r="O11" s="1749">
        <f t="shared" si="0"/>
        <v>340158218400</v>
      </c>
      <c r="P11" s="1749">
        <f t="shared" si="1"/>
        <v>15262.421425702012</v>
      </c>
      <c r="Q11" s="1750">
        <v>235219645366</v>
      </c>
      <c r="R11" s="1749">
        <f>RANK(Q11,Q$5:Q$16,0)+COUNTIF($Q$5:Q11,Q11)-1</f>
        <v>6</v>
      </c>
      <c r="S11" s="1724">
        <v>216786318383</v>
      </c>
      <c r="T11" s="1677">
        <f t="shared" si="2"/>
        <v>18433326983</v>
      </c>
      <c r="U11" s="1749">
        <f>RANK(T11,T$5:T$16,0)+COUNTIF($T$5:T11,T11)-1</f>
        <v>7</v>
      </c>
      <c r="V11" s="1751">
        <f t="shared" si="3"/>
        <v>7.8366443220836773E-2</v>
      </c>
      <c r="W11" s="1724">
        <v>2594946181</v>
      </c>
      <c r="X11" s="1752">
        <v>2774363195</v>
      </c>
      <c r="Y11" s="1724">
        <v>2020447179</v>
      </c>
      <c r="Z11" s="1724">
        <v>9795613277</v>
      </c>
      <c r="AA11" s="1752">
        <v>667638677</v>
      </c>
      <c r="AB11" s="1753">
        <f t="shared" si="4"/>
        <v>15258062328</v>
      </c>
      <c r="AC11" s="1724">
        <v>3524401522</v>
      </c>
      <c r="AD11" s="1724">
        <v>2554937295</v>
      </c>
      <c r="AE11" s="1749">
        <f>RANK(AD11,AD$5:AD$16,0)+COUNTIF($AD$5:AD11,AD11)-1</f>
        <v>7</v>
      </c>
      <c r="AF11" s="1724">
        <v>16324966964</v>
      </c>
      <c r="AG11" s="1754">
        <v>133327876356</v>
      </c>
      <c r="AH11" s="1754">
        <v>117980386226</v>
      </c>
      <c r="AI11" s="1755">
        <f t="shared" si="5"/>
        <v>1.8719610962990092</v>
      </c>
      <c r="AJ11" s="1756">
        <v>11247817077</v>
      </c>
      <c r="AK11" s="1756">
        <v>18189032156</v>
      </c>
      <c r="AL11" s="1755">
        <f t="shared" si="6"/>
        <v>14.728907748725568</v>
      </c>
      <c r="AM11" s="1755">
        <f t="shared" si="7"/>
        <v>63243807956.5</v>
      </c>
      <c r="AN11" s="1755">
        <f t="shared" si="8"/>
        <v>3.7192517807875745</v>
      </c>
      <c r="AO11" s="1756">
        <v>43637842903</v>
      </c>
      <c r="AP11" s="1756">
        <v>56917837775</v>
      </c>
      <c r="AQ11" s="1755">
        <f t="shared" si="9"/>
        <v>50277840339</v>
      </c>
      <c r="AR11" s="1724">
        <v>13518349417</v>
      </c>
      <c r="AS11" s="1724">
        <v>0</v>
      </c>
      <c r="AT11" s="1724">
        <v>0</v>
      </c>
      <c r="AU11" s="1757">
        <f t="shared" si="10"/>
        <v>0</v>
      </c>
      <c r="AV11" s="1758">
        <v>162590834645</v>
      </c>
      <c r="AW11" s="1749">
        <f>RANK(AV11,AV$5:AV$16,0)+COUNTIF(AV$5:AV11,AV11)-1</f>
        <v>5</v>
      </c>
      <c r="AX11" s="1759">
        <f t="shared" si="11"/>
        <v>0.7281913561019806</v>
      </c>
      <c r="AY11" s="1749">
        <f>RANK(AX11,AX$5:AX$16,0)+COUNTIF(AX$5:AX11,AX11)-1</f>
        <v>6</v>
      </c>
      <c r="AZ11" s="1756">
        <v>148476179765</v>
      </c>
      <c r="BA11" s="1760">
        <v>60689534289</v>
      </c>
      <c r="BB11" s="1749">
        <f>RANK(BA11,BA$5:BA$16,0)+COUNTIF(BA$5:BA11,BA11)-1</f>
        <v>6</v>
      </c>
      <c r="BC11" s="1761">
        <f t="shared" si="12"/>
        <v>0.2718086438980194</v>
      </c>
      <c r="BD11" s="1749">
        <f>RANK(BC11,BC$5:BC$16,0)+COUNTIF(BC$5:BC11,BC11)-1</f>
        <v>6</v>
      </c>
      <c r="BE11" s="1760">
        <v>73989521223</v>
      </c>
      <c r="BF11" s="1734">
        <f t="shared" si="13"/>
        <v>223280368934</v>
      </c>
      <c r="BG11" s="1749">
        <f>RANK(BF11,BF$5:BF$16,0)+COUNTIF(BF$7:BF11,BF11)-1</f>
        <v>6</v>
      </c>
      <c r="BH11" s="1734">
        <f t="shared" si="14"/>
        <v>222465700988</v>
      </c>
      <c r="BI11" s="1755">
        <f t="shared" si="15"/>
        <v>222873034961</v>
      </c>
      <c r="BJ11" s="1732">
        <v>64971177777</v>
      </c>
      <c r="BK11" s="1732">
        <v>55442371596</v>
      </c>
      <c r="BL11" s="1755">
        <f t="shared" si="16"/>
        <v>3.6006964251418272</v>
      </c>
      <c r="BM11" s="1724">
        <v>23373403117</v>
      </c>
      <c r="BN11" s="1724">
        <v>24163403117</v>
      </c>
      <c r="BO11" s="1724">
        <v>36058812559</v>
      </c>
      <c r="BP11" s="1762">
        <f t="shared" si="17"/>
        <v>30111107838</v>
      </c>
      <c r="BQ11" s="1754">
        <v>790000000</v>
      </c>
      <c r="BR11" s="1763">
        <f t="shared" si="52"/>
        <v>3.5381525199535929E-3</v>
      </c>
      <c r="BS11" s="1754">
        <v>3282932600</v>
      </c>
      <c r="BT11" s="1754">
        <v>92872369247</v>
      </c>
      <c r="BU11" s="1763">
        <f t="shared" si="18"/>
        <v>0.41594507251308049</v>
      </c>
      <c r="BV11" s="1754">
        <v>91707029250</v>
      </c>
      <c r="BW11" s="1734">
        <f t="shared" si="53"/>
        <v>129617999687</v>
      </c>
      <c r="BX11" s="1749">
        <f>RANK(BW11,BW$5:BW$16,0)+COUNTIF(BW$7:BW11,BW11)-1</f>
        <v>5</v>
      </c>
      <c r="BY11" s="1763">
        <f t="shared" si="19"/>
        <v>0.58051677496696585</v>
      </c>
      <c r="BZ11" s="1749">
        <f>RANK(BY11,BY$5:BY$16,0)+COUNTIF(BY$7:BY11,BY11)-1</f>
        <v>4</v>
      </c>
      <c r="CA11" s="1734">
        <f t="shared" si="54"/>
        <v>127475739138</v>
      </c>
      <c r="CB11" s="1755">
        <f t="shared" si="55"/>
        <v>128546869412.5</v>
      </c>
      <c r="CC11" s="1764">
        <v>32534895215</v>
      </c>
      <c r="CD11" s="1751">
        <f t="shared" si="20"/>
        <v>9.4689895820697298E-2</v>
      </c>
      <c r="CE11" s="1765">
        <f t="shared" si="21"/>
        <v>1.7506911470362008</v>
      </c>
      <c r="CF11" s="1687">
        <f t="shared" si="22"/>
        <v>1.6295806685570127</v>
      </c>
      <c r="CG11" s="1765">
        <f t="shared" si="23"/>
        <v>0.17577851298896777</v>
      </c>
      <c r="CH11" s="1766">
        <f t="shared" si="24"/>
        <v>2.3581790434828291</v>
      </c>
      <c r="CI11" s="1766">
        <f t="shared" si="25"/>
        <v>0.99394208942782558</v>
      </c>
      <c r="CJ11" s="1766">
        <f t="shared" si="26"/>
        <v>0</v>
      </c>
      <c r="CK11" s="1765">
        <f t="shared" si="27"/>
        <v>6.0948325225484313E-3</v>
      </c>
      <c r="CL11" s="1765">
        <f t="shared" si="28"/>
        <v>0.72260310661462734</v>
      </c>
      <c r="CM11" s="1765">
        <f t="shared" si="29"/>
        <v>3.5381525199535929E-3</v>
      </c>
      <c r="CN11" s="1767">
        <f t="shared" si="30"/>
        <v>0.41948322503303409</v>
      </c>
      <c r="CO11" s="1687">
        <f t="shared" si="31"/>
        <v>1.0553975065093024</v>
      </c>
      <c r="CP11" s="1687">
        <f t="shared" si="32"/>
        <v>1.8298356579279484</v>
      </c>
      <c r="CQ11" s="1687">
        <f t="shared" si="33"/>
        <v>4.6783959649027036</v>
      </c>
      <c r="CR11" s="1689">
        <f t="shared" si="34"/>
        <v>1.5123406498894811</v>
      </c>
      <c r="CS11" s="1759">
        <f t="shared" si="35"/>
        <v>1.1463644740365661E-2</v>
      </c>
      <c r="CT11" s="1751">
        <f t="shared" si="36"/>
        <v>1.9875531054757496E-2</v>
      </c>
      <c r="CU11" s="1759">
        <f t="shared" si="37"/>
        <v>1.0861921380012867E-2</v>
      </c>
      <c r="CV11" s="1768">
        <f t="shared" si="38"/>
        <v>1.0534721278408903</v>
      </c>
      <c r="CW11" s="1768">
        <f t="shared" si="39"/>
        <v>1.8147143601506395</v>
      </c>
      <c r="CX11" s="1759">
        <f t="shared" si="40"/>
        <v>2.7406563918786937E-2</v>
      </c>
      <c r="CY11" s="1759">
        <f t="shared" si="41"/>
        <v>1.0257454672687103E-2</v>
      </c>
      <c r="CZ11" s="1735">
        <f t="shared" si="42"/>
        <v>286.75002730084384</v>
      </c>
      <c r="DA11" s="1679">
        <f t="shared" si="43"/>
        <v>14547.505733962844</v>
      </c>
      <c r="DB11" s="1735">
        <f t="shared" si="44"/>
        <v>107942657495</v>
      </c>
      <c r="DC11" s="1762">
        <f t="shared" si="45"/>
        <v>19637697120</v>
      </c>
      <c r="DD11" s="1769">
        <f t="shared" si="46"/>
        <v>34.52484414103791</v>
      </c>
      <c r="DE11" s="1770">
        <f t="shared" si="47"/>
        <v>0.68052903233351536</v>
      </c>
      <c r="DF11" s="1769">
        <f t="shared" si="48"/>
        <v>0.37500614271715171</v>
      </c>
      <c r="DG11" s="1771">
        <f t="shared" si="49"/>
        <v>5.4967065046066867</v>
      </c>
      <c r="DH11" s="1695">
        <f t="shared" si="50"/>
        <v>0.45890153999272482</v>
      </c>
    </row>
    <row r="12" spans="1:136" s="1715" customFormat="1" ht="18.600000000000001" customHeight="1" x14ac:dyDescent="0.25">
      <c r="B12" s="1716">
        <f t="shared" si="56"/>
        <v>6</v>
      </c>
      <c r="C12" s="1747"/>
      <c r="D12" s="1717" t="s">
        <v>1956</v>
      </c>
      <c r="E12" s="1719" t="s">
        <v>1957</v>
      </c>
      <c r="F12" s="1719" t="s">
        <v>1947</v>
      </c>
      <c r="G12" s="1717" t="s">
        <v>1958</v>
      </c>
      <c r="H12" s="1717" t="s">
        <v>569</v>
      </c>
      <c r="I12" s="1720">
        <v>35400</v>
      </c>
      <c r="J12" s="1720">
        <v>18242</v>
      </c>
      <c r="K12" s="1721">
        <v>3050781</v>
      </c>
      <c r="L12" s="1749">
        <f>K12*10000</f>
        <v>30507810000</v>
      </c>
      <c r="M12" s="1749">
        <f>RANK(L12,L$5:L$16,0)+COUNTIF($L$5:L12,L12)-1</f>
        <v>10</v>
      </c>
      <c r="N12" s="1723">
        <v>0</v>
      </c>
      <c r="O12" s="1749">
        <f t="shared" si="0"/>
        <v>107997647400</v>
      </c>
      <c r="P12" s="1749">
        <f t="shared" si="1"/>
        <v>6305.9363073964923</v>
      </c>
      <c r="Q12" s="1724">
        <v>295481188173</v>
      </c>
      <c r="R12" s="1749">
        <f>RANK(Q12,Q$5:Q$16,0)+COUNTIF($Q$5:Q12,Q12)-1</f>
        <v>5</v>
      </c>
      <c r="S12" s="1724">
        <v>242213773887</v>
      </c>
      <c r="T12" s="1677">
        <f t="shared" si="2"/>
        <v>53267414286</v>
      </c>
      <c r="U12" s="1749">
        <f>RANK(T12,T$5:T$16,0)+COUNTIF($T$5:T12,T12)-1</f>
        <v>5</v>
      </c>
      <c r="V12" s="1751">
        <f t="shared" si="3"/>
        <v>0.18027345366843689</v>
      </c>
      <c r="W12" s="1724">
        <v>4021561999</v>
      </c>
      <c r="X12" s="1752">
        <v>4097485190</v>
      </c>
      <c r="Y12" s="1724">
        <v>8986694807</v>
      </c>
      <c r="Z12" s="1724">
        <v>21945996880</v>
      </c>
      <c r="AA12" s="1752">
        <v>273829499</v>
      </c>
      <c r="AB12" s="1753">
        <f t="shared" si="4"/>
        <v>35304006376</v>
      </c>
      <c r="AC12" s="1724">
        <v>18606687432</v>
      </c>
      <c r="AD12" s="1724">
        <v>14870387668</v>
      </c>
      <c r="AE12" s="1749">
        <f>RANK(AD12,AD$5:AD$16,0)+COUNTIF($AD$5:AD12,AD12)-1</f>
        <v>4</v>
      </c>
      <c r="AF12" s="1724">
        <v>11232347874</v>
      </c>
      <c r="AG12" s="1754">
        <v>80711142013</v>
      </c>
      <c r="AH12" s="1754">
        <v>63035802325</v>
      </c>
      <c r="AI12" s="1755">
        <f t="shared" si="5"/>
        <v>4.111130007441675</v>
      </c>
      <c r="AJ12" s="1756">
        <v>56881522818</v>
      </c>
      <c r="AK12" s="1756">
        <v>73147537721</v>
      </c>
      <c r="AL12" s="1755">
        <f t="shared" si="6"/>
        <v>3.7255329367599654</v>
      </c>
      <c r="AM12" s="1755">
        <f t="shared" si="7"/>
        <v>52365100222.5</v>
      </c>
      <c r="AN12" s="1755">
        <f t="shared" si="8"/>
        <v>5.6427121674072342</v>
      </c>
      <c r="AO12" s="1756">
        <v>10732729093</v>
      </c>
      <c r="AP12" s="1756">
        <v>14425175245</v>
      </c>
      <c r="AQ12" s="1755">
        <f t="shared" si="9"/>
        <v>12578952169</v>
      </c>
      <c r="AR12" s="1724">
        <v>4771200290</v>
      </c>
      <c r="AS12" s="1724">
        <v>1054804655</v>
      </c>
      <c r="AT12" s="1724">
        <v>1054804655</v>
      </c>
      <c r="AU12" s="1757">
        <f t="shared" si="10"/>
        <v>1054804655</v>
      </c>
      <c r="AV12" s="1758">
        <v>149207587339</v>
      </c>
      <c r="AW12" s="1749">
        <f>RANK(AV12,AV$5:AV$16,0)+COUNTIF(AV$5:AV12,AV12)-1</f>
        <v>6</v>
      </c>
      <c r="AX12" s="1759">
        <f t="shared" si="11"/>
        <v>0.89096122653975762</v>
      </c>
      <c r="AY12" s="1749">
        <f>RANK(AX12,AX$5:AX$16,0)+COUNTIF(AX$5:AX12,AX12)-1</f>
        <v>1</v>
      </c>
      <c r="AZ12" s="1756">
        <v>153510353608</v>
      </c>
      <c r="BA12" s="1760">
        <v>18260516653</v>
      </c>
      <c r="BB12" s="1749">
        <f>RANK(BA12,BA$5:BA$16,0)+COUNTIF(BA$5:BA12,BA12)-1</f>
        <v>9</v>
      </c>
      <c r="BC12" s="1761">
        <f t="shared" si="12"/>
        <v>0.10903877346024238</v>
      </c>
      <c r="BD12" s="1749">
        <f>RANK(BC12,BC$5:BC$16,0)+COUNTIF(BC$5:BC12,BC12)-1</f>
        <v>11</v>
      </c>
      <c r="BE12" s="1760">
        <v>21548463496</v>
      </c>
      <c r="BF12" s="1734">
        <f t="shared" si="13"/>
        <v>167468103992</v>
      </c>
      <c r="BG12" s="1749">
        <f>RANK(BF12,BF$5:BF$16,0)+COUNTIF(BF$7:BF12,BF12)-1</f>
        <v>7</v>
      </c>
      <c r="BH12" s="1734">
        <f t="shared" si="14"/>
        <v>175058817104</v>
      </c>
      <c r="BI12" s="1755">
        <f t="shared" si="15"/>
        <v>171263460548</v>
      </c>
      <c r="BJ12" s="1732">
        <v>23560988994</v>
      </c>
      <c r="BK12" s="1732">
        <v>20507944554</v>
      </c>
      <c r="BL12" s="1755">
        <f t="shared" si="16"/>
        <v>10.992495365161497</v>
      </c>
      <c r="BM12" s="1724">
        <v>40751553094</v>
      </c>
      <c r="BN12" s="1724">
        <v>42458723094</v>
      </c>
      <c r="BO12" s="1724">
        <v>58504151669</v>
      </c>
      <c r="BP12" s="1762">
        <f t="shared" si="17"/>
        <v>50481437381.5</v>
      </c>
      <c r="BQ12" s="1754">
        <v>1707170000</v>
      </c>
      <c r="BR12" s="1763">
        <f t="shared" si="52"/>
        <v>1.0194000883186401E-2</v>
      </c>
      <c r="BS12" s="1772">
        <v>0</v>
      </c>
      <c r="BT12" s="1754">
        <v>94423601611</v>
      </c>
      <c r="BU12" s="1763">
        <f t="shared" si="18"/>
        <v>0.56383036148489885</v>
      </c>
      <c r="BV12" s="1754">
        <v>103564138891</v>
      </c>
      <c r="BW12" s="1734">
        <f t="shared" si="53"/>
        <v>71337332381</v>
      </c>
      <c r="BX12" s="1749">
        <f>RANK(BW12,BW$5:BW$16,0)+COUNTIF(BW$7:BW12,BW12)-1</f>
        <v>7</v>
      </c>
      <c r="BY12" s="1763">
        <f t="shared" si="19"/>
        <v>0.42597563763191471</v>
      </c>
      <c r="BZ12" s="1749">
        <f>RANK(BY12,BY$5:BY$16,0)+COUNTIF(BY$7:BY12,BY12)-1</f>
        <v>8</v>
      </c>
      <c r="CA12" s="1734">
        <f t="shared" si="54"/>
        <v>71494678213</v>
      </c>
      <c r="CB12" s="1755">
        <f t="shared" si="55"/>
        <v>71416005297</v>
      </c>
      <c r="CC12" s="1764">
        <v>17934845161</v>
      </c>
      <c r="CD12" s="1751">
        <f t="shared" si="20"/>
        <v>0.58787717509057513</v>
      </c>
      <c r="CE12" s="1765">
        <f t="shared" si="21"/>
        <v>1.5801937735196268</v>
      </c>
      <c r="CF12" s="1687">
        <f t="shared" si="22"/>
        <v>0.97778588134520339</v>
      </c>
      <c r="CG12" s="1765">
        <f t="shared" si="23"/>
        <v>0.11895699467463941</v>
      </c>
      <c r="CH12" s="1766">
        <f t="shared" si="24"/>
        <v>5.6267314632042806</v>
      </c>
      <c r="CI12" s="1766">
        <f t="shared" si="25"/>
        <v>0.97662835744851262</v>
      </c>
      <c r="CJ12" s="1766">
        <f t="shared" si="26"/>
        <v>0</v>
      </c>
      <c r="CK12" s="1765">
        <f t="shared" si="27"/>
        <v>2.3930948116791202E-2</v>
      </c>
      <c r="CL12" s="1765">
        <f t="shared" si="28"/>
        <v>1.3475520937281851</v>
      </c>
      <c r="CM12" s="1765">
        <f t="shared" si="29"/>
        <v>1.0194000883186401E-2</v>
      </c>
      <c r="CN12" s="1767">
        <f t="shared" si="30"/>
        <v>0.57402436236808529</v>
      </c>
      <c r="CO12" s="1687">
        <f t="shared" si="31"/>
        <v>1.7253019834326278</v>
      </c>
      <c r="CP12" s="1687">
        <f t="shared" si="32"/>
        <v>4.1374645213516636</v>
      </c>
      <c r="CQ12" s="1687">
        <f t="shared" si="33"/>
        <v>23.490127333594124</v>
      </c>
      <c r="CR12" s="1689">
        <f t="shared" si="34"/>
        <v>1.9521881474790619</v>
      </c>
      <c r="CS12" s="1759">
        <f t="shared" si="35"/>
        <v>8.6827555746091425E-2</v>
      </c>
      <c r="CT12" s="1751">
        <f t="shared" si="36"/>
        <v>0.20822205899305132</v>
      </c>
      <c r="CU12" s="1759">
        <f t="shared" si="37"/>
        <v>5.0326004710978763E-2</v>
      </c>
      <c r="CV12" s="1768">
        <f t="shared" si="38"/>
        <v>1.7644027795711787</v>
      </c>
      <c r="CW12" s="1768">
        <f t="shared" si="39"/>
        <v>4.1420274393621499</v>
      </c>
      <c r="CX12" s="1759">
        <f t="shared" si="40"/>
        <v>0.1351197564885607</v>
      </c>
      <c r="CY12" s="1759">
        <f t="shared" si="41"/>
        <v>0.60989915146318274</v>
      </c>
      <c r="CZ12" s="1735">
        <f t="shared" si="42"/>
        <v>4874.288802768865</v>
      </c>
      <c r="DA12" s="1679">
        <f t="shared" si="43"/>
        <v>23037.55258932057</v>
      </c>
      <c r="DB12" s="1735">
        <f t="shared" si="44"/>
        <v>155269451195</v>
      </c>
      <c r="DC12" s="1762">
        <f t="shared" si="45"/>
        <v>27399449721</v>
      </c>
      <c r="DD12" s="1769">
        <f t="shared" si="46"/>
        <v>7.2625979773481717</v>
      </c>
      <c r="DE12" s="1770">
        <f t="shared" si="47"/>
        <v>1.5366215600701545</v>
      </c>
      <c r="DF12" s="1769">
        <f t="shared" si="48"/>
        <v>0.36549754002196888</v>
      </c>
      <c r="DG12" s="1771">
        <f t="shared" si="49"/>
        <v>5.6668821007742896</v>
      </c>
      <c r="DH12" s="1695">
        <f t="shared" si="50"/>
        <v>0.52547998793104878</v>
      </c>
    </row>
    <row r="13" spans="1:136" s="1715" customFormat="1" ht="18.600000000000001" customHeight="1" x14ac:dyDescent="0.25">
      <c r="B13" s="1716">
        <f t="shared" si="56"/>
        <v>7</v>
      </c>
      <c r="C13" s="1747"/>
      <c r="D13" s="1717" t="s">
        <v>1959</v>
      </c>
      <c r="E13" s="1719" t="s">
        <v>1960</v>
      </c>
      <c r="F13" s="1719" t="s">
        <v>1947</v>
      </c>
      <c r="G13" s="1717" t="s">
        <v>1961</v>
      </c>
      <c r="H13" s="1717" t="s">
        <v>569</v>
      </c>
      <c r="I13" s="1720">
        <v>4100</v>
      </c>
      <c r="J13" s="1720">
        <v>19386</v>
      </c>
      <c r="K13" s="1721">
        <v>15622552</v>
      </c>
      <c r="L13" s="1749">
        <f>K13*10000</f>
        <v>156225520000</v>
      </c>
      <c r="M13" s="1749">
        <f>RANK(L13,L$5:L$16,0)+COUNTIF($L$5:L13,L13)-1</f>
        <v>5</v>
      </c>
      <c r="N13" s="1723">
        <v>0</v>
      </c>
      <c r="O13" s="1749">
        <f t="shared" si="0"/>
        <v>64052463200</v>
      </c>
      <c r="P13" s="1749">
        <f t="shared" si="1"/>
        <v>1769.811801684019</v>
      </c>
      <c r="Q13" s="1724">
        <v>227416474050</v>
      </c>
      <c r="R13" s="1749">
        <f>RANK(Q13,Q$5:Q$16,0)+COUNTIF($Q$5:Q13,Q13)-1</f>
        <v>8</v>
      </c>
      <c r="S13" s="1724">
        <v>210989885790</v>
      </c>
      <c r="T13" s="1677">
        <f t="shared" si="2"/>
        <v>16426588260</v>
      </c>
      <c r="U13" s="1749">
        <f>RANK(T13,T$5:T$16,0)+COUNTIF($T$5:T13,T13)-1</f>
        <v>8</v>
      </c>
      <c r="V13" s="1751">
        <f t="shared" si="3"/>
        <v>7.2231303069048708E-2</v>
      </c>
      <c r="W13" s="1724">
        <v>7067100791</v>
      </c>
      <c r="X13" s="1752">
        <v>7067100791</v>
      </c>
      <c r="Y13" s="1724">
        <v>936650525</v>
      </c>
      <c r="Z13" s="1724">
        <v>10655854821</v>
      </c>
      <c r="AA13" s="1752">
        <v>90593811</v>
      </c>
      <c r="AB13" s="1753">
        <f t="shared" si="4"/>
        <v>18750199948</v>
      </c>
      <c r="AC13" s="1724">
        <v>443634664</v>
      </c>
      <c r="AD13" s="1724">
        <v>315802324</v>
      </c>
      <c r="AE13" s="1749">
        <f>RANK(AD13,AD$5:AD$16,0)+COUNTIF($AD$5:AD13,AD13)-1</f>
        <v>9</v>
      </c>
      <c r="AF13" s="1724">
        <v>3347673881</v>
      </c>
      <c r="AG13" s="1754">
        <v>52975569495</v>
      </c>
      <c r="AH13" s="1754">
        <v>167575555434</v>
      </c>
      <c r="AI13" s="1755">
        <f t="shared" si="5"/>
        <v>2.0622563056362564</v>
      </c>
      <c r="AJ13" s="1756">
        <v>17449653037</v>
      </c>
      <c r="AK13" s="1756">
        <v>38804281946</v>
      </c>
      <c r="AL13" s="1755">
        <f t="shared" si="6"/>
        <v>7.5013378478771795</v>
      </c>
      <c r="AM13" s="1755">
        <f t="shared" si="7"/>
        <v>-13352916625.5</v>
      </c>
      <c r="AN13" s="1755">
        <f t="shared" si="8"/>
        <v>-17.031221000489428</v>
      </c>
      <c r="AO13" s="1756">
        <v>136856360634</v>
      </c>
      <c r="AP13" s="1756">
        <v>143059843043</v>
      </c>
      <c r="AQ13" s="1755">
        <f t="shared" si="9"/>
        <v>139958101838.5</v>
      </c>
      <c r="AR13" s="1724">
        <v>5707537848</v>
      </c>
      <c r="AS13" s="1724">
        <v>0</v>
      </c>
      <c r="AT13" s="1724">
        <v>0</v>
      </c>
      <c r="AU13" s="1757">
        <f t="shared" si="10"/>
        <v>0</v>
      </c>
      <c r="AV13" s="1758">
        <v>75140097881</v>
      </c>
      <c r="AW13" s="1749">
        <f>RANK(AV13,AV$5:AV$16,0)+COUNTIF(AV$5:AV13,AV13)-1</f>
        <v>8</v>
      </c>
      <c r="AX13" s="1759">
        <f t="shared" si="11"/>
        <v>0.22353793361766988</v>
      </c>
      <c r="AY13" s="1749">
        <f>RANK(AX13,AX$5:AX$16,0)+COUNTIF(AX$5:AX13,AX13)-1</f>
        <v>11</v>
      </c>
      <c r="AZ13" s="1756">
        <v>212905886375</v>
      </c>
      <c r="BA13" s="1760">
        <v>261000156549</v>
      </c>
      <c r="BB13" s="1749">
        <f>RANK(BA13,BA$5:BA$16,0)+COUNTIF(BA$5:BA13,BA13)-1</f>
        <v>3</v>
      </c>
      <c r="BC13" s="1761">
        <f t="shared" si="12"/>
        <v>0.77646206638233017</v>
      </c>
      <c r="BD13" s="1749">
        <f>RANK(BC13,BC$5:BC$16,0)+COUNTIF(BC$5:BC13,BC13)-1</f>
        <v>1</v>
      </c>
      <c r="BE13" s="1760">
        <v>174787468385</v>
      </c>
      <c r="BF13" s="1734">
        <f t="shared" si="13"/>
        <v>336140254430</v>
      </c>
      <c r="BG13" s="1749">
        <f>RANK(BF13,BF$5:BF$16,0)+COUNTIF(BF$7:BF13,BF13)-1</f>
        <v>5</v>
      </c>
      <c r="BH13" s="1734">
        <f t="shared" si="14"/>
        <v>387693354760</v>
      </c>
      <c r="BI13" s="1755">
        <f t="shared" si="15"/>
        <v>361916804595</v>
      </c>
      <c r="BJ13" s="1732">
        <v>35919951936</v>
      </c>
      <c r="BK13" s="1732">
        <v>111087269431</v>
      </c>
      <c r="BL13" s="1755">
        <f t="shared" si="16"/>
        <v>2.8704696793536257</v>
      </c>
      <c r="BM13" s="1724">
        <v>67837677158</v>
      </c>
      <c r="BN13" s="1724">
        <v>75937677158</v>
      </c>
      <c r="BO13" s="1724">
        <v>87521379274</v>
      </c>
      <c r="BP13" s="1762">
        <f t="shared" si="17"/>
        <v>81729528216</v>
      </c>
      <c r="BQ13" s="1754">
        <v>29100000000</v>
      </c>
      <c r="BR13" s="1763">
        <f t="shared" si="52"/>
        <v>8.6571006050273486E-2</v>
      </c>
      <c r="BS13" s="1772">
        <v>13478000000</v>
      </c>
      <c r="BT13" s="1754">
        <v>123701178976</v>
      </c>
      <c r="BU13" s="1763">
        <f t="shared" si="18"/>
        <v>0.36800465682327355</v>
      </c>
      <c r="BV13" s="1754">
        <v>191050638531</v>
      </c>
      <c r="BW13" s="1734">
        <f t="shared" si="53"/>
        <v>183339075454</v>
      </c>
      <c r="BX13" s="1749">
        <f>RANK(BW13,BW$5:BW$16,0)+COUNTIF(BW$7:BW13,BW13)-1</f>
        <v>4</v>
      </c>
      <c r="BY13" s="1763">
        <f t="shared" si="19"/>
        <v>0.545424337126453</v>
      </c>
      <c r="BZ13" s="1749">
        <f>RANK(BY13,BY$5:BY$16,0)+COUNTIF(BY$7:BY13,BY13)-1</f>
        <v>6</v>
      </c>
      <c r="CA13" s="1734">
        <f t="shared" si="54"/>
        <v>183164716229</v>
      </c>
      <c r="CB13" s="1755">
        <f t="shared" si="55"/>
        <v>183251895841.5</v>
      </c>
      <c r="CC13" s="1764">
        <v>18810984548</v>
      </c>
      <c r="CD13" s="1751">
        <f t="shared" si="20"/>
        <v>0.12040916585203237</v>
      </c>
      <c r="CE13" s="1765">
        <f t="shared" si="21"/>
        <v>0.60743235030588005</v>
      </c>
      <c r="CF13" s="1687">
        <f t="shared" si="22"/>
        <v>0.4663694018243178</v>
      </c>
      <c r="CG13" s="1765">
        <f t="shared" si="23"/>
        <v>2.7062586700564124E-2</v>
      </c>
      <c r="CH13" s="1766">
        <f t="shared" si="24"/>
        <v>1.0627746337741457</v>
      </c>
      <c r="CI13" s="1766">
        <f t="shared" si="25"/>
        <v>0.86301955072149095</v>
      </c>
      <c r="CJ13" s="1766">
        <f t="shared" si="26"/>
        <v>0</v>
      </c>
      <c r="CK13" s="1765">
        <f t="shared" si="27"/>
        <v>0.15872230144032348</v>
      </c>
      <c r="CL13" s="1765">
        <f t="shared" si="28"/>
        <v>0.83343487250396875</v>
      </c>
      <c r="CM13" s="1765">
        <f t="shared" si="29"/>
        <v>8.6571006050273486E-2</v>
      </c>
      <c r="CN13" s="1767">
        <f t="shared" si="30"/>
        <v>0.454575662873547</v>
      </c>
      <c r="CO13" s="1687">
        <f t="shared" si="31"/>
        <v>0.62836671622498574</v>
      </c>
      <c r="CP13" s="1687">
        <f t="shared" si="32"/>
        <v>1.2410047547158762</v>
      </c>
      <c r="CQ13" s="1687">
        <f t="shared" si="33"/>
        <v>1.6248896709989658</v>
      </c>
      <c r="CR13" s="1689">
        <f t="shared" si="34"/>
        <v>1.5790289500990529</v>
      </c>
      <c r="CS13" s="1759">
        <f t="shared" si="35"/>
        <v>8.7258264880348945E-4</v>
      </c>
      <c r="CT13" s="1751">
        <f t="shared" si="36"/>
        <v>1.7233236390260694E-3</v>
      </c>
      <c r="CU13" s="1759">
        <f t="shared" si="37"/>
        <v>1.3886519229498184E-3</v>
      </c>
      <c r="CV13" s="1768">
        <f t="shared" si="38"/>
        <v>0.67655233508296952</v>
      </c>
      <c r="CW13" s="1768">
        <f t="shared" si="39"/>
        <v>1.2404146442151067</v>
      </c>
      <c r="CX13" s="1759">
        <f t="shared" si="40"/>
        <v>2.2344052388893768E-2</v>
      </c>
      <c r="CY13" s="1759">
        <f t="shared" si="41"/>
        <v>2.8397067521362708E-3</v>
      </c>
      <c r="CZ13" s="1735">
        <f t="shared" si="42"/>
        <v>20.214515784617006</v>
      </c>
      <c r="DA13" s="1679">
        <f t="shared" si="43"/>
        <v>11735.539459494197</v>
      </c>
      <c r="DB13" s="1735">
        <f t="shared" si="44"/>
        <v>148226168593</v>
      </c>
      <c r="DC13" s="1762">
        <f t="shared" si="45"/>
        <v>13218273303</v>
      </c>
      <c r="DD13" s="1769">
        <f t="shared" si="46"/>
        <v>202.82454666166421</v>
      </c>
      <c r="DE13" s="1770">
        <f t="shared" si="47"/>
        <v>0.34936612962287378</v>
      </c>
      <c r="DF13" s="1769">
        <f t="shared" si="48"/>
        <v>0.28165269674314519</v>
      </c>
      <c r="DG13" s="1771">
        <f t="shared" si="49"/>
        <v>11.213731566539694</v>
      </c>
      <c r="DH13" s="1695">
        <f t="shared" si="50"/>
        <v>0.65178289836826353</v>
      </c>
    </row>
    <row r="14" spans="1:136" s="1715" customFormat="1" ht="18.600000000000001" customHeight="1" x14ac:dyDescent="0.25">
      <c r="B14" s="1716">
        <f t="shared" si="56"/>
        <v>8</v>
      </c>
      <c r="C14" s="1747"/>
      <c r="D14" s="1717" t="s">
        <v>1962</v>
      </c>
      <c r="E14" s="1719" t="s">
        <v>1963</v>
      </c>
      <c r="F14" s="1719" t="s">
        <v>1947</v>
      </c>
      <c r="G14" s="1717" t="s">
        <v>1964</v>
      </c>
      <c r="H14" s="1717" t="s">
        <v>569</v>
      </c>
      <c r="I14" s="1720">
        <v>9200</v>
      </c>
      <c r="J14" s="1720">
        <v>81000</v>
      </c>
      <c r="K14" s="1721">
        <v>1500000</v>
      </c>
      <c r="L14" s="1749">
        <f>K14*10000</f>
        <v>15000000000</v>
      </c>
      <c r="M14" s="1749">
        <f>RANK(L14,L$5:L$16,0)+COUNTIF($L$5:L14,L14)-1</f>
        <v>11</v>
      </c>
      <c r="N14" s="1723">
        <v>0</v>
      </c>
      <c r="O14" s="1749">
        <f t="shared" si="0"/>
        <v>13800000000</v>
      </c>
      <c r="P14" s="1749">
        <f t="shared" si="1"/>
        <v>4147.1818018165923</v>
      </c>
      <c r="Q14" s="1750">
        <v>40904083152</v>
      </c>
      <c r="R14" s="1749">
        <f>RANK(Q14,Q$5:Q$16,0)+COUNTIF($Q$5:Q14,Q14)-1</f>
        <v>11</v>
      </c>
      <c r="S14" s="1724">
        <v>32135334844</v>
      </c>
      <c r="T14" s="1677">
        <f t="shared" si="2"/>
        <v>8768748308</v>
      </c>
      <c r="U14" s="1749">
        <f>RANK(T14,T$5:T$16,0)+COUNTIF($T$5:T14,T14)-1</f>
        <v>9</v>
      </c>
      <c r="V14" s="1751">
        <f t="shared" si="3"/>
        <v>0.21437342270734291</v>
      </c>
      <c r="W14" s="1724">
        <v>0</v>
      </c>
      <c r="X14" s="1752">
        <v>16681558</v>
      </c>
      <c r="Y14" s="1724">
        <v>4448067138</v>
      </c>
      <c r="Z14" s="1724">
        <v>1723851647</v>
      </c>
      <c r="AA14" s="1752">
        <v>8163986</v>
      </c>
      <c r="AB14" s="1753">
        <f t="shared" si="4"/>
        <v>6196764329</v>
      </c>
      <c r="AC14" s="1724">
        <v>2407689045</v>
      </c>
      <c r="AD14" s="1724">
        <v>1838116569</v>
      </c>
      <c r="AE14" s="1749">
        <f>RANK(AD14,AD$5:AD$16,0)+COUNTIF($AD$5:AD14,AD14)-1</f>
        <v>8</v>
      </c>
      <c r="AF14" s="1724">
        <v>6688701141</v>
      </c>
      <c r="AG14" s="1754">
        <v>2004405609</v>
      </c>
      <c r="AH14" s="1754">
        <v>2253236049</v>
      </c>
      <c r="AI14" s="1755">
        <f t="shared" si="5"/>
        <v>19.214432043684216</v>
      </c>
      <c r="AJ14" s="1756">
        <v>9956809293</v>
      </c>
      <c r="AK14" s="1756">
        <v>9417798040</v>
      </c>
      <c r="AL14" s="1755">
        <f t="shared" si="6"/>
        <v>3.3172630847867723</v>
      </c>
      <c r="AM14" s="1755">
        <f t="shared" si="7"/>
        <v>17348258791.5</v>
      </c>
      <c r="AN14" s="1755">
        <f t="shared" si="8"/>
        <v>2.357820669129139</v>
      </c>
      <c r="AO14" s="1756">
        <v>8150187295</v>
      </c>
      <c r="AP14" s="1756">
        <v>11559615813</v>
      </c>
      <c r="AQ14" s="1755">
        <f t="shared" si="9"/>
        <v>9854901554</v>
      </c>
      <c r="AR14" s="1724">
        <v>1733303520</v>
      </c>
      <c r="AS14" s="1724">
        <v>0</v>
      </c>
      <c r="AT14" s="1724">
        <v>2321124998</v>
      </c>
      <c r="AU14" s="1757">
        <f t="shared" si="10"/>
        <v>1160562499</v>
      </c>
      <c r="AV14" s="1758">
        <v>23984066878</v>
      </c>
      <c r="AW14" s="1749">
        <f>RANK(AV14,AV$5:AV$16,0)+COUNTIF(AV$5:AV14,AV14)-1</f>
        <v>11</v>
      </c>
      <c r="AX14" s="1759">
        <f t="shared" si="11"/>
        <v>0.68740366760669958</v>
      </c>
      <c r="AY14" s="1749">
        <f>RANK(AX14,AX$5:AX$16,0)+COUNTIF(AX$5:AX14,AX14)-1</f>
        <v>9</v>
      </c>
      <c r="AZ14" s="1756">
        <v>19669667133</v>
      </c>
      <c r="BA14" s="1760">
        <v>10906737475</v>
      </c>
      <c r="BB14" s="1749">
        <f>RANK(BA14,BA$5:BA$16,0)+COUNTIF(BA$5:BA14,BA14)-1</f>
        <v>11</v>
      </c>
      <c r="BC14" s="1761">
        <f t="shared" si="12"/>
        <v>0.31259633239330037</v>
      </c>
      <c r="BD14" s="1749">
        <f>RANK(BC14,BC$5:BC$16,0)+COUNTIF(BC$5:BC14,BC14)-1</f>
        <v>3</v>
      </c>
      <c r="BE14" s="1760">
        <v>11990746471</v>
      </c>
      <c r="BF14" s="1734">
        <f t="shared" si="13"/>
        <v>34890804353</v>
      </c>
      <c r="BG14" s="1749">
        <f>RANK(BF14,BF$5:BF$16,0)+COUNTIF(BF$7:BF14,BF14)-1</f>
        <v>11</v>
      </c>
      <c r="BH14" s="1734">
        <f t="shared" si="14"/>
        <v>31660413604</v>
      </c>
      <c r="BI14" s="1755">
        <f t="shared" si="15"/>
        <v>33275608978.5</v>
      </c>
      <c r="BJ14" s="1732">
        <v>2534240943</v>
      </c>
      <c r="BK14" s="1732">
        <v>1672223026</v>
      </c>
      <c r="BL14" s="1755">
        <f t="shared" si="16"/>
        <v>15.279025367065969</v>
      </c>
      <c r="BM14" s="1724">
        <v>0</v>
      </c>
      <c r="BN14" s="1724">
        <v>0</v>
      </c>
      <c r="BO14" s="1724">
        <v>0</v>
      </c>
      <c r="BP14" s="1762">
        <f t="shared" si="17"/>
        <v>0</v>
      </c>
      <c r="BQ14" s="1754">
        <v>0</v>
      </c>
      <c r="BR14" s="1763">
        <f t="shared" si="52"/>
        <v>0</v>
      </c>
      <c r="BS14" s="1772">
        <v>0</v>
      </c>
      <c r="BT14" s="1754">
        <v>5399740304</v>
      </c>
      <c r="BU14" s="1763">
        <f t="shared" si="18"/>
        <v>0.15476112987735455</v>
      </c>
      <c r="BV14" s="1754">
        <v>3557476124</v>
      </c>
      <c r="BW14" s="1734">
        <f t="shared" si="53"/>
        <v>29491064049</v>
      </c>
      <c r="BX14" s="1749">
        <f>RANK(BW14,BW$5:BW$16,0)+COUNTIF(BW$7:BW14,BW14)-1</f>
        <v>10</v>
      </c>
      <c r="BY14" s="1763">
        <f t="shared" si="19"/>
        <v>0.84523887012264542</v>
      </c>
      <c r="BZ14" s="1749">
        <f>RANK(BY14,BY$5:BY$16,0)+COUNTIF(BY$7:BY14,BY14)-1</f>
        <v>1</v>
      </c>
      <c r="CA14" s="1734">
        <f t="shared" si="54"/>
        <v>28102937480</v>
      </c>
      <c r="CB14" s="1755">
        <f t="shared" si="55"/>
        <v>28797000764.5</v>
      </c>
      <c r="CC14" s="1764">
        <v>1965939837</v>
      </c>
      <c r="CD14" s="1751">
        <f t="shared" si="20"/>
        <v>0.13106265580000001</v>
      </c>
      <c r="CE14" s="1765">
        <f t="shared" si="21"/>
        <v>4.441707476234213</v>
      </c>
      <c r="CF14" s="1687">
        <f t="shared" si="22"/>
        <v>2.5977652248588585</v>
      </c>
      <c r="CG14" s="1765">
        <f t="shared" si="23"/>
        <v>1.2387079312027596</v>
      </c>
      <c r="CH14" s="1766" t="str">
        <f t="shared" si="24"/>
        <v/>
      </c>
      <c r="CI14" s="1766">
        <f t="shared" si="25"/>
        <v>1</v>
      </c>
      <c r="CJ14" s="1766">
        <f t="shared" si="26"/>
        <v>0</v>
      </c>
      <c r="CK14" s="1765">
        <f t="shared" si="27"/>
        <v>0</v>
      </c>
      <c r="CL14" s="1765">
        <f t="shared" si="28"/>
        <v>0.18309750692712282</v>
      </c>
      <c r="CM14" s="1765">
        <f t="shared" si="29"/>
        <v>0</v>
      </c>
      <c r="CN14" s="1767">
        <f t="shared" si="30"/>
        <v>0.15476112987735455</v>
      </c>
      <c r="CO14" s="1687">
        <f t="shared" si="31"/>
        <v>1.2292512265794715</v>
      </c>
      <c r="CP14" s="1687">
        <f t="shared" si="32"/>
        <v>1.420428588605839</v>
      </c>
      <c r="CQ14" s="1687">
        <f t="shared" si="33"/>
        <v>4.1506333602487855</v>
      </c>
      <c r="CR14" s="1689">
        <f t="shared" si="34"/>
        <v>1.8740244828400185</v>
      </c>
      <c r="CS14" s="1759">
        <f t="shared" si="35"/>
        <v>5.5239156409959071E-2</v>
      </c>
      <c r="CT14" s="1751">
        <f t="shared" si="36"/>
        <v>6.3830139257626095E-2</v>
      </c>
      <c r="CU14" s="1759">
        <f t="shared" si="37"/>
        <v>4.4937239203468753E-2</v>
      </c>
      <c r="CV14" s="1768">
        <f t="shared" si="38"/>
        <v>1.1723456627185198</v>
      </c>
      <c r="CW14" s="1768">
        <f t="shared" si="39"/>
        <v>1.3869992308191064</v>
      </c>
      <c r="CX14" s="1759">
        <f t="shared" si="40"/>
        <v>6.9006406978776941E-2</v>
      </c>
      <c r="CY14" s="1759">
        <f t="shared" si="41"/>
        <v>0.160512603</v>
      </c>
      <c r="CZ14" s="1735">
        <f t="shared" si="42"/>
        <v>1225.4110459999999</v>
      </c>
      <c r="DA14" s="1679">
        <f t="shared" si="43"/>
        <v>19660.709365999999</v>
      </c>
      <c r="DB14" s="1735">
        <f t="shared" si="44"/>
        <v>7111298859</v>
      </c>
      <c r="DC14" s="1762">
        <f t="shared" si="45"/>
        <v>4140992565</v>
      </c>
      <c r="DD14" s="1769">
        <f t="shared" si="46"/>
        <v>7.5076848948201826</v>
      </c>
      <c r="DE14" s="1770">
        <f t="shared" si="47"/>
        <v>0.46793835505802778</v>
      </c>
      <c r="DF14" s="1769">
        <f t="shared" si="48"/>
        <v>0.33737463198280365</v>
      </c>
      <c r="DG14" s="1771">
        <f t="shared" si="49"/>
        <v>1.7172933173329665</v>
      </c>
      <c r="DH14" s="1695">
        <f t="shared" si="50"/>
        <v>0.17385303155614903</v>
      </c>
    </row>
    <row r="15" spans="1:136" s="1715" customFormat="1" ht="18.600000000000001" customHeight="1" x14ac:dyDescent="0.25">
      <c r="B15" s="1716">
        <f t="shared" si="56"/>
        <v>9</v>
      </c>
      <c r="C15" s="1747"/>
      <c r="D15" s="1717" t="s">
        <v>1965</v>
      </c>
      <c r="E15" s="1719" t="s">
        <v>1966</v>
      </c>
      <c r="F15" s="1719" t="s">
        <v>1947</v>
      </c>
      <c r="G15" s="1717" t="s">
        <v>1967</v>
      </c>
      <c r="H15" s="1717" t="s">
        <v>569</v>
      </c>
      <c r="I15" s="1720">
        <v>3800</v>
      </c>
      <c r="J15" s="1720">
        <v>2008</v>
      </c>
      <c r="K15" s="1721">
        <v>7500000</v>
      </c>
      <c r="L15" s="1749">
        <f>K15*10000</f>
        <v>75000000000</v>
      </c>
      <c r="M15" s="1749">
        <f>RANK(L15,L$5:L$16,0)+COUNTIF($L$5:L15,L15)-1</f>
        <v>7</v>
      </c>
      <c r="N15" s="1723">
        <v>0</v>
      </c>
      <c r="O15" s="1749">
        <f t="shared" si="0"/>
        <v>28500000000</v>
      </c>
      <c r="P15" s="1749">
        <f t="shared" si="1"/>
        <v>5398.6380531296809</v>
      </c>
      <c r="Q15" s="1750">
        <v>50441339361</v>
      </c>
      <c r="R15" s="1749">
        <f>RANK(Q15,Q$5:Q$16,0)+COUNTIF($Q$5:Q15,Q15)-1</f>
        <v>10</v>
      </c>
      <c r="S15" s="1724">
        <v>52583968446</v>
      </c>
      <c r="T15" s="1677">
        <f t="shared" si="2"/>
        <v>-2142629085</v>
      </c>
      <c r="U15" s="1749">
        <f>RANK(T15,T$5:T$16,0)+COUNTIF($T$5:T15,T15)-1</f>
        <v>11</v>
      </c>
      <c r="V15" s="1751">
        <f t="shared" si="3"/>
        <v>-4.2477640604774027E-2</v>
      </c>
      <c r="W15" s="1724">
        <v>9048569</v>
      </c>
      <c r="X15" s="1752">
        <v>9048569</v>
      </c>
      <c r="Y15" s="1724">
        <v>883907287</v>
      </c>
      <c r="Z15" s="1724">
        <v>3031403900</v>
      </c>
      <c r="AA15" s="1752">
        <v>198984160</v>
      </c>
      <c r="AB15" s="1753">
        <f t="shared" si="4"/>
        <v>4123343916</v>
      </c>
      <c r="AC15" s="1724">
        <v>-5877417464</v>
      </c>
      <c r="AD15" s="1724">
        <v>-5917909912</v>
      </c>
      <c r="AE15" s="1749">
        <f>RANK(AD15,AD$5:AD$16,0)+COUNTIF($AD$5:AD15,AD15)-1</f>
        <v>11</v>
      </c>
      <c r="AF15" s="1724">
        <v>592888475</v>
      </c>
      <c r="AG15" s="1754">
        <v>30690657063</v>
      </c>
      <c r="AH15" s="1754">
        <v>32636489290</v>
      </c>
      <c r="AI15" s="1755">
        <f t="shared" si="5"/>
        <v>1.5930400236204687</v>
      </c>
      <c r="AJ15" s="1756">
        <v>3711528336</v>
      </c>
      <c r="AK15" s="1756">
        <v>4076497506</v>
      </c>
      <c r="AL15" s="1755">
        <f t="shared" si="6"/>
        <v>13.503799168826641</v>
      </c>
      <c r="AM15" s="1755">
        <f t="shared" si="7"/>
        <v>5430572152</v>
      </c>
      <c r="AN15" s="1755">
        <f t="shared" si="8"/>
        <v>9.2884023909751754</v>
      </c>
      <c r="AO15" s="1756">
        <v>12267177998</v>
      </c>
      <c r="AP15" s="1756">
        <v>13521547951</v>
      </c>
      <c r="AQ15" s="1755">
        <f t="shared" si="9"/>
        <v>12894362974.5</v>
      </c>
      <c r="AR15" s="1724">
        <v>1254369953</v>
      </c>
      <c r="AS15" s="1724">
        <v>0</v>
      </c>
      <c r="AT15" s="1724">
        <v>0</v>
      </c>
      <c r="AU15" s="1757">
        <f t="shared" si="10"/>
        <v>0</v>
      </c>
      <c r="AV15" s="1758">
        <v>36853163850</v>
      </c>
      <c r="AW15" s="1749">
        <f>RANK(AV15,AV$5:AV$16,0)+COUNTIF(AV$5:AV15,AV15)-1</f>
        <v>10</v>
      </c>
      <c r="AX15" s="1759">
        <f t="shared" si="11"/>
        <v>0.7213549121440479</v>
      </c>
      <c r="AY15" s="1749">
        <f>RANK(AX15,AX$5:AX$16,0)+COUNTIF(AX$5:AX15,AX15)-1</f>
        <v>7</v>
      </c>
      <c r="AZ15" s="1756">
        <v>38727087757</v>
      </c>
      <c r="BA15" s="1760">
        <v>14235645874</v>
      </c>
      <c r="BB15" s="1749">
        <f>RANK(BA15,BA$5:BA$16,0)+COUNTIF(BA$5:BA15,BA15)-1</f>
        <v>10</v>
      </c>
      <c r="BC15" s="1761">
        <f t="shared" si="12"/>
        <v>0.2786450878559521</v>
      </c>
      <c r="BD15" s="1749">
        <f>RANK(BC15,BC$5:BC$16,0)+COUNTIF(BC$5:BC15,BC15)-1</f>
        <v>5</v>
      </c>
      <c r="BE15" s="1760">
        <v>15766287209</v>
      </c>
      <c r="BF15" s="1734">
        <f t="shared" si="13"/>
        <v>51088809724</v>
      </c>
      <c r="BG15" s="1749">
        <f>RANK(BF15,BF$5:BF$16,0)+COUNTIF(BF$7:BF15,BF15)-1</f>
        <v>10</v>
      </c>
      <c r="BH15" s="1734">
        <f t="shared" si="14"/>
        <v>54493374966</v>
      </c>
      <c r="BI15" s="1755">
        <f t="shared" si="15"/>
        <v>52791092345</v>
      </c>
      <c r="BJ15" s="1732">
        <v>21743689554</v>
      </c>
      <c r="BK15" s="1732">
        <v>18986673443</v>
      </c>
      <c r="BL15" s="1755">
        <f t="shared" si="16"/>
        <v>2.5820525316640599</v>
      </c>
      <c r="BM15" s="1724">
        <v>0</v>
      </c>
      <c r="BN15" s="1724">
        <v>0</v>
      </c>
      <c r="BO15" s="1724">
        <v>243250000</v>
      </c>
      <c r="BP15" s="1762">
        <f t="shared" si="17"/>
        <v>121625000</v>
      </c>
      <c r="BQ15" s="1754">
        <v>210362546</v>
      </c>
      <c r="BR15" s="1763">
        <f t="shared" si="52"/>
        <v>4.117585575715183E-3</v>
      </c>
      <c r="BS15" s="1772">
        <v>179401795</v>
      </c>
      <c r="BT15" s="1754">
        <v>33737745611</v>
      </c>
      <c r="BU15" s="1763">
        <f t="shared" si="18"/>
        <v>0.66037446934589694</v>
      </c>
      <c r="BV15" s="1754">
        <v>30981361692</v>
      </c>
      <c r="BW15" s="1734">
        <f t="shared" si="53"/>
        <v>17140701567</v>
      </c>
      <c r="BX15" s="1749">
        <f>RANK(BW15,BW$5:BW$16,0)+COUNTIF(BW$7:BW15,BW15)-1</f>
        <v>11</v>
      </c>
      <c r="BY15" s="1763">
        <f t="shared" si="19"/>
        <v>0.33550794507838788</v>
      </c>
      <c r="BZ15" s="1749">
        <f>RANK(BY15,BY$5:BY$16,0)+COUNTIF(BY$7:BY15,BY15)-1</f>
        <v>10</v>
      </c>
      <c r="CA15" s="1734">
        <f t="shared" si="54"/>
        <v>23332611479</v>
      </c>
      <c r="CB15" s="1755">
        <f t="shared" si="55"/>
        <v>20236656523</v>
      </c>
      <c r="CC15" s="1764">
        <v>-61659175622</v>
      </c>
      <c r="CD15" s="1751">
        <f t="shared" si="20"/>
        <v>-0.82212234162666664</v>
      </c>
      <c r="CE15" s="1765">
        <f t="shared" si="21"/>
        <v>1.0923422173763808</v>
      </c>
      <c r="CF15" s="1687">
        <f t="shared" si="22"/>
        <v>0.98233106313998519</v>
      </c>
      <c r="CG15" s="1765">
        <f t="shared" si="23"/>
        <v>1.7573446721546565E-2</v>
      </c>
      <c r="CH15" s="1766">
        <f t="shared" si="24"/>
        <v>-648.54110025574209</v>
      </c>
      <c r="CI15" s="1766">
        <f t="shared" si="25"/>
        <v>0.98787610116417068</v>
      </c>
      <c r="CJ15" s="1766">
        <f t="shared" si="26"/>
        <v>0</v>
      </c>
      <c r="CK15" s="1765">
        <f t="shared" si="27"/>
        <v>1.2272691708547031E-2</v>
      </c>
      <c r="CL15" s="1765">
        <f t="shared" si="28"/>
        <v>1.9805553480003599</v>
      </c>
      <c r="CM15" s="1765">
        <f t="shared" si="29"/>
        <v>4.117585575715183E-3</v>
      </c>
      <c r="CN15" s="1767">
        <f t="shared" si="30"/>
        <v>0.66449205492161212</v>
      </c>
      <c r="CO15" s="1687">
        <f t="shared" si="31"/>
        <v>0.95548959342148276</v>
      </c>
      <c r="CP15" s="1687">
        <f t="shared" si="32"/>
        <v>2.4925727875882475</v>
      </c>
      <c r="CQ15" s="1687">
        <f t="shared" si="33"/>
        <v>3.9118907588341676</v>
      </c>
      <c r="CR15" s="1689">
        <f t="shared" si="34"/>
        <v>1.3347756401575219</v>
      </c>
      <c r="CS15" s="1759">
        <f t="shared" si="35"/>
        <v>-0.11210053910847902</v>
      </c>
      <c r="CT15" s="1751">
        <f t="shared" si="36"/>
        <v>-0.29243516117763779</v>
      </c>
      <c r="CU15" s="1759">
        <f t="shared" si="37"/>
        <v>-0.11732261646834029</v>
      </c>
      <c r="CV15" s="1768">
        <f t="shared" si="38"/>
        <v>0.98732657177769723</v>
      </c>
      <c r="CW15" s="1768">
        <f t="shared" si="39"/>
        <v>2.9427814937348766</v>
      </c>
      <c r="CX15" s="1759">
        <f t="shared" si="40"/>
        <v>-0.11486603282994896</v>
      </c>
      <c r="CY15" s="1759">
        <f t="shared" si="41"/>
        <v>-7.8365566186666666E-2</v>
      </c>
      <c r="CZ15" s="1735">
        <f t="shared" si="42"/>
        <v>-789.05465493333338</v>
      </c>
      <c r="DA15" s="1679">
        <f t="shared" si="43"/>
        <v>2285.4268756000001</v>
      </c>
      <c r="DB15" s="1735">
        <f t="shared" si="44"/>
        <v>28150361525</v>
      </c>
      <c r="DC15" s="1762">
        <f t="shared" si="45"/>
        <v>-4613998942</v>
      </c>
      <c r="DD15" s="1769">
        <f t="shared" si="46"/>
        <v>-4.8158894649966406</v>
      </c>
      <c r="DE15" s="1770">
        <f t="shared" si="47"/>
        <v>1.6627090722394582</v>
      </c>
      <c r="DF15" s="1769">
        <f t="shared" si="48"/>
        <v>0.56501275265572137</v>
      </c>
      <c r="DG15" s="1771">
        <f t="shared" si="49"/>
        <v>-6.1010767186690869</v>
      </c>
      <c r="DH15" s="1695">
        <f t="shared" si="50"/>
        <v>0.5580811667892619</v>
      </c>
    </row>
    <row r="16" spans="1:136" s="1715" customFormat="1" ht="18.600000000000001" customHeight="1" x14ac:dyDescent="0.25">
      <c r="B16" s="1716">
        <f t="shared" si="56"/>
        <v>10</v>
      </c>
      <c r="C16" s="1747"/>
      <c r="D16" s="1717" t="s">
        <v>1968</v>
      </c>
      <c r="E16" s="1719" t="s">
        <v>1969</v>
      </c>
      <c r="F16" s="1719" t="s">
        <v>1947</v>
      </c>
      <c r="G16" s="1717" t="s">
        <v>1970</v>
      </c>
      <c r="H16" s="1717" t="s">
        <v>569</v>
      </c>
      <c r="I16" s="1720">
        <v>6500</v>
      </c>
      <c r="J16" s="1720">
        <v>624000</v>
      </c>
      <c r="K16" s="1721">
        <v>4000000</v>
      </c>
      <c r="L16" s="1749">
        <f>K16*10000</f>
        <v>40000000000</v>
      </c>
      <c r="M16" s="1749">
        <f>RANK(L16,L$5:L$16,0)+COUNTIF($L$5:L16,L16)-1</f>
        <v>9</v>
      </c>
      <c r="N16" s="1723">
        <v>0</v>
      </c>
      <c r="O16" s="1749">
        <f t="shared" si="0"/>
        <v>26000000000</v>
      </c>
      <c r="P16" s="1749">
        <f t="shared" si="1"/>
        <v>2605.8952569824573</v>
      </c>
      <c r="Q16" s="1724">
        <v>101803441146</v>
      </c>
      <c r="R16" s="1749">
        <f>RANK(Q16,Q$5:Q$16,0)+COUNTIF($Q$5:Q16,Q16)-1</f>
        <v>9</v>
      </c>
      <c r="S16" s="1724">
        <v>96369174086</v>
      </c>
      <c r="T16" s="1677">
        <f t="shared" si="2"/>
        <v>5434267060</v>
      </c>
      <c r="U16" s="1749">
        <f>RANK(T16,T$5:T$16,0)+COUNTIF($T$5:T16,T16)-1</f>
        <v>10</v>
      </c>
      <c r="V16" s="1759">
        <f t="shared" si="3"/>
        <v>5.3379993827581143E-2</v>
      </c>
      <c r="W16" s="1724">
        <v>2032771587</v>
      </c>
      <c r="X16" s="1754">
        <v>2578550693</v>
      </c>
      <c r="Y16" s="1724">
        <v>366310870</v>
      </c>
      <c r="Z16" s="1724">
        <v>5074350484</v>
      </c>
      <c r="AA16" s="1754">
        <v>62946340</v>
      </c>
      <c r="AB16" s="1755">
        <f t="shared" si="4"/>
        <v>8082158387</v>
      </c>
      <c r="AC16" s="1724">
        <v>-2256408685</v>
      </c>
      <c r="AD16" s="1724">
        <v>-2256408685</v>
      </c>
      <c r="AE16" s="1749">
        <f>RANK(AD16,AD$5:AD$16,0)+COUNTIF($AD$5:AD16,AD16)-1</f>
        <v>10</v>
      </c>
      <c r="AF16" s="1724">
        <v>769108780</v>
      </c>
      <c r="AG16" s="1754">
        <v>44870624296</v>
      </c>
      <c r="AH16" s="1754">
        <v>60924377256</v>
      </c>
      <c r="AI16" s="1755">
        <f t="shared" si="5"/>
        <v>1.9245416069295471</v>
      </c>
      <c r="AJ16" s="1756">
        <v>18507835786</v>
      </c>
      <c r="AK16" s="1756">
        <v>33057433712</v>
      </c>
      <c r="AL16" s="1755">
        <f t="shared" si="6"/>
        <v>3.7377550829919644</v>
      </c>
      <c r="AM16" s="1755">
        <f t="shared" si="7"/>
        <v>20813431998</v>
      </c>
      <c r="AN16" s="1755">
        <f t="shared" si="8"/>
        <v>4.8912375986710153</v>
      </c>
      <c r="AO16" s="1756">
        <v>17770819130</v>
      </c>
      <c r="AP16" s="1756">
        <v>18610897257</v>
      </c>
      <c r="AQ16" s="1755">
        <f t="shared" si="9"/>
        <v>18190858193.5</v>
      </c>
      <c r="AR16" s="1724">
        <v>2903678127</v>
      </c>
      <c r="AS16" s="1724">
        <v>0</v>
      </c>
      <c r="AT16" s="1724">
        <v>0</v>
      </c>
      <c r="AU16" s="1735">
        <f t="shared" si="10"/>
        <v>0</v>
      </c>
      <c r="AV16" s="1758">
        <v>64189004105</v>
      </c>
      <c r="AW16" s="1749">
        <f>RANK(AV16,AV$5:AV$16,0)+COUNTIF(AV$5:AV16,AV16)-1</f>
        <v>9</v>
      </c>
      <c r="AX16" s="1759">
        <f t="shared" si="11"/>
        <v>0.76813525504714886</v>
      </c>
      <c r="AY16" s="1749">
        <f>RANK(AX16,AX$5:AX$16,0)+COUNTIF(AX$5:AX16,AX16)-1</f>
        <v>3</v>
      </c>
      <c r="AZ16" s="1756">
        <v>94947366694</v>
      </c>
      <c r="BA16" s="1773">
        <v>19375711462</v>
      </c>
      <c r="BB16" s="1749">
        <f>RANK(BA16,BA$5:BA$16,0)+COUNTIF(BA$5:BA16,BA16)-1</f>
        <v>8</v>
      </c>
      <c r="BC16" s="1761">
        <f t="shared" si="12"/>
        <v>0.23186474495285109</v>
      </c>
      <c r="BD16" s="1749">
        <f>RANK(BC16,BC$5:BC$16,0)+COUNTIF(BC$5:BC16,BC16)-1</f>
        <v>9</v>
      </c>
      <c r="BE16" s="1773">
        <v>21035462333</v>
      </c>
      <c r="BF16" s="1734">
        <f t="shared" si="13"/>
        <v>83564715567</v>
      </c>
      <c r="BG16" s="1749">
        <f>RANK(BF16,BF$5:BF$16,0)+COUNTIF(BF$7:BF16,BF16)-1</f>
        <v>9</v>
      </c>
      <c r="BH16" s="1734">
        <f t="shared" si="14"/>
        <v>115982829027</v>
      </c>
      <c r="BI16" s="1755">
        <f t="shared" si="15"/>
        <v>99773772297</v>
      </c>
      <c r="BJ16" s="1732">
        <v>18956700299</v>
      </c>
      <c r="BK16" s="1732">
        <v>30697460812</v>
      </c>
      <c r="BL16" s="1755">
        <f t="shared" si="16"/>
        <v>3.8816152334371474</v>
      </c>
      <c r="BM16" s="1724">
        <v>17922412986</v>
      </c>
      <c r="BN16" s="1724">
        <v>18715780986</v>
      </c>
      <c r="BO16" s="1724">
        <v>25047992186</v>
      </c>
      <c r="BP16" s="1735">
        <f t="shared" si="17"/>
        <v>21881886586</v>
      </c>
      <c r="BQ16" s="1754">
        <v>793368000</v>
      </c>
      <c r="BR16" s="1761">
        <f t="shared" si="52"/>
        <v>9.4940549323583624E-3</v>
      </c>
      <c r="BS16" s="1774">
        <v>0</v>
      </c>
      <c r="BT16" s="1754">
        <v>43052217014</v>
      </c>
      <c r="BU16" s="1761">
        <f t="shared" si="18"/>
        <v>0.51519611742688054</v>
      </c>
      <c r="BV16" s="1754">
        <v>74457289789</v>
      </c>
      <c r="BW16" s="1734">
        <f t="shared" si="53"/>
        <v>39719130553</v>
      </c>
      <c r="BX16" s="1749">
        <f>RANK(BW16,BW$5:BW$16,0)+COUNTIF(BW$7:BW16,BW16)-1</f>
        <v>9</v>
      </c>
      <c r="BY16" s="1761">
        <f t="shared" si="19"/>
        <v>0.47530982764076113</v>
      </c>
      <c r="BZ16" s="1749">
        <f>RANK(BY16,BY$5:BY$16,0)+COUNTIF(BY$7:BY16,BY16)-1</f>
        <v>7</v>
      </c>
      <c r="CA16" s="1734">
        <f t="shared" si="54"/>
        <v>41525539238</v>
      </c>
      <c r="CB16" s="1755">
        <f t="shared" si="55"/>
        <v>40622334895.5</v>
      </c>
      <c r="CC16" s="1736">
        <v>-9969074818</v>
      </c>
      <c r="CD16" s="1759">
        <f t="shared" si="20"/>
        <v>-0.24922687045</v>
      </c>
      <c r="CE16" s="1737">
        <f t="shared" si="21"/>
        <v>1.4909569949470105</v>
      </c>
      <c r="CF16" s="1738">
        <f t="shared" si="22"/>
        <v>1.0610642491220625</v>
      </c>
      <c r="CG16" s="1737">
        <f t="shared" si="23"/>
        <v>1.7864556887973882E-2</v>
      </c>
      <c r="CH16" s="1739">
        <f t="shared" si="24"/>
        <v>-0.11001585196792699</v>
      </c>
      <c r="CI16" s="1739">
        <f t="shared" si="25"/>
        <v>0.98041671019223642</v>
      </c>
      <c r="CJ16" s="1739">
        <f t="shared" si="26"/>
        <v>0</v>
      </c>
      <c r="CK16" s="1737">
        <f t="shared" si="27"/>
        <v>1.9974455355747375E-2</v>
      </c>
      <c r="CL16" s="1737">
        <f t="shared" si="28"/>
        <v>1.1038908557047538</v>
      </c>
      <c r="CM16" s="1737">
        <f t="shared" si="29"/>
        <v>9.4940549323583624E-3</v>
      </c>
      <c r="CN16" s="1740">
        <f t="shared" si="30"/>
        <v>0.52469017235923887</v>
      </c>
      <c r="CO16" s="1738">
        <f t="shared" si="31"/>
        <v>1.0203427093340545</v>
      </c>
      <c r="CP16" s="1738">
        <f t="shared" si="32"/>
        <v>2.5060952652743116</v>
      </c>
      <c r="CQ16" s="1738">
        <f t="shared" si="33"/>
        <v>5.5964067260101364</v>
      </c>
      <c r="CR16" s="1741">
        <f t="shared" si="34"/>
        <v>1.2794490742105038</v>
      </c>
      <c r="CS16" s="1759">
        <f t="shared" si="35"/>
        <v>-2.2615248807905861E-2</v>
      </c>
      <c r="CT16" s="1759">
        <f t="shared" si="36"/>
        <v>-5.5546011592011099E-2</v>
      </c>
      <c r="CU16" s="1759">
        <f t="shared" si="37"/>
        <v>-2.2164365561710263E-2</v>
      </c>
      <c r="CV16" s="1768">
        <f t="shared" si="38"/>
        <v>1.2182586927418746</v>
      </c>
      <c r="CW16" s="1768">
        <f t="shared" si="39"/>
        <v>2.5630833235424575</v>
      </c>
      <c r="CX16" s="1759">
        <f t="shared" si="40"/>
        <v>-2.6762144343170009E-3</v>
      </c>
      <c r="CY16" s="1759">
        <f t="shared" si="41"/>
        <v>-5.6410217125000002E-2</v>
      </c>
      <c r="CZ16" s="1735">
        <f t="shared" si="42"/>
        <v>-564.10217124999997</v>
      </c>
      <c r="DA16" s="1679">
        <f t="shared" si="43"/>
        <v>9929.7826382500007</v>
      </c>
      <c r="DB16" s="1735">
        <f t="shared" si="44"/>
        <v>50278883406</v>
      </c>
      <c r="DC16" s="1735">
        <f t="shared" si="45"/>
        <v>2680041029</v>
      </c>
      <c r="DD16" s="1769">
        <f t="shared" si="46"/>
        <v>-11.522735297395826</v>
      </c>
      <c r="DE16" s="1770">
        <f t="shared" si="47"/>
        <v>0.65459640324468804</v>
      </c>
      <c r="DF16" s="1769">
        <f t="shared" si="48"/>
        <v>0.25539411740230333</v>
      </c>
      <c r="DG16" s="1771">
        <f t="shared" si="49"/>
        <v>18.760490179794186</v>
      </c>
      <c r="DH16" s="1695">
        <f t="shared" si="50"/>
        <v>0.49388196351725705</v>
      </c>
    </row>
    <row r="17" spans="2:112" s="1715" customFormat="1" ht="18.600000000000001" customHeight="1" x14ac:dyDescent="0.25">
      <c r="B17" s="1775"/>
      <c r="C17" s="1775"/>
      <c r="D17" s="2290" t="s">
        <v>548</v>
      </c>
      <c r="E17" s="2290"/>
      <c r="F17" s="2290"/>
      <c r="G17" s="2290"/>
      <c r="H17" s="2290"/>
      <c r="I17" s="1776"/>
      <c r="J17" s="1776"/>
      <c r="K17" s="1777"/>
      <c r="L17" s="1778"/>
      <c r="M17" s="1778"/>
      <c r="N17" s="1778"/>
      <c r="O17" s="1778"/>
      <c r="P17" s="1779">
        <f>AVERAGE(P7:P16)</f>
        <v>5001.9325621246317</v>
      </c>
      <c r="Q17" s="1779">
        <f>AVERAGE(Q7:Q16)</f>
        <v>396510875295.59998</v>
      </c>
      <c r="R17" s="1779"/>
      <c r="S17" s="1779">
        <f>AVERAGE(S7:S16)</f>
        <v>328081325941.40002</v>
      </c>
      <c r="T17" s="1779">
        <f>AVERAGE(T7:T16)</f>
        <v>68429549354.199997</v>
      </c>
      <c r="U17" s="1779"/>
      <c r="V17" s="1780">
        <f t="shared" ref="V17:AD17" si="58">AVERAGE(V7:V16)</f>
        <v>0.11871633353027455</v>
      </c>
      <c r="W17" s="1779">
        <f t="shared" si="58"/>
        <v>9149253888.7000008</v>
      </c>
      <c r="X17" s="1779">
        <f t="shared" si="58"/>
        <v>9501005460.8999996</v>
      </c>
      <c r="Y17" s="1779">
        <f t="shared" si="58"/>
        <v>19278722608.099998</v>
      </c>
      <c r="Z17" s="1779">
        <f t="shared" si="58"/>
        <v>16348210752.700001</v>
      </c>
      <c r="AA17" s="1779">
        <f t="shared" si="58"/>
        <v>408857661.69999999</v>
      </c>
      <c r="AB17" s="1779">
        <f t="shared" si="58"/>
        <v>45536796483.400002</v>
      </c>
      <c r="AC17" s="1779">
        <f t="shared" si="58"/>
        <v>28309983416.099998</v>
      </c>
      <c r="AD17" s="1779">
        <f t="shared" si="58"/>
        <v>28790822854.599998</v>
      </c>
      <c r="AE17" s="1779"/>
      <c r="AF17" s="1779">
        <f t="shared" ref="AF17:AV17" si="59">AVERAGE(AF7:AF16)</f>
        <v>33674890528.299999</v>
      </c>
      <c r="AG17" s="1779">
        <f t="shared" si="59"/>
        <v>190882097554.39999</v>
      </c>
      <c r="AH17" s="1779">
        <f t="shared" si="59"/>
        <v>223996706324.5</v>
      </c>
      <c r="AI17" s="1779">
        <f t="shared" si="59"/>
        <v>4.0671358059925096</v>
      </c>
      <c r="AJ17" s="1779">
        <f t="shared" si="59"/>
        <v>195366578848.89999</v>
      </c>
      <c r="AK17" s="1779">
        <f t="shared" si="59"/>
        <v>183288680173.10001</v>
      </c>
      <c r="AL17" s="1779">
        <f t="shared" si="59"/>
        <v>7.7690501630523157</v>
      </c>
      <c r="AM17" s="1779">
        <f t="shared" si="59"/>
        <v>189778475884.75</v>
      </c>
      <c r="AN17" s="1779">
        <f t="shared" si="59"/>
        <v>2.2434045504541222</v>
      </c>
      <c r="AO17" s="1779">
        <f t="shared" si="59"/>
        <v>65360835844.400002</v>
      </c>
      <c r="AP17" s="1779">
        <f t="shared" si="59"/>
        <v>74889944662.800003</v>
      </c>
      <c r="AQ17" s="1779">
        <f t="shared" si="59"/>
        <v>70125390253.600006</v>
      </c>
      <c r="AR17" s="1779">
        <f t="shared" si="59"/>
        <v>11788958841.700001</v>
      </c>
      <c r="AS17" s="1779">
        <f t="shared" si="59"/>
        <v>3989279308.4000001</v>
      </c>
      <c r="AT17" s="1779">
        <f t="shared" si="59"/>
        <v>4096578626.4000001</v>
      </c>
      <c r="AU17" s="1779">
        <f t="shared" si="59"/>
        <v>4042928967.4000001</v>
      </c>
      <c r="AV17" s="1779">
        <f t="shared" si="59"/>
        <v>434797805892.5</v>
      </c>
      <c r="AW17" s="1779"/>
      <c r="AX17" s="1780">
        <f>AVERAGE(AX7:AX16)</f>
        <v>0.69938692566081995</v>
      </c>
      <c r="AY17" s="1779"/>
      <c r="AZ17" s="1779">
        <f>AVERAGE(AZ7:AZ16)</f>
        <v>459835088122.40002</v>
      </c>
      <c r="BA17" s="1779">
        <f>AVERAGE(BA7:BA16)</f>
        <v>169154662342.20001</v>
      </c>
      <c r="BB17" s="1779"/>
      <c r="BC17" s="1780">
        <f>AVERAGE(BC7:BC16)</f>
        <v>0.30061307433918011</v>
      </c>
      <c r="BD17" s="1779"/>
      <c r="BE17" s="1779">
        <f>AVERAGE(BE7:BE16)</f>
        <v>132301564086.60001</v>
      </c>
      <c r="BF17" s="1779">
        <f>AVERAGE(BF7:BF16)</f>
        <v>603952468234.69995</v>
      </c>
      <c r="BG17" s="1779"/>
      <c r="BH17" s="1779">
        <f t="shared" ref="BH17:BW17" si="60">AVERAGE(BH7:BH16)</f>
        <v>592136652209</v>
      </c>
      <c r="BI17" s="1779">
        <f t="shared" si="60"/>
        <v>598044560221.84998</v>
      </c>
      <c r="BJ17" s="1779">
        <f t="shared" si="60"/>
        <v>81482334636</v>
      </c>
      <c r="BK17" s="1779">
        <f t="shared" si="60"/>
        <v>75391695710.800003</v>
      </c>
      <c r="BL17" s="1779">
        <f t="shared" si="60"/>
        <v>5.664796889464343</v>
      </c>
      <c r="BM17" s="1779">
        <f t="shared" si="60"/>
        <v>117983166737.5</v>
      </c>
      <c r="BN17" s="1779">
        <f t="shared" si="60"/>
        <v>153340338391.70001</v>
      </c>
      <c r="BO17" s="1779">
        <f t="shared" si="60"/>
        <v>146561793151.10001</v>
      </c>
      <c r="BP17" s="1779">
        <f t="shared" si="60"/>
        <v>149951065771.39999</v>
      </c>
      <c r="BQ17" s="1779">
        <f t="shared" si="60"/>
        <v>38845280050.5</v>
      </c>
      <c r="BR17" s="1780">
        <f t="shared" si="60"/>
        <v>2.85303444827061E-2</v>
      </c>
      <c r="BS17" s="1779">
        <f t="shared" si="60"/>
        <v>33729043553</v>
      </c>
      <c r="BT17" s="1779">
        <f t="shared" si="60"/>
        <v>254150888599.20001</v>
      </c>
      <c r="BU17" s="1780">
        <f t="shared" si="60"/>
        <v>0.4249235132089545</v>
      </c>
      <c r="BV17" s="1779">
        <f t="shared" si="60"/>
        <v>260925053646.20001</v>
      </c>
      <c r="BW17" s="1779">
        <f t="shared" si="60"/>
        <v>310956299585</v>
      </c>
      <c r="BX17" s="1779"/>
      <c r="BY17" s="1780">
        <f>AVERAGE(BY7:BY16)</f>
        <v>0.54654614230833931</v>
      </c>
      <c r="BZ17" s="1779"/>
      <c r="CA17" s="1779">
        <f t="shared" ref="CA17:DH17" si="61">AVERAGE(CA7:CA16)</f>
        <v>297482555009.79999</v>
      </c>
      <c r="CB17" s="1779">
        <f t="shared" si="61"/>
        <v>304219427297.40002</v>
      </c>
      <c r="CC17" s="1779">
        <f t="shared" si="61"/>
        <v>48366035287.199997</v>
      </c>
      <c r="CD17" s="1780">
        <f t="shared" si="61"/>
        <v>0.13809377072065193</v>
      </c>
      <c r="CE17" s="1781">
        <f t="shared" si="61"/>
        <v>1.9090786691831849</v>
      </c>
      <c r="CF17" s="1781">
        <f t="shared" si="61"/>
        <v>1.335749885467705</v>
      </c>
      <c r="CG17" s="1781">
        <f t="shared" si="61"/>
        <v>0.21373282634567242</v>
      </c>
      <c r="CH17" s="1781">
        <f t="shared" si="61"/>
        <v>-68.511651416788467</v>
      </c>
      <c r="CI17" s="1781">
        <f t="shared" si="61"/>
        <v>0.94761395056526543</v>
      </c>
      <c r="CJ17" s="1781">
        <f t="shared" si="61"/>
        <v>0</v>
      </c>
      <c r="CK17" s="1781">
        <f t="shared" si="61"/>
        <v>6.1491382049654618E-2</v>
      </c>
      <c r="CL17" s="1781">
        <f t="shared" si="61"/>
        <v>0.9697821001629775</v>
      </c>
      <c r="CM17" s="1781">
        <f t="shared" si="61"/>
        <v>2.85303444827061E-2</v>
      </c>
      <c r="CN17" s="1781">
        <f t="shared" si="61"/>
        <v>0.45345385769166063</v>
      </c>
      <c r="CO17" s="1781">
        <f t="shared" si="61"/>
        <v>1.0018859587191249</v>
      </c>
      <c r="CP17" s="1781">
        <f t="shared" si="61"/>
        <v>2.0322324584998062</v>
      </c>
      <c r="CQ17" s="1781">
        <f t="shared" si="61"/>
        <v>12.036093985577898</v>
      </c>
      <c r="CR17" s="1781">
        <f t="shared" si="61"/>
        <v>1.4336268804760475</v>
      </c>
      <c r="CS17" s="1780">
        <f t="shared" si="61"/>
        <v>2.3294104393679613E-2</v>
      </c>
      <c r="CT17" s="1780">
        <f t="shared" si="61"/>
        <v>4.1422573592883594E-2</v>
      </c>
      <c r="CU17" s="1780">
        <f t="shared" si="61"/>
        <v>2.5764112818196572E-2</v>
      </c>
      <c r="CV17" s="1782">
        <f t="shared" si="61"/>
        <v>1.0398176054074424</v>
      </c>
      <c r="CW17" s="1782">
        <f t="shared" si="61"/>
        <v>2.0697680267754972</v>
      </c>
      <c r="CX17" s="1780">
        <f t="shared" si="61"/>
        <v>4.1716310933863306E-2</v>
      </c>
      <c r="CY17" s="1780">
        <f t="shared" si="61"/>
        <v>0.1591331357810129</v>
      </c>
      <c r="CZ17" s="1779">
        <f t="shared" si="61"/>
        <v>1537.8192161476145</v>
      </c>
      <c r="DA17" s="1779">
        <f t="shared" si="61"/>
        <v>14713.578502316965</v>
      </c>
      <c r="DB17" s="1779">
        <f t="shared" si="61"/>
        <v>311194008679.79999</v>
      </c>
      <c r="DC17" s="1779">
        <f t="shared" si="61"/>
        <v>49248196146.5</v>
      </c>
      <c r="DD17" s="1779">
        <f t="shared" si="61"/>
        <v>26.790772302602829</v>
      </c>
      <c r="DE17" s="1783">
        <f t="shared" si="61"/>
        <v>0.83654189133615875</v>
      </c>
      <c r="DF17" s="1783">
        <f t="shared" si="61"/>
        <v>0.41557841208671514</v>
      </c>
      <c r="DG17" s="1781">
        <f t="shared" si="61"/>
        <v>5.8925580057975422</v>
      </c>
      <c r="DH17" s="1784">
        <f t="shared" si="61"/>
        <v>0.61358002613533746</v>
      </c>
    </row>
    <row r="18" spans="2:112" s="1715" customFormat="1" ht="18.600000000000001" customHeight="1" x14ac:dyDescent="0.25">
      <c r="B18" s="1775"/>
      <c r="C18" s="1775"/>
      <c r="D18" s="2291" t="s">
        <v>1971</v>
      </c>
      <c r="E18" s="2291"/>
      <c r="F18" s="2291"/>
      <c r="G18" s="2291"/>
      <c r="H18" s="2291"/>
      <c r="I18" s="1785"/>
      <c r="J18" s="1785"/>
      <c r="K18" s="1785"/>
      <c r="L18" s="1785"/>
      <c r="M18" s="1785"/>
      <c r="N18" s="1785"/>
      <c r="O18" s="1785"/>
      <c r="P18" s="1786">
        <f>IFERROR(AVERAGEIF($C$7:$C$16,"1",P7:P16),"")</f>
        <v>8456.2043451376394</v>
      </c>
      <c r="Q18" s="1786">
        <f>IFERROR(AVERAGEIF($C$7:$C$16,"1",Q7:Q16),"")</f>
        <v>712833404578.66663</v>
      </c>
      <c r="R18" s="1786"/>
      <c r="S18" s="1786">
        <f>IFERROR(AVERAGEIF($C$7:$C$16,"1",S7:S16),"")</f>
        <v>572596819768.66663</v>
      </c>
      <c r="T18" s="1786">
        <f>IFERROR(AVERAGEIF($C$7:$C$16,"1",T7:T16),"")</f>
        <v>140236584810</v>
      </c>
      <c r="U18" s="1786"/>
      <c r="V18" s="1787">
        <f t="shared" ref="V18:AD18" si="62">IFERROR(AVERAGEIF($C$7:$C$16,"1",V7:V16),"")</f>
        <v>0.131574845129066</v>
      </c>
      <c r="W18" s="1786">
        <f t="shared" si="62"/>
        <v>7985045638</v>
      </c>
      <c r="X18" s="1786">
        <f t="shared" si="62"/>
        <v>8298169151</v>
      </c>
      <c r="Y18" s="1786">
        <f t="shared" si="62"/>
        <v>54369290416.333336</v>
      </c>
      <c r="Z18" s="1786">
        <f t="shared" si="62"/>
        <v>25995225132.333332</v>
      </c>
      <c r="AA18" s="1786">
        <f t="shared" si="62"/>
        <v>969105577.33333337</v>
      </c>
      <c r="AB18" s="1786">
        <f t="shared" si="62"/>
        <v>89631790277</v>
      </c>
      <c r="AC18" s="1786">
        <f t="shared" si="62"/>
        <v>54022036465.333336</v>
      </c>
      <c r="AD18" s="1786">
        <f t="shared" si="62"/>
        <v>64417024828</v>
      </c>
      <c r="AE18" s="1786"/>
      <c r="AF18" s="1786">
        <f t="shared" ref="AF18:AV18" si="63">IFERROR(AVERAGEIF($C$7:$C$16,"1",AF7:AF16),"")</f>
        <v>78149465053.333328</v>
      </c>
      <c r="AG18" s="1786">
        <f t="shared" si="63"/>
        <v>165700091995.66666</v>
      </c>
      <c r="AH18" s="1786">
        <f t="shared" si="63"/>
        <v>181598374251.66666</v>
      </c>
      <c r="AI18" s="1786">
        <f t="shared" si="63"/>
        <v>3.340058350080811</v>
      </c>
      <c r="AJ18" s="1786">
        <f t="shared" si="63"/>
        <v>250708081377</v>
      </c>
      <c r="AK18" s="1786">
        <f t="shared" si="63"/>
        <v>217852313566.33334</v>
      </c>
      <c r="AL18" s="1786">
        <f t="shared" si="63"/>
        <v>13.75553711944927</v>
      </c>
      <c r="AM18" s="1786">
        <f t="shared" si="63"/>
        <v>142811183452.16666</v>
      </c>
      <c r="AN18" s="1786">
        <f t="shared" si="63"/>
        <v>5.1901174655498963</v>
      </c>
      <c r="AO18" s="1786">
        <f t="shared" si="63"/>
        <v>127690440015</v>
      </c>
      <c r="AP18" s="1786">
        <f t="shared" si="63"/>
        <v>145720571621.66666</v>
      </c>
      <c r="AQ18" s="1786">
        <f t="shared" si="63"/>
        <v>136705505818.33333</v>
      </c>
      <c r="AR18" s="1786">
        <f t="shared" si="63"/>
        <v>24900073013</v>
      </c>
      <c r="AS18" s="1786">
        <f t="shared" si="63"/>
        <v>11438276313</v>
      </c>
      <c r="AT18" s="1786">
        <f t="shared" si="63"/>
        <v>10958507712.666666</v>
      </c>
      <c r="AU18" s="1786">
        <f t="shared" si="63"/>
        <v>11198392012.833334</v>
      </c>
      <c r="AV18" s="1786">
        <f t="shared" si="63"/>
        <v>521412290819.66669</v>
      </c>
      <c r="AW18" s="1786"/>
      <c r="AX18" s="1787">
        <f>IFERROR(AVERAGEIF($C$7:$C$16,"1",AX7:AX16),"")</f>
        <v>0.70425501240011545</v>
      </c>
      <c r="AY18" s="1786"/>
      <c r="AZ18" s="1786">
        <f>IFERROR(AVERAGEIF($C$7:$C$16,"1",AZ7:AZ16),"")</f>
        <v>495365914266.66669</v>
      </c>
      <c r="BA18" s="1786">
        <f>IFERROR(AVERAGEIF($C$7:$C$16,"1",BA7:BA16),"")</f>
        <v>214177047989.66666</v>
      </c>
      <c r="BB18" s="1786"/>
      <c r="BC18" s="1787">
        <f>IFERROR(AVERAGEIF($C$7:$C$16,"1",BC7:BC16),"")</f>
        <v>0.2957449875998846</v>
      </c>
      <c r="BD18" s="1786"/>
      <c r="BE18" s="1786">
        <f>IFERROR(AVERAGEIF($C$7:$C$16,"1",BE7:BE16),"")</f>
        <v>245552529581.33334</v>
      </c>
      <c r="BF18" s="1786">
        <f>IFERROR(AVERAGEIF($C$7:$C$16,"1",BF7:BF16),"")</f>
        <v>735589338809.33337</v>
      </c>
      <c r="BG18" s="1786"/>
      <c r="BH18" s="1786">
        <f t="shared" ref="BH18:BW18" si="64">IFERROR(AVERAGEIF($C$7:$C$16,"1",BH7:BH16),"")</f>
        <v>740918443848</v>
      </c>
      <c r="BI18" s="1786">
        <f t="shared" si="64"/>
        <v>738253891328.66663</v>
      </c>
      <c r="BJ18" s="1786">
        <f t="shared" si="64"/>
        <v>141576352062.66666</v>
      </c>
      <c r="BK18" s="1786">
        <f t="shared" si="64"/>
        <v>121809373186.33333</v>
      </c>
      <c r="BL18" s="1786">
        <f t="shared" si="64"/>
        <v>4.4530500223379095</v>
      </c>
      <c r="BM18" s="1786">
        <f t="shared" si="64"/>
        <v>115043856618.66667</v>
      </c>
      <c r="BN18" s="1786">
        <f t="shared" si="64"/>
        <v>171661041132.66666</v>
      </c>
      <c r="BO18" s="1786">
        <f t="shared" si="64"/>
        <v>182397181289</v>
      </c>
      <c r="BP18" s="1786">
        <f t="shared" si="64"/>
        <v>177029111210.83334</v>
      </c>
      <c r="BQ18" s="1786">
        <f t="shared" si="64"/>
        <v>57969002900.333336</v>
      </c>
      <c r="BR18" s="1787">
        <f t="shared" si="64"/>
        <v>3.2334082279029105E-2</v>
      </c>
      <c r="BS18" s="1786">
        <f t="shared" si="64"/>
        <v>103988484134.66667</v>
      </c>
      <c r="BT18" s="1786">
        <f t="shared" si="64"/>
        <v>377992699187.33331</v>
      </c>
      <c r="BU18" s="1787">
        <f t="shared" si="64"/>
        <v>0.44508889368568333</v>
      </c>
      <c r="BV18" s="1786">
        <f t="shared" si="64"/>
        <v>353163138994.66669</v>
      </c>
      <c r="BW18" s="1786">
        <f t="shared" si="64"/>
        <v>299627636721.66669</v>
      </c>
      <c r="BX18" s="1786"/>
      <c r="BY18" s="1787">
        <f>IFERROR(AVERAGEIF($C$7:$C$16,"1",BY7:BY16),"")</f>
        <v>0.5225770240352875</v>
      </c>
      <c r="BZ18" s="1786"/>
      <c r="CA18" s="1786">
        <f t="shared" ref="CA18:DH18" si="65">IFERROR(AVERAGEIF($C$7:$C$16,"1",CA7:CA16),"")</f>
        <v>283766820718.66669</v>
      </c>
      <c r="CB18" s="1786">
        <f t="shared" si="65"/>
        <v>291697228720.16669</v>
      </c>
      <c r="CC18" s="1786">
        <f t="shared" si="65"/>
        <v>98511114727</v>
      </c>
      <c r="CD18" s="1787">
        <f t="shared" si="65"/>
        <v>0.44685774913823972</v>
      </c>
      <c r="CE18" s="1786">
        <f t="shared" si="65"/>
        <v>1.611175145920728</v>
      </c>
      <c r="CF18" s="1786">
        <f t="shared" si="65"/>
        <v>1.2543380835844642</v>
      </c>
      <c r="CG18" s="1786">
        <f t="shared" si="65"/>
        <v>0.14151055230933177</v>
      </c>
      <c r="CH18" s="1786">
        <f t="shared" si="65"/>
        <v>6.4391721310350745</v>
      </c>
      <c r="CI18" s="1786">
        <f t="shared" si="65"/>
        <v>0.93100498795457953</v>
      </c>
      <c r="CJ18" s="1786">
        <f t="shared" si="65"/>
        <v>0</v>
      </c>
      <c r="CK18" s="1788">
        <f t="shared" si="65"/>
        <v>8.5848382331988382E-2</v>
      </c>
      <c r="CL18" s="1788">
        <f t="shared" si="65"/>
        <v>1.0125340613354388</v>
      </c>
      <c r="CM18" s="1788">
        <f t="shared" si="65"/>
        <v>3.2334082279029105E-2</v>
      </c>
      <c r="CN18" s="1788">
        <f t="shared" si="65"/>
        <v>0.47742297596471245</v>
      </c>
      <c r="CO18" s="1788">
        <f t="shared" si="65"/>
        <v>1.2027234609159201</v>
      </c>
      <c r="CP18" s="1788">
        <f t="shared" si="65"/>
        <v>2.4025179958143243</v>
      </c>
      <c r="CQ18" s="1788">
        <f t="shared" si="65"/>
        <v>5.349065581949894</v>
      </c>
      <c r="CR18" s="1788">
        <f t="shared" si="65"/>
        <v>1.7654348947418963</v>
      </c>
      <c r="CS18" s="1787">
        <f t="shared" si="65"/>
        <v>5.8043129348010848E-2</v>
      </c>
      <c r="CT18" s="1787">
        <f t="shared" si="65"/>
        <v>0.13499744995418092</v>
      </c>
      <c r="CU18" s="1787">
        <f t="shared" si="65"/>
        <v>5.2902003233398588E-2</v>
      </c>
      <c r="CV18" s="1789">
        <f t="shared" si="65"/>
        <v>1.2446385141243788</v>
      </c>
      <c r="CW18" s="1789">
        <f t="shared" si="65"/>
        <v>2.3767428077508064</v>
      </c>
      <c r="CX18" s="1787">
        <f t="shared" si="65"/>
        <v>7.1597529046106681E-2</v>
      </c>
      <c r="CY18" s="1787">
        <f t="shared" si="65"/>
        <v>0.27483719010791652</v>
      </c>
      <c r="CZ18" s="1786">
        <f t="shared" si="65"/>
        <v>3198.744375861907</v>
      </c>
      <c r="DA18" s="1786">
        <f t="shared" si="65"/>
        <v>18462.000309375308</v>
      </c>
      <c r="DB18" s="1786">
        <f t="shared" si="65"/>
        <v>473553755935.66669</v>
      </c>
      <c r="DC18" s="1786">
        <f t="shared" si="65"/>
        <v>86907155116.333328</v>
      </c>
      <c r="DD18" s="1786">
        <f t="shared" si="65"/>
        <v>15.820878021311907</v>
      </c>
      <c r="DE18" s="1788">
        <f t="shared" si="65"/>
        <v>1.0023287393702234</v>
      </c>
      <c r="DF18" s="1788">
        <f t="shared" si="65"/>
        <v>0.41500983198538677</v>
      </c>
      <c r="DG18" s="1788">
        <f t="shared" si="65"/>
        <v>5.0519875211566969</v>
      </c>
      <c r="DH18" s="1788">
        <f t="shared" si="65"/>
        <v>0.52317859592838778</v>
      </c>
    </row>
    <row r="24" spans="2:112" x14ac:dyDescent="0.25">
      <c r="CL24" s="1790"/>
    </row>
    <row r="60" spans="113:119" x14ac:dyDescent="0.25">
      <c r="DI60" s="1715"/>
      <c r="DJ60" s="1715"/>
      <c r="DK60" s="1715"/>
      <c r="DL60" s="1715"/>
      <c r="DM60" s="1715"/>
      <c r="DN60" s="1715"/>
      <c r="DO60" s="1715"/>
    </row>
  </sheetData>
  <mergeCells count="34">
    <mergeCell ref="B2:B3"/>
    <mergeCell ref="C2:C3"/>
    <mergeCell ref="D2:F3"/>
    <mergeCell ref="G2:P3"/>
    <mergeCell ref="Q2:AE2"/>
    <mergeCell ref="BJ2:CD2"/>
    <mergeCell ref="CE2:DH2"/>
    <mergeCell ref="Q3:S3"/>
    <mergeCell ref="T3:V3"/>
    <mergeCell ref="W3:AB3"/>
    <mergeCell ref="AC3:AE3"/>
    <mergeCell ref="AG3:AI3"/>
    <mergeCell ref="AJ3:AL3"/>
    <mergeCell ref="AM3:AN3"/>
    <mergeCell ref="AO3:AR3"/>
    <mergeCell ref="AF2:BI2"/>
    <mergeCell ref="AS3:AU3"/>
    <mergeCell ref="AV3:AZ3"/>
    <mergeCell ref="BA3:BE3"/>
    <mergeCell ref="BF3:BI3"/>
    <mergeCell ref="CO3:CR3"/>
    <mergeCell ref="CS3:CY3"/>
    <mergeCell ref="CZ3:DH3"/>
    <mergeCell ref="BJ3:BL3"/>
    <mergeCell ref="BM3:BP3"/>
    <mergeCell ref="BQ3:BS3"/>
    <mergeCell ref="BT3:BV3"/>
    <mergeCell ref="BW3:CB3"/>
    <mergeCell ref="CC3:CD3"/>
    <mergeCell ref="D17:H17"/>
    <mergeCell ref="D18:H18"/>
    <mergeCell ref="CE3:CG3"/>
    <mergeCell ref="CH3:CJ3"/>
    <mergeCell ref="CK3:CN3"/>
  </mergeCells>
  <pageMargins left="0.75" right="0.75" top="1" bottom="1" header="0.5" footer="0.5"/>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0FE16-70C6-4291-8989-A47CD16112CF}">
  <sheetPr>
    <tabColor theme="2" tint="-0.89999084444715716"/>
  </sheetPr>
  <dimension ref="A1:EF18"/>
  <sheetViews>
    <sheetView showGridLines="0" zoomScale="82" zoomScaleNormal="70" workbookViewId="0">
      <pane xSplit="4" ySplit="6" topLeftCell="BB7" activePane="bottomRight" state="frozen"/>
      <selection activeCell="BC16" sqref="BC16"/>
      <selection pane="topRight" activeCell="BC16" sqref="BC16"/>
      <selection pane="bottomLeft" activeCell="BC16" sqref="BC16"/>
      <selection pane="bottomRight" activeCell="A9" sqref="A9:XFD11"/>
    </sheetView>
  </sheetViews>
  <sheetFormatPr defaultColWidth="8.85546875" defaultRowHeight="15" outlineLevelCol="2" x14ac:dyDescent="0.25"/>
  <cols>
    <col min="1" max="2" width="8.85546875" style="1941"/>
    <col min="3" max="3" width="10.42578125" style="1941" customWidth="1"/>
    <col min="4" max="4" width="35.28515625" style="1941" customWidth="1"/>
    <col min="5" max="5" width="12.42578125" style="1941" customWidth="1"/>
    <col min="6" max="6" width="48.28515625" style="1941" customWidth="1"/>
    <col min="7" max="7" width="9.85546875" style="1941" bestFit="1" customWidth="1"/>
    <col min="8" max="8" width="10.42578125" style="1941" customWidth="1"/>
    <col min="9" max="9" width="16.140625" style="1941" customWidth="1"/>
    <col min="10" max="10" width="12.85546875" style="1941" customWidth="1"/>
    <col min="11" max="11" width="14" style="1941" customWidth="1"/>
    <col min="12" max="12" width="10.5703125" style="1941" customWidth="1"/>
    <col min="13" max="13" width="10.5703125" style="1941" customWidth="1" outlineLevel="2"/>
    <col min="14" max="14" width="11.28515625" style="1941" customWidth="1"/>
    <col min="15" max="15" width="10.7109375" style="1941" customWidth="1"/>
    <col min="16" max="16" width="11.28515625" style="1941" customWidth="1"/>
    <col min="17" max="17" width="10.140625" style="1941" customWidth="1"/>
    <col min="18" max="18" width="8.7109375" style="1941" customWidth="1" outlineLevel="2"/>
    <col min="19" max="19" width="10" style="1941" customWidth="1" outlineLevel="1"/>
    <col min="20" max="20" width="8.7109375" style="1941" customWidth="1" outlineLevel="1"/>
    <col min="21" max="21" width="8.7109375" style="1941" customWidth="1" outlineLevel="2"/>
    <col min="22" max="22" width="8.7109375" style="1941" customWidth="1" outlineLevel="1"/>
    <col min="23" max="23" width="11.7109375" style="1941" customWidth="1" outlineLevel="1"/>
    <col min="24" max="25" width="13.7109375" style="1941" customWidth="1" outlineLevel="1"/>
    <col min="26" max="27" width="15.140625" style="1941" customWidth="1" outlineLevel="1"/>
    <col min="28" max="28" width="15.42578125" style="1941" customWidth="1" outlineLevel="1"/>
    <col min="29" max="29" width="12.5703125" style="1941" customWidth="1" outlineLevel="1"/>
    <col min="30" max="30" width="9.5703125" style="1941" customWidth="1" outlineLevel="1"/>
    <col min="31" max="31" width="13.5703125" style="1941" customWidth="1" outlineLevel="2"/>
    <col min="32" max="32" width="8.7109375" style="1941" customWidth="1" outlineLevel="1"/>
    <col min="33" max="33" width="10.85546875" style="1941" customWidth="1" outlineLevel="1"/>
    <col min="34" max="34" width="10.42578125" style="1941" customWidth="1" outlineLevel="1"/>
    <col min="35" max="35" width="9.7109375" style="1941" customWidth="1" outlineLevel="1"/>
    <col min="36" max="36" width="12.28515625" style="1941" customWidth="1" outlineLevel="1"/>
    <col min="37" max="37" width="12" style="1941" customWidth="1" outlineLevel="1"/>
    <col min="38" max="38" width="9.140625" style="1941" customWidth="1" outlineLevel="1"/>
    <col min="39" max="39" width="9.85546875" style="1941" customWidth="1" outlineLevel="1"/>
    <col min="40" max="44" width="10.42578125" style="1941" customWidth="1" outlineLevel="1"/>
    <col min="45" max="45" width="8.7109375" style="1941" customWidth="1" outlineLevel="1"/>
    <col min="46" max="46" width="8" style="1941" customWidth="1" outlineLevel="1"/>
    <col min="47" max="47" width="8.28515625" style="1941" customWidth="1" outlineLevel="1"/>
    <col min="48" max="48" width="8.85546875" style="1941" customWidth="1" outlineLevel="1"/>
    <col min="49" max="51" width="8.85546875" style="1941" customWidth="1" outlineLevel="2"/>
    <col min="52" max="54" width="8.5703125" style="1941" customWidth="1" outlineLevel="1"/>
    <col min="55" max="56" width="8.5703125" style="1941" customWidth="1" outlineLevel="2"/>
    <col min="57" max="57" width="8.5703125" style="1941" customWidth="1" outlineLevel="1"/>
    <col min="58" max="58" width="8.28515625" style="1941" customWidth="1" outlineLevel="1"/>
    <col min="59" max="59" width="9.28515625" style="1941" customWidth="1" outlineLevel="2"/>
    <col min="60" max="60" width="10.7109375" style="1941" customWidth="1" outlineLevel="1"/>
    <col min="61" max="61" width="9.140625" style="1941" customWidth="1"/>
    <col min="62" max="62" width="9" style="1941" customWidth="1" outlineLevel="1"/>
    <col min="63" max="63" width="8.42578125" style="1941" customWidth="1" outlineLevel="1"/>
    <col min="64" max="64" width="9" style="1941" customWidth="1" outlineLevel="1"/>
    <col min="65" max="65" width="9.5703125" style="1941" customWidth="1" outlineLevel="1"/>
    <col min="66" max="66" width="10.5703125" style="1941" customWidth="1" outlineLevel="1"/>
    <col min="67" max="67" width="9.85546875" style="1941" customWidth="1" outlineLevel="1"/>
    <col min="68" max="68" width="9.5703125" style="1941" customWidth="1" outlineLevel="1"/>
    <col min="69" max="69" width="11.5703125" style="1941" customWidth="1" outlineLevel="1"/>
    <col min="70" max="70" width="11.5703125" style="1941" customWidth="1" outlineLevel="2"/>
    <col min="71" max="71" width="11.5703125" style="1941" customWidth="1" outlineLevel="1"/>
    <col min="72" max="72" width="8.28515625" style="1941" customWidth="1" outlineLevel="1"/>
    <col min="73" max="73" width="8.28515625" style="1941" customWidth="1" outlineLevel="2"/>
    <col min="74" max="74" width="8.42578125" style="1941" customWidth="1" outlineLevel="1"/>
    <col min="75" max="75" width="7.28515625" style="1941" customWidth="1" outlineLevel="1"/>
    <col min="76" max="78" width="9.140625" style="1941" customWidth="1" outlineLevel="2"/>
    <col min="79" max="79" width="8.28515625" style="1941" customWidth="1" outlineLevel="1"/>
    <col min="80" max="80" width="9.7109375" style="1941" customWidth="1" outlineLevel="1"/>
    <col min="81" max="81" width="7.85546875" style="1941" customWidth="1" outlineLevel="1"/>
    <col min="82" max="82" width="9.28515625" style="1941" customWidth="1"/>
    <col min="83" max="83" width="10.85546875" style="1941" customWidth="1"/>
    <col min="84" max="88" width="8.5703125" style="1941" customWidth="1" outlineLevel="1"/>
    <col min="89" max="89" width="8.42578125" style="1941" customWidth="1" outlineLevel="1"/>
    <col min="90" max="90" width="9.28515625" style="1941" customWidth="1" outlineLevel="1"/>
    <col min="91" max="91" width="10.5703125" style="1941" customWidth="1" outlineLevel="1"/>
    <col min="92" max="92" width="11.5703125" style="1941" customWidth="1" outlineLevel="1"/>
    <col min="93" max="93" width="10.28515625" style="1941" customWidth="1" outlineLevel="1"/>
    <col min="94" max="94" width="9.7109375" style="1941" customWidth="1" outlineLevel="1"/>
    <col min="95" max="95" width="8.5703125" style="1941" customWidth="1" outlineLevel="1"/>
    <col min="96" max="96" width="8.28515625" style="1941" customWidth="1" outlineLevel="1"/>
    <col min="97" max="97" width="10.28515625" style="1941" customWidth="1" outlineLevel="1"/>
    <col min="98" max="98" width="7.7109375" style="1941" customWidth="1" outlineLevel="1"/>
    <col min="99" max="99" width="10.7109375" style="1941" customWidth="1" outlineLevel="1"/>
    <col min="100" max="100" width="10.42578125" style="1941" customWidth="1" outlineLevel="1"/>
    <col min="101" max="101" width="10.85546875" style="1941" customWidth="1" outlineLevel="1"/>
    <col min="102" max="102" width="10.140625" style="1941" customWidth="1" outlineLevel="1"/>
    <col min="103" max="104" width="8.85546875" style="1941" customWidth="1" outlineLevel="1"/>
    <col min="105" max="105" width="11" style="1941" customWidth="1" outlineLevel="1"/>
    <col min="106" max="106" width="11.5703125" style="1941" customWidth="1" outlineLevel="1"/>
    <col min="107" max="107" width="8.85546875" style="1941" customWidth="1" outlineLevel="1"/>
    <col min="108" max="110" width="11.28515625" style="1941" customWidth="1" outlineLevel="1"/>
    <col min="111" max="112" width="8.85546875" style="1941" customWidth="1" outlineLevel="1"/>
    <col min="113" max="16384" width="8.85546875" style="1941"/>
  </cols>
  <sheetData>
    <row r="1" spans="1:136" x14ac:dyDescent="0.25">
      <c r="D1" s="1942">
        <v>1000000000</v>
      </c>
      <c r="E1" s="1942"/>
      <c r="BR1" s="1941" t="s">
        <v>2038</v>
      </c>
    </row>
    <row r="2" spans="1:136" s="1645" customFormat="1" ht="24" customHeight="1" x14ac:dyDescent="0.25">
      <c r="B2" s="2324"/>
      <c r="C2" s="2326" t="s">
        <v>1413</v>
      </c>
      <c r="D2" s="2328" t="s">
        <v>1833</v>
      </c>
      <c r="E2" s="2329"/>
      <c r="F2" s="2326"/>
      <c r="G2" s="2328" t="s">
        <v>1834</v>
      </c>
      <c r="H2" s="2329"/>
      <c r="I2" s="2329"/>
      <c r="J2" s="2329"/>
      <c r="K2" s="2329"/>
      <c r="L2" s="2329"/>
      <c r="M2" s="2329"/>
      <c r="N2" s="2329"/>
      <c r="O2" s="2329"/>
      <c r="P2" s="2326"/>
      <c r="Q2" s="2332" t="s">
        <v>1835</v>
      </c>
      <c r="R2" s="2333"/>
      <c r="S2" s="2333"/>
      <c r="T2" s="2333"/>
      <c r="U2" s="2333"/>
      <c r="V2" s="2333"/>
      <c r="W2" s="2333"/>
      <c r="X2" s="2333"/>
      <c r="Y2" s="2333"/>
      <c r="Z2" s="2333"/>
      <c r="AA2" s="2333"/>
      <c r="AB2" s="2333"/>
      <c r="AC2" s="2333"/>
      <c r="AD2" s="2333"/>
      <c r="AE2" s="2334"/>
      <c r="AF2" s="2321" t="s">
        <v>24</v>
      </c>
      <c r="AG2" s="2321"/>
      <c r="AH2" s="2321"/>
      <c r="AI2" s="2321"/>
      <c r="AJ2" s="2321"/>
      <c r="AK2" s="2321"/>
      <c r="AL2" s="2321"/>
      <c r="AM2" s="2321"/>
      <c r="AN2" s="2321"/>
      <c r="AO2" s="2321"/>
      <c r="AP2" s="2321"/>
      <c r="AQ2" s="2321"/>
      <c r="AR2" s="2321"/>
      <c r="AS2" s="2321"/>
      <c r="AT2" s="2321"/>
      <c r="AU2" s="2321"/>
      <c r="AV2" s="2321"/>
      <c r="AW2" s="2321"/>
      <c r="AX2" s="2321"/>
      <c r="AY2" s="2321"/>
      <c r="AZ2" s="2321"/>
      <c r="BA2" s="2321"/>
      <c r="BB2" s="2321"/>
      <c r="BC2" s="2321"/>
      <c r="BD2" s="2321"/>
      <c r="BE2" s="2321"/>
      <c r="BF2" s="2321"/>
      <c r="BG2" s="2321"/>
      <c r="BH2" s="2321"/>
      <c r="BI2" s="2321"/>
      <c r="BJ2" s="2307" t="s">
        <v>95</v>
      </c>
      <c r="BK2" s="2307"/>
      <c r="BL2" s="2307"/>
      <c r="BM2" s="2307"/>
      <c r="BN2" s="2307"/>
      <c r="BO2" s="2307"/>
      <c r="BP2" s="2307"/>
      <c r="BQ2" s="2307"/>
      <c r="BR2" s="2307"/>
      <c r="BS2" s="2307"/>
      <c r="BT2" s="2307"/>
      <c r="BU2" s="2307"/>
      <c r="BV2" s="2307"/>
      <c r="BW2" s="2307"/>
      <c r="BX2" s="2307"/>
      <c r="BY2" s="2307"/>
      <c r="BZ2" s="2307"/>
      <c r="CA2" s="2307"/>
      <c r="CB2" s="2307"/>
      <c r="CC2" s="2307"/>
      <c r="CD2" s="2307"/>
      <c r="CE2" s="2308" t="s">
        <v>1836</v>
      </c>
      <c r="CF2" s="2309"/>
      <c r="CG2" s="2309"/>
      <c r="CH2" s="2309"/>
      <c r="CI2" s="2309"/>
      <c r="CJ2" s="2309"/>
      <c r="CK2" s="2309"/>
      <c r="CL2" s="2309"/>
      <c r="CM2" s="2309"/>
      <c r="CN2" s="2309"/>
      <c r="CO2" s="2309"/>
      <c r="CP2" s="2309"/>
      <c r="CQ2" s="2309"/>
      <c r="CR2" s="2309"/>
      <c r="CS2" s="2309"/>
      <c r="CT2" s="2309"/>
      <c r="CU2" s="2309"/>
      <c r="CV2" s="2309"/>
      <c r="CW2" s="2309"/>
      <c r="CX2" s="2309"/>
      <c r="CY2" s="2309"/>
      <c r="CZ2" s="2309"/>
      <c r="DA2" s="2309"/>
      <c r="DB2" s="2309"/>
      <c r="DC2" s="2309"/>
      <c r="DD2" s="2309"/>
      <c r="DE2" s="2309"/>
      <c r="DF2" s="2309"/>
      <c r="DG2" s="2309"/>
      <c r="DH2" s="2309"/>
    </row>
    <row r="3" spans="1:136" ht="24" customHeight="1" x14ac:dyDescent="0.25">
      <c r="A3" s="1384"/>
      <c r="B3" s="2325"/>
      <c r="C3" s="2327"/>
      <c r="D3" s="2330"/>
      <c r="E3" s="2331"/>
      <c r="F3" s="2327"/>
      <c r="G3" s="2330"/>
      <c r="H3" s="2331"/>
      <c r="I3" s="2331"/>
      <c r="J3" s="2331"/>
      <c r="K3" s="2331"/>
      <c r="L3" s="2331"/>
      <c r="M3" s="2331"/>
      <c r="N3" s="2331"/>
      <c r="O3" s="2331"/>
      <c r="P3" s="2331"/>
      <c r="Q3" s="2310" t="s">
        <v>1837</v>
      </c>
      <c r="R3" s="2310"/>
      <c r="S3" s="2310"/>
      <c r="T3" s="2310" t="s">
        <v>2</v>
      </c>
      <c r="U3" s="2310"/>
      <c r="V3" s="2310"/>
      <c r="W3" s="2311" t="s">
        <v>1838</v>
      </c>
      <c r="X3" s="2312"/>
      <c r="Y3" s="2312"/>
      <c r="Z3" s="2312"/>
      <c r="AA3" s="2312"/>
      <c r="AB3" s="2313"/>
      <c r="AC3" s="2314" t="s">
        <v>1839</v>
      </c>
      <c r="AD3" s="2315"/>
      <c r="AE3" s="2316"/>
      <c r="AF3" s="1646" t="s">
        <v>562</v>
      </c>
      <c r="AG3" s="2317" t="s">
        <v>1840</v>
      </c>
      <c r="AH3" s="2317"/>
      <c r="AI3" s="2317"/>
      <c r="AJ3" s="2317" t="s">
        <v>55</v>
      </c>
      <c r="AK3" s="2317"/>
      <c r="AL3" s="2317"/>
      <c r="AM3" s="2318" t="s">
        <v>1841</v>
      </c>
      <c r="AN3" s="2319"/>
      <c r="AO3" s="2318" t="s">
        <v>73</v>
      </c>
      <c r="AP3" s="2320"/>
      <c r="AQ3" s="2320"/>
      <c r="AR3" s="2319"/>
      <c r="AS3" s="2317" t="s">
        <v>1842</v>
      </c>
      <c r="AT3" s="2317"/>
      <c r="AU3" s="2317"/>
      <c r="AV3" s="2317" t="s">
        <v>178</v>
      </c>
      <c r="AW3" s="2317"/>
      <c r="AX3" s="2317"/>
      <c r="AY3" s="2317"/>
      <c r="AZ3" s="2317"/>
      <c r="BA3" s="2318" t="s">
        <v>264</v>
      </c>
      <c r="BB3" s="2320"/>
      <c r="BC3" s="2320"/>
      <c r="BD3" s="2320"/>
      <c r="BE3" s="2319"/>
      <c r="BF3" s="2317" t="s">
        <v>1843</v>
      </c>
      <c r="BG3" s="2317"/>
      <c r="BH3" s="2317"/>
      <c r="BI3" s="2317"/>
      <c r="BJ3" s="2303" t="s">
        <v>265</v>
      </c>
      <c r="BK3" s="2303"/>
      <c r="BL3" s="2303"/>
      <c r="BM3" s="2303" t="s">
        <v>1845</v>
      </c>
      <c r="BN3" s="2303"/>
      <c r="BO3" s="2303"/>
      <c r="BP3" s="2303"/>
      <c r="BQ3" s="2304" t="s">
        <v>105</v>
      </c>
      <c r="BR3" s="2305"/>
      <c r="BS3" s="2306"/>
      <c r="BT3" s="2303" t="s">
        <v>98</v>
      </c>
      <c r="BU3" s="2303"/>
      <c r="BV3" s="2303"/>
      <c r="BW3" s="2303" t="s">
        <v>121</v>
      </c>
      <c r="BX3" s="2303"/>
      <c r="BY3" s="2303"/>
      <c r="BZ3" s="2303"/>
      <c r="CA3" s="2303"/>
      <c r="CB3" s="2303"/>
      <c r="CC3" s="2304" t="s">
        <v>2039</v>
      </c>
      <c r="CD3" s="2306"/>
      <c r="CE3" s="2292" t="s">
        <v>1847</v>
      </c>
      <c r="CF3" s="2293"/>
      <c r="CG3" s="2294"/>
      <c r="CH3" s="2295" t="s">
        <v>1848</v>
      </c>
      <c r="CI3" s="2295"/>
      <c r="CJ3" s="2295"/>
      <c r="CK3" s="2296" t="s">
        <v>1849</v>
      </c>
      <c r="CL3" s="2297"/>
      <c r="CM3" s="2297"/>
      <c r="CN3" s="2298"/>
      <c r="CO3" s="2322" t="s">
        <v>1850</v>
      </c>
      <c r="CP3" s="2323"/>
      <c r="CQ3" s="2323"/>
      <c r="CR3" s="2323"/>
      <c r="CS3" s="2299" t="s">
        <v>1851</v>
      </c>
      <c r="CT3" s="2300"/>
      <c r="CU3" s="2300"/>
      <c r="CV3" s="2300"/>
      <c r="CW3" s="2300"/>
      <c r="CX3" s="2300"/>
      <c r="CY3" s="2301"/>
      <c r="CZ3" s="2299" t="s">
        <v>1852</v>
      </c>
      <c r="DA3" s="2300"/>
      <c r="DB3" s="2300"/>
      <c r="DC3" s="2300"/>
      <c r="DD3" s="2300"/>
      <c r="DE3" s="2300"/>
      <c r="DF3" s="2300"/>
      <c r="DG3" s="2300"/>
      <c r="DH3" s="2302"/>
      <c r="DI3" s="1384"/>
      <c r="DJ3" s="1384"/>
      <c r="DK3" s="1384"/>
      <c r="DL3" s="1384"/>
      <c r="DM3" s="1384"/>
      <c r="DN3" s="1384"/>
      <c r="DO3" s="1384"/>
      <c r="DP3" s="1384"/>
      <c r="DQ3" s="1384"/>
      <c r="DR3" s="1384"/>
      <c r="DS3" s="1384"/>
      <c r="DT3" s="1384"/>
      <c r="DU3" s="1384"/>
      <c r="DV3" s="1384"/>
      <c r="DW3" s="1384"/>
      <c r="DX3" s="1384"/>
      <c r="DY3" s="1384"/>
      <c r="DZ3" s="1384"/>
      <c r="EA3" s="1384"/>
      <c r="EB3" s="1384"/>
      <c r="EC3" s="1384"/>
      <c r="ED3" s="1384"/>
      <c r="EE3" s="1384"/>
      <c r="EF3" s="1384"/>
    </row>
    <row r="4" spans="1:136" s="1648" customFormat="1" ht="68.45" customHeight="1" x14ac:dyDescent="0.25">
      <c r="B4" s="1649" t="s">
        <v>1</v>
      </c>
      <c r="C4" s="1649" t="s">
        <v>1853</v>
      </c>
      <c r="D4" s="1650" t="s">
        <v>1854</v>
      </c>
      <c r="E4" s="1650" t="s">
        <v>1855</v>
      </c>
      <c r="F4" s="1650" t="s">
        <v>1856</v>
      </c>
      <c r="G4" s="1651" t="s">
        <v>563</v>
      </c>
      <c r="H4" s="1651" t="s">
        <v>1857</v>
      </c>
      <c r="I4" s="1651" t="s">
        <v>2040</v>
      </c>
      <c r="J4" s="1651" t="s">
        <v>566</v>
      </c>
      <c r="K4" s="1651" t="s">
        <v>222</v>
      </c>
      <c r="L4" s="1652" t="s">
        <v>232</v>
      </c>
      <c r="M4" s="1651" t="s">
        <v>1859</v>
      </c>
      <c r="N4" s="1651" t="s">
        <v>1860</v>
      </c>
      <c r="O4" s="1652" t="s">
        <v>610</v>
      </c>
      <c r="P4" s="1652" t="s">
        <v>611</v>
      </c>
      <c r="Q4" s="1650" t="s">
        <v>520</v>
      </c>
      <c r="R4" s="1650" t="s">
        <v>1861</v>
      </c>
      <c r="S4" s="1650" t="s">
        <v>13</v>
      </c>
      <c r="T4" s="1652" t="s">
        <v>518</v>
      </c>
      <c r="U4" s="1652" t="s">
        <v>1862</v>
      </c>
      <c r="V4" s="1652" t="s">
        <v>1863</v>
      </c>
      <c r="W4" s="1650" t="s">
        <v>1864</v>
      </c>
      <c r="X4" s="1650" t="s">
        <v>1865</v>
      </c>
      <c r="Y4" s="1650" t="s">
        <v>542</v>
      </c>
      <c r="Z4" s="1650" t="s">
        <v>1866</v>
      </c>
      <c r="AA4" s="1650" t="s">
        <v>1867</v>
      </c>
      <c r="AB4" s="1657" t="s">
        <v>1447</v>
      </c>
      <c r="AC4" s="1651" t="s">
        <v>17</v>
      </c>
      <c r="AD4" s="1652" t="s">
        <v>1868</v>
      </c>
      <c r="AE4" s="1652" t="s">
        <v>1869</v>
      </c>
      <c r="AF4" s="1650" t="s">
        <v>1870</v>
      </c>
      <c r="AG4" s="1652" t="s">
        <v>718</v>
      </c>
      <c r="AH4" s="1652" t="s">
        <v>719</v>
      </c>
      <c r="AI4" s="1652" t="s">
        <v>1871</v>
      </c>
      <c r="AJ4" s="1657" t="s">
        <v>1872</v>
      </c>
      <c r="AK4" s="1657" t="s">
        <v>1873</v>
      </c>
      <c r="AL4" s="1657" t="s">
        <v>1874</v>
      </c>
      <c r="AM4" s="1652" t="s">
        <v>1875</v>
      </c>
      <c r="AN4" s="1652" t="s">
        <v>1876</v>
      </c>
      <c r="AO4" s="1657" t="s">
        <v>1877</v>
      </c>
      <c r="AP4" s="1657" t="s">
        <v>1878</v>
      </c>
      <c r="AQ4" s="1657" t="s">
        <v>1879</v>
      </c>
      <c r="AR4" s="1657" t="s">
        <v>1880</v>
      </c>
      <c r="AS4" s="1651" t="s">
        <v>1881</v>
      </c>
      <c r="AT4" s="1651" t="s">
        <v>1882</v>
      </c>
      <c r="AU4" s="1651" t="s">
        <v>1883</v>
      </c>
      <c r="AV4" s="1657" t="s">
        <v>1884</v>
      </c>
      <c r="AW4" s="1657" t="s">
        <v>1885</v>
      </c>
      <c r="AX4" s="1657" t="s">
        <v>1886</v>
      </c>
      <c r="AY4" s="1657" t="s">
        <v>1887</v>
      </c>
      <c r="AZ4" s="1657" t="s">
        <v>1888</v>
      </c>
      <c r="BA4" s="1652" t="s">
        <v>1889</v>
      </c>
      <c r="BB4" s="1652" t="s">
        <v>1890</v>
      </c>
      <c r="BC4" s="1652" t="s">
        <v>1891</v>
      </c>
      <c r="BD4" s="1652" t="s">
        <v>1892</v>
      </c>
      <c r="BE4" s="1652" t="s">
        <v>1893</v>
      </c>
      <c r="BF4" s="1657" t="s">
        <v>1894</v>
      </c>
      <c r="BG4" s="1657" t="s">
        <v>1895</v>
      </c>
      <c r="BH4" s="1657" t="s">
        <v>1896</v>
      </c>
      <c r="BI4" s="1657" t="s">
        <v>1897</v>
      </c>
      <c r="BJ4" s="1652" t="s">
        <v>716</v>
      </c>
      <c r="BK4" s="1652" t="s">
        <v>717</v>
      </c>
      <c r="BL4" s="1652" t="s">
        <v>1900</v>
      </c>
      <c r="BM4" s="1657" t="s">
        <v>1901</v>
      </c>
      <c r="BN4" s="1657" t="s">
        <v>1902</v>
      </c>
      <c r="BO4" s="1657" t="s">
        <v>1903</v>
      </c>
      <c r="BP4" s="1657" t="s">
        <v>1904</v>
      </c>
      <c r="BQ4" s="1651" t="s">
        <v>1905</v>
      </c>
      <c r="BR4" s="1651" t="s">
        <v>1906</v>
      </c>
      <c r="BS4" s="1651" t="s">
        <v>1907</v>
      </c>
      <c r="BT4" s="1657" t="s">
        <v>1908</v>
      </c>
      <c r="BU4" s="1657" t="s">
        <v>1909</v>
      </c>
      <c r="BV4" s="1657" t="s">
        <v>1910</v>
      </c>
      <c r="BW4" s="1652" t="s">
        <v>1911</v>
      </c>
      <c r="BX4" s="1652" t="s">
        <v>1912</v>
      </c>
      <c r="BY4" s="1652" t="s">
        <v>1913</v>
      </c>
      <c r="BZ4" s="1652" t="s">
        <v>1914</v>
      </c>
      <c r="CA4" s="1652" t="s">
        <v>1915</v>
      </c>
      <c r="CB4" s="1652" t="s">
        <v>1916</v>
      </c>
      <c r="CC4" s="1657" t="s">
        <v>609</v>
      </c>
      <c r="CD4" s="1657" t="s">
        <v>1917</v>
      </c>
      <c r="CE4" s="1658" t="s">
        <v>1918</v>
      </c>
      <c r="CF4" s="1658" t="s">
        <v>1919</v>
      </c>
      <c r="CG4" s="1658" t="s">
        <v>1920</v>
      </c>
      <c r="CH4" s="1943" t="s">
        <v>1921</v>
      </c>
      <c r="CI4" s="1944" t="s">
        <v>1922</v>
      </c>
      <c r="CJ4" s="1944" t="s">
        <v>1923</v>
      </c>
      <c r="CK4" s="1658" t="s">
        <v>1924</v>
      </c>
      <c r="CL4" s="1658" t="s">
        <v>1925</v>
      </c>
      <c r="CM4" s="1658" t="s">
        <v>1926</v>
      </c>
      <c r="CN4" s="1658" t="s">
        <v>1927</v>
      </c>
      <c r="CO4" s="1945" t="s">
        <v>1928</v>
      </c>
      <c r="CP4" s="1945" t="s">
        <v>1929</v>
      </c>
      <c r="CQ4" s="1944" t="s">
        <v>1930</v>
      </c>
      <c r="CR4" s="1945" t="s">
        <v>1931</v>
      </c>
      <c r="CS4" s="1649" t="s">
        <v>220</v>
      </c>
      <c r="CT4" s="1649" t="s">
        <v>221</v>
      </c>
      <c r="CU4" s="1649" t="s">
        <v>238</v>
      </c>
      <c r="CV4" s="1662" t="s">
        <v>1932</v>
      </c>
      <c r="CW4" s="1663" t="s">
        <v>1933</v>
      </c>
      <c r="CX4" s="1662" t="s">
        <v>1934</v>
      </c>
      <c r="CY4" s="1662" t="s">
        <v>1935</v>
      </c>
      <c r="CZ4" s="1664" t="s">
        <v>227</v>
      </c>
      <c r="DA4" s="1664" t="s">
        <v>1936</v>
      </c>
      <c r="DB4" s="1664" t="s">
        <v>230</v>
      </c>
      <c r="DC4" s="1664" t="s">
        <v>231</v>
      </c>
      <c r="DD4" s="1665" t="s">
        <v>233</v>
      </c>
      <c r="DE4" s="1666" t="s">
        <v>234</v>
      </c>
      <c r="DF4" s="1666" t="s">
        <v>235</v>
      </c>
      <c r="DG4" s="1667" t="s">
        <v>1937</v>
      </c>
      <c r="DH4" s="1668" t="s">
        <v>237</v>
      </c>
    </row>
    <row r="5" spans="1:136" s="1946" customFormat="1" x14ac:dyDescent="0.25">
      <c r="B5" s="1947"/>
      <c r="C5" s="1948">
        <f>'5.DNCN (VND)'!C5</f>
        <v>1.1000000000000001</v>
      </c>
      <c r="D5" s="1949" t="str">
        <f>'5.DNCN (VND)'!D5</f>
        <v>CTCP DVTM Quang Phát</v>
      </c>
      <c r="E5" s="1950" t="str">
        <f>'5.DNCN (VND)'!E5</f>
        <v>Quang Phát</v>
      </c>
      <c r="F5" s="1950">
        <f>'5.DNCN (VND)'!F5</f>
        <v>0</v>
      </c>
      <c r="G5" s="1950">
        <f>'5.DNCN (VND)'!G5</f>
        <v>0</v>
      </c>
      <c r="H5" s="1950">
        <f>'5.DNCN (VND)'!H5</f>
        <v>0</v>
      </c>
      <c r="I5" s="1950">
        <f>'5.DNCN (VND)'!I5</f>
        <v>0</v>
      </c>
      <c r="J5" s="1950">
        <f>'5.DNCN (VND)'!J5</f>
        <v>0</v>
      </c>
      <c r="K5" s="1950">
        <f>'5.DNCN (VND)'!K5</f>
        <v>9700000</v>
      </c>
      <c r="L5" s="1951">
        <f>'5.DNCN (VND)'!L5/$D$1</f>
        <v>97</v>
      </c>
      <c r="M5" s="1676">
        <f>RANK(L5,L$5:L$16,0)+COUNTIF($L$5:L5,L5)-1</f>
        <v>6</v>
      </c>
      <c r="N5" s="1951">
        <f>'5.DNCN (VND)'!N5/$D$1</f>
        <v>0</v>
      </c>
      <c r="O5" s="1950"/>
      <c r="P5" s="1950">
        <f>IFERROR(O5/BI5*10000,"")</f>
        <v>0</v>
      </c>
      <c r="Q5" s="1950">
        <f>IFERROR('5.DNCN (VND)'!Q5/$D$1,"")</f>
        <v>531.99834997300002</v>
      </c>
      <c r="R5" s="1676">
        <f>RANK(Q5,Q$5:Q$16,0)+COUNTIF($Q$5:Q5,Q5)-1</f>
        <v>3</v>
      </c>
      <c r="S5" s="1950">
        <f>IFERROR('5.DNCN (VND)'!S5/$D$1,"")</f>
        <v>465.52350503299999</v>
      </c>
      <c r="T5" s="1677">
        <f>Q5-S5</f>
        <v>66.474844940000025</v>
      </c>
      <c r="U5" s="1676">
        <f>RANK(T5,T$5:T$16,0)+COUNTIF($T$5:T5,T5)-1</f>
        <v>3</v>
      </c>
      <c r="V5" s="1678">
        <f>IFERROR(T5/Q5,"")</f>
        <v>0.1249531036014938</v>
      </c>
      <c r="W5" s="1950">
        <f>IFERROR('5.DNCN (VND)'!W5/$D$1,"")</f>
        <v>0</v>
      </c>
      <c r="X5" s="1950">
        <f>IFERROR('5.DNCN (VND)'!X5/$D$1,"")</f>
        <v>18.194325678000006</v>
      </c>
      <c r="Y5" s="1950">
        <f>IFERROR('5.DNCN (VND)'!Y5/$D$1,"")</f>
        <v>0.24060000000000001</v>
      </c>
      <c r="Z5" s="1950">
        <f>IFERROR('5.DNCN (VND)'!Z5/$D$1,"")</f>
        <v>28.221520755</v>
      </c>
      <c r="AA5" s="1950">
        <f>IFERROR('5.DNCN (VND)'!AA5/$D$1,"")</f>
        <v>0.15537829399999997</v>
      </c>
      <c r="AB5" s="1674">
        <f>SUM(AA5,X5,Y5,Z5)</f>
        <v>46.811824727000001</v>
      </c>
      <c r="AC5" s="1950">
        <f>IFERROR('5.DNCN (VND)'!AC5/$D$1,"")</f>
        <v>19.732686502000028</v>
      </c>
      <c r="AD5" s="1950">
        <f>IFERROR('5.DNCN (VND)'!AD5/$D$1,"")</f>
        <v>11.731729394000025</v>
      </c>
      <c r="AE5" s="1676">
        <f>RANK(AD5,AD$5:AD$16,0)+COUNTIF($AD$5:AD5,AD5)-1</f>
        <v>5</v>
      </c>
      <c r="AF5" s="1950">
        <f>IFERROR('5.DNCN (VND)'!AF5/$D$1,"")</f>
        <v>43.787349978000002</v>
      </c>
      <c r="AG5" s="1950">
        <f>IFERROR('5.DNCN (VND)'!AG5/$D$1,"")</f>
        <v>217.79847201000001</v>
      </c>
      <c r="AH5" s="1950">
        <f>IFERROR('5.DNCN (VND)'!AH5/$D$1,"")</f>
        <v>85.210321151999992</v>
      </c>
      <c r="AI5" s="1950">
        <f>IFERROR(Q5/((AG5+AH5)/2),"")</f>
        <v>3.5114383607248882</v>
      </c>
      <c r="AJ5" s="1950">
        <f>IFERROR('5.DNCN (VND)'!AJ5/$D$1,"")</f>
        <v>131.64087787299999</v>
      </c>
      <c r="AK5" s="1950">
        <f>IFERROR('5.DNCN (VND)'!AK5/$D$1,"")</f>
        <v>114.75499342400001</v>
      </c>
      <c r="AL5" s="1950">
        <f>IFERROR((S5/((AJ5+AK5)/2)),"")</f>
        <v>3.7786631941723452</v>
      </c>
      <c r="AM5" s="1950">
        <f>((AV5+AZ5)/2)-((BT5+BV5)/2)</f>
        <v>-69.663696109</v>
      </c>
      <c r="AN5" s="1950">
        <f>IFERROR(Q5/AM5,"")</f>
        <v>-7.6366655760068127</v>
      </c>
      <c r="AO5" s="1950">
        <f>IFERROR('5.DNCN (VND)'!AO5/$D$1,"")</f>
        <v>124.97995294999998</v>
      </c>
      <c r="AP5" s="1950">
        <f>IFERROR('5.DNCN (VND)'!AP5/$D$1,"")</f>
        <v>127.24755344499998</v>
      </c>
      <c r="AQ5" s="1950">
        <f t="shared" ref="AQ5:AQ16" si="0">IFERROR(AVERAGE(AP5,AO5),"")</f>
        <v>126.11375319749999</v>
      </c>
      <c r="AR5" s="1950">
        <f>IFERROR('5.DNCN (VND)'!AR5/$D$1,"")</f>
        <v>-63.266278836000005</v>
      </c>
      <c r="AS5" s="1950">
        <f>IFERROR('5.DNCN (VND)'!AS5/$D$1,"")</f>
        <v>0</v>
      </c>
      <c r="AT5" s="1950">
        <f>IFERROR('5.DNCN (VND)'!AT5/$D$1,"")</f>
        <v>0</v>
      </c>
      <c r="AU5" s="1950">
        <f t="shared" ref="AU5" si="1">IFERROR(AVERAGE(AT5,AS5),"")</f>
        <v>0</v>
      </c>
      <c r="AV5" s="1950">
        <f>IFERROR('5.DNCN (VND)'!AV5/$D$1,"")</f>
        <v>465.67807027600003</v>
      </c>
      <c r="AW5" s="1950">
        <f>RANK(AV5,AV$5:AV$16,0)+COUNTIF(AV$5:AV5,AV5)-1</f>
        <v>4</v>
      </c>
      <c r="AX5" s="1952">
        <f>AV5/BF5</f>
        <v>0.74700150993374403</v>
      </c>
      <c r="AY5" s="1950">
        <f>RANK(AX5,AX$5:AX$16,0)+COUNTIF(AX$5:AX5,AX5)-1</f>
        <v>4</v>
      </c>
      <c r="AZ5" s="1950">
        <f>IFERROR('5.DNCN (VND)'!AZ5/$D$1,"")</f>
        <v>253.89207008100001</v>
      </c>
      <c r="BA5" s="1950">
        <f>IFERROR('5.DNCN (VND)'!BA5/$D$1,"")</f>
        <v>157.71835407299997</v>
      </c>
      <c r="BB5" s="1676">
        <f>RANK(BA5,BA$5:BA$16,0)+COUNTIF(BA$5:BA5,BA5)-1</f>
        <v>4</v>
      </c>
      <c r="BC5" s="1683">
        <f>BA5/BF5</f>
        <v>0.25299849006625597</v>
      </c>
      <c r="BD5" s="1676">
        <f>RANK(BC5,BC$5:BC$16,0)+COUNTIF(BC$5:BC5,BC5)-1</f>
        <v>8</v>
      </c>
      <c r="BE5" s="1950">
        <f>IFERROR('5.DNCN (VND)'!BE5/$D$1,"")</f>
        <v>160.70827302099997</v>
      </c>
      <c r="BF5" s="1950">
        <f>IFERROR('5.DNCN (VND)'!BF5/$D$1,"")</f>
        <v>623.39642434899997</v>
      </c>
      <c r="BG5" s="1676">
        <f>RANK(BF5,BF$5:BF$16,0)+COUNTIF(BF5:BF$7,BF5)-1</f>
        <v>4</v>
      </c>
      <c r="BH5" s="1950">
        <f>IFERROR('5.DNCN (VND)'!BH5/$D$1,"")</f>
        <v>414.60034310199995</v>
      </c>
      <c r="BI5" s="1680">
        <f>(BF5+BH5)/2</f>
        <v>518.99838372549993</v>
      </c>
      <c r="BJ5" s="1950">
        <f>IFERROR('5.DNCN (VND)'!BJ5/$D$1,"")</f>
        <v>204.94595830900002</v>
      </c>
      <c r="BK5" s="1950">
        <f>IFERROR('5.DNCN (VND)'!BK5/$D$1,"")</f>
        <v>81.222388960000004</v>
      </c>
      <c r="BL5" s="1950">
        <f t="shared" ref="BL5:BL16" si="2">IFERROR(S5/((BJ5+BK5)/2),"")</f>
        <v>3.2534940322760781</v>
      </c>
      <c r="BM5" s="1950">
        <f>IFERROR('5.DNCN (VND)'!BM5/$D$1,"")</f>
        <v>242.94848441100001</v>
      </c>
      <c r="BN5" s="1950">
        <f>IFERROR('5.DNCN (VND)'!BN5/$D$1,"")</f>
        <v>224.07377005199999</v>
      </c>
      <c r="BO5" s="1950">
        <f>IFERROR('5.DNCN (VND)'!BO5/$D$1,"")</f>
        <v>242.94848441100001</v>
      </c>
      <c r="BP5" s="1684">
        <f>IFERROR(AVERAGE(BO5:BO5),"")</f>
        <v>242.94848441100001</v>
      </c>
      <c r="BQ5" s="1950">
        <f>IFERROR('5.DNCN (VND)'!BQ5/$D$1,"")</f>
        <v>0</v>
      </c>
      <c r="BR5" s="1685">
        <f>BQ5/SUM(BQ5,BT5,BW5)</f>
        <v>0</v>
      </c>
      <c r="BS5" s="1950">
        <f>IFERROR('5.DNCN (VND)'!BS5/$D$1,"")</f>
        <v>0</v>
      </c>
      <c r="BT5" s="1950">
        <f>IFERROR('5.DNCN (VND)'!BT5/$D$1,"")</f>
        <v>519.55710894999993</v>
      </c>
      <c r="BU5" s="1685">
        <f>BT5/SUM(BQ5,BT5,BW5)</f>
        <v>0.90386599197244744</v>
      </c>
      <c r="BV5" s="1950">
        <f>IFERROR('5.DNCN (VND)'!BV5/$D$1,"")</f>
        <v>339.34042362500003</v>
      </c>
      <c r="BW5" s="1950">
        <f>IFERROR('5.DNCN (VND)'!BW5/$D$1,"")</f>
        <v>55.259416469000001</v>
      </c>
      <c r="BX5" s="1676">
        <f>RANK(BW5,BW$5:BW$16,0)+COUNTIF(BW5:BW$7,BW5)-1</f>
        <v>8</v>
      </c>
      <c r="BY5" s="1685">
        <f>BW5/SUM(BQ5,BT5,BW5)</f>
        <v>9.6134008027552537E-2</v>
      </c>
      <c r="BZ5" s="1676">
        <f>RANK(BY5,BY$5:BY$16,0)+COUNTIF(BY5:BY$7,BY5)-1</f>
        <v>11</v>
      </c>
      <c r="CA5" s="1950">
        <f>IFERROR('5.DNCN (VND)'!CA5/$D$1,"")</f>
        <v>75.259636196999978</v>
      </c>
      <c r="CB5" s="1950">
        <f>IFERROR('5.DNCN (VND)'!CB5/$D$1,"")</f>
        <v>65.259526332999997</v>
      </c>
      <c r="CC5" s="1950">
        <f>IFERROR('5.DNCN (VND)'!CC5/$D$1,"")</f>
        <v>-13.56647789</v>
      </c>
      <c r="CD5" s="1678">
        <f>IFERROR(CC5/L5,"")</f>
        <v>-0.13986059680412372</v>
      </c>
      <c r="CE5" s="1686">
        <f>IFERROR(AV5/BT5,"")</f>
        <v>0.89629813980817841</v>
      </c>
      <c r="CF5" s="1686">
        <f>IFERROR((AV5-AJ5)/BT5,"")</f>
        <v>0.64292680563658011</v>
      </c>
      <c r="CG5" s="1686">
        <f>IFERROR(AF5/BT5,"")</f>
        <v>8.4278223170677319E-2</v>
      </c>
      <c r="CH5" s="1687" t="str">
        <f>IFERROR((AC5+W5)/W5,"")</f>
        <v/>
      </c>
      <c r="CI5" s="1687">
        <f>IFERROR((BW5-N5)/(BQ5+BW5),"")</f>
        <v>1</v>
      </c>
      <c r="CJ5" s="1687">
        <f>IFERROR(N5/(BQ5+BW5),"")</f>
        <v>0</v>
      </c>
      <c r="CK5" s="1686">
        <f>IFERROR(BQ5/BW5,"")</f>
        <v>0</v>
      </c>
      <c r="CL5" s="1686">
        <f>IFERROR(SUM(BQ5,BT5)/BW5,"")</f>
        <v>9.4021461345229085</v>
      </c>
      <c r="CM5" s="1686">
        <f>IFERROR(BQ5/BF5,"")</f>
        <v>0</v>
      </c>
      <c r="CN5" s="1688">
        <f>IFERROR(SUM(BT5,BQ5)/BF5,"")</f>
        <v>0.83342972249570202</v>
      </c>
      <c r="CO5" s="1687">
        <f>IFERROR(Q5/BI5,"")</f>
        <v>1.0250481825283984</v>
      </c>
      <c r="CP5" s="1687">
        <f>IFERROR(Q5/CB5,"")</f>
        <v>8.1520412400539097</v>
      </c>
      <c r="CQ5" s="1687">
        <f>IFERROR(Q5/AQ5,"")</f>
        <v>4.2184007412725713</v>
      </c>
      <c r="CR5" s="1689">
        <f>IFERROR(Q5/AVERAGE(AV5,AZ5),"")</f>
        <v>1.4786559923374807</v>
      </c>
      <c r="CS5" s="1682">
        <f>IFERROR(AD5/BI5,"")</f>
        <v>2.2604558630388679E-2</v>
      </c>
      <c r="CT5" s="1678">
        <f>IFERROR(AD5/CB5,"")</f>
        <v>0.17977037305077104</v>
      </c>
      <c r="CU5" s="1682">
        <f>AD5/Q5</f>
        <v>2.205219131712614E-2</v>
      </c>
      <c r="CV5" s="1690">
        <f>IFERROR(Q5/BF5,"")</f>
        <v>0.85338691271538003</v>
      </c>
      <c r="CW5" s="1690">
        <f>IFERROR(Q5/BW5,"")</f>
        <v>9.6272885956268812</v>
      </c>
      <c r="CX5" s="1682">
        <f>IFERROR((AC5+W5)/BF5,"")</f>
        <v>3.1653512486226505E-2</v>
      </c>
      <c r="CY5" s="1682">
        <f>IFERROR(AC5/L5,"")</f>
        <v>0.2034297577525776</v>
      </c>
      <c r="CZ5" s="1679">
        <f>IFERROR(AD5/K5,"")</f>
        <v>1.2094566385567036E-6</v>
      </c>
      <c r="DA5" s="1679">
        <f>IFERROR((BW5-AS5)/K5,"")</f>
        <v>5.6968470586597943E-6</v>
      </c>
      <c r="DB5" s="1691" t="str">
        <f>IF(I5&gt;0,(K5*I5)/10^9+BP5-AF5,"")</f>
        <v/>
      </c>
      <c r="DC5" s="1684">
        <f>IFERROR(AC5+AR5+W5,"")</f>
        <v>-43.533592333999977</v>
      </c>
      <c r="DD5" s="1692">
        <f>IFERROR((I5/10^9)/CZ5,"")</f>
        <v>0</v>
      </c>
      <c r="DE5" s="1693">
        <f>IFERROR((I5/10^9)/DA5,"")</f>
        <v>0</v>
      </c>
      <c r="DF5" s="1692">
        <f>IFERROR((I5/10^9)/(Q5/K5),"")</f>
        <v>0</v>
      </c>
      <c r="DG5" s="1694" t="str">
        <f>IFERROR(DB5/DC5,"")</f>
        <v/>
      </c>
      <c r="DH5" s="1695" t="str">
        <f>IFERROR(DB5/Q5,"")</f>
        <v/>
      </c>
    </row>
    <row r="6" spans="1:136" s="1953" customFormat="1" ht="14.45" customHeight="1" x14ac:dyDescent="0.25">
      <c r="B6" s="1954"/>
      <c r="C6" s="1955"/>
      <c r="D6" s="1956"/>
      <c r="E6" s="1956"/>
      <c r="F6" s="1956"/>
      <c r="G6" s="1956"/>
      <c r="H6" s="1956"/>
      <c r="I6" s="1957"/>
      <c r="J6" s="1958"/>
      <c r="K6" s="1959"/>
      <c r="L6" s="1960"/>
      <c r="M6" s="1702"/>
      <c r="N6" s="1960"/>
      <c r="O6" s="1960"/>
      <c r="P6" s="1961"/>
      <c r="Q6" s="1962"/>
      <c r="R6" s="1702"/>
      <c r="S6" s="1959"/>
      <c r="T6" s="1701"/>
      <c r="U6" s="1701"/>
      <c r="V6" s="1703"/>
      <c r="W6" s="1962"/>
      <c r="X6" s="1962"/>
      <c r="Y6" s="1963"/>
      <c r="Z6" s="1963"/>
      <c r="AA6" s="1963"/>
      <c r="AB6" s="1701"/>
      <c r="AC6" s="1963"/>
      <c r="AD6" s="1963"/>
      <c r="AE6" s="1702"/>
      <c r="AF6" s="1962"/>
      <c r="AG6" s="1962"/>
      <c r="AH6" s="1962"/>
      <c r="AI6" s="1964"/>
      <c r="AJ6" s="1962"/>
      <c r="AK6" s="1962"/>
      <c r="AL6" s="1964"/>
      <c r="AM6" s="1965"/>
      <c r="AN6" s="1964"/>
      <c r="AO6" s="1964">
        <f>IFERROR('5.DNCN (VND)'!AO6/$D$1,"")</f>
        <v>0</v>
      </c>
      <c r="AP6" s="1964">
        <f>IFERROR('5.DNCN (VND)'!AP6/$D$1,"")</f>
        <v>0</v>
      </c>
      <c r="AQ6" s="1964">
        <f t="shared" si="0"/>
        <v>0</v>
      </c>
      <c r="AR6" s="1964">
        <f>IFERROR('5.DNCN (VND)'!AR6/$D$1,"")</f>
        <v>0</v>
      </c>
      <c r="AS6" s="1959"/>
      <c r="AT6" s="1959"/>
      <c r="AU6" s="1961"/>
      <c r="AV6" s="1962"/>
      <c r="AW6" s="1962"/>
      <c r="AX6" s="1966"/>
      <c r="AY6" s="1962"/>
      <c r="AZ6" s="1962"/>
      <c r="BA6" s="1962"/>
      <c r="BB6" s="1701"/>
      <c r="BC6" s="1701"/>
      <c r="BD6" s="1701"/>
      <c r="BE6" s="1962"/>
      <c r="BF6" s="1963"/>
      <c r="BG6" s="1702"/>
      <c r="BH6" s="1964"/>
      <c r="BI6" s="1701"/>
      <c r="BJ6" s="1962"/>
      <c r="BK6" s="1962"/>
      <c r="BL6" s="1964"/>
      <c r="BM6" s="1962"/>
      <c r="BN6" s="1959"/>
      <c r="BO6" s="1959"/>
      <c r="BP6" s="1704"/>
      <c r="BQ6" s="1962"/>
      <c r="BR6" s="1706"/>
      <c r="BS6" s="1967"/>
      <c r="BT6" s="1962"/>
      <c r="BU6" s="1703"/>
      <c r="BV6" s="1962"/>
      <c r="BW6" s="1963"/>
      <c r="BX6" s="1702"/>
      <c r="BY6" s="1703"/>
      <c r="BZ6" s="1703"/>
      <c r="CA6" s="1962"/>
      <c r="CB6" s="1964"/>
      <c r="CC6" s="1964"/>
      <c r="CD6" s="1703"/>
      <c r="CE6" s="1707"/>
      <c r="CF6" s="1707"/>
      <c r="CG6" s="1707"/>
      <c r="CH6" s="1708"/>
      <c r="CI6" s="1708"/>
      <c r="CJ6" s="1708"/>
      <c r="CK6" s="1707"/>
      <c r="CL6" s="1707"/>
      <c r="CM6" s="1707"/>
      <c r="CN6" s="1709"/>
      <c r="CO6" s="1710"/>
      <c r="CP6" s="1710"/>
      <c r="CQ6" s="1710"/>
      <c r="CR6" s="1710"/>
      <c r="CS6" s="1703"/>
      <c r="CT6" s="1703"/>
      <c r="CU6" s="1703"/>
      <c r="CV6" s="1711"/>
      <c r="CW6" s="1711"/>
      <c r="CX6" s="1703"/>
      <c r="CY6" s="1703"/>
      <c r="CZ6" s="1704"/>
      <c r="DA6" s="1704"/>
      <c r="DB6" s="1704"/>
      <c r="DC6" s="1704"/>
      <c r="DD6" s="1712"/>
      <c r="DE6" s="1713"/>
      <c r="DF6" s="1712"/>
      <c r="DG6" s="1712"/>
      <c r="DH6" s="1714"/>
    </row>
    <row r="7" spans="1:136" s="1968" customFormat="1" ht="16.899999999999999" customHeight="1" x14ac:dyDescent="0.25">
      <c r="B7" s="1969">
        <f>'5.DNCN (VND)'!B7</f>
        <v>1</v>
      </c>
      <c r="C7" s="1948">
        <f>'5.DNCN (VND)'!C7</f>
        <v>0</v>
      </c>
      <c r="D7" s="1970" t="str">
        <f>'5.DNCN (VND)'!D7</f>
        <v>CTCP Đầu tư và Xây dựng Bình Dương ACC</v>
      </c>
      <c r="E7" s="1970" t="str">
        <f>'5.DNCN (VND)'!E7</f>
        <v>ACC</v>
      </c>
      <c r="F7" s="1970" t="str">
        <f>'5.DNCN (VND)'!F7</f>
        <v>Xây dựng, BĐS, Bê tông cấu kiện, Bê tông nhựa nóng</v>
      </c>
      <c r="G7" s="1970" t="str">
        <f>'5.DNCN (VND)'!G7</f>
        <v>ACC</v>
      </c>
      <c r="H7" s="1971" t="str">
        <f>'5.DNCN (VND)'!H7</f>
        <v>HOSE</v>
      </c>
      <c r="I7" s="1972">
        <f>'5.DNCN (VND)'!I7</f>
        <v>4100</v>
      </c>
      <c r="J7" s="1973">
        <f>'5.DNCN (VND)'!J7</f>
        <v>19386</v>
      </c>
      <c r="K7" s="1974">
        <f>'5.DNCN (VND)'!K7</f>
        <v>104999993</v>
      </c>
      <c r="L7" s="1951">
        <f>'5.DNCN (VND)'!L7/$D$1</f>
        <v>1049.9999299999999</v>
      </c>
      <c r="M7" s="1722">
        <f>RANK(L7,L$5:L$16,0)+COUNTIF($L$5:L7,L7)-1</f>
        <v>1</v>
      </c>
      <c r="N7" s="1951">
        <f>'5.DNCN (VND)'!N7/$D$1</f>
        <v>0</v>
      </c>
      <c r="O7" s="1951">
        <f>'5.DNCN (VND)'!O7/$D$1</f>
        <v>430.49997130000003</v>
      </c>
      <c r="P7" s="1975">
        <f t="shared" ref="P7:P16" si="3">IFERROR(O7/BI7*10000,"")</f>
        <v>1934.0414765908922</v>
      </c>
      <c r="Q7" s="1976">
        <f>IFERROR('5.DNCN (VND)'!Q7/$D$1,"")</f>
        <v>651.59043681900005</v>
      </c>
      <c r="R7" s="1722">
        <f>RANK(Q7,Q$5:Q$16,0)+COUNTIF($Q$5:Q7,Q7)-1</f>
        <v>2</v>
      </c>
      <c r="S7" s="1974">
        <f>IFERROR('5.DNCN (VND)'!S7/$D$1,"")</f>
        <v>525.03274321399999</v>
      </c>
      <c r="T7" s="1677">
        <f>Q7-S7</f>
        <v>126.55769360500005</v>
      </c>
      <c r="U7" s="1722">
        <f>RANK(T7,T$5:T$16,0)+COUNTIF($T$5:T7,T7)-1</f>
        <v>2</v>
      </c>
      <c r="V7" s="1977">
        <f>IFERROR(T7/Q7,"")</f>
        <v>0.19422889971013413</v>
      </c>
      <c r="W7" s="1974">
        <f>IFERROR('5.DNCN (VND)'!W7/$D$1,"")</f>
        <v>44.623825943999996</v>
      </c>
      <c r="X7" s="1974">
        <f>IFERROR('5.DNCN (VND)'!X7/$D$1,"")</f>
        <v>44.623825943999996</v>
      </c>
      <c r="Y7" s="1974">
        <f>IFERROR('5.DNCN (VND)'!Y7/$D$1,"")</f>
        <v>13.138682809000001</v>
      </c>
      <c r="Z7" s="1974">
        <f>IFERROR('5.DNCN (VND)'!Z7/$D$1,"")</f>
        <v>17.043068730000002</v>
      </c>
      <c r="AA7" s="1974">
        <f>IFERROR('5.DNCN (VND)'!AA7/$D$1,"")</f>
        <v>0.46957184000000002</v>
      </c>
      <c r="AB7" s="1978">
        <f>SUM(AA7,X7,Y7,Z7)</f>
        <v>75.275149322999994</v>
      </c>
      <c r="AC7" s="1974">
        <f>IFERROR('5.DNCN (VND)'!AC7/$D$1,"")</f>
        <v>87.341704499000002</v>
      </c>
      <c r="AD7" s="1974">
        <f>IFERROR('5.DNCN (VND)'!AD7/$D$1,"")</f>
        <v>70.154709496999999</v>
      </c>
      <c r="AE7" s="1722">
        <f>RANK(AD7,AD$5:AD$16,0)+COUNTIF($AD$5:AD7,AD7)-1</f>
        <v>2</v>
      </c>
      <c r="AF7" s="1979">
        <f>IFERROR('5.DNCN (VND)'!AF7/$D$1,"")</f>
        <v>19.393373717999999</v>
      </c>
      <c r="AG7" s="1979">
        <f>IFERROR('5.DNCN (VND)'!AG7/$D$1,"")</f>
        <v>697.59588340599998</v>
      </c>
      <c r="AH7" s="1979">
        <f>IFERROR('5.DNCN (VND)'!AH7/$D$1,"")</f>
        <v>864.70714980800005</v>
      </c>
      <c r="AI7" s="1980">
        <f t="shared" ref="AI7:AI16" si="4">IFERROR(Q7/((AG7+AH7)/2),"")</f>
        <v>0.8341409098829381</v>
      </c>
      <c r="AJ7" s="1979">
        <f>IFERROR('5.DNCN (VND)'!AJ7/$D$1,"")</f>
        <v>1006.505319661</v>
      </c>
      <c r="AK7" s="1979">
        <f>IFERROR('5.DNCN (VND)'!AK7/$D$1,"")</f>
        <v>911.98958380900001</v>
      </c>
      <c r="AL7" s="1980">
        <f t="shared" ref="AL7:AL16" si="5">IFERROR((S7/((AJ7+AK7)/2)),"")</f>
        <v>0.54733816833640603</v>
      </c>
      <c r="AM7" s="1980">
        <f t="shared" ref="AM7:AM16" si="6">((AV7+AZ7)/2)-((BT7+BV7)/2)</f>
        <v>936.23115049199998</v>
      </c>
      <c r="AN7" s="1980">
        <f t="shared" ref="AN7:AN16" si="7">IFERROR(Q7/AM7,"")</f>
        <v>0.69597175492033347</v>
      </c>
      <c r="AO7" s="1980">
        <f>IFERROR('5.DNCN (VND)'!AO7/$D$1,"")</f>
        <v>9.5750589159999997</v>
      </c>
      <c r="AP7" s="1980">
        <f>IFERROR('5.DNCN (VND)'!AP7/$D$1,"")</f>
        <v>12.052731565</v>
      </c>
      <c r="AQ7" s="1980">
        <f t="shared" si="0"/>
        <v>10.813895240499999</v>
      </c>
      <c r="AR7" s="1980">
        <f>IFERROR('5.DNCN (VND)'!AR7/$D$1,"")</f>
        <v>3.6776726489999998</v>
      </c>
      <c r="AS7" s="1974">
        <f>IFERROR('5.DNCN (VND)'!AS7/$D$1,"")</f>
        <v>0</v>
      </c>
      <c r="AT7" s="1974">
        <f>IFERROR('5.DNCN (VND)'!AT7/$D$1,"")</f>
        <v>9.5654179999999991E-3</v>
      </c>
      <c r="AU7" s="1981">
        <f t="shared" ref="AU7:AU16" si="8">IFERROR(AVERAGE(AT7,AS7),"")</f>
        <v>4.7827089999999996E-3</v>
      </c>
      <c r="AV7" s="1982">
        <f>IFERROR('5.DNCN (VND)'!AV7/$D$1,"")</f>
        <v>1752.179531777</v>
      </c>
      <c r="AW7" s="1983">
        <f>RANK(AV7,AV$5:AV$16,0)+COUNTIF(AV$5:AV7,AV7)-1</f>
        <v>1</v>
      </c>
      <c r="AX7" s="1952">
        <f t="shared" ref="AX7:AX16" si="9">AV7/BF7</f>
        <v>0.74496075271952444</v>
      </c>
      <c r="AY7" s="1984">
        <f>RANK(AX7,AX$5:AX$16,0)+COUNTIF(AX$5:AX7,AX7)-1</f>
        <v>5</v>
      </c>
      <c r="AZ7" s="1979">
        <f>IFERROR('5.DNCN (VND)'!AZ7/$D$1,"")</f>
        <v>1889.388844329</v>
      </c>
      <c r="BA7" s="1979">
        <f>IFERROR('5.DNCN (VND)'!BA7/$D$1,"")</f>
        <v>599.86321058299995</v>
      </c>
      <c r="BB7" s="1722">
        <f>RANK(BA7,BA$5:BA$16,0)+COUNTIF(BA$5:BA7,BA7)-1</f>
        <v>1</v>
      </c>
      <c r="BC7" s="1733">
        <f t="shared" ref="BC7:BC16" si="10">BA7/BF7</f>
        <v>0.25503924728047561</v>
      </c>
      <c r="BD7" s="1722">
        <f>RANK(BC7,BC$5:BC$16,0)+COUNTIF(BC$5:BC7,BC7)-1</f>
        <v>7</v>
      </c>
      <c r="BE7" s="1979">
        <f>IFERROR('5.DNCN (VND)'!BE7/$D$1,"")</f>
        <v>210.385776182</v>
      </c>
      <c r="BF7" s="1974">
        <f t="shared" ref="BF7:BF16" si="11">AV7+BA7</f>
        <v>2352.0427423599999</v>
      </c>
      <c r="BG7" s="1722">
        <f>RANK(BF7,BF$5:BF$16,0)+COUNTIF(BF7:BF$7,BF7)-1</f>
        <v>1</v>
      </c>
      <c r="BH7" s="1979">
        <f t="shared" ref="BH7:BH16" si="12">AZ7+BE7</f>
        <v>2099.7746205110002</v>
      </c>
      <c r="BI7" s="1727">
        <f t="shared" ref="BI7:BI16" si="13">(BF7+BH7)/2</f>
        <v>2225.9086814355001</v>
      </c>
      <c r="BJ7" s="1979">
        <f t="shared" ref="BJ7:BJ16" si="14">BQ7+BT7</f>
        <v>1067.0019288190001</v>
      </c>
      <c r="BK7" s="1979">
        <f t="shared" ref="BK7:BK16" si="15">BS7+BV7</f>
        <v>895.93561889199998</v>
      </c>
      <c r="BL7" s="1980">
        <f t="shared" si="2"/>
        <v>0.53494594754300318</v>
      </c>
      <c r="BM7" s="1979">
        <f>IFERROR('5.DNCN (VND)'!BM7/$D$1,"")</f>
        <v>596.76194534599995</v>
      </c>
      <c r="BN7" s="1974">
        <f>IFERROR('5.DNCN (VND)'!BN7/$D$1,"")</f>
        <v>769.88157034599999</v>
      </c>
      <c r="BO7" s="1974">
        <f>IFERROR('5.DNCN (VND)'!BO7/$D$1,"")</f>
        <v>635.53755675699995</v>
      </c>
      <c r="BP7" s="1762">
        <f t="shared" ref="BP7:BP16" si="16">IFERROR(AVERAGE(BO7:BO7),"")</f>
        <v>635.53755675699995</v>
      </c>
      <c r="BQ7" s="1979">
        <f>IFERROR('5.DNCN (VND)'!BQ7/$D$1,"")</f>
        <v>182.448891258</v>
      </c>
      <c r="BR7" s="1985">
        <f>BQ7/SUM(BQ7,BT7,BW7)</f>
        <v>7.7570397838490748E-2</v>
      </c>
      <c r="BS7" s="1979">
        <f>IFERROR('5.DNCN (VND)'!BS7/$D$1,"")</f>
        <v>11.382581331000001</v>
      </c>
      <c r="BT7" s="1979">
        <f>IFERROR('5.DNCN (VND)'!BT7/$D$1,"")</f>
        <v>884.553037561</v>
      </c>
      <c r="BU7" s="1985">
        <f t="shared" ref="BU7:BU16" si="17">BT7/SUM(BQ7,BT7,BW7)</f>
        <v>0.37607864076205283</v>
      </c>
      <c r="BV7" s="1979">
        <f>IFERROR('5.DNCN (VND)'!BV7/$D$1,"")</f>
        <v>884.553037561</v>
      </c>
      <c r="BW7" s="1974">
        <f>BF7-BQ7-BT7</f>
        <v>1285.0408135409998</v>
      </c>
      <c r="BX7" s="1722">
        <f>RANK(BW7,BW$5:BW$16,0)+COUNTIF(BW7:BW$7,BW7)-1</f>
        <v>1</v>
      </c>
      <c r="BY7" s="1985">
        <f t="shared" ref="BY7:BY16" si="18">BW7/SUM(BQ7,BT7,BW7)</f>
        <v>0.54635096139945638</v>
      </c>
      <c r="BZ7" s="1722">
        <f>RANK(BY7,BY$5:BY$16,0)+COUNTIF(BY7:BY$7,BY7)-1</f>
        <v>5</v>
      </c>
      <c r="CA7" s="1979">
        <f>BH7-BS7-BV7</f>
        <v>1203.8390016190001</v>
      </c>
      <c r="CB7" s="1980">
        <f>(BW7+CA7)/2</f>
        <v>1244.43990758</v>
      </c>
      <c r="CC7" s="1980">
        <f>IFERROR('5.DNCN (VND)'!CC7/$D$1,"")</f>
        <v>172.14926982099999</v>
      </c>
      <c r="CD7" s="1977">
        <f t="shared" ref="CD7:CD16" si="19">IFERROR(CC7/L7,"")</f>
        <v>0.16395169647392263</v>
      </c>
      <c r="CE7" s="1765">
        <f t="shared" ref="CE7:CE16" si="20">IFERROR(AV7/BT7,"")</f>
        <v>1.9808642979829993</v>
      </c>
      <c r="CF7" s="1687">
        <f t="shared" ref="CF7:CF16" si="21">IFERROR((AV7-AJ7)/BT7,"")</f>
        <v>0.84299547958375221</v>
      </c>
      <c r="CG7" s="1765">
        <f t="shared" ref="CG7:CG16" si="22">IFERROR(AF7/BT7,"")</f>
        <v>2.192448942516079E-2</v>
      </c>
      <c r="CH7" s="1766">
        <f t="shared" ref="CH7:CH16" si="23">IFERROR((AC7+W7)/W7,"")</f>
        <v>2.9572885706530001</v>
      </c>
      <c r="CI7" s="1766">
        <f t="shared" ref="CI7:CI16" si="24">IFERROR((BW7-N7)/(BQ7+BW7),"")</f>
        <v>0.87567279643505924</v>
      </c>
      <c r="CJ7" s="1766">
        <f t="shared" ref="CJ7:CJ16" si="25">IFERROR(N7/(BQ7+BW7),"")</f>
        <v>0</v>
      </c>
      <c r="CK7" s="1765">
        <f t="shared" ref="CK7:CK16" si="26">IFERROR(BQ7/BW7,"")</f>
        <v>0.14197906349390738</v>
      </c>
      <c r="CL7" s="1765">
        <f t="shared" ref="CL7:CL16" si="27">IFERROR(SUM(BQ7,BT7)/BW7,"")</f>
        <v>0.83032532319251273</v>
      </c>
      <c r="CM7" s="1765">
        <f t="shared" ref="CM7:CM16" si="28">IFERROR(BQ7/BF7,"")</f>
        <v>7.7570397838490748E-2</v>
      </c>
      <c r="CN7" s="1767">
        <f t="shared" ref="CN7:CN16" si="29">IFERROR(SUM(BT7,BQ7)/BF7,"")</f>
        <v>0.45364903860054362</v>
      </c>
      <c r="CO7" s="1687">
        <f t="shared" ref="CO7:CO16" si="30">IFERROR(Q7/BI7,"")</f>
        <v>0.29273008468558825</v>
      </c>
      <c r="CP7" s="1687">
        <f t="shared" ref="CP7:CP16" si="31">IFERROR(Q7/CB7,"")</f>
        <v>0.52360136704882387</v>
      </c>
      <c r="CQ7" s="1687">
        <f t="shared" ref="CQ7:CQ16" si="32">IFERROR(Q7/AQ7,"")</f>
        <v>60.254924088655464</v>
      </c>
      <c r="CR7" s="1689">
        <f t="shared" ref="CR7:CR16" si="33">IFERROR(Q7/AVERAGE(AV7,AZ7),"")</f>
        <v>0.35786253038354776</v>
      </c>
      <c r="CS7" s="1725">
        <f t="shared" ref="CS7:CS16" si="34">IFERROR(AD7/BI7,"")</f>
        <v>3.1517334957226036E-2</v>
      </c>
      <c r="CT7" s="1977">
        <f t="shared" ref="CT7:CT16" si="35">IFERROR(AD7/CB7,"")</f>
        <v>5.6374525655824036E-2</v>
      </c>
      <c r="CU7" s="1725">
        <f t="shared" ref="CU7:CU16" si="36">IFERROR(AD7/Q7,"")</f>
        <v>0.1076668801946946</v>
      </c>
      <c r="CV7" s="1742">
        <f t="shared" ref="CV7:CV16" si="37">IFERROR(Q7/BF7,"")</f>
        <v>0.27703171591397407</v>
      </c>
      <c r="CW7" s="1742">
        <f t="shared" ref="CW7:CW16" si="38">IFERROR(Q7/BW7,"")</f>
        <v>0.50705816496482103</v>
      </c>
      <c r="CX7" s="1725">
        <f t="shared" ref="CX7:CX16" si="39">IFERROR((AC7+W7)/BF7,"")</f>
        <v>5.6106773940080706E-2</v>
      </c>
      <c r="CY7" s="1725">
        <f t="shared" ref="CY7:CY16" si="40">IFERROR(AC7/L7,"")</f>
        <v>8.3182581258838761E-2</v>
      </c>
      <c r="CZ7" s="1743">
        <f t="shared" ref="CZ7:CZ16" si="41">IFERROR(AD7/K7,"")</f>
        <v>6.6814013499029471E-7</v>
      </c>
      <c r="DA7" s="1679">
        <f t="shared" ref="DA7:DA16" si="42">IFERROR((BW7-AS7)/K7,"")</f>
        <v>1.2238484754384696E-5</v>
      </c>
      <c r="DB7" s="1743">
        <f>IF(I7&gt;0,(K7*I7)/10^9+BP7-AF7,"")</f>
        <v>1046.6441543389999</v>
      </c>
      <c r="DC7" s="1986">
        <f t="shared" ref="DC7:DC16" si="43">IFERROR(AC7+AR7+W7,"")</f>
        <v>135.64320309199999</v>
      </c>
      <c r="DD7" s="1744">
        <f>IFERROR((I7/10^9)/CZ7,"")</f>
        <v>6.1364372311798867</v>
      </c>
      <c r="DE7" s="1745">
        <f t="shared" ref="DE7:DE16" si="44">IFERROR((I7/10^9)/DA7,"")</f>
        <v>0.33500879253300436</v>
      </c>
      <c r="DF7" s="1744">
        <f>IFERROR((I7/10^9)/(Q7/K7),"")</f>
        <v>0.66069105219170832</v>
      </c>
      <c r="DG7" s="1746">
        <f t="shared" ref="DG7:DG16" si="45">IFERROR(DB7/DC7,"")</f>
        <v>7.7161562870873341</v>
      </c>
      <c r="DH7" s="1695">
        <f t="shared" ref="DH7:DH16" si="46">IFERROR(DB7/Q7,"")</f>
        <v>1.6062914603974439</v>
      </c>
    </row>
    <row r="8" spans="1:136" s="1968" customFormat="1" ht="16.899999999999999" customHeight="1" x14ac:dyDescent="0.25">
      <c r="B8" s="1969">
        <f>'5.DNCN (VND)'!B8</f>
        <v>2</v>
      </c>
      <c r="C8" s="1948">
        <f>'5.DNCN (VND)'!C8</f>
        <v>0</v>
      </c>
      <c r="D8" s="1970" t="str">
        <f>'5.DNCN (VND)'!D8</f>
        <v>CTCP Khoáng sản FECON</v>
      </c>
      <c r="E8" s="1970" t="str">
        <f>'5.DNCN (VND)'!E8</f>
        <v>KS FECON</v>
      </c>
      <c r="F8" s="1970" t="str">
        <f>'5.DNCN (VND)'!F8</f>
        <v>Cọc bê tông ly tâm</v>
      </c>
      <c r="G8" s="1970" t="str">
        <f>'5.DNCN (VND)'!G8</f>
        <v>FCM</v>
      </c>
      <c r="H8" s="1971" t="str">
        <f>'5.DNCN (VND)'!H8</f>
        <v>HOSE</v>
      </c>
      <c r="I8" s="1972">
        <f>'5.DNCN (VND)'!I8</f>
        <v>4530</v>
      </c>
      <c r="J8" s="1973">
        <f>'5.DNCN (VND)'!J8</f>
        <v>105076</v>
      </c>
      <c r="K8" s="1974">
        <f>'5.DNCN (VND)'!K8</f>
        <v>45099969</v>
      </c>
      <c r="L8" s="1951">
        <f>'5.DNCN (VND)'!L8/$D$1</f>
        <v>450.99968999999999</v>
      </c>
      <c r="M8" s="1722">
        <f>RANK(L8,L$5:L$16,0)+COUNTIF($L$5:L8,L8)-1</f>
        <v>2</v>
      </c>
      <c r="N8" s="1951">
        <f>'5.DNCN (VND)'!N8/$D$1</f>
        <v>0</v>
      </c>
      <c r="O8" s="1951">
        <f>'5.DNCN (VND)'!O8/$D$1</f>
        <v>204.30285957000001</v>
      </c>
      <c r="P8" s="1975">
        <f t="shared" si="3"/>
        <v>2489.2078882332639</v>
      </c>
      <c r="Q8" s="1976">
        <f>IFERROR('5.DNCN (VND)'!Q8/$D$1,"")</f>
        <v>458.971576519</v>
      </c>
      <c r="R8" s="1722">
        <f>RANK(Q8,Q$5:Q$16,0)+COUNTIF($Q$5:Q8,Q8)-1</f>
        <v>4</v>
      </c>
      <c r="S8" s="1974">
        <f>IFERROR('5.DNCN (VND)'!S8/$D$1,"")</f>
        <v>403.69791984099999</v>
      </c>
      <c r="T8" s="1677">
        <f t="shared" ref="T8:T10" si="47">Q8-S8</f>
        <v>55.273656678000009</v>
      </c>
      <c r="U8" s="1722">
        <f>RANK(T8,T$5:T$16,0)+COUNTIF($T$5:T8,T8)-1</f>
        <v>4</v>
      </c>
      <c r="V8" s="1977">
        <f t="shared" ref="V8:V16" si="48">IFERROR(T8/Q8,"")</f>
        <v>0.12042936753777791</v>
      </c>
      <c r="W8" s="1974">
        <f>IFERROR('5.DNCN (VND)'!W8/$D$1,"")</f>
        <v>9.7830930830000007</v>
      </c>
      <c r="X8" s="1974">
        <f>IFERROR('5.DNCN (VND)'!X8/$D$1,"")</f>
        <v>11.722854411</v>
      </c>
      <c r="Y8" s="1974">
        <f>IFERROR('5.DNCN (VND)'!Y8/$D$1,"")</f>
        <v>0.91904139600000001</v>
      </c>
      <c r="Z8" s="1974">
        <f>IFERROR('5.DNCN (VND)'!Z8/$D$1,"")</f>
        <v>26.021905667999999</v>
      </c>
      <c r="AA8" s="1974">
        <f>IFERROR('5.DNCN (VND)'!AA8/$D$1,"")</f>
        <v>7.7170248999999996E-2</v>
      </c>
      <c r="AB8" s="1978">
        <f t="shared" ref="AB8:AB10" si="49">SUM(AA8,X8,Y8,Z8)</f>
        <v>38.740971723999998</v>
      </c>
      <c r="AC8" s="1974">
        <f>IFERROR('5.DNCN (VND)'!AC8/$D$1,"")</f>
        <v>20.367835274000001</v>
      </c>
      <c r="AD8" s="1974">
        <f>IFERROR('5.DNCN (VND)'!AD8/$D$1,"")</f>
        <v>15.652456601000001</v>
      </c>
      <c r="AE8" s="1722">
        <f>RANK(AD8,AD$5:AD$16,0)+COUNTIF($AD$5:AD8,AD8)-1</f>
        <v>3</v>
      </c>
      <c r="AF8" s="1979">
        <f>IFERROR('5.DNCN (VND)'!AF8/$D$1,"")</f>
        <v>60.276416253999997</v>
      </c>
      <c r="AG8" s="1979">
        <f>IFERROR('5.DNCN (VND)'!AG8/$D$1,"")</f>
        <v>502.87241767500001</v>
      </c>
      <c r="AH8" s="1979">
        <f>IFERROR('5.DNCN (VND)'!AH8/$D$1,"")</f>
        <v>504.03933032800001</v>
      </c>
      <c r="AI8" s="1980">
        <f t="shared" si="4"/>
        <v>0.91164211248756344</v>
      </c>
      <c r="AJ8" s="1979">
        <f>IFERROR('5.DNCN (VND)'!AJ8/$D$1,"")</f>
        <v>88.528875427000003</v>
      </c>
      <c r="AK8" s="1979">
        <f>IFERROR('5.DNCN (VND)'!AK8/$D$1,"")</f>
        <v>108.836728298</v>
      </c>
      <c r="AL8" s="1980">
        <f t="shared" si="5"/>
        <v>4.0908639825964181</v>
      </c>
      <c r="AM8" s="1980">
        <f t="shared" si="6"/>
        <v>450.5156114605</v>
      </c>
      <c r="AN8" s="1980">
        <f t="shared" si="7"/>
        <v>1.0187695272780606</v>
      </c>
      <c r="AO8" s="1980">
        <f>IFERROR('5.DNCN (VND)'!AO8/$D$1,"")</f>
        <v>75.184705332999997</v>
      </c>
      <c r="AP8" s="1980">
        <f>IFERROR('5.DNCN (VND)'!AP8/$D$1,"")</f>
        <v>98.507920889000005</v>
      </c>
      <c r="AQ8" s="1980">
        <f t="shared" si="0"/>
        <v>86.846313111000001</v>
      </c>
      <c r="AR8" s="1980">
        <f>IFERROR('5.DNCN (VND)'!AR8/$D$1,"")</f>
        <v>23.141606991</v>
      </c>
      <c r="AS8" s="1974">
        <f>IFERROR('5.DNCN (VND)'!AS8/$D$1,"")</f>
        <v>4.5231594900000003</v>
      </c>
      <c r="AT8" s="1974">
        <f>IFERROR('5.DNCN (VND)'!AT8/$D$1,"")</f>
        <v>4.7047680549999997</v>
      </c>
      <c r="AU8" s="1981">
        <f t="shared" si="8"/>
        <v>4.6139637725</v>
      </c>
      <c r="AV8" s="1982">
        <f>IFERROR('5.DNCN (VND)'!AV8/$D$1,"")</f>
        <v>682.18773463599996</v>
      </c>
      <c r="AW8" s="1983">
        <f>RANK(AV8,AV$5:AV$16,0)+COUNTIF(AV$5:AV8,AV8)-1</f>
        <v>3</v>
      </c>
      <c r="AX8" s="1952">
        <f t="shared" si="9"/>
        <v>0.84475047173300488</v>
      </c>
      <c r="AY8" s="1984">
        <f>RANK(AX8,AX$5:AX$16,0)+COUNTIF(AX$5:AX8,AX8)-1</f>
        <v>2</v>
      </c>
      <c r="AZ8" s="1979">
        <f>IFERROR('5.DNCN (VND)'!AZ8/$D$1,"")</f>
        <v>703.10393252799997</v>
      </c>
      <c r="BA8" s="1979">
        <f>IFERROR('5.DNCN (VND)'!BA8/$D$1,"")</f>
        <v>125.373500857</v>
      </c>
      <c r="BB8" s="1722">
        <f>RANK(BA8,BA$5:BA$16,0)+COUNTIF(BA$5:BA8,BA8)-1</f>
        <v>5</v>
      </c>
      <c r="BC8" s="1733">
        <f t="shared" si="10"/>
        <v>0.15524952826699512</v>
      </c>
      <c r="BD8" s="1722">
        <f>RANK(BC8,BC$5:BC$16,0)+COUNTIF(BC$5:BC8,BC8)-1</f>
        <v>10</v>
      </c>
      <c r="BE8" s="1979">
        <f>IFERROR('5.DNCN (VND)'!BE8/$D$1,"")</f>
        <v>130.84384804600001</v>
      </c>
      <c r="BF8" s="1974">
        <f t="shared" si="11"/>
        <v>807.56123549299991</v>
      </c>
      <c r="BG8" s="1722">
        <f>RANK(BF8,BF$5:BF$16,0)+COUNTIF(BF$7:BF8,BF8)-1</f>
        <v>3</v>
      </c>
      <c r="BH8" s="1979">
        <f t="shared" si="12"/>
        <v>833.94778057400003</v>
      </c>
      <c r="BI8" s="1727">
        <f t="shared" si="13"/>
        <v>820.75450803349997</v>
      </c>
      <c r="BJ8" s="1979">
        <f t="shared" si="14"/>
        <v>222.94926735300001</v>
      </c>
      <c r="BK8" s="1979">
        <f t="shared" si="15"/>
        <v>261.88217689000004</v>
      </c>
      <c r="BL8" s="1980">
        <f t="shared" si="2"/>
        <v>1.6653124488298019</v>
      </c>
      <c r="BM8" s="1979">
        <f>IFERROR('5.DNCN (VND)'!BM8/$D$1,"")</f>
        <v>111.426508935</v>
      </c>
      <c r="BN8" s="1974">
        <f>IFERROR('5.DNCN (VND)'!BN8/$D$1,"")</f>
        <v>111.426508935</v>
      </c>
      <c r="BO8" s="1974">
        <f>IFERROR('5.DNCN (VND)'!BO8/$D$1,"")</f>
        <v>111.572057758</v>
      </c>
      <c r="BP8" s="1762">
        <f t="shared" si="16"/>
        <v>111.572057758</v>
      </c>
      <c r="BQ8" s="1979">
        <f>IFERROR('5.DNCN (VND)'!BQ8/$D$1,"")</f>
        <v>0.28599999999999998</v>
      </c>
      <c r="BR8" s="1985">
        <f t="shared" ref="BR8:BR16" si="50">BQ8/SUM(BQ8,BT8,BW8)</f>
        <v>3.5415270994948477E-4</v>
      </c>
      <c r="BS8" s="1979">
        <f>IFERROR('5.DNCN (VND)'!BS8/$D$1,"")</f>
        <v>0.28499999999999998</v>
      </c>
      <c r="BT8" s="1979">
        <f>IFERROR('5.DNCN (VND)'!BT8/$D$1,"")</f>
        <v>222.66326735300001</v>
      </c>
      <c r="BU8" s="1985">
        <f t="shared" si="17"/>
        <v>0.27572307531213847</v>
      </c>
      <c r="BV8" s="1979">
        <f>IFERROR('5.DNCN (VND)'!BV8/$D$1,"")</f>
        <v>261.59717689000001</v>
      </c>
      <c r="BW8" s="1974">
        <f t="shared" ref="BW8:BW16" si="51">BF8-BQ8-BT8</f>
        <v>584.61196813999993</v>
      </c>
      <c r="BX8" s="1722">
        <f>RANK(BW8,BW$5:BW$16,0)+COUNTIF(BW$7:BW8,BW8)-1</f>
        <v>3</v>
      </c>
      <c r="BY8" s="1985">
        <f t="shared" si="18"/>
        <v>0.72392277197791211</v>
      </c>
      <c r="BZ8" s="1722">
        <f>RANK(BY8,BY$5:BY$16,0)+COUNTIF(BY$7:BY8,BY8)-1</f>
        <v>2</v>
      </c>
      <c r="CA8" s="1979">
        <f t="shared" ref="CA8:CA16" si="52">BH8-BS8-BV8</f>
        <v>572.06560368400005</v>
      </c>
      <c r="CB8" s="1980">
        <f t="shared" ref="CB8:CB16" si="53">(BW8+CA8)/2</f>
        <v>578.33878591200005</v>
      </c>
      <c r="CC8" s="1980">
        <f>IFERROR('5.DNCN (VND)'!CC8/$D$1,"")</f>
        <v>48.894219763999999</v>
      </c>
      <c r="CD8" s="1977">
        <f t="shared" si="19"/>
        <v>0.10841297865193654</v>
      </c>
      <c r="CE8" s="1765">
        <f t="shared" si="20"/>
        <v>3.0637641437035557</v>
      </c>
      <c r="CF8" s="1687">
        <f t="shared" si="21"/>
        <v>2.6661733040494764</v>
      </c>
      <c r="CG8" s="1765">
        <f t="shared" si="22"/>
        <v>0.27070660091608451</v>
      </c>
      <c r="CH8" s="1766">
        <f t="shared" si="23"/>
        <v>3.0819422958770595</v>
      </c>
      <c r="CI8" s="1766">
        <f t="shared" si="24"/>
        <v>0.99951102582744566</v>
      </c>
      <c r="CJ8" s="1766">
        <f t="shared" si="25"/>
        <v>0</v>
      </c>
      <c r="CK8" s="1765">
        <f t="shared" si="26"/>
        <v>4.8921338526465151E-4</v>
      </c>
      <c r="CL8" s="1765">
        <f t="shared" si="27"/>
        <v>0.38136281756655593</v>
      </c>
      <c r="CM8" s="1765">
        <f t="shared" si="28"/>
        <v>3.5415270994948477E-4</v>
      </c>
      <c r="CN8" s="1767">
        <f t="shared" si="29"/>
        <v>0.27607722802208795</v>
      </c>
      <c r="CO8" s="1687">
        <f t="shared" si="30"/>
        <v>0.5592068907652793</v>
      </c>
      <c r="CP8" s="1687">
        <f t="shared" si="31"/>
        <v>0.79360331297032716</v>
      </c>
      <c r="CQ8" s="1687">
        <f t="shared" si="32"/>
        <v>5.2848711715876675</v>
      </c>
      <c r="CR8" s="1689">
        <f t="shared" si="33"/>
        <v>0.66263529536507904</v>
      </c>
      <c r="CS8" s="1725">
        <f t="shared" si="34"/>
        <v>1.9070814047068421E-2</v>
      </c>
      <c r="CT8" s="1977">
        <f t="shared" si="35"/>
        <v>2.7064511290414605E-2</v>
      </c>
      <c r="CU8" s="1725">
        <f t="shared" si="36"/>
        <v>3.4103324479728511E-2</v>
      </c>
      <c r="CV8" s="1742">
        <f t="shared" si="37"/>
        <v>0.56834275389507405</v>
      </c>
      <c r="CW8" s="1742">
        <f t="shared" si="38"/>
        <v>0.78508754786403512</v>
      </c>
      <c r="CX8" s="1725">
        <f t="shared" si="39"/>
        <v>3.7335779668266844E-2</v>
      </c>
      <c r="CY8" s="1725">
        <f t="shared" si="40"/>
        <v>4.5161528323888651E-2</v>
      </c>
      <c r="CZ8" s="1743">
        <f t="shared" si="41"/>
        <v>3.4706136052998173E-7</v>
      </c>
      <c r="DA8" s="1679">
        <f t="shared" si="42"/>
        <v>1.286228841199425E-5</v>
      </c>
      <c r="DB8" s="1743">
        <f t="shared" ref="DB8:DB16" si="54">IF(I8&gt;0,(K8*I8)/10^9+BP8-AF8,"")</f>
        <v>255.59850107400004</v>
      </c>
      <c r="DC8" s="1986">
        <f t="shared" si="43"/>
        <v>53.292535348000001</v>
      </c>
      <c r="DD8" s="1744">
        <f t="shared" ref="DD8:DD16" si="55">IFERROR((I8/10^9)/CZ8,"")</f>
        <v>13.052446959472645</v>
      </c>
      <c r="DE8" s="1745">
        <f t="shared" si="44"/>
        <v>0.3521923824827094</v>
      </c>
      <c r="DF8" s="1744">
        <f t="shared" ref="DF8:DF16" si="56">IFERROR((I8/10^9)/(Q8/K8),"")</f>
        <v>0.44513183391334143</v>
      </c>
      <c r="DG8" s="1746">
        <f t="shared" si="45"/>
        <v>4.7961407616459422</v>
      </c>
      <c r="DH8" s="1695">
        <f t="shared" si="46"/>
        <v>0.55689396500878752</v>
      </c>
    </row>
    <row r="9" spans="1:136" s="1968" customFormat="1" ht="16.899999999999999" customHeight="1" x14ac:dyDescent="0.25">
      <c r="B9" s="1969">
        <f>'5.DNCN (VND)'!B9</f>
        <v>3</v>
      </c>
      <c r="C9" s="1948">
        <f>'5.DNCN (VND)'!C9</f>
        <v>1</v>
      </c>
      <c r="D9" s="1970" t="str">
        <f>'5.DNCN (VND)'!D9</f>
        <v>CTCP Đầu tư và Xây dựng Tiền Giang</v>
      </c>
      <c r="E9" s="1970" t="str">
        <f>'5.DNCN (VND)'!E9</f>
        <v>XD Tiền Giang</v>
      </c>
      <c r="F9" s="1970" t="str">
        <f>'5.DNCN (VND)'!F9</f>
        <v>Sản xuất bê tông</v>
      </c>
      <c r="G9" s="1970" t="str">
        <f>'5.DNCN (VND)'!G9</f>
        <v>THG</v>
      </c>
      <c r="H9" s="1971" t="str">
        <f>'5.DNCN (VND)'!H9</f>
        <v>HOSE</v>
      </c>
      <c r="I9" s="1972">
        <f>'5.DNCN (VND)'!I9</f>
        <v>41350</v>
      </c>
      <c r="J9" s="1973">
        <f>'5.DNCN (VND)'!J9</f>
        <v>49105</v>
      </c>
      <c r="K9" s="1974">
        <f>'5.DNCN (VND)'!K9</f>
        <v>22957896</v>
      </c>
      <c r="L9" s="1951">
        <f>'5.DNCN (VND)'!L9/$D$1</f>
        <v>229.57896</v>
      </c>
      <c r="M9" s="1722">
        <f>RANK(L9,L$5:L$16,0)+COUNTIF($L$5:L9,L9)-1</f>
        <v>4</v>
      </c>
      <c r="N9" s="1951">
        <f>'5.DNCN (VND)'!N9/$D$1</f>
        <v>0</v>
      </c>
      <c r="O9" s="1951">
        <f>'5.DNCN (VND)'!O9/$D$1</f>
        <v>949.30899959999999</v>
      </c>
      <c r="P9" s="1975">
        <f t="shared" si="3"/>
        <v>5130.2723787109035</v>
      </c>
      <c r="Q9" s="1976">
        <f>IFERROR('5.DNCN (VND)'!Q9/$D$1,"")</f>
        <v>1669.7804653170001</v>
      </c>
      <c r="R9" s="1722">
        <f>RANK(Q9,Q$5:Q$16,0)+COUNTIF($Q$5:Q9,Q9)-1</f>
        <v>1</v>
      </c>
      <c r="S9" s="1974">
        <f>IFERROR('5.DNCN (VND)'!S9/$D$1,"")</f>
        <v>1287.9836790689999</v>
      </c>
      <c r="T9" s="1677">
        <f t="shared" si="47"/>
        <v>381.79678624800022</v>
      </c>
      <c r="U9" s="1722">
        <f>RANK(T9,T$5:T$16,0)+COUNTIF($T$5:T9,T9)-1</f>
        <v>1</v>
      </c>
      <c r="V9" s="1977">
        <f t="shared" si="48"/>
        <v>0.22865088805283026</v>
      </c>
      <c r="W9" s="1974">
        <f>IFERROR('5.DNCN (VND)'!W9/$D$1,"")</f>
        <v>19.868241313999999</v>
      </c>
      <c r="X9" s="1974">
        <f>IFERROR('5.DNCN (VND)'!X9/$D$1,"")</f>
        <v>19.899248467</v>
      </c>
      <c r="Y9" s="1974">
        <f>IFERROR('5.DNCN (VND)'!Y9/$D$1,"")</f>
        <v>161.08742407</v>
      </c>
      <c r="Z9" s="1974">
        <f>IFERROR('5.DNCN (VND)'!Z9/$D$1,"")</f>
        <v>61.999600604000001</v>
      </c>
      <c r="AA9" s="1974">
        <f>IFERROR('5.DNCN (VND)'!AA9/$D$1,"")</f>
        <v>1.3218760009999999</v>
      </c>
      <c r="AB9" s="1978">
        <f t="shared" si="49"/>
        <v>244.30814914199999</v>
      </c>
      <c r="AC9" s="1974">
        <f>IFERROR('5.DNCN (VND)'!AC9/$D$1,"")</f>
        <v>147.28292838199999</v>
      </c>
      <c r="AD9" s="1974">
        <f>IFERROR('5.DNCN (VND)'!AD9/$D$1,"")</f>
        <v>181.56425567599999</v>
      </c>
      <c r="AE9" s="1722">
        <f>RANK(AD9,AD$5:AD$16,0)+COUNTIF($AD$5:AD9,AD9)-1</f>
        <v>1</v>
      </c>
      <c r="AF9" s="1979">
        <f>IFERROR('5.DNCN (VND)'!AF9/$D$1,"")</f>
        <v>216.604276306</v>
      </c>
      <c r="AG9" s="1979">
        <f>IFERROR('5.DNCN (VND)'!AG9/$D$1,"")</f>
        <v>287.48214133699997</v>
      </c>
      <c r="AH9" s="1979">
        <f>IFERROR('5.DNCN (VND)'!AH9/$D$1,"")</f>
        <v>335.66111244199999</v>
      </c>
      <c r="AI9" s="1980">
        <f t="shared" si="4"/>
        <v>5.3592186232965107</v>
      </c>
      <c r="AJ9" s="1979">
        <f>IFERROR('5.DNCN (VND)'!AJ9/$D$1,"")</f>
        <v>730.16029420699999</v>
      </c>
      <c r="AK9" s="1979">
        <f>IFERROR('5.DNCN (VND)'!AK9/$D$1,"")</f>
        <v>628.79493071900004</v>
      </c>
      <c r="AL9" s="1980">
        <f t="shared" si="5"/>
        <v>1.8955498392364403</v>
      </c>
      <c r="AM9" s="1980">
        <f t="shared" si="6"/>
        <v>330.87435729599997</v>
      </c>
      <c r="AN9" s="1980">
        <f t="shared" si="7"/>
        <v>5.0465695769322361</v>
      </c>
      <c r="AO9" s="1980">
        <f>IFERROR('5.DNCN (VND)'!AO9/$D$1,"")</f>
        <v>305.20571901199997</v>
      </c>
      <c r="AP9" s="1980">
        <f>IFERROR('5.DNCN (VND)'!AP9/$D$1,"")</f>
        <v>338.96001517299999</v>
      </c>
      <c r="AQ9" s="1980">
        <f t="shared" si="0"/>
        <v>322.08286709250001</v>
      </c>
      <c r="AR9" s="1980">
        <f>IFERROR('5.DNCN (VND)'!AR9/$D$1,"")</f>
        <v>52.343534486999999</v>
      </c>
      <c r="AS9" s="1974">
        <f>IFERROR('5.DNCN (VND)'!AS9/$D$1,"")</f>
        <v>33.865373681999998</v>
      </c>
      <c r="AT9" s="1974">
        <f>IFERROR('5.DNCN (VND)'!AT9/$D$1,"")</f>
        <v>32.316067900999997</v>
      </c>
      <c r="AU9" s="1981">
        <f t="shared" si="8"/>
        <v>33.090720791499997</v>
      </c>
      <c r="AV9" s="1982">
        <f>IFERROR('5.DNCN (VND)'!AV9/$D$1,"")</f>
        <v>1312.9521201709999</v>
      </c>
      <c r="AW9" s="1983">
        <f>RANK(AV9,AV$5:AV$16,0)+COUNTIF(AV$5:AV9,AV9)-1</f>
        <v>2</v>
      </c>
      <c r="AX9" s="1952">
        <f t="shared" si="9"/>
        <v>0.70884935983089326</v>
      </c>
      <c r="AY9" s="1984">
        <f>RANK(AX9,AX$5:AX$16,0)+COUNTIF(AX$5:AX9,AX9)-1</f>
        <v>8</v>
      </c>
      <c r="AZ9" s="1979">
        <f>IFERROR('5.DNCN (VND)'!AZ9/$D$1,"")</f>
        <v>1237.599202156</v>
      </c>
      <c r="BA9" s="1979">
        <f>IFERROR('5.DNCN (VND)'!BA9/$D$1,"")</f>
        <v>539.27797916099996</v>
      </c>
      <c r="BB9" s="1722">
        <f>RANK(BA9,BA$5:BA$16,0)+COUNTIF(BA$5:BA9,BA9)-1</f>
        <v>2</v>
      </c>
      <c r="BC9" s="1733">
        <f t="shared" si="10"/>
        <v>0.29115064016910674</v>
      </c>
      <c r="BD9" s="1722">
        <f>RANK(BC9,BC$5:BC$16,0)+COUNTIF(BC$5:BC9,BC9)-1</f>
        <v>4</v>
      </c>
      <c r="BE9" s="1979">
        <f>IFERROR('5.DNCN (VND)'!BE9/$D$1,"")</f>
        <v>610.98394787999996</v>
      </c>
      <c r="BF9" s="1974">
        <f t="shared" si="11"/>
        <v>1852.230099332</v>
      </c>
      <c r="BG9" s="1722">
        <f>RANK(BF9,BF$5:BF$16,0)+COUNTIF(BF$7:BF9,BF9)-1</f>
        <v>2</v>
      </c>
      <c r="BH9" s="1979">
        <f t="shared" si="12"/>
        <v>1848.583150036</v>
      </c>
      <c r="BI9" s="1727">
        <f t="shared" si="13"/>
        <v>1850.406624684</v>
      </c>
      <c r="BJ9" s="1979">
        <f t="shared" si="14"/>
        <v>1163.7560798679999</v>
      </c>
      <c r="BK9" s="1979">
        <f t="shared" si="15"/>
        <v>1206.846056372</v>
      </c>
      <c r="BL9" s="1980">
        <f t="shared" si="2"/>
        <v>1.0866299826354366</v>
      </c>
      <c r="BM9" s="1979">
        <f>IFERROR('5.DNCN (VND)'!BM9/$D$1,"")</f>
        <v>316.577994929</v>
      </c>
      <c r="BN9" s="1974">
        <f>IFERROR('5.DNCN (VND)'!BN9/$D$1,"")</f>
        <v>485.63954847100001</v>
      </c>
      <c r="BO9" s="1974">
        <f>IFERROR('5.DNCN (VND)'!BO9/$D$1,"")</f>
        <v>491.93247701199999</v>
      </c>
      <c r="BP9" s="1762">
        <f t="shared" si="16"/>
        <v>491.93247701199999</v>
      </c>
      <c r="BQ9" s="1979">
        <f>IFERROR('5.DNCN (VND)'!BQ9/$D$1,"")</f>
        <v>173.117008701</v>
      </c>
      <c r="BR9" s="1985">
        <f t="shared" si="50"/>
        <v>9.346409431713372E-2</v>
      </c>
      <c r="BS9" s="1979">
        <f>IFERROR('5.DNCN (VND)'!BS9/$D$1,"")</f>
        <v>308.68251980399998</v>
      </c>
      <c r="BT9" s="1979">
        <f>IFERROR('5.DNCN (VND)'!BT9/$D$1,"")</f>
        <v>990.639071167</v>
      </c>
      <c r="BU9" s="1985">
        <f t="shared" si="17"/>
        <v>0.53483585626012142</v>
      </c>
      <c r="BV9" s="1979">
        <f>IFERROR('5.DNCN (VND)'!BV9/$D$1,"")</f>
        <v>898.16353656800004</v>
      </c>
      <c r="BW9" s="1974">
        <f t="shared" si="51"/>
        <v>688.47401946399998</v>
      </c>
      <c r="BX9" s="1722">
        <f>RANK(BW9,BW$5:BW$16,0)+COUNTIF(BW$7:BW9,BW9)-1</f>
        <v>2</v>
      </c>
      <c r="BY9" s="1985">
        <f t="shared" si="18"/>
        <v>0.37170004942274482</v>
      </c>
      <c r="BZ9" s="1722">
        <f>RANK(BY9,BY$5:BY$16,0)+COUNTIF(BY$7:BY9,BY9)-1</f>
        <v>9</v>
      </c>
      <c r="CA9" s="1979">
        <f t="shared" si="52"/>
        <v>641.73709366399987</v>
      </c>
      <c r="CB9" s="1980">
        <f t="shared" si="53"/>
        <v>665.10555656399993</v>
      </c>
      <c r="CC9" s="1980">
        <f>IFERROR('5.DNCN (VND)'!CC9/$D$1,"")</f>
        <v>253.86650895299999</v>
      </c>
      <c r="CD9" s="1977">
        <f t="shared" si="19"/>
        <v>1.1057917021359449</v>
      </c>
      <c r="CE9" s="1765">
        <f t="shared" si="20"/>
        <v>1.325358708721539</v>
      </c>
      <c r="CF9" s="1687">
        <f t="shared" si="21"/>
        <v>0.58829884962790246</v>
      </c>
      <c r="CG9" s="1765">
        <f t="shared" si="22"/>
        <v>0.21865105325477849</v>
      </c>
      <c r="CH9" s="1766">
        <f t="shared" si="23"/>
        <v>8.4129826618432624</v>
      </c>
      <c r="CI9" s="1766">
        <f t="shared" si="24"/>
        <v>0.79907287443591268</v>
      </c>
      <c r="CJ9" s="1766">
        <f t="shared" si="25"/>
        <v>0</v>
      </c>
      <c r="CK9" s="1765">
        <f t="shared" si="26"/>
        <v>0.2514503144734167</v>
      </c>
      <c r="CL9" s="1765">
        <f t="shared" si="27"/>
        <v>1.6903413156737896</v>
      </c>
      <c r="CM9" s="1765">
        <f t="shared" si="28"/>
        <v>9.346409431713372E-2</v>
      </c>
      <c r="CN9" s="1767">
        <f t="shared" si="29"/>
        <v>0.62829995057725507</v>
      </c>
      <c r="CO9" s="1687">
        <f t="shared" si="30"/>
        <v>0.90238569352406739</v>
      </c>
      <c r="CP9" s="1687">
        <f t="shared" si="31"/>
        <v>2.5105495644078641</v>
      </c>
      <c r="CQ9" s="1687">
        <f t="shared" si="32"/>
        <v>5.1843194280726843</v>
      </c>
      <c r="CR9" s="1689">
        <f t="shared" si="33"/>
        <v>1.3093486499958551</v>
      </c>
      <c r="CS9" s="1725">
        <f t="shared" si="34"/>
        <v>9.8121274131844571E-2</v>
      </c>
      <c r="CT9" s="1977">
        <f t="shared" si="35"/>
        <v>0.27298562443829011</v>
      </c>
      <c r="CU9" s="1725">
        <f t="shared" si="36"/>
        <v>0.10873540531062019</v>
      </c>
      <c r="CV9" s="1742">
        <f t="shared" si="37"/>
        <v>0.90149731716334824</v>
      </c>
      <c r="CW9" s="1742">
        <f t="shared" si="38"/>
        <v>2.4253354783336341</v>
      </c>
      <c r="CX9" s="1725">
        <f t="shared" si="39"/>
        <v>9.0243199133996602E-2</v>
      </c>
      <c r="CY9" s="1725">
        <f t="shared" si="40"/>
        <v>0.64153495765465618</v>
      </c>
      <c r="CZ9" s="1743">
        <f t="shared" si="41"/>
        <v>7.9085755800967116E-6</v>
      </c>
      <c r="DA9" s="1679">
        <f t="shared" si="42"/>
        <v>2.8513442424427741E-5</v>
      </c>
      <c r="DB9" s="1743">
        <f t="shared" si="54"/>
        <v>1224.6372003060001</v>
      </c>
      <c r="DC9" s="1986">
        <f t="shared" si="43"/>
        <v>219.49470418299998</v>
      </c>
      <c r="DD9" s="1744">
        <f t="shared" si="55"/>
        <v>5.2285015906106249</v>
      </c>
      <c r="DE9" s="1745">
        <f t="shared" si="44"/>
        <v>1.4501931890403754</v>
      </c>
      <c r="DF9" s="1744">
        <f t="shared" si="56"/>
        <v>0.56852323962226858</v>
      </c>
      <c r="DG9" s="1746">
        <f t="shared" si="45"/>
        <v>5.5793473690598914</v>
      </c>
      <c r="DH9" s="1695">
        <f t="shared" si="46"/>
        <v>0.73341210161630943</v>
      </c>
    </row>
    <row r="10" spans="1:136" s="1968" customFormat="1" ht="16.899999999999999" customHeight="1" x14ac:dyDescent="0.25">
      <c r="B10" s="1969">
        <f>'5.DNCN (VND)'!B10</f>
        <v>4</v>
      </c>
      <c r="C10" s="1948">
        <f>'5.DNCN (VND)'!C10</f>
        <v>1</v>
      </c>
      <c r="D10" s="1970" t="str">
        <f>'5.DNCN (VND)'!D10</f>
        <v>CTCP Bê tông Hòa Cầm - Intimex</v>
      </c>
      <c r="E10" s="1970" t="str">
        <f>'5.DNCN (VND)'!E10</f>
        <v>Hòa Cầm</v>
      </c>
      <c r="F10" s="1970" t="str">
        <f>'5.DNCN (VND)'!F10</f>
        <v>Sản xuất bê tông</v>
      </c>
      <c r="G10" s="1970" t="str">
        <f>'5.DNCN (VND)'!G10</f>
        <v>HCC</v>
      </c>
      <c r="H10" s="1971" t="str">
        <f>'5.DNCN (VND)'!H10</f>
        <v>HNX</v>
      </c>
      <c r="I10" s="1972">
        <f>'5.DNCN (VND)'!I10</f>
        <v>10800</v>
      </c>
      <c r="J10" s="1973">
        <f>'5.DNCN (VND)'!J10</f>
        <v>3154</v>
      </c>
      <c r="K10" s="1974">
        <f>'5.DNCN (VND)'!K10</f>
        <v>6518547</v>
      </c>
      <c r="L10" s="1951">
        <f>'5.DNCN (VND)'!L10/$D$1</f>
        <v>65.185469999999995</v>
      </c>
      <c r="M10" s="1722">
        <f>RANK(L10,L$5:L$16,0)+COUNTIF($L$5:L10,L10)-1</f>
        <v>8</v>
      </c>
      <c r="N10" s="1951">
        <f>'5.DNCN (VND)'!N10/$D$1</f>
        <v>0</v>
      </c>
      <c r="O10" s="1951">
        <f>'5.DNCN (VND)'!O10/$D$1</f>
        <v>70.400307600000005</v>
      </c>
      <c r="P10" s="1975">
        <f t="shared" si="3"/>
        <v>4975.9192310000017</v>
      </c>
      <c r="Q10" s="1976">
        <f>IFERROR('5.DNCN (VND)'!Q10/$D$1,"")</f>
        <v>233.500103053</v>
      </c>
      <c r="R10" s="1722">
        <f>RANK(Q10,Q$5:Q$16,0)+COUNTIF($Q$5:Q10,Q10)-1</f>
        <v>7</v>
      </c>
      <c r="S10" s="1974">
        <f>IFERROR('5.DNCN (VND)'!S10/$D$1,"")</f>
        <v>213.02046185399999</v>
      </c>
      <c r="T10" s="1677">
        <f t="shared" si="47"/>
        <v>20.479641199000014</v>
      </c>
      <c r="U10" s="1722">
        <f>RANK(T10,T$5:T$16,0)+COUNTIF($T$5:T10,T10)-1</f>
        <v>6</v>
      </c>
      <c r="V10" s="1977">
        <f t="shared" si="48"/>
        <v>8.7707204113531084E-2</v>
      </c>
      <c r="W10" s="1974">
        <f>IFERROR('5.DNCN (VND)'!W10/$D$1,"")</f>
        <v>1.491949419</v>
      </c>
      <c r="X10" s="1974">
        <f>IFERROR('5.DNCN (VND)'!X10/$D$1,"")</f>
        <v>2.2208957909999998</v>
      </c>
      <c r="Y10" s="1974">
        <f>IFERROR('5.DNCN (VND)'!Y10/$D$1,"")</f>
        <v>0</v>
      </c>
      <c r="Z10" s="1974">
        <f>IFERROR('5.DNCN (VND)'!Z10/$D$1,"")</f>
        <v>6.1904615160000001</v>
      </c>
      <c r="AA10" s="1974">
        <f>IFERROR('5.DNCN (VND)'!AA10/$D$1,"")</f>
        <v>0.91780205400000003</v>
      </c>
      <c r="AB10" s="1978">
        <f t="shared" si="49"/>
        <v>9.3291593610000003</v>
      </c>
      <c r="AC10" s="1974">
        <f>IFERROR('5.DNCN (VND)'!AC10/$D$1,"")</f>
        <v>11.258779492</v>
      </c>
      <c r="AD10" s="1974">
        <f>IFERROR('5.DNCN (VND)'!AD10/$D$1,"")</f>
        <v>9.1318815129999997</v>
      </c>
      <c r="AE10" s="1722">
        <f>RANK(AD10,AD$5:AD$16,0)+COUNTIF($AD$5:AD10,AD10)-1</f>
        <v>6</v>
      </c>
      <c r="AF10" s="1979">
        <f>IFERROR('5.DNCN (VND)'!AF10/$D$1,"")</f>
        <v>1.5191518900000001</v>
      </c>
      <c r="AG10" s="1979">
        <f>IFERROR('5.DNCN (VND)'!AG10/$D$1,"")</f>
        <v>76.290258293999997</v>
      </c>
      <c r="AH10" s="1979">
        <f>IFERROR('5.DNCN (VND)'!AH10/$D$1,"")</f>
        <v>91.153624086999997</v>
      </c>
      <c r="AI10" s="1980">
        <f t="shared" si="4"/>
        <v>2.7889953306469137</v>
      </c>
      <c r="AJ10" s="1979">
        <f>IFERROR('5.DNCN (VND)'!AJ10/$D$1,"")</f>
        <v>10.716132847000001</v>
      </c>
      <c r="AK10" s="1979">
        <f>IFERROR('5.DNCN (VND)'!AK10/$D$1,"")</f>
        <v>6.5729778239999996</v>
      </c>
      <c r="AL10" s="1980">
        <f t="shared" si="5"/>
        <v>24.6421537703858</v>
      </c>
      <c r="AM10" s="1980">
        <f t="shared" si="6"/>
        <v>34.315385104000001</v>
      </c>
      <c r="AN10" s="1980">
        <f t="shared" si="7"/>
        <v>6.8045310389298788</v>
      </c>
      <c r="AO10" s="1980">
        <f>IFERROR('5.DNCN (VND)'!AO10/$D$1,"")</f>
        <v>34.227758129999998</v>
      </c>
      <c r="AP10" s="1980">
        <f>IFERROR('5.DNCN (VND)'!AP10/$D$1,"")</f>
        <v>41.283861917000003</v>
      </c>
      <c r="AQ10" s="1980">
        <f t="shared" si="0"/>
        <v>37.755810023500004</v>
      </c>
      <c r="AR10" s="1980">
        <f>IFERROR('5.DNCN (VND)'!AR10/$D$1,"")</f>
        <v>8.8383351349999995</v>
      </c>
      <c r="AS10" s="1974">
        <f>IFERROR('5.DNCN (VND)'!AS10/$D$1,"")</f>
        <v>0.449455257</v>
      </c>
      <c r="AT10" s="1974">
        <f>IFERROR('5.DNCN (VND)'!AT10/$D$1,"")</f>
        <v>0.55945523699999999</v>
      </c>
      <c r="AU10" s="1981">
        <f t="shared" si="8"/>
        <v>0.504455247</v>
      </c>
      <c r="AV10" s="1982">
        <f>IFERROR('5.DNCN (VND)'!AV10/$D$1,"")</f>
        <v>88.693917643000006</v>
      </c>
      <c r="AW10" s="1983">
        <f>RANK(AV10,AV$5:AV$16,0)+COUNTIF(AV$5:AV10,AV10)-1</f>
        <v>7</v>
      </c>
      <c r="AX10" s="1952">
        <f t="shared" si="9"/>
        <v>0.67572432126747228</v>
      </c>
      <c r="AY10" s="1984">
        <f>RANK(AX10,AX$5:AX$16,0)+COUNTIF(AX$5:AX10,AX10)-1</f>
        <v>10</v>
      </c>
      <c r="AZ10" s="1979">
        <f>IFERROR('5.DNCN (VND)'!AZ10/$D$1,"")</f>
        <v>100.022360879</v>
      </c>
      <c r="BA10" s="1979">
        <f>IFERROR('5.DNCN (VND)'!BA10/$D$1,"")</f>
        <v>42.563630519</v>
      </c>
      <c r="BB10" s="1722">
        <f>RANK(BA10,BA$5:BA$16,0)+COUNTIF(BA$5:BA10,BA10)-1</f>
        <v>7</v>
      </c>
      <c r="BC10" s="1733">
        <f t="shared" si="10"/>
        <v>0.32427567873252772</v>
      </c>
      <c r="BD10" s="1722">
        <f>RANK(BC10,BC$5:BC$16,0)+COUNTIF(BC$5:BC10,BC10)-1</f>
        <v>2</v>
      </c>
      <c r="BE10" s="1979">
        <f>IFERROR('5.DNCN (VND)'!BE10/$D$1,"")</f>
        <v>51.684119641000002</v>
      </c>
      <c r="BF10" s="1974">
        <f t="shared" si="11"/>
        <v>131.25754816200001</v>
      </c>
      <c r="BG10" s="1722">
        <f>RANK(BF10,BF$5:BF$16,0)+COUNTIF(BF$7:BF10,BF10)-1</f>
        <v>8</v>
      </c>
      <c r="BH10" s="1979">
        <f t="shared" si="12"/>
        <v>151.70648052000001</v>
      </c>
      <c r="BI10" s="1727">
        <f t="shared" si="13"/>
        <v>141.48201434100002</v>
      </c>
      <c r="BJ10" s="1979">
        <f t="shared" si="14"/>
        <v>50.466657148000003</v>
      </c>
      <c r="BK10" s="1979">
        <f t="shared" si="15"/>
        <v>69.618851165999999</v>
      </c>
      <c r="BL10" s="1980">
        <f t="shared" si="2"/>
        <v>3.5478129683557378</v>
      </c>
      <c r="BM10" s="1979">
        <f>IFERROR('5.DNCN (VND)'!BM10/$D$1,"")</f>
        <v>5.18017181</v>
      </c>
      <c r="BN10" s="1974">
        <f>IFERROR('5.DNCN (VND)'!BN10/$D$1,"")</f>
        <v>5.18017181</v>
      </c>
      <c r="BO10" s="1974">
        <f>IFERROR('5.DNCN (VND)'!BO10/$D$1,"")</f>
        <v>19.200254296000001</v>
      </c>
      <c r="BP10" s="1762">
        <f t="shared" si="16"/>
        <v>19.200254296000001</v>
      </c>
      <c r="BQ10" s="1979">
        <f>IFERROR('5.DNCN (VND)'!BQ10/$D$1,"")</f>
        <v>0</v>
      </c>
      <c r="BR10" s="1985">
        <f t="shared" si="50"/>
        <v>0</v>
      </c>
      <c r="BS10" s="1979">
        <f>IFERROR('5.DNCN (VND)'!BS10/$D$1,"")</f>
        <v>0</v>
      </c>
      <c r="BT10" s="1979">
        <f>IFERROR('5.DNCN (VND)'!BT10/$D$1,"")</f>
        <v>50.466657148000003</v>
      </c>
      <c r="BU10" s="1985">
        <f t="shared" si="17"/>
        <v>0.38448575228384818</v>
      </c>
      <c r="BV10" s="1979">
        <f>IFERROR('5.DNCN (VND)'!BV10/$D$1,"")</f>
        <v>69.618851165999999</v>
      </c>
      <c r="BW10" s="1974">
        <f t="shared" si="51"/>
        <v>80.79089101400001</v>
      </c>
      <c r="BX10" s="1722">
        <f>RANK(BW10,BW$5:BW$16,0)+COUNTIF(BW$7:BW10,BW10)-1</f>
        <v>6</v>
      </c>
      <c r="BY10" s="1985">
        <f t="shared" si="18"/>
        <v>0.61551424771615193</v>
      </c>
      <c r="BZ10" s="1722">
        <f>RANK(BY10,BY$5:BY$16,0)+COUNTIF(BY$7:BY10,BY10)-1</f>
        <v>3</v>
      </c>
      <c r="CA10" s="1979">
        <f t="shared" si="52"/>
        <v>82.087629354000015</v>
      </c>
      <c r="CB10" s="1980">
        <f t="shared" si="53"/>
        <v>81.439260184000005</v>
      </c>
      <c r="CC10" s="1980">
        <f>IFERROR('5.DNCN (VND)'!CC10/$D$1,"")</f>
        <v>9.1319400129999995</v>
      </c>
      <c r="CD10" s="1977">
        <f t="shared" si="19"/>
        <v>0.14009164945807709</v>
      </c>
      <c r="CE10" s="1765">
        <f t="shared" si="20"/>
        <v>1.7574755820044434</v>
      </c>
      <c r="CF10" s="1687">
        <f t="shared" si="21"/>
        <v>1.5451347325684772</v>
      </c>
      <c r="CG10" s="1765">
        <f t="shared" si="22"/>
        <v>3.010209068424902E-2</v>
      </c>
      <c r="CH10" s="1766">
        <f t="shared" si="23"/>
        <v>8.5463546877791305</v>
      </c>
      <c r="CI10" s="1766">
        <f t="shared" si="24"/>
        <v>1</v>
      </c>
      <c r="CJ10" s="1766">
        <f t="shared" si="25"/>
        <v>0</v>
      </c>
      <c r="CK10" s="1765">
        <f t="shared" si="26"/>
        <v>0</v>
      </c>
      <c r="CL10" s="1765">
        <f t="shared" si="27"/>
        <v>0.62465776171789944</v>
      </c>
      <c r="CM10" s="1765">
        <f t="shared" si="28"/>
        <v>0</v>
      </c>
      <c r="CN10" s="1767">
        <f t="shared" si="29"/>
        <v>0.38448575228384818</v>
      </c>
      <c r="CO10" s="1687">
        <f t="shared" si="30"/>
        <v>1.6503871827143903</v>
      </c>
      <c r="CP10" s="1687">
        <f t="shared" si="31"/>
        <v>2.8671687651071602</v>
      </c>
      <c r="CQ10" s="1687">
        <f t="shared" si="32"/>
        <v>6.1844813528742906</v>
      </c>
      <c r="CR10" s="1689">
        <f t="shared" si="33"/>
        <v>2.474615384340352</v>
      </c>
      <c r="CS10" s="1725">
        <f t="shared" si="34"/>
        <v>6.4544469171822327E-2</v>
      </c>
      <c r="CT10" s="1977">
        <f t="shared" si="35"/>
        <v>0.11213119436949524</v>
      </c>
      <c r="CU10" s="1725">
        <f t="shared" si="36"/>
        <v>3.9108683009562696E-2</v>
      </c>
      <c r="CV10" s="1742">
        <f t="shared" si="37"/>
        <v>1.7789460973688973</v>
      </c>
      <c r="CW10" s="1742">
        <f t="shared" si="38"/>
        <v>2.8901785847681452</v>
      </c>
      <c r="CX10" s="1725">
        <f t="shared" si="39"/>
        <v>9.7142824085536483E-2</v>
      </c>
      <c r="CY10" s="1725">
        <f t="shared" si="40"/>
        <v>0.17271915799640628</v>
      </c>
      <c r="CZ10" s="1743">
        <f t="shared" si="41"/>
        <v>1.4009075201881645E-6</v>
      </c>
      <c r="DA10" s="1679">
        <f t="shared" si="42"/>
        <v>1.2325052769735343E-5</v>
      </c>
      <c r="DB10" s="1743">
        <f t="shared" si="54"/>
        <v>88.081410005999999</v>
      </c>
      <c r="DC10" s="1986">
        <f t="shared" si="43"/>
        <v>21.589064046000001</v>
      </c>
      <c r="DD10" s="1744">
        <f t="shared" si="55"/>
        <v>7.7092883322871915</v>
      </c>
      <c r="DE10" s="1745">
        <f t="shared" si="44"/>
        <v>0.87626399673677902</v>
      </c>
      <c r="DF10" s="1744">
        <f t="shared" si="56"/>
        <v>0.30150011361673995</v>
      </c>
      <c r="DG10" s="1746">
        <f t="shared" si="45"/>
        <v>4.0799086898035135</v>
      </c>
      <c r="DH10" s="1695">
        <f t="shared" si="46"/>
        <v>0.3772221461761292</v>
      </c>
    </row>
    <row r="11" spans="1:136" s="1968" customFormat="1" ht="16.899999999999999" customHeight="1" x14ac:dyDescent="0.25">
      <c r="B11" s="1969">
        <f>'5.DNCN (VND)'!B11</f>
        <v>5</v>
      </c>
      <c r="C11" s="1948">
        <f>'5.DNCN (VND)'!C11</f>
        <v>1</v>
      </c>
      <c r="D11" s="1970" t="str">
        <f>'5.DNCN (VND)'!D11</f>
        <v>CTCP Tập đoàn Đầu tư Din Capital</v>
      </c>
      <c r="E11" s="1970" t="str">
        <f>'5.DNCN (VND)'!E11</f>
        <v>Din Capital</v>
      </c>
      <c r="F11" s="1970" t="str">
        <f>'5.DNCN (VND)'!F11</f>
        <v>Sản xuất bê tông</v>
      </c>
      <c r="G11" s="1970" t="str">
        <f>'5.DNCN (VND)'!G11</f>
        <v>PDB</v>
      </c>
      <c r="H11" s="1970" t="str">
        <f>'5.DNCN (VND)'!H11</f>
        <v>HNX</v>
      </c>
      <c r="I11" s="1987">
        <f>'5.DNCN (VND)'!I11</f>
        <v>9900</v>
      </c>
      <c r="J11" s="1988">
        <f>'5.DNCN (VND)'!J11</f>
        <v>10004</v>
      </c>
      <c r="K11" s="1988">
        <f>'5.DNCN (VND)'!K11</f>
        <v>8909981</v>
      </c>
      <c r="L11" s="1951">
        <f>'5.DNCN (VND)'!L11/$D$1</f>
        <v>343.59415999999999</v>
      </c>
      <c r="M11" s="1749">
        <f>RANK(L11,L$5:L$16,0)+COUNTIF($L$5:L11,L11)-1</f>
        <v>3</v>
      </c>
      <c r="N11" s="1951">
        <f>'5.DNCN (VND)'!N11/$D$1</f>
        <v>0</v>
      </c>
      <c r="O11" s="1951">
        <f>'5.DNCN (VND)'!O11/$D$1</f>
        <v>340.15821840000001</v>
      </c>
      <c r="P11" s="1975">
        <f t="shared" si="3"/>
        <v>15262.421425702012</v>
      </c>
      <c r="Q11" s="1976">
        <f>IFERROR('5.DNCN (VND)'!Q11/$D$1,"")</f>
        <v>235.21964536600001</v>
      </c>
      <c r="R11" s="1749">
        <f>RANK(Q11,Q$5:Q$16,0)+COUNTIF($Q$5:Q11,Q11)-1</f>
        <v>6</v>
      </c>
      <c r="S11" s="1974">
        <f>IFERROR('5.DNCN (VND)'!S11/$D$1,"")</f>
        <v>216.78631838300001</v>
      </c>
      <c r="T11" s="1677">
        <f>Q11-S11</f>
        <v>18.433326983000001</v>
      </c>
      <c r="U11" s="1749">
        <f>RANK(T11,T$5:T$16,0)+COUNTIF($T$5:T11,T11)-1</f>
        <v>7</v>
      </c>
      <c r="V11" s="1751">
        <f t="shared" si="48"/>
        <v>7.8366443220836773E-2</v>
      </c>
      <c r="W11" s="1976">
        <f>IFERROR('5.DNCN (VND)'!W11/$D$1,"")</f>
        <v>2.5949461810000001</v>
      </c>
      <c r="X11" s="1976">
        <f>IFERROR('5.DNCN (VND)'!X11/$D$1,"")</f>
        <v>2.7743631949999998</v>
      </c>
      <c r="Y11" s="1982">
        <f>IFERROR('5.DNCN (VND)'!Y11/$D$1,"")</f>
        <v>2.020447179</v>
      </c>
      <c r="Z11" s="1982">
        <f>IFERROR('5.DNCN (VND)'!Z11/$D$1,"")</f>
        <v>9.7956132769999993</v>
      </c>
      <c r="AA11" s="1982">
        <f>IFERROR('5.DNCN (VND)'!AA11/$D$1,"")</f>
        <v>0.66763867700000001</v>
      </c>
      <c r="AB11" s="1753">
        <f>SUM(AA11,X11,Y11,Z11)</f>
        <v>15.258062327999999</v>
      </c>
      <c r="AC11" s="1982">
        <f>IFERROR('5.DNCN (VND)'!AC11/$D$1,"")</f>
        <v>3.5244015219999998</v>
      </c>
      <c r="AD11" s="1982">
        <f>IFERROR('5.DNCN (VND)'!AD11/$D$1,"")</f>
        <v>2.5549372950000002</v>
      </c>
      <c r="AE11" s="1749">
        <f>RANK(AD11,AD$5:AD$16,0)+COUNTIF($AD$5:AD11,AD11)-1</f>
        <v>7</v>
      </c>
      <c r="AF11" s="1979">
        <f>IFERROR('5.DNCN (VND)'!AF11/$D$1,"")</f>
        <v>16.324966964000001</v>
      </c>
      <c r="AG11" s="1979">
        <f>IFERROR('5.DNCN (VND)'!AG11/$D$1,"")</f>
        <v>133.32787635599999</v>
      </c>
      <c r="AH11" s="1979">
        <f>IFERROR('5.DNCN (VND)'!AH11/$D$1,"")</f>
        <v>117.98038622599999</v>
      </c>
      <c r="AI11" s="1980">
        <f t="shared" si="4"/>
        <v>1.8719610962990094</v>
      </c>
      <c r="AJ11" s="1979">
        <f>IFERROR('5.DNCN (VND)'!AJ11/$D$1,"")</f>
        <v>11.247817077000001</v>
      </c>
      <c r="AK11" s="1979">
        <f>IFERROR('5.DNCN (VND)'!AK11/$D$1,"")</f>
        <v>18.189032156</v>
      </c>
      <c r="AL11" s="1980">
        <f t="shared" si="5"/>
        <v>14.728907748725568</v>
      </c>
      <c r="AM11" s="1980">
        <f t="shared" si="6"/>
        <v>63.243807956500007</v>
      </c>
      <c r="AN11" s="1980">
        <f t="shared" si="7"/>
        <v>3.7192517807875745</v>
      </c>
      <c r="AO11" s="1980">
        <f>IFERROR('5.DNCN (VND)'!AO11/$D$1,"")</f>
        <v>43.637842902999999</v>
      </c>
      <c r="AP11" s="1980">
        <f>IFERROR('5.DNCN (VND)'!AP11/$D$1,"")</f>
        <v>56.917837775000002</v>
      </c>
      <c r="AQ11" s="1980">
        <f t="shared" si="0"/>
        <v>50.277840339000001</v>
      </c>
      <c r="AR11" s="1980">
        <f>IFERROR('5.DNCN (VND)'!AR11/$D$1,"")</f>
        <v>13.518349417</v>
      </c>
      <c r="AS11" s="1974">
        <f>IFERROR('5.DNCN (VND)'!AS11/$D$1,"")</f>
        <v>0</v>
      </c>
      <c r="AT11" s="1974">
        <f>IFERROR('5.DNCN (VND)'!AT11/$D$1,"")</f>
        <v>0</v>
      </c>
      <c r="AU11" s="1981">
        <f t="shared" si="8"/>
        <v>0</v>
      </c>
      <c r="AV11" s="1979">
        <f>IFERROR('5.DNCN (VND)'!AV11/$D$1,"")</f>
        <v>162.590834645</v>
      </c>
      <c r="AW11" s="1984">
        <f>RANK(AV11,AV$5:AV$16,0)+COUNTIF(AV$5:AV11,AV11)-1</f>
        <v>5</v>
      </c>
      <c r="AX11" s="1952">
        <f t="shared" si="9"/>
        <v>0.7281913561019806</v>
      </c>
      <c r="AY11" s="1984">
        <f>RANK(AX11,AX$5:AX$16,0)+COUNTIF(AX$5:AX11,AX11)-1</f>
        <v>6</v>
      </c>
      <c r="AZ11" s="1979">
        <f>IFERROR('5.DNCN (VND)'!AZ11/$D$1,"")</f>
        <v>148.47617976500001</v>
      </c>
      <c r="BA11" s="1979">
        <f>IFERROR('5.DNCN (VND)'!BA11/$D$1,"")</f>
        <v>60.689534289000001</v>
      </c>
      <c r="BB11" s="1749">
        <f>RANK(BA11,BA$5:BA$16,0)+COUNTIF(BA$5:BA11,BA11)-1</f>
        <v>6</v>
      </c>
      <c r="BC11" s="1761">
        <f t="shared" si="10"/>
        <v>0.2718086438980194</v>
      </c>
      <c r="BD11" s="1749">
        <f>RANK(BC11,BC$5:BC$16,0)+COUNTIF(BC$5:BC11,BC11)-1</f>
        <v>6</v>
      </c>
      <c r="BE11" s="1979">
        <f>IFERROR('5.DNCN (VND)'!BE11/$D$1,"")</f>
        <v>73.989521222999997</v>
      </c>
      <c r="BF11" s="1982">
        <f t="shared" si="11"/>
        <v>223.28036893399999</v>
      </c>
      <c r="BG11" s="1749">
        <f>RANK(BF11,BF$5:BF$16,0)+COUNTIF(BF$7:BF11,BF11)-1</f>
        <v>6</v>
      </c>
      <c r="BH11" s="1979">
        <f t="shared" si="12"/>
        <v>222.46570098800001</v>
      </c>
      <c r="BI11" s="1755">
        <f t="shared" si="13"/>
        <v>222.873034961</v>
      </c>
      <c r="BJ11" s="1979">
        <f t="shared" si="14"/>
        <v>93.662369247000001</v>
      </c>
      <c r="BK11" s="1979">
        <f t="shared" si="15"/>
        <v>94.98996185</v>
      </c>
      <c r="BL11" s="1980">
        <f t="shared" si="2"/>
        <v>2.2982628109857202</v>
      </c>
      <c r="BM11" s="1979">
        <f>IFERROR('5.DNCN (VND)'!BM11/$D$1,"")</f>
        <v>23.373403116999999</v>
      </c>
      <c r="BN11" s="1974">
        <f>IFERROR('5.DNCN (VND)'!BN11/$D$1,"")</f>
        <v>24.163403117000001</v>
      </c>
      <c r="BO11" s="1974">
        <f>IFERROR('5.DNCN (VND)'!BO11/$D$1,"")</f>
        <v>36.058812559000003</v>
      </c>
      <c r="BP11" s="1762">
        <f t="shared" si="16"/>
        <v>36.058812559000003</v>
      </c>
      <c r="BQ11" s="1979">
        <f>IFERROR('5.DNCN (VND)'!BQ11/$D$1,"")</f>
        <v>0.79</v>
      </c>
      <c r="BR11" s="1763">
        <f t="shared" si="50"/>
        <v>3.5381525199535925E-3</v>
      </c>
      <c r="BS11" s="1979">
        <f>IFERROR('5.DNCN (VND)'!BS11/$D$1,"")</f>
        <v>3.2829326000000001</v>
      </c>
      <c r="BT11" s="1979">
        <f>IFERROR('5.DNCN (VND)'!BT11/$D$1,"")</f>
        <v>92.872369246999995</v>
      </c>
      <c r="BU11" s="1763">
        <f t="shared" si="17"/>
        <v>0.41594507251308044</v>
      </c>
      <c r="BV11" s="1979">
        <f>IFERROR('5.DNCN (VND)'!BV11/$D$1,"")</f>
        <v>91.707029250000005</v>
      </c>
      <c r="BW11" s="1982">
        <f t="shared" si="51"/>
        <v>129.61799968700001</v>
      </c>
      <c r="BX11" s="1749">
        <f>RANK(BW11,BW$5:BW$16,0)+COUNTIF(BW$7:BW11,BW11)-1</f>
        <v>5</v>
      </c>
      <c r="BY11" s="1763">
        <f t="shared" si="18"/>
        <v>0.58051677496696585</v>
      </c>
      <c r="BZ11" s="1749">
        <f>RANK(BY11,BY$5:BY$16,0)+COUNTIF(BY$7:BY11,BY11)-1</f>
        <v>4</v>
      </c>
      <c r="CA11" s="1979">
        <f t="shared" si="52"/>
        <v>127.47573913799999</v>
      </c>
      <c r="CB11" s="1980">
        <f t="shared" si="53"/>
        <v>128.5468694125</v>
      </c>
      <c r="CC11" s="1980">
        <f>IFERROR('5.DNCN (VND)'!CC11/$D$1,"")</f>
        <v>32.534895214999999</v>
      </c>
      <c r="CD11" s="1751">
        <f t="shared" si="19"/>
        <v>9.4689895820697298E-2</v>
      </c>
      <c r="CE11" s="1765">
        <f t="shared" si="20"/>
        <v>1.7506911470362008</v>
      </c>
      <c r="CF11" s="1687">
        <f t="shared" si="21"/>
        <v>1.6295806685570127</v>
      </c>
      <c r="CG11" s="1765">
        <f t="shared" si="22"/>
        <v>0.17577851298896779</v>
      </c>
      <c r="CH11" s="1766">
        <f t="shared" si="23"/>
        <v>2.3581790434828287</v>
      </c>
      <c r="CI11" s="1766">
        <f t="shared" si="24"/>
        <v>0.99394208942782558</v>
      </c>
      <c r="CJ11" s="1766">
        <f t="shared" si="25"/>
        <v>0</v>
      </c>
      <c r="CK11" s="1765">
        <f t="shared" si="26"/>
        <v>6.0948325225484313E-3</v>
      </c>
      <c r="CL11" s="1765">
        <f t="shared" si="27"/>
        <v>0.72260310661462734</v>
      </c>
      <c r="CM11" s="1765">
        <f t="shared" si="28"/>
        <v>3.5381525199535929E-3</v>
      </c>
      <c r="CN11" s="1767">
        <f t="shared" si="29"/>
        <v>0.41948322503303415</v>
      </c>
      <c r="CO11" s="1687">
        <f t="shared" si="30"/>
        <v>1.0553975065093024</v>
      </c>
      <c r="CP11" s="1687">
        <f t="shared" si="31"/>
        <v>1.8298356579279484</v>
      </c>
      <c r="CQ11" s="1687">
        <f t="shared" si="32"/>
        <v>4.6783959649027045</v>
      </c>
      <c r="CR11" s="1689">
        <f t="shared" si="33"/>
        <v>1.5123406498894811</v>
      </c>
      <c r="CS11" s="1759">
        <f t="shared" si="34"/>
        <v>1.1463644740365663E-2</v>
      </c>
      <c r="CT11" s="1751">
        <f t="shared" si="35"/>
        <v>1.9875531054757496E-2</v>
      </c>
      <c r="CU11" s="1759">
        <f t="shared" si="36"/>
        <v>1.0861921380012868E-2</v>
      </c>
      <c r="CV11" s="1768">
        <f t="shared" si="37"/>
        <v>1.0534721278408903</v>
      </c>
      <c r="CW11" s="1768">
        <f t="shared" si="38"/>
        <v>1.8147143601506395</v>
      </c>
      <c r="CX11" s="1759">
        <f t="shared" si="39"/>
        <v>2.7406563918786937E-2</v>
      </c>
      <c r="CY11" s="1759">
        <f t="shared" si="40"/>
        <v>1.0257454672687103E-2</v>
      </c>
      <c r="CZ11" s="1735">
        <f t="shared" si="41"/>
        <v>2.8675002730084386E-7</v>
      </c>
      <c r="DA11" s="1679">
        <f t="shared" si="42"/>
        <v>1.4547505733962846E-5</v>
      </c>
      <c r="DB11" s="1735">
        <f t="shared" si="54"/>
        <v>107.94265749500001</v>
      </c>
      <c r="DC11" s="1762">
        <f t="shared" si="43"/>
        <v>19.637697120000002</v>
      </c>
      <c r="DD11" s="1769">
        <f t="shared" si="55"/>
        <v>34.52484414103791</v>
      </c>
      <c r="DE11" s="1770">
        <f t="shared" si="44"/>
        <v>0.68052903233351525</v>
      </c>
      <c r="DF11" s="1769">
        <f t="shared" si="56"/>
        <v>0.37500614271715166</v>
      </c>
      <c r="DG11" s="1771">
        <f t="shared" si="45"/>
        <v>5.4967065046066867</v>
      </c>
      <c r="DH11" s="1695">
        <f t="shared" si="46"/>
        <v>0.45890153999272482</v>
      </c>
    </row>
    <row r="12" spans="1:136" s="1968" customFormat="1" ht="16.899999999999999" customHeight="1" x14ac:dyDescent="0.25">
      <c r="B12" s="1969">
        <f>'5.DNCN (VND)'!B12</f>
        <v>6</v>
      </c>
      <c r="C12" s="1948">
        <f>'5.DNCN (VND)'!C12</f>
        <v>0</v>
      </c>
      <c r="D12" s="1970" t="str">
        <f>'5.DNCN (VND)'!D12</f>
        <v xml:space="preserve">CTCP Bê tông Ly tâm An Giang </v>
      </c>
      <c r="E12" s="1970" t="str">
        <f>'5.DNCN (VND)'!E12</f>
        <v>Ly Tâm An Giang</v>
      </c>
      <c r="F12" s="1970" t="str">
        <f>'5.DNCN (VND)'!F12</f>
        <v>Sản xuất bê tông</v>
      </c>
      <c r="G12" s="1970" t="str">
        <f>'5.DNCN (VND)'!G12</f>
        <v>ACE</v>
      </c>
      <c r="H12" s="1970" t="str">
        <f>'5.DNCN (VND)'!H12</f>
        <v>UPCOM</v>
      </c>
      <c r="I12" s="1972">
        <f>'5.DNCN (VND)'!I12</f>
        <v>35400</v>
      </c>
      <c r="J12" s="1973">
        <f>'5.DNCN (VND)'!J12</f>
        <v>18242</v>
      </c>
      <c r="K12" s="1974">
        <f>'5.DNCN (VND)'!K12</f>
        <v>3050781</v>
      </c>
      <c r="L12" s="1951">
        <f>'5.DNCN (VND)'!L12/$D$1</f>
        <v>30.507809999999999</v>
      </c>
      <c r="M12" s="1749">
        <f>RANK(L12,L$5:L$16,0)+COUNTIF($L$5:L12,L12)-1</f>
        <v>10</v>
      </c>
      <c r="N12" s="1951">
        <f>'5.DNCN (VND)'!N12/$D$1</f>
        <v>0</v>
      </c>
      <c r="O12" s="1951">
        <f>'5.DNCN (VND)'!O12/$D$1</f>
        <v>107.99764740000001</v>
      </c>
      <c r="P12" s="1975">
        <f t="shared" si="3"/>
        <v>6305.9363073964923</v>
      </c>
      <c r="Q12" s="1976">
        <f>IFERROR('5.DNCN (VND)'!Q12/$D$1,"")</f>
        <v>295.48118817300002</v>
      </c>
      <c r="R12" s="1749">
        <f>RANK(Q12,Q$5:Q$16,0)+COUNTIF($Q$5:Q12,Q12)-1</f>
        <v>5</v>
      </c>
      <c r="S12" s="1974">
        <f>IFERROR('5.DNCN (VND)'!S12/$D$1,"")</f>
        <v>242.213773887</v>
      </c>
      <c r="T12" s="1677">
        <f t="shared" ref="T12:T16" si="57">Q12-S12</f>
        <v>53.267414286000019</v>
      </c>
      <c r="U12" s="1749">
        <f>RANK(T12,T$5:T$16,0)+COUNTIF($T$5:T12,T12)-1</f>
        <v>5</v>
      </c>
      <c r="V12" s="1751">
        <f t="shared" si="48"/>
        <v>0.18027345366843694</v>
      </c>
      <c r="W12" s="1976">
        <f>IFERROR('5.DNCN (VND)'!W12/$D$1,"")</f>
        <v>4.0215619990000002</v>
      </c>
      <c r="X12" s="1976">
        <f>IFERROR('5.DNCN (VND)'!X12/$D$1,"")</f>
        <v>4.0974851900000004</v>
      </c>
      <c r="Y12" s="1982">
        <f>IFERROR('5.DNCN (VND)'!Y12/$D$1,"")</f>
        <v>8.9866948069999992</v>
      </c>
      <c r="Z12" s="1982">
        <f>IFERROR('5.DNCN (VND)'!Z12/$D$1,"")</f>
        <v>21.945996879999999</v>
      </c>
      <c r="AA12" s="1982">
        <f>IFERROR('5.DNCN (VND)'!AA12/$D$1,"")</f>
        <v>0.27382949899999998</v>
      </c>
      <c r="AB12" s="1753">
        <f t="shared" ref="AB12:AB16" si="58">SUM(AA12,X12,Y12,Z12)</f>
        <v>35.304006375999997</v>
      </c>
      <c r="AC12" s="1982">
        <f>IFERROR('5.DNCN (VND)'!AC12/$D$1,"")</f>
        <v>18.606687432000001</v>
      </c>
      <c r="AD12" s="1982">
        <f>IFERROR('5.DNCN (VND)'!AD12/$D$1,"")</f>
        <v>14.870387667999999</v>
      </c>
      <c r="AE12" s="1749">
        <f>RANK(AD12,AD$5:AD$16,0)+COUNTIF($AD$5:AD12,AD12)-1</f>
        <v>4</v>
      </c>
      <c r="AF12" s="1979">
        <f>IFERROR('5.DNCN (VND)'!AF12/$D$1,"")</f>
        <v>11.232347874</v>
      </c>
      <c r="AG12" s="1979">
        <f>IFERROR('5.DNCN (VND)'!AG12/$D$1,"")</f>
        <v>80.711142013</v>
      </c>
      <c r="AH12" s="1979">
        <f>IFERROR('5.DNCN (VND)'!AH12/$D$1,"")</f>
        <v>63.035802324999999</v>
      </c>
      <c r="AI12" s="1980">
        <f t="shared" si="4"/>
        <v>4.1111300074416759</v>
      </c>
      <c r="AJ12" s="1979">
        <f>IFERROR('5.DNCN (VND)'!AJ12/$D$1,"")</f>
        <v>56.881522818000001</v>
      </c>
      <c r="AK12" s="1979">
        <f>IFERROR('5.DNCN (VND)'!AK12/$D$1,"")</f>
        <v>73.147537721000006</v>
      </c>
      <c r="AL12" s="1980">
        <f t="shared" si="5"/>
        <v>3.7255329367599654</v>
      </c>
      <c r="AM12" s="1980">
        <f t="shared" si="6"/>
        <v>52.36510022249999</v>
      </c>
      <c r="AN12" s="1980">
        <f t="shared" si="7"/>
        <v>5.6427121674072351</v>
      </c>
      <c r="AO12" s="1980">
        <f>IFERROR('5.DNCN (VND)'!AO12/$D$1,"")</f>
        <v>10.732729093</v>
      </c>
      <c r="AP12" s="1980">
        <f>IFERROR('5.DNCN (VND)'!AP12/$D$1,"")</f>
        <v>14.425175245</v>
      </c>
      <c r="AQ12" s="1980">
        <f t="shared" si="0"/>
        <v>12.578952169000001</v>
      </c>
      <c r="AR12" s="1980">
        <f>IFERROR('5.DNCN (VND)'!AR12/$D$1,"")</f>
        <v>4.7712002900000003</v>
      </c>
      <c r="AS12" s="1974">
        <f>IFERROR('5.DNCN (VND)'!AS12/$D$1,"")</f>
        <v>1.0548046550000001</v>
      </c>
      <c r="AT12" s="1974">
        <f>IFERROR('5.DNCN (VND)'!AT12/$D$1,"")</f>
        <v>1.0548046550000001</v>
      </c>
      <c r="AU12" s="1981">
        <f t="shared" si="8"/>
        <v>1.0548046550000001</v>
      </c>
      <c r="AV12" s="1979">
        <f>IFERROR('5.DNCN (VND)'!AV12/$D$1,"")</f>
        <v>149.20758733900001</v>
      </c>
      <c r="AW12" s="1984">
        <f>RANK(AV12,AV$5:AV$16,0)+COUNTIF(AV$5:AV12,AV12)-1</f>
        <v>6</v>
      </c>
      <c r="AX12" s="1952">
        <f t="shared" si="9"/>
        <v>0.89096122653975762</v>
      </c>
      <c r="AY12" s="1984">
        <f>RANK(AX12,AX$5:AX$16,0)+COUNTIF(AX$5:AX12,AX12)-1</f>
        <v>1</v>
      </c>
      <c r="AZ12" s="1979">
        <f>IFERROR('5.DNCN (VND)'!AZ12/$D$1,"")</f>
        <v>153.510353608</v>
      </c>
      <c r="BA12" s="1979">
        <f>IFERROR('5.DNCN (VND)'!BA12/$D$1,"")</f>
        <v>18.260516653</v>
      </c>
      <c r="BB12" s="1749">
        <f>RANK(BA12,BA$5:BA$16,0)+COUNTIF(BA$5:BA12,BA12)-1</f>
        <v>9</v>
      </c>
      <c r="BC12" s="1761">
        <f t="shared" si="10"/>
        <v>0.10903877346024236</v>
      </c>
      <c r="BD12" s="1749">
        <f>RANK(BC12,BC$5:BC$16,0)+COUNTIF(BC$5:BC12,BC12)-1</f>
        <v>11</v>
      </c>
      <c r="BE12" s="1979">
        <f>IFERROR('5.DNCN (VND)'!BE12/$D$1,"")</f>
        <v>21.548463496</v>
      </c>
      <c r="BF12" s="1982">
        <f t="shared" si="11"/>
        <v>167.46810399200001</v>
      </c>
      <c r="BG12" s="1749">
        <f>RANK(BF12,BF$5:BF$16,0)+COUNTIF(BF$7:BF12,BF12)-1</f>
        <v>7</v>
      </c>
      <c r="BH12" s="1979">
        <f t="shared" si="12"/>
        <v>175.05881710400001</v>
      </c>
      <c r="BI12" s="1755">
        <f t="shared" si="13"/>
        <v>171.26346054800001</v>
      </c>
      <c r="BJ12" s="1979">
        <f t="shared" si="14"/>
        <v>96.130771611</v>
      </c>
      <c r="BK12" s="1979">
        <f t="shared" si="15"/>
        <v>103.564138891</v>
      </c>
      <c r="BL12" s="1980">
        <f t="shared" si="2"/>
        <v>2.4258382277055994</v>
      </c>
      <c r="BM12" s="1979">
        <f>IFERROR('5.DNCN (VND)'!BM12/$D$1,"")</f>
        <v>40.751553094000002</v>
      </c>
      <c r="BN12" s="1974">
        <f>IFERROR('5.DNCN (VND)'!BN12/$D$1,"")</f>
        <v>42.458723094</v>
      </c>
      <c r="BO12" s="1974">
        <f>IFERROR('5.DNCN (VND)'!BO12/$D$1,"")</f>
        <v>58.504151669000002</v>
      </c>
      <c r="BP12" s="1762">
        <f t="shared" si="16"/>
        <v>58.504151669000002</v>
      </c>
      <c r="BQ12" s="1979">
        <f>IFERROR('5.DNCN (VND)'!BQ12/$D$1,"")</f>
        <v>1.7071700000000001</v>
      </c>
      <c r="BR12" s="1763">
        <f t="shared" si="50"/>
        <v>1.0194000883186401E-2</v>
      </c>
      <c r="BS12" s="1979">
        <f>IFERROR('5.DNCN (VND)'!BS12/$D$1,"")</f>
        <v>0</v>
      </c>
      <c r="BT12" s="1979">
        <f>IFERROR('5.DNCN (VND)'!BT12/$D$1,"")</f>
        <v>94.423601610999995</v>
      </c>
      <c r="BU12" s="1763">
        <f t="shared" si="17"/>
        <v>0.56383036148489885</v>
      </c>
      <c r="BV12" s="1979">
        <f>IFERROR('5.DNCN (VND)'!BV12/$D$1,"")</f>
        <v>103.564138891</v>
      </c>
      <c r="BW12" s="1982">
        <f t="shared" si="51"/>
        <v>71.337332381000024</v>
      </c>
      <c r="BX12" s="1749">
        <f>RANK(BW12,BW$5:BW$16,0)+COUNTIF(BW$7:BW12,BW12)-1</f>
        <v>7</v>
      </c>
      <c r="BY12" s="1763">
        <f t="shared" si="18"/>
        <v>0.42597563763191482</v>
      </c>
      <c r="BZ12" s="1749">
        <f>RANK(BY12,BY$5:BY$16,0)+COUNTIF(BY$7:BY12,BY12)-1</f>
        <v>8</v>
      </c>
      <c r="CA12" s="1979">
        <f t="shared" si="52"/>
        <v>71.494678213000014</v>
      </c>
      <c r="CB12" s="1980">
        <f t="shared" si="53"/>
        <v>71.416005297000027</v>
      </c>
      <c r="CC12" s="1980">
        <f>IFERROR('5.DNCN (VND)'!CC12/$D$1,"")</f>
        <v>17.934845160999998</v>
      </c>
      <c r="CD12" s="1751">
        <f t="shared" si="19"/>
        <v>0.58787717509057513</v>
      </c>
      <c r="CE12" s="1765">
        <f t="shared" si="20"/>
        <v>1.580193773519627</v>
      </c>
      <c r="CF12" s="1687">
        <f t="shared" si="21"/>
        <v>0.9777858813452035</v>
      </c>
      <c r="CG12" s="1765">
        <f t="shared" si="22"/>
        <v>0.11895699467463941</v>
      </c>
      <c r="CH12" s="1766">
        <f t="shared" si="23"/>
        <v>5.6267314632042797</v>
      </c>
      <c r="CI12" s="1766">
        <f t="shared" si="24"/>
        <v>0.97662835744851262</v>
      </c>
      <c r="CJ12" s="1766">
        <f t="shared" si="25"/>
        <v>0</v>
      </c>
      <c r="CK12" s="1765">
        <f t="shared" si="26"/>
        <v>2.3930948116791195E-2</v>
      </c>
      <c r="CL12" s="1765">
        <f t="shared" si="27"/>
        <v>1.3475520937281846</v>
      </c>
      <c r="CM12" s="1765">
        <f t="shared" si="28"/>
        <v>1.0194000883186401E-2</v>
      </c>
      <c r="CN12" s="1767">
        <f t="shared" si="29"/>
        <v>0.57402436236808529</v>
      </c>
      <c r="CO12" s="1687">
        <f t="shared" si="30"/>
        <v>1.7253019834326278</v>
      </c>
      <c r="CP12" s="1687">
        <f t="shared" si="31"/>
        <v>4.1374645213516628</v>
      </c>
      <c r="CQ12" s="1687">
        <f t="shared" si="32"/>
        <v>23.490127333594124</v>
      </c>
      <c r="CR12" s="1689">
        <f t="shared" si="33"/>
        <v>1.9521881474790621</v>
      </c>
      <c r="CS12" s="1759">
        <f t="shared" si="34"/>
        <v>8.6827555746091412E-2</v>
      </c>
      <c r="CT12" s="1751">
        <f t="shared" si="35"/>
        <v>0.20822205899305124</v>
      </c>
      <c r="CU12" s="1759">
        <f t="shared" si="36"/>
        <v>5.0326004710978756E-2</v>
      </c>
      <c r="CV12" s="1768">
        <f t="shared" si="37"/>
        <v>1.7644027795711787</v>
      </c>
      <c r="CW12" s="1768">
        <f t="shared" si="38"/>
        <v>4.142027439362149</v>
      </c>
      <c r="CX12" s="1759">
        <f t="shared" si="39"/>
        <v>0.1351197564885607</v>
      </c>
      <c r="CY12" s="1759">
        <f t="shared" si="40"/>
        <v>0.60989915146318274</v>
      </c>
      <c r="CZ12" s="1735">
        <f t="shared" si="41"/>
        <v>4.8742888027688644E-6</v>
      </c>
      <c r="DA12" s="1679">
        <f t="shared" si="42"/>
        <v>2.3037552589320581E-5</v>
      </c>
      <c r="DB12" s="1735">
        <f t="shared" si="54"/>
        <v>155.26945119500002</v>
      </c>
      <c r="DC12" s="1762">
        <f t="shared" si="43"/>
        <v>27.399449721</v>
      </c>
      <c r="DD12" s="1769">
        <f t="shared" si="55"/>
        <v>7.2625979773481726</v>
      </c>
      <c r="DE12" s="1770">
        <f t="shared" si="44"/>
        <v>1.5366215600701536</v>
      </c>
      <c r="DF12" s="1769">
        <f t="shared" si="56"/>
        <v>0.36549754002196894</v>
      </c>
      <c r="DG12" s="1771">
        <f t="shared" si="45"/>
        <v>5.6668821007742904</v>
      </c>
      <c r="DH12" s="1695">
        <f t="shared" si="46"/>
        <v>0.52547998793104878</v>
      </c>
    </row>
    <row r="13" spans="1:136" s="1968" customFormat="1" ht="16.899999999999999" customHeight="1" x14ac:dyDescent="0.25">
      <c r="B13" s="1969">
        <f>'5.DNCN (VND)'!B13</f>
        <v>7</v>
      </c>
      <c r="C13" s="1948">
        <f>'5.DNCN (VND)'!C13</f>
        <v>0</v>
      </c>
      <c r="D13" s="1970" t="str">
        <f>'5.DNCN (VND)'!D13</f>
        <v>CTCP DIC - Đồng Tiến</v>
      </c>
      <c r="E13" s="1970" t="str">
        <f>'5.DNCN (VND)'!E13</f>
        <v>Đồng Tiến</v>
      </c>
      <c r="F13" s="1970" t="str">
        <f>'5.DNCN (VND)'!F13</f>
        <v>Sản xuất bê tông</v>
      </c>
      <c r="G13" s="1970" t="str">
        <f>'5.DNCN (VND)'!G13</f>
        <v>DID</v>
      </c>
      <c r="H13" s="1970" t="str">
        <f>'5.DNCN (VND)'!H13</f>
        <v>UPCOM</v>
      </c>
      <c r="I13" s="1972">
        <f>'5.DNCN (VND)'!I13</f>
        <v>4100</v>
      </c>
      <c r="J13" s="1973">
        <f>'5.DNCN (VND)'!J13</f>
        <v>19386</v>
      </c>
      <c r="K13" s="1974">
        <f>'5.DNCN (VND)'!K13</f>
        <v>15622552</v>
      </c>
      <c r="L13" s="1951">
        <f>'5.DNCN (VND)'!L13/$D$1</f>
        <v>156.22551999999999</v>
      </c>
      <c r="M13" s="1749">
        <f>RANK(L13,L$5:L$16,0)+COUNTIF($L$5:L13,L13)-1</f>
        <v>5</v>
      </c>
      <c r="N13" s="1951">
        <f>'5.DNCN (VND)'!N13/$D$1</f>
        <v>0</v>
      </c>
      <c r="O13" s="1951">
        <f>'5.DNCN (VND)'!O13/$D$1</f>
        <v>64.052463200000005</v>
      </c>
      <c r="P13" s="1975">
        <f t="shared" si="3"/>
        <v>1769.811801684019</v>
      </c>
      <c r="Q13" s="1976">
        <f>IFERROR('5.DNCN (VND)'!Q13/$D$1,"")</f>
        <v>227.41647405000001</v>
      </c>
      <c r="R13" s="1749">
        <f>RANK(Q13,Q$5:Q$16,0)+COUNTIF($Q$5:Q13,Q13)-1</f>
        <v>8</v>
      </c>
      <c r="S13" s="1974">
        <f>IFERROR('5.DNCN (VND)'!S13/$D$1,"")</f>
        <v>210.98988578999999</v>
      </c>
      <c r="T13" s="1677">
        <f t="shared" si="57"/>
        <v>16.426588260000017</v>
      </c>
      <c r="U13" s="1749">
        <f>RANK(T13,T$5:T$16,0)+COUNTIF($T$5:T13,T13)-1</f>
        <v>8</v>
      </c>
      <c r="V13" s="1751">
        <f t="shared" si="48"/>
        <v>7.2231303069048777E-2</v>
      </c>
      <c r="W13" s="1976">
        <f>IFERROR('5.DNCN (VND)'!W13/$D$1,"")</f>
        <v>7.0671007909999997</v>
      </c>
      <c r="X13" s="1976">
        <f>IFERROR('5.DNCN (VND)'!X13/$D$1,"")</f>
        <v>7.0671007909999997</v>
      </c>
      <c r="Y13" s="1982">
        <f>IFERROR('5.DNCN (VND)'!Y13/$D$1,"")</f>
        <v>0.93665052500000001</v>
      </c>
      <c r="Z13" s="1982">
        <f>IFERROR('5.DNCN (VND)'!Z13/$D$1,"")</f>
        <v>10.655854821</v>
      </c>
      <c r="AA13" s="1982">
        <f>IFERROR('5.DNCN (VND)'!AA13/$D$1,"")</f>
        <v>9.0593810999999996E-2</v>
      </c>
      <c r="AB13" s="1753">
        <f t="shared" si="58"/>
        <v>18.750199947999999</v>
      </c>
      <c r="AC13" s="1982">
        <f>IFERROR('5.DNCN (VND)'!AC13/$D$1,"")</f>
        <v>0.44363466400000001</v>
      </c>
      <c r="AD13" s="1982">
        <f>IFERROR('5.DNCN (VND)'!AD13/$D$1,"")</f>
        <v>0.31580232400000002</v>
      </c>
      <c r="AE13" s="1749">
        <f>RANK(AD13,AD$5:AD$16,0)+COUNTIF($AD$5:AD13,AD13)-1</f>
        <v>9</v>
      </c>
      <c r="AF13" s="1979">
        <f>IFERROR('5.DNCN (VND)'!AF13/$D$1,"")</f>
        <v>3.347673881</v>
      </c>
      <c r="AG13" s="1979">
        <f>IFERROR('5.DNCN (VND)'!AG13/$D$1,"")</f>
        <v>52.975569495000002</v>
      </c>
      <c r="AH13" s="1979">
        <f>IFERROR('5.DNCN (VND)'!AH13/$D$1,"")</f>
        <v>167.57555543399999</v>
      </c>
      <c r="AI13" s="1980">
        <f t="shared" si="4"/>
        <v>2.0622563056362564</v>
      </c>
      <c r="AJ13" s="1979">
        <f>IFERROR('5.DNCN (VND)'!AJ13/$D$1,"")</f>
        <v>17.449653037000001</v>
      </c>
      <c r="AK13" s="1979">
        <f>IFERROR('5.DNCN (VND)'!AK13/$D$1,"")</f>
        <v>38.804281946000003</v>
      </c>
      <c r="AL13" s="1980">
        <f t="shared" si="5"/>
        <v>7.5013378478771777</v>
      </c>
      <c r="AM13" s="1980">
        <f t="shared" si="6"/>
        <v>-13.352916625500001</v>
      </c>
      <c r="AN13" s="1980">
        <f t="shared" si="7"/>
        <v>-17.031221000489424</v>
      </c>
      <c r="AO13" s="1980">
        <f>IFERROR('5.DNCN (VND)'!AO13/$D$1,"")</f>
        <v>136.856360634</v>
      </c>
      <c r="AP13" s="1980">
        <f>IFERROR('5.DNCN (VND)'!AP13/$D$1,"")</f>
        <v>143.059843043</v>
      </c>
      <c r="AQ13" s="1980">
        <f t="shared" si="0"/>
        <v>139.9581018385</v>
      </c>
      <c r="AR13" s="1980">
        <f>IFERROR('5.DNCN (VND)'!AR13/$D$1,"")</f>
        <v>5.7075378480000003</v>
      </c>
      <c r="AS13" s="1974">
        <f>IFERROR('5.DNCN (VND)'!AS13/$D$1,"")</f>
        <v>0</v>
      </c>
      <c r="AT13" s="1974">
        <f>IFERROR('5.DNCN (VND)'!AT13/$D$1,"")</f>
        <v>0</v>
      </c>
      <c r="AU13" s="1981">
        <f t="shared" si="8"/>
        <v>0</v>
      </c>
      <c r="AV13" s="1979">
        <f>IFERROR('5.DNCN (VND)'!AV13/$D$1,"")</f>
        <v>75.140097881000003</v>
      </c>
      <c r="AW13" s="1984">
        <f>RANK(AV13,AV$5:AV$16,0)+COUNTIF(AV$5:AV13,AV13)-1</f>
        <v>8</v>
      </c>
      <c r="AX13" s="1952">
        <f t="shared" si="9"/>
        <v>0.22353793361766985</v>
      </c>
      <c r="AY13" s="1984">
        <f>RANK(AX13,AX$5:AX$16,0)+COUNTIF(AX$5:AX13,AX13)-1</f>
        <v>11</v>
      </c>
      <c r="AZ13" s="1979">
        <f>IFERROR('5.DNCN (VND)'!AZ13/$D$1,"")</f>
        <v>212.90588637499999</v>
      </c>
      <c r="BA13" s="1979">
        <f>IFERROR('5.DNCN (VND)'!BA13/$D$1,"")</f>
        <v>261.000156549</v>
      </c>
      <c r="BB13" s="1749">
        <f>RANK(BA13,BA$5:BA$16,0)+COUNTIF(BA$5:BA13,BA13)-1</f>
        <v>3</v>
      </c>
      <c r="BC13" s="1761">
        <f t="shared" si="10"/>
        <v>0.77646206638233006</v>
      </c>
      <c r="BD13" s="1749">
        <f>RANK(BC13,BC$5:BC$16,0)+COUNTIF(BC$5:BC13,BC13)-1</f>
        <v>1</v>
      </c>
      <c r="BE13" s="1979">
        <f>IFERROR('5.DNCN (VND)'!BE13/$D$1,"")</f>
        <v>174.78746838500001</v>
      </c>
      <c r="BF13" s="1982">
        <f t="shared" si="11"/>
        <v>336.14025443000003</v>
      </c>
      <c r="BG13" s="1749">
        <f>RANK(BF13,BF$5:BF$16,0)+COUNTIF(BF$7:BF13,BF13)-1</f>
        <v>5</v>
      </c>
      <c r="BH13" s="1979">
        <f t="shared" si="12"/>
        <v>387.69335476000003</v>
      </c>
      <c r="BI13" s="1755">
        <f t="shared" si="13"/>
        <v>361.91680459500003</v>
      </c>
      <c r="BJ13" s="1979">
        <f t="shared" si="14"/>
        <v>152.80117897599999</v>
      </c>
      <c r="BK13" s="1979">
        <f t="shared" si="15"/>
        <v>204.52863853100001</v>
      </c>
      <c r="BL13" s="1980">
        <f t="shared" si="2"/>
        <v>1.1809251590702572</v>
      </c>
      <c r="BM13" s="1979">
        <f>IFERROR('5.DNCN (VND)'!BM13/$D$1,"")</f>
        <v>67.837677158000005</v>
      </c>
      <c r="BN13" s="1974">
        <f>IFERROR('5.DNCN (VND)'!BN13/$D$1,"")</f>
        <v>75.937677158</v>
      </c>
      <c r="BO13" s="1974">
        <f>IFERROR('5.DNCN (VND)'!BO13/$D$1,"")</f>
        <v>87.521379273999997</v>
      </c>
      <c r="BP13" s="1762">
        <f t="shared" si="16"/>
        <v>87.521379273999997</v>
      </c>
      <c r="BQ13" s="1979">
        <f>IFERROR('5.DNCN (VND)'!BQ13/$D$1,"")</f>
        <v>29.1</v>
      </c>
      <c r="BR13" s="1763">
        <f t="shared" si="50"/>
        <v>8.6571006050273486E-2</v>
      </c>
      <c r="BS13" s="1979">
        <f>IFERROR('5.DNCN (VND)'!BS13/$D$1,"")</f>
        <v>13.478</v>
      </c>
      <c r="BT13" s="1979">
        <f>IFERROR('5.DNCN (VND)'!BT13/$D$1,"")</f>
        <v>123.70117897599999</v>
      </c>
      <c r="BU13" s="1763">
        <f t="shared" si="17"/>
        <v>0.36800465682327349</v>
      </c>
      <c r="BV13" s="1979">
        <f>IFERROR('5.DNCN (VND)'!BV13/$D$1,"")</f>
        <v>191.050638531</v>
      </c>
      <c r="BW13" s="1982">
        <f t="shared" si="51"/>
        <v>183.33907545400001</v>
      </c>
      <c r="BX13" s="1749">
        <f>RANK(BW13,BW$5:BW$16,0)+COUNTIF(BW$7:BW13,BW13)-1</f>
        <v>4</v>
      </c>
      <c r="BY13" s="1763">
        <f t="shared" si="18"/>
        <v>0.545424337126453</v>
      </c>
      <c r="BZ13" s="1749">
        <f>RANK(BY13,BY$5:BY$16,0)+COUNTIF(BY$7:BY13,BY13)-1</f>
        <v>6</v>
      </c>
      <c r="CA13" s="1979">
        <f t="shared" si="52"/>
        <v>183.16471622900002</v>
      </c>
      <c r="CB13" s="1980">
        <f t="shared" si="53"/>
        <v>183.25189584150002</v>
      </c>
      <c r="CC13" s="1980">
        <f>IFERROR('5.DNCN (VND)'!CC13/$D$1,"")</f>
        <v>18.810984548</v>
      </c>
      <c r="CD13" s="1751">
        <f t="shared" si="19"/>
        <v>0.12040916585203239</v>
      </c>
      <c r="CE13" s="1765">
        <f t="shared" si="20"/>
        <v>0.60743235030588016</v>
      </c>
      <c r="CF13" s="1687">
        <f t="shared" si="21"/>
        <v>0.46636940182431785</v>
      </c>
      <c r="CG13" s="1765">
        <f t="shared" si="22"/>
        <v>2.7062586700564124E-2</v>
      </c>
      <c r="CH13" s="1766">
        <f t="shared" si="23"/>
        <v>1.0627746337741457</v>
      </c>
      <c r="CI13" s="1766">
        <f t="shared" si="24"/>
        <v>0.86301955072149095</v>
      </c>
      <c r="CJ13" s="1766">
        <f t="shared" si="25"/>
        <v>0</v>
      </c>
      <c r="CK13" s="1765">
        <f t="shared" si="26"/>
        <v>0.15872230144032348</v>
      </c>
      <c r="CL13" s="1765">
        <f t="shared" si="27"/>
        <v>0.83343487250396864</v>
      </c>
      <c r="CM13" s="1765">
        <f t="shared" si="28"/>
        <v>8.6571006050273486E-2</v>
      </c>
      <c r="CN13" s="1767">
        <f t="shared" si="29"/>
        <v>0.45457566287354695</v>
      </c>
      <c r="CO13" s="1687">
        <f t="shared" si="30"/>
        <v>0.62836671622498574</v>
      </c>
      <c r="CP13" s="1687">
        <f t="shared" si="31"/>
        <v>1.241004754715876</v>
      </c>
      <c r="CQ13" s="1687">
        <f t="shared" si="32"/>
        <v>1.6248896709989658</v>
      </c>
      <c r="CR13" s="1689">
        <f t="shared" si="33"/>
        <v>1.5790289500990529</v>
      </c>
      <c r="CS13" s="1759">
        <f t="shared" si="34"/>
        <v>8.7258264880348945E-4</v>
      </c>
      <c r="CT13" s="1751">
        <f t="shared" si="35"/>
        <v>1.7233236390260694E-3</v>
      </c>
      <c r="CU13" s="1759">
        <f t="shared" si="36"/>
        <v>1.3886519229498186E-3</v>
      </c>
      <c r="CV13" s="1768">
        <f t="shared" si="37"/>
        <v>0.67655233508296952</v>
      </c>
      <c r="CW13" s="1768">
        <f t="shared" si="38"/>
        <v>1.2404146442151065</v>
      </c>
      <c r="CX13" s="1759">
        <f t="shared" si="39"/>
        <v>2.2344052388893764E-2</v>
      </c>
      <c r="CY13" s="1759">
        <f t="shared" si="40"/>
        <v>2.8397067521362708E-3</v>
      </c>
      <c r="CZ13" s="1735">
        <f t="shared" si="41"/>
        <v>2.0214515784617009E-8</v>
      </c>
      <c r="DA13" s="1679">
        <f t="shared" si="42"/>
        <v>1.1735539459494198E-5</v>
      </c>
      <c r="DB13" s="1735">
        <f t="shared" si="54"/>
        <v>148.22616859300001</v>
      </c>
      <c r="DC13" s="1762">
        <f t="shared" si="43"/>
        <v>13.218273303</v>
      </c>
      <c r="DD13" s="1769">
        <f t="shared" si="55"/>
        <v>202.82454666166419</v>
      </c>
      <c r="DE13" s="1770">
        <f t="shared" si="44"/>
        <v>0.34936612962287378</v>
      </c>
      <c r="DF13" s="1769">
        <f t="shared" si="56"/>
        <v>0.28165269674314519</v>
      </c>
      <c r="DG13" s="1771">
        <f t="shared" si="45"/>
        <v>11.213731566539694</v>
      </c>
      <c r="DH13" s="1695">
        <f t="shared" si="46"/>
        <v>0.65178289836826364</v>
      </c>
    </row>
    <row r="14" spans="1:136" s="1968" customFormat="1" ht="16.899999999999999" customHeight="1" x14ac:dyDescent="0.25">
      <c r="B14" s="1969">
        <f>'5.DNCN (VND)'!B14</f>
        <v>8</v>
      </c>
      <c r="C14" s="1948">
        <f>'5.DNCN (VND)'!C14</f>
        <v>0</v>
      </c>
      <c r="D14" s="1970" t="str">
        <f>'5.DNCN (VND)'!D14</f>
        <v>CTCP Bê tông Ly tâm Điện Lực Khánh Hòa</v>
      </c>
      <c r="E14" s="1970" t="str">
        <f>'5.DNCN (VND)'!E14</f>
        <v>Điện Lực Khánh Hòa</v>
      </c>
      <c r="F14" s="1970" t="str">
        <f>'5.DNCN (VND)'!F14</f>
        <v>Sản xuất bê tông</v>
      </c>
      <c r="G14" s="1970" t="str">
        <f>'5.DNCN (VND)'!G14</f>
        <v>KCE</v>
      </c>
      <c r="H14" s="1970" t="str">
        <f>'5.DNCN (VND)'!H14</f>
        <v>UPCOM</v>
      </c>
      <c r="I14" s="1972">
        <f>'5.DNCN (VND)'!I14</f>
        <v>9200</v>
      </c>
      <c r="J14" s="1973">
        <f>'5.DNCN (VND)'!J14</f>
        <v>81000</v>
      </c>
      <c r="K14" s="1974">
        <f>'5.DNCN (VND)'!K14</f>
        <v>1500000</v>
      </c>
      <c r="L14" s="1951">
        <f>'5.DNCN (VND)'!L14/$D$1</f>
        <v>15</v>
      </c>
      <c r="M14" s="1749">
        <f>RANK(L14,L$5:L$16,0)+COUNTIF($L$5:L14,L14)-1</f>
        <v>11</v>
      </c>
      <c r="N14" s="1951">
        <f>'5.DNCN (VND)'!N14/$D$1</f>
        <v>0</v>
      </c>
      <c r="O14" s="1951">
        <f>'5.DNCN (VND)'!O14/$D$1</f>
        <v>13.8</v>
      </c>
      <c r="P14" s="1975">
        <f t="shared" si="3"/>
        <v>4147.1818018165914</v>
      </c>
      <c r="Q14" s="1976">
        <f>IFERROR('5.DNCN (VND)'!Q14/$D$1,"")</f>
        <v>40.904083151999998</v>
      </c>
      <c r="R14" s="1749">
        <f>RANK(Q14,Q$5:Q$16,0)+COUNTIF($Q$5:Q14,Q14)-1</f>
        <v>11</v>
      </c>
      <c r="S14" s="1974">
        <f>IFERROR('5.DNCN (VND)'!S14/$D$1,"")</f>
        <v>32.135334843999999</v>
      </c>
      <c r="T14" s="1677">
        <f t="shared" si="57"/>
        <v>8.7687483079999993</v>
      </c>
      <c r="U14" s="1749">
        <f>RANK(T14,T$5:T$16,0)+COUNTIF($T$5:T14,T14)-1</f>
        <v>9</v>
      </c>
      <c r="V14" s="1751">
        <f t="shared" si="48"/>
        <v>0.21437342270734291</v>
      </c>
      <c r="W14" s="1976">
        <f>IFERROR('5.DNCN (VND)'!W14/$D$1,"")</f>
        <v>0</v>
      </c>
      <c r="X14" s="1976">
        <f>IFERROR('5.DNCN (VND)'!X14/$D$1,"")</f>
        <v>1.6681557999999999E-2</v>
      </c>
      <c r="Y14" s="1982">
        <f>IFERROR('5.DNCN (VND)'!Y14/$D$1,"")</f>
        <v>4.4480671379999999</v>
      </c>
      <c r="Z14" s="1982">
        <f>IFERROR('5.DNCN (VND)'!Z14/$D$1,"")</f>
        <v>1.723851647</v>
      </c>
      <c r="AA14" s="1982">
        <f>IFERROR('5.DNCN (VND)'!AA14/$D$1,"")</f>
        <v>8.1639859999999998E-3</v>
      </c>
      <c r="AB14" s="1753">
        <f t="shared" si="58"/>
        <v>6.1967643289999996</v>
      </c>
      <c r="AC14" s="1982">
        <f>IFERROR('5.DNCN (VND)'!AC14/$D$1,"")</f>
        <v>2.4076890450000001</v>
      </c>
      <c r="AD14" s="1982">
        <f>IFERROR('5.DNCN (VND)'!AD14/$D$1,"")</f>
        <v>1.8381165690000001</v>
      </c>
      <c r="AE14" s="1749">
        <f>RANK(AD14,AD$5:AD$16,0)+COUNTIF($AD$5:AD14,AD14)-1</f>
        <v>8</v>
      </c>
      <c r="AF14" s="1979">
        <f>IFERROR('5.DNCN (VND)'!AF14/$D$1,"")</f>
        <v>6.6887011410000001</v>
      </c>
      <c r="AG14" s="1979">
        <f>IFERROR('5.DNCN (VND)'!AG14/$D$1,"")</f>
        <v>2.004405609</v>
      </c>
      <c r="AH14" s="1979">
        <f>IFERROR('5.DNCN (VND)'!AH14/$D$1,"")</f>
        <v>2.2532360489999999</v>
      </c>
      <c r="AI14" s="1980">
        <f t="shared" si="4"/>
        <v>19.214432043684216</v>
      </c>
      <c r="AJ14" s="1979">
        <f>IFERROR('5.DNCN (VND)'!AJ14/$D$1,"")</f>
        <v>9.9568092929999992</v>
      </c>
      <c r="AK14" s="1979">
        <f>IFERROR('5.DNCN (VND)'!AK14/$D$1,"")</f>
        <v>9.4177980399999992</v>
      </c>
      <c r="AL14" s="1980">
        <f t="shared" si="5"/>
        <v>3.3172630847867723</v>
      </c>
      <c r="AM14" s="1980">
        <f t="shared" si="6"/>
        <v>17.348258791500001</v>
      </c>
      <c r="AN14" s="1980">
        <f t="shared" si="7"/>
        <v>2.357820669129139</v>
      </c>
      <c r="AO14" s="1980">
        <f>IFERROR('5.DNCN (VND)'!AO14/$D$1,"")</f>
        <v>8.1501872950000003</v>
      </c>
      <c r="AP14" s="1980">
        <f>IFERROR('5.DNCN (VND)'!AP14/$D$1,"")</f>
        <v>11.559615813000001</v>
      </c>
      <c r="AQ14" s="1980">
        <f t="shared" si="0"/>
        <v>9.8549015540000013</v>
      </c>
      <c r="AR14" s="1980">
        <f>IFERROR('5.DNCN (VND)'!AR14/$D$1,"")</f>
        <v>1.73330352</v>
      </c>
      <c r="AS14" s="1974">
        <f>IFERROR('5.DNCN (VND)'!AS14/$D$1,"")</f>
        <v>0</v>
      </c>
      <c r="AT14" s="1974">
        <f>IFERROR('5.DNCN (VND)'!AT14/$D$1,"")</f>
        <v>2.3211249980000002</v>
      </c>
      <c r="AU14" s="1981">
        <f t="shared" si="8"/>
        <v>1.1605624990000001</v>
      </c>
      <c r="AV14" s="1979">
        <f>IFERROR('5.DNCN (VND)'!AV14/$D$1,"")</f>
        <v>23.984066878</v>
      </c>
      <c r="AW14" s="1984">
        <f>RANK(AV14,AV$5:AV$16,0)+COUNTIF(AV$5:AV14,AV14)-1</f>
        <v>11</v>
      </c>
      <c r="AX14" s="1952">
        <f t="shared" si="9"/>
        <v>0.68740366760669958</v>
      </c>
      <c r="AY14" s="1984">
        <f>RANK(AX14,AX$5:AX$16,0)+COUNTIF(AX$5:AX14,AX14)-1</f>
        <v>9</v>
      </c>
      <c r="AZ14" s="1979">
        <f>IFERROR('5.DNCN (VND)'!AZ14/$D$1,"")</f>
        <v>19.669667133000001</v>
      </c>
      <c r="BA14" s="1979">
        <f>IFERROR('5.DNCN (VND)'!BA14/$D$1,"")</f>
        <v>10.906737475</v>
      </c>
      <c r="BB14" s="1749">
        <f>RANK(BA14,BA$5:BA$16,0)+COUNTIF(BA$5:BA14,BA14)-1</f>
        <v>11</v>
      </c>
      <c r="BC14" s="1761">
        <f t="shared" si="10"/>
        <v>0.31259633239330037</v>
      </c>
      <c r="BD14" s="1749">
        <f>RANK(BC14,BC$5:BC$16,0)+COUNTIF(BC$5:BC14,BC14)-1</f>
        <v>3</v>
      </c>
      <c r="BE14" s="1979">
        <f>IFERROR('5.DNCN (VND)'!BE14/$D$1,"")</f>
        <v>11.990746471</v>
      </c>
      <c r="BF14" s="1982">
        <f t="shared" si="11"/>
        <v>34.890804353</v>
      </c>
      <c r="BG14" s="1749">
        <f>RANK(BF14,BF$5:BF$16,0)+COUNTIF(BF$7:BF14,BF14)-1</f>
        <v>11</v>
      </c>
      <c r="BH14" s="1979">
        <f t="shared" si="12"/>
        <v>31.660413603999999</v>
      </c>
      <c r="BI14" s="1755">
        <f t="shared" si="13"/>
        <v>33.275608978500003</v>
      </c>
      <c r="BJ14" s="1979">
        <f t="shared" si="14"/>
        <v>5.3997403039999998</v>
      </c>
      <c r="BK14" s="1979">
        <f t="shared" si="15"/>
        <v>3.5574761239999999</v>
      </c>
      <c r="BL14" s="1980">
        <f t="shared" si="2"/>
        <v>7.1752949372856225</v>
      </c>
      <c r="BM14" s="1979">
        <f>IFERROR('5.DNCN (VND)'!BM14/$D$1,"")</f>
        <v>0</v>
      </c>
      <c r="BN14" s="1974">
        <f>IFERROR('5.DNCN (VND)'!BN14/$D$1,"")</f>
        <v>0</v>
      </c>
      <c r="BO14" s="1974">
        <f>IFERROR('5.DNCN (VND)'!BO14/$D$1,"")</f>
        <v>0</v>
      </c>
      <c r="BP14" s="1762">
        <f t="shared" si="16"/>
        <v>0</v>
      </c>
      <c r="BQ14" s="1979">
        <f>IFERROR('5.DNCN (VND)'!BQ14/$D$1,"")</f>
        <v>0</v>
      </c>
      <c r="BR14" s="1763">
        <f t="shared" si="50"/>
        <v>0</v>
      </c>
      <c r="BS14" s="1979">
        <f>IFERROR('5.DNCN (VND)'!BS14/$D$1,"")</f>
        <v>0</v>
      </c>
      <c r="BT14" s="1979">
        <f>IFERROR('5.DNCN (VND)'!BT14/$D$1,"")</f>
        <v>5.3997403039999998</v>
      </c>
      <c r="BU14" s="1763">
        <f t="shared" si="17"/>
        <v>0.15476112987735452</v>
      </c>
      <c r="BV14" s="1979">
        <f>IFERROR('5.DNCN (VND)'!BV14/$D$1,"")</f>
        <v>3.5574761239999999</v>
      </c>
      <c r="BW14" s="1982">
        <f t="shared" si="51"/>
        <v>29.491064049000002</v>
      </c>
      <c r="BX14" s="1749">
        <f>RANK(BW14,BW$5:BW$16,0)+COUNTIF(BW$7:BW14,BW14)-1</f>
        <v>10</v>
      </c>
      <c r="BY14" s="1763">
        <f t="shared" si="18"/>
        <v>0.84523887012264554</v>
      </c>
      <c r="BZ14" s="1749">
        <f>RANK(BY14,BY$5:BY$16,0)+COUNTIF(BY$7:BY14,BY14)-1</f>
        <v>1</v>
      </c>
      <c r="CA14" s="1979">
        <f t="shared" si="52"/>
        <v>28.102937479999998</v>
      </c>
      <c r="CB14" s="1980">
        <f t="shared" si="53"/>
        <v>28.797000764499998</v>
      </c>
      <c r="CC14" s="1980">
        <f>IFERROR('5.DNCN (VND)'!CC14/$D$1,"")</f>
        <v>1.9659398370000001</v>
      </c>
      <c r="CD14" s="1751">
        <f t="shared" si="19"/>
        <v>0.13106265580000001</v>
      </c>
      <c r="CE14" s="1765">
        <f t="shared" si="20"/>
        <v>4.441707476234213</v>
      </c>
      <c r="CF14" s="1687">
        <f t="shared" si="21"/>
        <v>2.5977652248588585</v>
      </c>
      <c r="CG14" s="1765">
        <f t="shared" si="22"/>
        <v>1.2387079312027596</v>
      </c>
      <c r="CH14" s="1766" t="str">
        <f t="shared" si="23"/>
        <v/>
      </c>
      <c r="CI14" s="1766">
        <f t="shared" si="24"/>
        <v>1</v>
      </c>
      <c r="CJ14" s="1766">
        <f t="shared" si="25"/>
        <v>0</v>
      </c>
      <c r="CK14" s="1765">
        <f t="shared" si="26"/>
        <v>0</v>
      </c>
      <c r="CL14" s="1765">
        <f t="shared" si="27"/>
        <v>0.18309750692712279</v>
      </c>
      <c r="CM14" s="1765">
        <f t="shared" si="28"/>
        <v>0</v>
      </c>
      <c r="CN14" s="1767">
        <f t="shared" si="29"/>
        <v>0.15476112987735452</v>
      </c>
      <c r="CO14" s="1687">
        <f t="shared" si="30"/>
        <v>1.2292512265794713</v>
      </c>
      <c r="CP14" s="1687">
        <f t="shared" si="31"/>
        <v>1.420428588605839</v>
      </c>
      <c r="CQ14" s="1687">
        <f t="shared" si="32"/>
        <v>4.1506333602487846</v>
      </c>
      <c r="CR14" s="1689">
        <f t="shared" si="33"/>
        <v>1.8740244828400185</v>
      </c>
      <c r="CS14" s="1759">
        <f t="shared" si="34"/>
        <v>5.5239156409959071E-2</v>
      </c>
      <c r="CT14" s="1751">
        <f t="shared" si="35"/>
        <v>6.3830139257626095E-2</v>
      </c>
      <c r="CU14" s="1759">
        <f t="shared" si="36"/>
        <v>4.4937239203468753E-2</v>
      </c>
      <c r="CV14" s="1768">
        <f t="shared" si="37"/>
        <v>1.1723456627185198</v>
      </c>
      <c r="CW14" s="1768">
        <f t="shared" si="38"/>
        <v>1.3869992308191061</v>
      </c>
      <c r="CX14" s="1759">
        <f t="shared" si="39"/>
        <v>6.9006406978776941E-2</v>
      </c>
      <c r="CY14" s="1759">
        <f t="shared" si="40"/>
        <v>0.160512603</v>
      </c>
      <c r="CZ14" s="1735">
        <f t="shared" si="41"/>
        <v>1.225411046E-6</v>
      </c>
      <c r="DA14" s="1679">
        <f t="shared" si="42"/>
        <v>1.9660709366E-5</v>
      </c>
      <c r="DB14" s="1735">
        <f t="shared" si="54"/>
        <v>7.1112988590000006</v>
      </c>
      <c r="DC14" s="1762">
        <f t="shared" si="43"/>
        <v>4.1409925650000003</v>
      </c>
      <c r="DD14" s="1769">
        <f t="shared" si="55"/>
        <v>7.5076848948201826</v>
      </c>
      <c r="DE14" s="1770">
        <f t="shared" si="44"/>
        <v>0.46793835505802778</v>
      </c>
      <c r="DF14" s="1769">
        <f t="shared" si="56"/>
        <v>0.33737463198280365</v>
      </c>
      <c r="DG14" s="1771">
        <f t="shared" si="45"/>
        <v>1.7172933173329665</v>
      </c>
      <c r="DH14" s="1695">
        <f t="shared" si="46"/>
        <v>0.17385303155614906</v>
      </c>
    </row>
    <row r="15" spans="1:136" s="1968" customFormat="1" ht="16.899999999999999" customHeight="1" x14ac:dyDescent="0.25">
      <c r="B15" s="1969">
        <f>'5.DNCN (VND)'!B15</f>
        <v>9</v>
      </c>
      <c r="C15" s="1948">
        <f>'5.DNCN (VND)'!C15</f>
        <v>0</v>
      </c>
      <c r="D15" s="1970" t="str">
        <f>'5.DNCN (VND)'!D15</f>
        <v>CTCP Đầu tư Kinh doanh Nhà Thành Đạt</v>
      </c>
      <c r="E15" s="1970" t="str">
        <f>'5.DNCN (VND)'!E15</f>
        <v xml:space="preserve">Thành Đạt </v>
      </c>
      <c r="F15" s="1970" t="str">
        <f>'5.DNCN (VND)'!F15</f>
        <v>Sản xuất bê tông</v>
      </c>
      <c r="G15" s="1970" t="str">
        <f>'5.DNCN (VND)'!G15</f>
        <v>VHH</v>
      </c>
      <c r="H15" s="1970" t="str">
        <f>'5.DNCN (VND)'!H15</f>
        <v>UPCOM</v>
      </c>
      <c r="I15" s="1972">
        <f>'5.DNCN (VND)'!I15</f>
        <v>3800</v>
      </c>
      <c r="J15" s="1973">
        <f>'5.DNCN (VND)'!J15</f>
        <v>2008</v>
      </c>
      <c r="K15" s="1974">
        <f>'5.DNCN (VND)'!K15</f>
        <v>7500000</v>
      </c>
      <c r="L15" s="1951">
        <f>'5.DNCN (VND)'!L15/$D$1</f>
        <v>75</v>
      </c>
      <c r="M15" s="1749">
        <f>RANK(L15,L$5:L$16,0)+COUNTIF($L$5:L15,L15)-1</f>
        <v>7</v>
      </c>
      <c r="N15" s="1951">
        <f>'5.DNCN (VND)'!N15/$D$1</f>
        <v>0</v>
      </c>
      <c r="O15" s="1951">
        <f>'5.DNCN (VND)'!O15/$D$1</f>
        <v>28.5</v>
      </c>
      <c r="P15" s="1975">
        <f t="shared" si="3"/>
        <v>5398.6380531296818</v>
      </c>
      <c r="Q15" s="1976">
        <f>IFERROR('5.DNCN (VND)'!Q15/$D$1,"")</f>
        <v>50.441339360999997</v>
      </c>
      <c r="R15" s="1749">
        <f>RANK(Q15,Q$5:Q$16,0)+COUNTIF($Q$5:Q15,Q15)-1</f>
        <v>10</v>
      </c>
      <c r="S15" s="1974">
        <f>IFERROR('5.DNCN (VND)'!S15/$D$1,"")</f>
        <v>52.583968446</v>
      </c>
      <c r="T15" s="1677">
        <f t="shared" si="57"/>
        <v>-2.1426290850000029</v>
      </c>
      <c r="U15" s="1749">
        <f>RANK(T15,T$5:T$16,0)+COUNTIF($T$5:T15,T15)-1</f>
        <v>11</v>
      </c>
      <c r="V15" s="1751">
        <f t="shared" si="48"/>
        <v>-4.2477640604774089E-2</v>
      </c>
      <c r="W15" s="1976">
        <f>IFERROR('5.DNCN (VND)'!W15/$D$1,"")</f>
        <v>9.0485689999999994E-3</v>
      </c>
      <c r="X15" s="1976">
        <f>IFERROR('5.DNCN (VND)'!X15/$D$1,"")</f>
        <v>9.0485689999999994E-3</v>
      </c>
      <c r="Y15" s="1982">
        <f>IFERROR('5.DNCN (VND)'!Y15/$D$1,"")</f>
        <v>0.88390728699999999</v>
      </c>
      <c r="Z15" s="1982">
        <f>IFERROR('5.DNCN (VND)'!Z15/$D$1,"")</f>
        <v>3.0314038999999999</v>
      </c>
      <c r="AA15" s="1982">
        <f>IFERROR('5.DNCN (VND)'!AA15/$D$1,"")</f>
        <v>0.19898415999999999</v>
      </c>
      <c r="AB15" s="1753">
        <f t="shared" si="58"/>
        <v>4.1233439159999996</v>
      </c>
      <c r="AC15" s="1982">
        <f>IFERROR('5.DNCN (VND)'!AC15/$D$1,"")</f>
        <v>-5.8774174639999996</v>
      </c>
      <c r="AD15" s="1982">
        <f>IFERROR('5.DNCN (VND)'!AD15/$D$1,"")</f>
        <v>-5.9179099119999998</v>
      </c>
      <c r="AE15" s="1749">
        <f>RANK(AD15,AD$5:AD$16,0)+COUNTIF($AD$5:AD15,AD15)-1</f>
        <v>11</v>
      </c>
      <c r="AF15" s="1979">
        <f>IFERROR('5.DNCN (VND)'!AF15/$D$1,"")</f>
        <v>0.59288847499999997</v>
      </c>
      <c r="AG15" s="1979">
        <f>IFERROR('5.DNCN (VND)'!AG15/$D$1,"")</f>
        <v>30.690657063</v>
      </c>
      <c r="AH15" s="1979">
        <f>IFERROR('5.DNCN (VND)'!AH15/$D$1,"")</f>
        <v>32.63648929</v>
      </c>
      <c r="AI15" s="1980">
        <f t="shared" si="4"/>
        <v>1.5930400236204685</v>
      </c>
      <c r="AJ15" s="1979">
        <f>IFERROR('5.DNCN (VND)'!AJ15/$D$1,"")</f>
        <v>3.7115283360000002</v>
      </c>
      <c r="AK15" s="1979">
        <f>IFERROR('5.DNCN (VND)'!AK15/$D$1,"")</f>
        <v>4.0764975059999999</v>
      </c>
      <c r="AL15" s="1980">
        <f t="shared" si="5"/>
        <v>13.503799168826641</v>
      </c>
      <c r="AM15" s="1980">
        <f t="shared" si="6"/>
        <v>5.4305721520000034</v>
      </c>
      <c r="AN15" s="1980">
        <f t="shared" si="7"/>
        <v>9.2884023909751683</v>
      </c>
      <c r="AO15" s="1980">
        <f>IFERROR('5.DNCN (VND)'!AO15/$D$1,"")</f>
        <v>12.267177997999999</v>
      </c>
      <c r="AP15" s="1980">
        <f>IFERROR('5.DNCN (VND)'!AP15/$D$1,"")</f>
        <v>13.521547951000001</v>
      </c>
      <c r="AQ15" s="1980">
        <f t="shared" si="0"/>
        <v>12.8943629745</v>
      </c>
      <c r="AR15" s="1980">
        <f>IFERROR('5.DNCN (VND)'!AR15/$D$1,"")</f>
        <v>1.2543699530000001</v>
      </c>
      <c r="AS15" s="1974">
        <f>IFERROR('5.DNCN (VND)'!AS15/$D$1,"")</f>
        <v>0</v>
      </c>
      <c r="AT15" s="1974">
        <f>IFERROR('5.DNCN (VND)'!AT15/$D$1,"")</f>
        <v>0</v>
      </c>
      <c r="AU15" s="1981">
        <f t="shared" si="8"/>
        <v>0</v>
      </c>
      <c r="AV15" s="1979">
        <f>IFERROR('5.DNCN (VND)'!AV15/$D$1,"")</f>
        <v>36.853163850000001</v>
      </c>
      <c r="AW15" s="1984">
        <f>RANK(AV15,AV$5:AV$16,0)+COUNTIF(AV$5:AV15,AV15)-1</f>
        <v>10</v>
      </c>
      <c r="AX15" s="1952">
        <f t="shared" si="9"/>
        <v>0.7213549121440479</v>
      </c>
      <c r="AY15" s="1984">
        <f>RANK(AX15,AX$5:AX$16,0)+COUNTIF(AX$5:AX15,AX15)-1</f>
        <v>7</v>
      </c>
      <c r="AZ15" s="1979">
        <f>IFERROR('5.DNCN (VND)'!AZ15/$D$1,"")</f>
        <v>38.727087757</v>
      </c>
      <c r="BA15" s="1979">
        <f>IFERROR('5.DNCN (VND)'!BA15/$D$1,"")</f>
        <v>14.235645873999999</v>
      </c>
      <c r="BB15" s="1749">
        <f>RANK(BA15,BA$5:BA$16,0)+COUNTIF(BA$5:BA15,BA15)-1</f>
        <v>10</v>
      </c>
      <c r="BC15" s="1761">
        <f t="shared" si="10"/>
        <v>0.2786450878559521</v>
      </c>
      <c r="BD15" s="1749">
        <f>RANK(BC15,BC$5:BC$16,0)+COUNTIF(BC$5:BC15,BC15)-1</f>
        <v>5</v>
      </c>
      <c r="BE15" s="1979">
        <f>IFERROR('5.DNCN (VND)'!BE15/$D$1,"")</f>
        <v>15.766287209</v>
      </c>
      <c r="BF15" s="1982">
        <f t="shared" si="11"/>
        <v>51.088809724000001</v>
      </c>
      <c r="BG15" s="1749">
        <f>RANK(BF15,BF$5:BF$16,0)+COUNTIF(BF$7:BF15,BF15)-1</f>
        <v>10</v>
      </c>
      <c r="BH15" s="1979">
        <f t="shared" si="12"/>
        <v>54.493374965999998</v>
      </c>
      <c r="BI15" s="1755">
        <f t="shared" si="13"/>
        <v>52.791092344999996</v>
      </c>
      <c r="BJ15" s="1979">
        <f t="shared" si="14"/>
        <v>33.948108157</v>
      </c>
      <c r="BK15" s="1979">
        <f t="shared" si="15"/>
        <v>31.160763487000001</v>
      </c>
      <c r="BL15" s="1980">
        <f t="shared" si="2"/>
        <v>1.6152627781208304</v>
      </c>
      <c r="BM15" s="1979">
        <f>IFERROR('5.DNCN (VND)'!BM15/$D$1,"")</f>
        <v>0</v>
      </c>
      <c r="BN15" s="1974">
        <f>IFERROR('5.DNCN (VND)'!BN15/$D$1,"")</f>
        <v>0</v>
      </c>
      <c r="BO15" s="1974">
        <f>IFERROR('5.DNCN (VND)'!BO15/$D$1,"")</f>
        <v>0.24324999999999999</v>
      </c>
      <c r="BP15" s="1762">
        <f t="shared" si="16"/>
        <v>0.24324999999999999</v>
      </c>
      <c r="BQ15" s="1979">
        <f>IFERROR('5.DNCN (VND)'!BQ15/$D$1,"")</f>
        <v>0.21036254600000001</v>
      </c>
      <c r="BR15" s="1763">
        <f t="shared" si="50"/>
        <v>4.1175855757151839E-3</v>
      </c>
      <c r="BS15" s="1979">
        <f>IFERROR('5.DNCN (VND)'!BS15/$D$1,"")</f>
        <v>0.179401795</v>
      </c>
      <c r="BT15" s="1979">
        <f>IFERROR('5.DNCN (VND)'!BT15/$D$1,"")</f>
        <v>33.737745611000001</v>
      </c>
      <c r="BU15" s="1763">
        <f t="shared" si="17"/>
        <v>0.66037446934589694</v>
      </c>
      <c r="BV15" s="1979">
        <f>IFERROR('5.DNCN (VND)'!BV15/$D$1,"")</f>
        <v>30.981361692</v>
      </c>
      <c r="BW15" s="1982">
        <f t="shared" si="51"/>
        <v>17.140701567000001</v>
      </c>
      <c r="BX15" s="1749">
        <f>RANK(BW15,BW$5:BW$16,0)+COUNTIF(BW$7:BW15,BW15)-1</f>
        <v>11</v>
      </c>
      <c r="BY15" s="1763">
        <f t="shared" si="18"/>
        <v>0.33550794507838788</v>
      </c>
      <c r="BZ15" s="1749">
        <f>RANK(BY15,BY$5:BY$16,0)+COUNTIF(BY$7:BY15,BY15)-1</f>
        <v>10</v>
      </c>
      <c r="CA15" s="1979">
        <f t="shared" si="52"/>
        <v>23.332611479000001</v>
      </c>
      <c r="CB15" s="1980">
        <f t="shared" si="53"/>
        <v>20.236656523000001</v>
      </c>
      <c r="CC15" s="1980">
        <f>IFERROR('5.DNCN (VND)'!CC15/$D$1,"")</f>
        <v>-61.659175621999999</v>
      </c>
      <c r="CD15" s="1751">
        <f t="shared" si="19"/>
        <v>-0.82212234162666664</v>
      </c>
      <c r="CE15" s="1765">
        <f t="shared" si="20"/>
        <v>1.0923422173763808</v>
      </c>
      <c r="CF15" s="1687">
        <f t="shared" si="21"/>
        <v>0.98233106313998519</v>
      </c>
      <c r="CG15" s="1765">
        <f t="shared" si="22"/>
        <v>1.7573446721546565E-2</v>
      </c>
      <c r="CH15" s="1766">
        <f t="shared" si="23"/>
        <v>-648.54110025574209</v>
      </c>
      <c r="CI15" s="1766">
        <f t="shared" si="24"/>
        <v>0.98787610116417079</v>
      </c>
      <c r="CJ15" s="1766">
        <f t="shared" si="25"/>
        <v>0</v>
      </c>
      <c r="CK15" s="1765">
        <f t="shared" si="26"/>
        <v>1.2272691708547031E-2</v>
      </c>
      <c r="CL15" s="1765">
        <f t="shared" si="27"/>
        <v>1.9805553480003599</v>
      </c>
      <c r="CM15" s="1765">
        <f t="shared" si="28"/>
        <v>4.1175855757151839E-3</v>
      </c>
      <c r="CN15" s="1767">
        <f t="shared" si="29"/>
        <v>0.66449205492161212</v>
      </c>
      <c r="CO15" s="1687">
        <f t="shared" si="30"/>
        <v>0.95548959342148276</v>
      </c>
      <c r="CP15" s="1687">
        <f t="shared" si="31"/>
        <v>2.4925727875882471</v>
      </c>
      <c r="CQ15" s="1687">
        <f t="shared" si="32"/>
        <v>3.9118907588341676</v>
      </c>
      <c r="CR15" s="1689">
        <f t="shared" si="33"/>
        <v>1.3347756401575217</v>
      </c>
      <c r="CS15" s="1759">
        <f t="shared" si="34"/>
        <v>-0.11210053910847903</v>
      </c>
      <c r="CT15" s="1751">
        <f t="shared" si="35"/>
        <v>-0.29243516117763779</v>
      </c>
      <c r="CU15" s="1759">
        <f t="shared" si="36"/>
        <v>-0.1173226164683403</v>
      </c>
      <c r="CV15" s="1768">
        <f t="shared" si="37"/>
        <v>0.98732657177769712</v>
      </c>
      <c r="CW15" s="1768">
        <f t="shared" si="38"/>
        <v>2.9427814937348762</v>
      </c>
      <c r="CX15" s="1759">
        <f t="shared" si="39"/>
        <v>-0.11486603282994896</v>
      </c>
      <c r="CY15" s="1759">
        <f t="shared" si="40"/>
        <v>-7.8365566186666666E-2</v>
      </c>
      <c r="CZ15" s="1735">
        <f t="shared" si="41"/>
        <v>-7.8905465493333336E-7</v>
      </c>
      <c r="DA15" s="1679">
        <f t="shared" si="42"/>
        <v>2.2854268756E-6</v>
      </c>
      <c r="DB15" s="1735">
        <f t="shared" si="54"/>
        <v>28.150361525000001</v>
      </c>
      <c r="DC15" s="1762">
        <f t="shared" si="43"/>
        <v>-4.6139989419999994</v>
      </c>
      <c r="DD15" s="1769">
        <f t="shared" si="55"/>
        <v>-4.8158894649966415</v>
      </c>
      <c r="DE15" s="1770">
        <f t="shared" si="44"/>
        <v>1.6627090722394584</v>
      </c>
      <c r="DF15" s="1769">
        <f t="shared" si="56"/>
        <v>0.56501275265572148</v>
      </c>
      <c r="DG15" s="1771">
        <f t="shared" si="45"/>
        <v>-6.1010767186690886</v>
      </c>
      <c r="DH15" s="1695">
        <f t="shared" si="46"/>
        <v>0.5580811667892619</v>
      </c>
    </row>
    <row r="16" spans="1:136" s="1968" customFormat="1" ht="16.899999999999999" customHeight="1" x14ac:dyDescent="0.25">
      <c r="B16" s="1969">
        <f>'5.DNCN (VND)'!B16</f>
        <v>10</v>
      </c>
      <c r="C16" s="1948">
        <f>'5.DNCN (VND)'!C16</f>
        <v>0</v>
      </c>
      <c r="D16" s="1970" t="str">
        <f>'5.DNCN (VND)'!D16</f>
        <v xml:space="preserve">CTCP Xuân Mai - Đạo Tú </v>
      </c>
      <c r="E16" s="1970" t="str">
        <f>'5.DNCN (VND)'!E16</f>
        <v xml:space="preserve">Đạo Tú </v>
      </c>
      <c r="F16" s="1970" t="str">
        <f>'5.DNCN (VND)'!F16</f>
        <v>Sản xuất bê tông</v>
      </c>
      <c r="G16" s="1970" t="str">
        <f>'5.DNCN (VND)'!G16</f>
        <v>XMD</v>
      </c>
      <c r="H16" s="1970" t="str">
        <f>'5.DNCN (VND)'!H16</f>
        <v>UPCOM</v>
      </c>
      <c r="I16" s="1972">
        <f>'5.DNCN (VND)'!I16</f>
        <v>6500</v>
      </c>
      <c r="J16" s="1973">
        <f>'5.DNCN (VND)'!J16</f>
        <v>624000</v>
      </c>
      <c r="K16" s="1974">
        <f>'5.DNCN (VND)'!K16</f>
        <v>4000000</v>
      </c>
      <c r="L16" s="1951">
        <f>'5.DNCN (VND)'!L16/$D$1</f>
        <v>40</v>
      </c>
      <c r="M16" s="1749">
        <f>RANK(L16,L$5:L$16,0)+COUNTIF($L$5:L16,L16)-1</f>
        <v>9</v>
      </c>
      <c r="N16" s="1951">
        <f>'5.DNCN (VND)'!N16/$D$1</f>
        <v>0</v>
      </c>
      <c r="O16" s="1951">
        <f>'5.DNCN (VND)'!O16/$D$1</f>
        <v>26</v>
      </c>
      <c r="P16" s="1975">
        <f t="shared" si="3"/>
        <v>2605.8952569824573</v>
      </c>
      <c r="Q16" s="1976">
        <f>IFERROR('5.DNCN (VND)'!Q16/$D$1,"")</f>
        <v>101.803441146</v>
      </c>
      <c r="R16" s="1749">
        <f>RANK(Q16,Q$5:Q$16,0)+COUNTIF($Q$5:Q16,Q16)-1</f>
        <v>9</v>
      </c>
      <c r="S16" s="1974">
        <f>IFERROR('5.DNCN (VND)'!S16/$D$1,"")</f>
        <v>96.369174086000001</v>
      </c>
      <c r="T16" s="1677">
        <f t="shared" si="57"/>
        <v>5.4342670599999963</v>
      </c>
      <c r="U16" s="1749">
        <f>RANK(T16,T$5:T$16,0)+COUNTIF($T$5:T16,T16)-1</f>
        <v>10</v>
      </c>
      <c r="V16" s="1759">
        <f t="shared" si="48"/>
        <v>5.3379993827581108E-2</v>
      </c>
      <c r="W16" s="1976">
        <f>IFERROR('5.DNCN (VND)'!W16/$D$1,"")</f>
        <v>2.032771587</v>
      </c>
      <c r="X16" s="1976">
        <f>IFERROR('5.DNCN (VND)'!X16/$D$1,"")</f>
        <v>2.5785506929999999</v>
      </c>
      <c r="Y16" s="1982">
        <f>IFERROR('5.DNCN (VND)'!Y16/$D$1,"")</f>
        <v>0.36631087000000001</v>
      </c>
      <c r="Z16" s="1982">
        <f>IFERROR('5.DNCN (VND)'!Z16/$D$1,"")</f>
        <v>5.074350484</v>
      </c>
      <c r="AA16" s="1982">
        <f>IFERROR('5.DNCN (VND)'!AA16/$D$1,"")</f>
        <v>6.2946340000000003E-2</v>
      </c>
      <c r="AB16" s="1755">
        <f t="shared" si="58"/>
        <v>8.0821583869999998</v>
      </c>
      <c r="AC16" s="1982">
        <f>IFERROR('5.DNCN (VND)'!AC16/$D$1,"")</f>
        <v>-2.2564086849999998</v>
      </c>
      <c r="AD16" s="1982">
        <f>IFERROR('5.DNCN (VND)'!AD16/$D$1,"")</f>
        <v>-2.2564086849999998</v>
      </c>
      <c r="AE16" s="1749">
        <f>RANK(AD16,AD$5:AD$16,0)+COUNTIF($AD$5:AD16,AD16)-1</f>
        <v>10</v>
      </c>
      <c r="AF16" s="1979">
        <f>IFERROR('5.DNCN (VND)'!AF16/$D$1,"")</f>
        <v>0.76910878000000005</v>
      </c>
      <c r="AG16" s="1979">
        <f>IFERROR('5.DNCN (VND)'!AG16/$D$1,"")</f>
        <v>44.870624296000003</v>
      </c>
      <c r="AH16" s="1979">
        <f>IFERROR('5.DNCN (VND)'!AH16/$D$1,"")</f>
        <v>60.924377256</v>
      </c>
      <c r="AI16" s="1980">
        <f t="shared" si="4"/>
        <v>1.9245416069295469</v>
      </c>
      <c r="AJ16" s="1979">
        <f>IFERROR('5.DNCN (VND)'!AJ16/$D$1,"")</f>
        <v>18.507835786000001</v>
      </c>
      <c r="AK16" s="1979">
        <f>IFERROR('5.DNCN (VND)'!AK16/$D$1,"")</f>
        <v>33.057433711999998</v>
      </c>
      <c r="AL16" s="1980">
        <f t="shared" si="5"/>
        <v>3.7377550829919644</v>
      </c>
      <c r="AM16" s="1980">
        <f t="shared" si="6"/>
        <v>20.813431997999999</v>
      </c>
      <c r="AN16" s="1980">
        <f t="shared" si="7"/>
        <v>4.8912375986710162</v>
      </c>
      <c r="AO16" s="1980">
        <f>IFERROR('5.DNCN (VND)'!AO16/$D$1,"")</f>
        <v>17.77081913</v>
      </c>
      <c r="AP16" s="1980">
        <f>IFERROR('5.DNCN (VND)'!AP16/$D$1,"")</f>
        <v>18.610897257000001</v>
      </c>
      <c r="AQ16" s="1980">
        <f t="shared" si="0"/>
        <v>18.190858193499999</v>
      </c>
      <c r="AR16" s="1980">
        <f>IFERROR('5.DNCN (VND)'!AR16/$D$1,"")</f>
        <v>2.9036781270000001</v>
      </c>
      <c r="AS16" s="1974">
        <f>IFERROR('5.DNCN (VND)'!AS16/$D$1,"")</f>
        <v>0</v>
      </c>
      <c r="AT16" s="1974">
        <f>IFERROR('5.DNCN (VND)'!AT16/$D$1,"")</f>
        <v>0</v>
      </c>
      <c r="AU16" s="1981">
        <f t="shared" si="8"/>
        <v>0</v>
      </c>
      <c r="AV16" s="1979">
        <f>IFERROR('5.DNCN (VND)'!AV16/$D$1,"")</f>
        <v>64.189004104999995</v>
      </c>
      <c r="AW16" s="1984">
        <f>RANK(AV16,AV$5:AV$16,0)+COUNTIF(AV$5:AV16,AV16)-1</f>
        <v>9</v>
      </c>
      <c r="AX16" s="1952">
        <f t="shared" si="9"/>
        <v>0.76813525504714897</v>
      </c>
      <c r="AY16" s="1984">
        <f>RANK(AX16,AX$5:AX$16,0)+COUNTIF(AX$5:AX16,AX16)-1</f>
        <v>3</v>
      </c>
      <c r="AZ16" s="1979">
        <f>IFERROR('5.DNCN (VND)'!AZ16/$D$1,"")</f>
        <v>94.947366693999996</v>
      </c>
      <c r="BA16" s="1979">
        <f>IFERROR('5.DNCN (VND)'!BA16/$D$1,"")</f>
        <v>19.375711462000002</v>
      </c>
      <c r="BB16" s="1749">
        <f>RANK(BA16,BA$5:BA$16,0)+COUNTIF(BA$5:BA16,BA16)-1</f>
        <v>8</v>
      </c>
      <c r="BC16" s="1761">
        <f t="shared" si="10"/>
        <v>0.23186474495285112</v>
      </c>
      <c r="BD16" s="1749">
        <f>RANK(BC16,BC$5:BC$16,0)+COUNTIF(BC$5:BC16,BC16)-1</f>
        <v>9</v>
      </c>
      <c r="BE16" s="1979">
        <f>IFERROR('5.DNCN (VND)'!BE16/$D$1,"")</f>
        <v>21.035462333000002</v>
      </c>
      <c r="BF16" s="1982">
        <f t="shared" si="11"/>
        <v>83.564715566999993</v>
      </c>
      <c r="BG16" s="1749">
        <f>RANK(BF16,BF$5:BF$16,0)+COUNTIF(BF$7:BF16,BF16)-1</f>
        <v>9</v>
      </c>
      <c r="BH16" s="1979">
        <f t="shared" si="12"/>
        <v>115.98282902699999</v>
      </c>
      <c r="BI16" s="1755">
        <f t="shared" si="13"/>
        <v>99.773772296999994</v>
      </c>
      <c r="BJ16" s="1979">
        <f t="shared" si="14"/>
        <v>43.845585014000001</v>
      </c>
      <c r="BK16" s="1979">
        <f t="shared" si="15"/>
        <v>74.457289789000001</v>
      </c>
      <c r="BL16" s="1980">
        <f t="shared" si="2"/>
        <v>1.6291941213850571</v>
      </c>
      <c r="BM16" s="1979">
        <f>IFERROR('5.DNCN (VND)'!BM16/$D$1,"")</f>
        <v>17.922412986000001</v>
      </c>
      <c r="BN16" s="1974">
        <f>IFERROR('5.DNCN (VND)'!BN16/$D$1,"")</f>
        <v>18.715780985999999</v>
      </c>
      <c r="BO16" s="1974">
        <f>IFERROR('5.DNCN (VND)'!BO16/$D$1,"")</f>
        <v>25.047992185999998</v>
      </c>
      <c r="BP16" s="1735">
        <f t="shared" si="16"/>
        <v>25.047992185999998</v>
      </c>
      <c r="BQ16" s="1979">
        <f>IFERROR('5.DNCN (VND)'!BQ16/$D$1,"")</f>
        <v>0.79336799999999996</v>
      </c>
      <c r="BR16" s="1761">
        <f t="shared" si="50"/>
        <v>9.4940549323583624E-3</v>
      </c>
      <c r="BS16" s="1979">
        <f>IFERROR('5.DNCN (VND)'!BS16/$D$1,"")</f>
        <v>0</v>
      </c>
      <c r="BT16" s="1979">
        <f>IFERROR('5.DNCN (VND)'!BT16/$D$1,"")</f>
        <v>43.052217014</v>
      </c>
      <c r="BU16" s="1761">
        <f t="shared" si="17"/>
        <v>0.51519611742688054</v>
      </c>
      <c r="BV16" s="1979">
        <f>IFERROR('5.DNCN (VND)'!BV16/$D$1,"")</f>
        <v>74.457289789000001</v>
      </c>
      <c r="BW16" s="1982">
        <f t="shared" si="51"/>
        <v>39.719130552999992</v>
      </c>
      <c r="BX16" s="1749">
        <f>RANK(BW16,BW$5:BW$16,0)+COUNTIF(BW$7:BW16,BW16)-1</f>
        <v>9</v>
      </c>
      <c r="BY16" s="1761">
        <f t="shared" si="18"/>
        <v>0.47530982764076107</v>
      </c>
      <c r="BZ16" s="1749">
        <f>RANK(BY16,BY$5:BY$16,0)+COUNTIF(BY$7:BY16,BY16)-1</f>
        <v>7</v>
      </c>
      <c r="CA16" s="1979">
        <f t="shared" si="52"/>
        <v>41.525539237999993</v>
      </c>
      <c r="CB16" s="1980">
        <f t="shared" si="53"/>
        <v>40.622334895499989</v>
      </c>
      <c r="CC16" s="1980">
        <f>IFERROR('5.DNCN (VND)'!CC16/$D$1,"")</f>
        <v>-9.9690748179999993</v>
      </c>
      <c r="CD16" s="1759">
        <f t="shared" si="19"/>
        <v>-0.24922687044999997</v>
      </c>
      <c r="CE16" s="1737">
        <f t="shared" si="20"/>
        <v>1.4909569949470105</v>
      </c>
      <c r="CF16" s="1738">
        <f t="shared" si="21"/>
        <v>1.0610642491220625</v>
      </c>
      <c r="CG16" s="1737">
        <f t="shared" si="22"/>
        <v>1.7864556887973882E-2</v>
      </c>
      <c r="CH16" s="1739">
        <f t="shared" si="23"/>
        <v>-0.11001585196792686</v>
      </c>
      <c r="CI16" s="1739">
        <f t="shared" si="24"/>
        <v>0.98041671019223642</v>
      </c>
      <c r="CJ16" s="1739">
        <f t="shared" si="25"/>
        <v>0</v>
      </c>
      <c r="CK16" s="1737">
        <f t="shared" si="26"/>
        <v>1.9974455355747378E-2</v>
      </c>
      <c r="CL16" s="1737">
        <f t="shared" si="27"/>
        <v>1.103890855704754</v>
      </c>
      <c r="CM16" s="1737">
        <f t="shared" si="28"/>
        <v>9.4940549323583624E-3</v>
      </c>
      <c r="CN16" s="1740">
        <f t="shared" si="29"/>
        <v>0.52469017235923887</v>
      </c>
      <c r="CO16" s="1738">
        <f t="shared" si="30"/>
        <v>1.0203427093340545</v>
      </c>
      <c r="CP16" s="1738">
        <f t="shared" si="31"/>
        <v>2.5060952652743125</v>
      </c>
      <c r="CQ16" s="1738">
        <f t="shared" si="32"/>
        <v>5.5964067260101364</v>
      </c>
      <c r="CR16" s="1741">
        <f t="shared" si="33"/>
        <v>1.2794490742105038</v>
      </c>
      <c r="CS16" s="1759">
        <f t="shared" si="34"/>
        <v>-2.2615248807905861E-2</v>
      </c>
      <c r="CT16" s="1759">
        <f t="shared" si="35"/>
        <v>-5.5546011592011106E-2</v>
      </c>
      <c r="CU16" s="1759">
        <f t="shared" si="36"/>
        <v>-2.2164365561710263E-2</v>
      </c>
      <c r="CV16" s="1768">
        <f t="shared" si="37"/>
        <v>1.2182586927418746</v>
      </c>
      <c r="CW16" s="1768">
        <f t="shared" si="38"/>
        <v>2.5630833235424579</v>
      </c>
      <c r="CX16" s="1759">
        <f t="shared" si="39"/>
        <v>-2.6762144343169983E-3</v>
      </c>
      <c r="CY16" s="1759">
        <f t="shared" si="40"/>
        <v>-5.6410217124999995E-2</v>
      </c>
      <c r="CZ16" s="1735">
        <f t="shared" si="41"/>
        <v>-5.6410217124999994E-7</v>
      </c>
      <c r="DA16" s="1679">
        <f t="shared" si="42"/>
        <v>9.9297826382499985E-6</v>
      </c>
      <c r="DB16" s="1735">
        <f t="shared" si="54"/>
        <v>50.278883405999999</v>
      </c>
      <c r="DC16" s="1735">
        <f t="shared" si="43"/>
        <v>2.6800410290000003</v>
      </c>
      <c r="DD16" s="1769">
        <f t="shared" si="55"/>
        <v>-11.522735297395826</v>
      </c>
      <c r="DE16" s="1770">
        <f t="shared" si="44"/>
        <v>0.65459640324468815</v>
      </c>
      <c r="DF16" s="1769">
        <f t="shared" si="56"/>
        <v>0.25539411740230333</v>
      </c>
      <c r="DG16" s="1771">
        <f t="shared" si="45"/>
        <v>18.760490179794182</v>
      </c>
      <c r="DH16" s="1695">
        <f t="shared" si="46"/>
        <v>0.49388196351725705</v>
      </c>
    </row>
    <row r="17" spans="2:112" s="1968" customFormat="1" ht="16.899999999999999" customHeight="1" x14ac:dyDescent="0.25">
      <c r="B17" s="1989"/>
      <c r="C17" s="1990"/>
      <c r="D17" s="2335" t="s">
        <v>548</v>
      </c>
      <c r="E17" s="2336"/>
      <c r="F17" s="2336"/>
      <c r="G17" s="2336"/>
      <c r="H17" s="2337"/>
      <c r="I17" s="1991"/>
      <c r="J17" s="1991"/>
      <c r="K17" s="1961"/>
      <c r="L17" s="1960"/>
      <c r="M17" s="1960"/>
      <c r="N17" s="1960"/>
      <c r="O17" s="1960"/>
      <c r="P17" s="1779">
        <f>AVERAGE(P7:P16)</f>
        <v>5001.9325621246317</v>
      </c>
      <c r="Q17" s="1779">
        <f>AVERAGE(Q7:Q16)</f>
        <v>396.51087529560004</v>
      </c>
      <c r="R17" s="1779"/>
      <c r="S17" s="1779">
        <f>AVERAGE(S7:S16)</f>
        <v>328.0813259414</v>
      </c>
      <c r="T17" s="1779">
        <f>AVERAGE(T7:T16)</f>
        <v>68.429549354200049</v>
      </c>
      <c r="U17" s="1779"/>
      <c r="V17" s="1780">
        <f t="shared" ref="V17:AD17" si="59">AVERAGE(V7:V16)</f>
        <v>0.1187163335302746</v>
      </c>
      <c r="W17" s="1779">
        <f t="shared" si="59"/>
        <v>9.1492538886999988</v>
      </c>
      <c r="X17" s="1779">
        <f t="shared" si="59"/>
        <v>9.5010054609000001</v>
      </c>
      <c r="Y17" s="1779">
        <f t="shared" si="59"/>
        <v>19.278722608100001</v>
      </c>
      <c r="Z17" s="1779">
        <f t="shared" si="59"/>
        <v>16.348210752699998</v>
      </c>
      <c r="AA17" s="1779">
        <f t="shared" si="59"/>
        <v>0.40885766170000004</v>
      </c>
      <c r="AB17" s="1779">
        <f t="shared" si="59"/>
        <v>45.536796483400003</v>
      </c>
      <c r="AC17" s="1779">
        <f t="shared" si="59"/>
        <v>28.309983416099993</v>
      </c>
      <c r="AD17" s="1779">
        <f t="shared" si="59"/>
        <v>28.790822854599998</v>
      </c>
      <c r="AE17" s="1779"/>
      <c r="AF17" s="1779">
        <f t="shared" ref="AF17:AV17" si="60">AVERAGE(AF7:AF16)</f>
        <v>33.674890528299997</v>
      </c>
      <c r="AG17" s="1779">
        <f t="shared" si="60"/>
        <v>190.88209755439999</v>
      </c>
      <c r="AH17" s="1779">
        <f t="shared" si="60"/>
        <v>223.99670632450002</v>
      </c>
      <c r="AI17" s="1779">
        <f t="shared" si="60"/>
        <v>4.0671358059925096</v>
      </c>
      <c r="AJ17" s="1779">
        <f t="shared" si="60"/>
        <v>195.36657884889999</v>
      </c>
      <c r="AK17" s="1779">
        <f t="shared" si="60"/>
        <v>183.28868017309998</v>
      </c>
      <c r="AL17" s="1779">
        <f t="shared" si="60"/>
        <v>7.7690501630523157</v>
      </c>
      <c r="AM17" s="1779">
        <f t="shared" si="60"/>
        <v>189.77847588474998</v>
      </c>
      <c r="AN17" s="1779">
        <f t="shared" si="60"/>
        <v>2.2434045504541218</v>
      </c>
      <c r="AO17" s="1779">
        <f t="shared" si="60"/>
        <v>65.360835844399986</v>
      </c>
      <c r="AP17" s="1779">
        <f t="shared" si="60"/>
        <v>74.889944662800005</v>
      </c>
      <c r="AQ17" s="1779">
        <f t="shared" si="60"/>
        <v>70.125390253600017</v>
      </c>
      <c r="AR17" s="1779">
        <f t="shared" si="60"/>
        <v>11.788958841699998</v>
      </c>
      <c r="AS17" s="1779">
        <f t="shared" si="60"/>
        <v>3.9892793083999991</v>
      </c>
      <c r="AT17" s="1779">
        <f t="shared" si="60"/>
        <v>4.0965786263999995</v>
      </c>
      <c r="AU17" s="1779">
        <f t="shared" si="60"/>
        <v>4.0429289674</v>
      </c>
      <c r="AV17" s="1779">
        <f t="shared" si="60"/>
        <v>434.79780589249992</v>
      </c>
      <c r="AW17" s="1779"/>
      <c r="AX17" s="1780">
        <f>AVERAGE(AX7:AX16)</f>
        <v>0.69938692566081995</v>
      </c>
      <c r="AY17" s="1779"/>
      <c r="AZ17" s="1779">
        <f>AVERAGE(AZ7:AZ16)</f>
        <v>459.83508812239995</v>
      </c>
      <c r="BA17" s="1779">
        <f>AVERAGE(BA7:BA16)</f>
        <v>169.1546623422</v>
      </c>
      <c r="BB17" s="1779"/>
      <c r="BC17" s="1780">
        <f>AVERAGE(BC7:BC16)</f>
        <v>0.30061307433918011</v>
      </c>
      <c r="BD17" s="1779"/>
      <c r="BE17" s="1779">
        <f>AVERAGE(BE7:BE16)</f>
        <v>132.3015640866</v>
      </c>
      <c r="BF17" s="1779">
        <f>AVERAGE(BF7:BF16)</f>
        <v>603.95246823469995</v>
      </c>
      <c r="BG17" s="1779"/>
      <c r="BH17" s="1779">
        <f t="shared" ref="BH17:BW17" si="61">AVERAGE(BH7:BH16)</f>
        <v>592.13665220899998</v>
      </c>
      <c r="BI17" s="1779">
        <f t="shared" si="61"/>
        <v>598.04456022184991</v>
      </c>
      <c r="BJ17" s="1779">
        <f t="shared" si="61"/>
        <v>292.9961686497</v>
      </c>
      <c r="BK17" s="1779">
        <f t="shared" si="61"/>
        <v>294.65409719919995</v>
      </c>
      <c r="BL17" s="1779">
        <f t="shared" si="61"/>
        <v>2.315947938191707</v>
      </c>
      <c r="BM17" s="1779">
        <f t="shared" si="61"/>
        <v>117.98316673749999</v>
      </c>
      <c r="BN17" s="1779">
        <f t="shared" si="61"/>
        <v>153.34033839170002</v>
      </c>
      <c r="BO17" s="1779">
        <f t="shared" si="61"/>
        <v>146.56179315110001</v>
      </c>
      <c r="BP17" s="1779">
        <f t="shared" si="61"/>
        <v>146.56179315110001</v>
      </c>
      <c r="BQ17" s="1779">
        <f t="shared" si="61"/>
        <v>38.845280050500001</v>
      </c>
      <c r="BR17" s="1780">
        <f t="shared" si="61"/>
        <v>2.85303444827061E-2</v>
      </c>
      <c r="BS17" s="1779">
        <f t="shared" si="61"/>
        <v>33.729043552999997</v>
      </c>
      <c r="BT17" s="1779">
        <f t="shared" si="61"/>
        <v>254.15088859919993</v>
      </c>
      <c r="BU17" s="1780">
        <f t="shared" si="61"/>
        <v>0.4249235132089545</v>
      </c>
      <c r="BV17" s="1779">
        <f t="shared" si="61"/>
        <v>260.9250536461999</v>
      </c>
      <c r="BW17" s="1779">
        <f t="shared" si="61"/>
        <v>310.95629958500001</v>
      </c>
      <c r="BX17" s="1779"/>
      <c r="BY17" s="1780">
        <f>AVERAGE(BY7:BY16)</f>
        <v>0.54654614230833942</v>
      </c>
      <c r="BZ17" s="1779"/>
      <c r="CA17" s="1779">
        <f t="shared" ref="CA17:DH17" si="62">AVERAGE(CA7:CA16)</f>
        <v>297.48255500980002</v>
      </c>
      <c r="CB17" s="1779">
        <f t="shared" si="62"/>
        <v>304.21942729739999</v>
      </c>
      <c r="CC17" s="1779">
        <f t="shared" si="62"/>
        <v>48.366035287199978</v>
      </c>
      <c r="CD17" s="1780">
        <f t="shared" si="62"/>
        <v>0.13809377072065193</v>
      </c>
      <c r="CE17" s="1781">
        <f t="shared" si="62"/>
        <v>1.9090786691831849</v>
      </c>
      <c r="CF17" s="1781">
        <f t="shared" si="62"/>
        <v>1.335749885467705</v>
      </c>
      <c r="CG17" s="1781">
        <f t="shared" si="62"/>
        <v>0.21373282634567242</v>
      </c>
      <c r="CH17" s="1781">
        <f t="shared" si="62"/>
        <v>-68.511651416788467</v>
      </c>
      <c r="CI17" s="1781">
        <f t="shared" si="62"/>
        <v>0.94761395056526543</v>
      </c>
      <c r="CJ17" s="1781">
        <f t="shared" si="62"/>
        <v>0</v>
      </c>
      <c r="CK17" s="1781">
        <f t="shared" si="62"/>
        <v>6.1491382049654632E-2</v>
      </c>
      <c r="CL17" s="1781">
        <f t="shared" si="62"/>
        <v>0.96978210016297761</v>
      </c>
      <c r="CM17" s="1781">
        <f t="shared" si="62"/>
        <v>2.85303444827061E-2</v>
      </c>
      <c r="CN17" s="1781">
        <f t="shared" si="62"/>
        <v>0.45345385769166063</v>
      </c>
      <c r="CO17" s="1781">
        <f t="shared" si="62"/>
        <v>1.0018859587191249</v>
      </c>
      <c r="CP17" s="1781">
        <f t="shared" si="62"/>
        <v>2.0322324584998062</v>
      </c>
      <c r="CQ17" s="1781">
        <f t="shared" si="62"/>
        <v>12.036093985577898</v>
      </c>
      <c r="CR17" s="1781">
        <f t="shared" si="62"/>
        <v>1.4336268804760475</v>
      </c>
      <c r="CS17" s="1780">
        <f t="shared" si="62"/>
        <v>2.3294104393679606E-2</v>
      </c>
      <c r="CT17" s="1780">
        <f t="shared" si="62"/>
        <v>4.1422573592883594E-2</v>
      </c>
      <c r="CU17" s="1780">
        <f t="shared" si="62"/>
        <v>2.5764112818196565E-2</v>
      </c>
      <c r="CV17" s="1782">
        <f t="shared" si="62"/>
        <v>1.0398176054074422</v>
      </c>
      <c r="CW17" s="1782">
        <f t="shared" si="62"/>
        <v>2.0697680267754968</v>
      </c>
      <c r="CX17" s="1780">
        <f t="shared" si="62"/>
        <v>4.1716310933863306E-2</v>
      </c>
      <c r="CY17" s="1780">
        <f t="shared" si="62"/>
        <v>0.1591331357810129</v>
      </c>
      <c r="CZ17" s="1779">
        <f t="shared" si="62"/>
        <v>1.5378192161476147E-6</v>
      </c>
      <c r="DA17" s="1779">
        <f t="shared" si="62"/>
        <v>1.4713578502316966E-5</v>
      </c>
      <c r="DB17" s="1779">
        <f t="shared" si="62"/>
        <v>311.19400867980005</v>
      </c>
      <c r="DC17" s="1779">
        <f t="shared" si="62"/>
        <v>49.248196146499986</v>
      </c>
      <c r="DD17" s="1779">
        <f t="shared" si="62"/>
        <v>26.790772302602829</v>
      </c>
      <c r="DE17" s="1783">
        <f t="shared" si="62"/>
        <v>0.83654189133615853</v>
      </c>
      <c r="DF17" s="1783">
        <f t="shared" si="62"/>
        <v>0.41557841208671525</v>
      </c>
      <c r="DG17" s="1781">
        <f t="shared" si="62"/>
        <v>5.8925580057975413</v>
      </c>
      <c r="DH17" s="1784">
        <f t="shared" si="62"/>
        <v>0.61358002613533746</v>
      </c>
    </row>
    <row r="18" spans="2:112" s="1968" customFormat="1" ht="16.899999999999999" customHeight="1" x14ac:dyDescent="0.25">
      <c r="B18" s="1989"/>
      <c r="C18" s="1990"/>
      <c r="D18" s="2338" t="s">
        <v>1971</v>
      </c>
      <c r="E18" s="2339"/>
      <c r="F18" s="2339"/>
      <c r="G18" s="2339"/>
      <c r="H18" s="2340"/>
      <c r="I18" s="1992"/>
      <c r="J18" s="1992"/>
      <c r="K18" s="1992"/>
      <c r="L18" s="1992"/>
      <c r="M18" s="1992"/>
      <c r="N18" s="1992"/>
      <c r="O18" s="1992"/>
      <c r="P18" s="1993">
        <f>IFERROR(AVERAGEIF($C$7:$C$16,"1",P7:P16),"")</f>
        <v>8456.2043451376394</v>
      </c>
      <c r="Q18" s="1993">
        <f>IFERROR(AVERAGEIF($C$7:$C$16,"1",Q7:Q16),"")</f>
        <v>712.83340457866677</v>
      </c>
      <c r="R18" s="1993"/>
      <c r="S18" s="1993">
        <f>IFERROR(AVERAGEIF($C$7:$C$16,"1",S7:S16),"")</f>
        <v>572.59681976866659</v>
      </c>
      <c r="T18" s="1993">
        <f>IFERROR(AVERAGEIF($C$7:$C$16,"1",T7:T16),"")</f>
        <v>140.23658481000007</v>
      </c>
      <c r="U18" s="1993"/>
      <c r="V18" s="1994">
        <f t="shared" ref="V18:AD18" si="63">IFERROR(AVERAGEIF($C$7:$C$16,"1",V7:V16),"")</f>
        <v>0.13157484512906603</v>
      </c>
      <c r="W18" s="1993">
        <f t="shared" si="63"/>
        <v>7.9850456379999999</v>
      </c>
      <c r="X18" s="1993">
        <f t="shared" si="63"/>
        <v>8.2981691509999997</v>
      </c>
      <c r="Y18" s="1993">
        <f t="shared" si="63"/>
        <v>54.369290416333335</v>
      </c>
      <c r="Z18" s="1993">
        <f t="shared" si="63"/>
        <v>25.995225132333335</v>
      </c>
      <c r="AA18" s="1993">
        <f t="shared" si="63"/>
        <v>0.96910557733333336</v>
      </c>
      <c r="AB18" s="1993">
        <f t="shared" si="63"/>
        <v>89.631790276999993</v>
      </c>
      <c r="AC18" s="1993">
        <f t="shared" si="63"/>
        <v>54.022036465333336</v>
      </c>
      <c r="AD18" s="1993">
        <f t="shared" si="63"/>
        <v>64.417024827999995</v>
      </c>
      <c r="AE18" s="1993"/>
      <c r="AF18" s="1993">
        <f t="shared" ref="AF18:AV18" si="64">IFERROR(AVERAGEIF($C$7:$C$16,"1",AF7:AF16),"")</f>
        <v>78.14946505333333</v>
      </c>
      <c r="AG18" s="1993">
        <f t="shared" si="64"/>
        <v>165.70009199566667</v>
      </c>
      <c r="AH18" s="1993">
        <f t="shared" si="64"/>
        <v>181.59837425166666</v>
      </c>
      <c r="AI18" s="1993">
        <f t="shared" si="64"/>
        <v>3.340058350080811</v>
      </c>
      <c r="AJ18" s="1993">
        <f t="shared" si="64"/>
        <v>250.70808137700001</v>
      </c>
      <c r="AK18" s="1993">
        <f t="shared" si="64"/>
        <v>217.85231356633335</v>
      </c>
      <c r="AL18" s="1993">
        <f t="shared" si="64"/>
        <v>13.75553711944927</v>
      </c>
      <c r="AM18" s="1993">
        <f t="shared" si="64"/>
        <v>142.81118345216666</v>
      </c>
      <c r="AN18" s="1993">
        <f t="shared" si="64"/>
        <v>5.1901174655498972</v>
      </c>
      <c r="AO18" s="1993">
        <f t="shared" si="64"/>
        <v>127.69044001499998</v>
      </c>
      <c r="AP18" s="1993">
        <f t="shared" si="64"/>
        <v>145.72057162166666</v>
      </c>
      <c r="AQ18" s="1993">
        <f t="shared" si="64"/>
        <v>136.70550581833334</v>
      </c>
      <c r="AR18" s="1993">
        <f t="shared" si="64"/>
        <v>24.900073013</v>
      </c>
      <c r="AS18" s="1993">
        <f t="shared" si="64"/>
        <v>11.438276312999998</v>
      </c>
      <c r="AT18" s="1993">
        <f t="shared" si="64"/>
        <v>10.958507712666666</v>
      </c>
      <c r="AU18" s="1993">
        <f t="shared" si="64"/>
        <v>11.198392012833333</v>
      </c>
      <c r="AV18" s="1993">
        <f t="shared" si="64"/>
        <v>521.41229081966674</v>
      </c>
      <c r="AW18" s="1993"/>
      <c r="AX18" s="1994">
        <f>IFERROR(AVERAGEIF($C$7:$C$16,"1",AX7:AX16),"")</f>
        <v>0.70425501240011545</v>
      </c>
      <c r="AY18" s="1993"/>
      <c r="AZ18" s="1993">
        <f>IFERROR(AVERAGEIF($C$7:$C$16,"1",AZ7:AZ16),"")</f>
        <v>495.36591426666672</v>
      </c>
      <c r="BA18" s="1993">
        <f>IFERROR(AVERAGEIF($C$7:$C$16,"1",BA7:BA16),"")</f>
        <v>214.17704798966665</v>
      </c>
      <c r="BB18" s="1993"/>
      <c r="BC18" s="1994">
        <f>IFERROR(AVERAGEIF($C$7:$C$16,"1",BC7:BC16),"")</f>
        <v>0.2957449875998846</v>
      </c>
      <c r="BD18" s="1993"/>
      <c r="BE18" s="1993">
        <f>IFERROR(AVERAGEIF($C$7:$C$16,"1",BE7:BE16),"")</f>
        <v>245.55252958133335</v>
      </c>
      <c r="BF18" s="1993">
        <f>IFERROR(AVERAGEIF($C$7:$C$16,"1",BF7:BF16),"")</f>
        <v>735.5893388093333</v>
      </c>
      <c r="BG18" s="1993"/>
      <c r="BH18" s="1993">
        <f t="shared" ref="BH18:BW18" si="65">IFERROR(AVERAGEIF($C$7:$C$16,"1",BH7:BH16),"")</f>
        <v>740.91844384800004</v>
      </c>
      <c r="BI18" s="1993">
        <f t="shared" si="65"/>
        <v>738.25389132866667</v>
      </c>
      <c r="BJ18" s="1993">
        <f t="shared" si="65"/>
        <v>435.96170208766665</v>
      </c>
      <c r="BK18" s="1993">
        <f t="shared" si="65"/>
        <v>457.15162312933336</v>
      </c>
      <c r="BL18" s="1993">
        <f t="shared" si="65"/>
        <v>2.3109019206589649</v>
      </c>
      <c r="BM18" s="1993">
        <f t="shared" si="65"/>
        <v>115.04385661866667</v>
      </c>
      <c r="BN18" s="1993">
        <f t="shared" si="65"/>
        <v>171.66104113266667</v>
      </c>
      <c r="BO18" s="1993">
        <f t="shared" si="65"/>
        <v>182.39718128900003</v>
      </c>
      <c r="BP18" s="1993">
        <f t="shared" si="65"/>
        <v>182.39718128900003</v>
      </c>
      <c r="BQ18" s="1993">
        <f t="shared" si="65"/>
        <v>57.969002900333329</v>
      </c>
      <c r="BR18" s="1994">
        <f t="shared" si="65"/>
        <v>3.2334082279029105E-2</v>
      </c>
      <c r="BS18" s="1993">
        <f t="shared" si="65"/>
        <v>103.98848413466665</v>
      </c>
      <c r="BT18" s="1993">
        <f t="shared" si="65"/>
        <v>377.99269918733336</v>
      </c>
      <c r="BU18" s="1994">
        <f t="shared" si="65"/>
        <v>0.44508889368568338</v>
      </c>
      <c r="BV18" s="1993">
        <f t="shared" si="65"/>
        <v>353.16313899466667</v>
      </c>
      <c r="BW18" s="1993">
        <f t="shared" si="65"/>
        <v>299.6276367216667</v>
      </c>
      <c r="BX18" s="1993"/>
      <c r="BY18" s="1994">
        <f>IFERROR(AVERAGEIF($C$7:$C$16,"1",BY7:BY16),"")</f>
        <v>0.5225770240352875</v>
      </c>
      <c r="BZ18" s="1993"/>
      <c r="CA18" s="1993">
        <f t="shared" ref="CA18:DH18" si="66">IFERROR(AVERAGEIF($C$7:$C$16,"1",CA7:CA16),"")</f>
        <v>283.76682071866662</v>
      </c>
      <c r="CB18" s="1993">
        <f t="shared" si="66"/>
        <v>291.69722872016661</v>
      </c>
      <c r="CC18" s="1993">
        <f t="shared" si="66"/>
        <v>98.511114727000006</v>
      </c>
      <c r="CD18" s="1994">
        <f t="shared" si="66"/>
        <v>0.44685774913823972</v>
      </c>
      <c r="CE18" s="1993">
        <f t="shared" si="66"/>
        <v>1.611175145920728</v>
      </c>
      <c r="CF18" s="1993">
        <f t="shared" si="66"/>
        <v>1.2543380835844642</v>
      </c>
      <c r="CG18" s="1993">
        <f t="shared" si="66"/>
        <v>0.14151055230933177</v>
      </c>
      <c r="CH18" s="1993">
        <f t="shared" si="66"/>
        <v>6.4391721310350745</v>
      </c>
      <c r="CI18" s="1993">
        <f t="shared" si="66"/>
        <v>0.93100498795457953</v>
      </c>
      <c r="CJ18" s="1993">
        <f t="shared" si="66"/>
        <v>0</v>
      </c>
      <c r="CK18" s="1995">
        <f t="shared" si="66"/>
        <v>8.5848382331988382E-2</v>
      </c>
      <c r="CL18" s="1995">
        <f t="shared" si="66"/>
        <v>1.0125340613354388</v>
      </c>
      <c r="CM18" s="1995">
        <f t="shared" si="66"/>
        <v>3.2334082279029105E-2</v>
      </c>
      <c r="CN18" s="1995">
        <f t="shared" si="66"/>
        <v>0.47742297596471239</v>
      </c>
      <c r="CO18" s="1995">
        <f t="shared" si="66"/>
        <v>1.2027234609159201</v>
      </c>
      <c r="CP18" s="1995">
        <f t="shared" si="66"/>
        <v>2.4025179958143243</v>
      </c>
      <c r="CQ18" s="1995">
        <f t="shared" si="66"/>
        <v>5.3490655819498931</v>
      </c>
      <c r="CR18" s="1995">
        <f t="shared" si="66"/>
        <v>1.7654348947418959</v>
      </c>
      <c r="CS18" s="1994">
        <f t="shared" si="66"/>
        <v>5.8043129348010848E-2</v>
      </c>
      <c r="CT18" s="1994">
        <f t="shared" si="66"/>
        <v>0.13499744995418095</v>
      </c>
      <c r="CU18" s="1994">
        <f t="shared" si="66"/>
        <v>5.2902003233398588E-2</v>
      </c>
      <c r="CV18" s="1996">
        <f t="shared" si="66"/>
        <v>1.2446385141243785</v>
      </c>
      <c r="CW18" s="1996">
        <f t="shared" si="66"/>
        <v>2.3767428077508064</v>
      </c>
      <c r="CX18" s="1994">
        <f t="shared" si="66"/>
        <v>7.1597529046106667E-2</v>
      </c>
      <c r="CY18" s="1994">
        <f t="shared" si="66"/>
        <v>0.27483719010791652</v>
      </c>
      <c r="CZ18" s="1993">
        <f t="shared" si="66"/>
        <v>3.1987443758619065E-6</v>
      </c>
      <c r="DA18" s="1993">
        <f t="shared" si="66"/>
        <v>1.8462000309375312E-5</v>
      </c>
      <c r="DB18" s="1993">
        <f t="shared" si="66"/>
        <v>473.55375593566669</v>
      </c>
      <c r="DC18" s="1993">
        <f t="shared" si="66"/>
        <v>86.907155116333328</v>
      </c>
      <c r="DD18" s="1993">
        <f t="shared" si="66"/>
        <v>15.820878021311907</v>
      </c>
      <c r="DE18" s="1995">
        <f t="shared" si="66"/>
        <v>1.0023287393702234</v>
      </c>
      <c r="DF18" s="1995">
        <f t="shared" si="66"/>
        <v>0.41500983198538671</v>
      </c>
      <c r="DG18" s="1995">
        <f t="shared" si="66"/>
        <v>5.0519875211566978</v>
      </c>
      <c r="DH18" s="1995">
        <f t="shared" si="66"/>
        <v>0.52317859592838778</v>
      </c>
    </row>
  </sheetData>
  <mergeCells count="34">
    <mergeCell ref="B2:B3"/>
    <mergeCell ref="C2:C3"/>
    <mergeCell ref="D2:F3"/>
    <mergeCell ref="G2:P3"/>
    <mergeCell ref="Q2:AE2"/>
    <mergeCell ref="BJ2:CD2"/>
    <mergeCell ref="CE2:DH2"/>
    <mergeCell ref="Q3:S3"/>
    <mergeCell ref="T3:V3"/>
    <mergeCell ref="W3:AB3"/>
    <mergeCell ref="AC3:AE3"/>
    <mergeCell ref="AG3:AI3"/>
    <mergeCell ref="AJ3:AL3"/>
    <mergeCell ref="AM3:AN3"/>
    <mergeCell ref="AO3:AR3"/>
    <mergeCell ref="AF2:BI2"/>
    <mergeCell ref="AS3:AU3"/>
    <mergeCell ref="AV3:AZ3"/>
    <mergeCell ref="BA3:BE3"/>
    <mergeCell ref="BF3:BI3"/>
    <mergeCell ref="CO3:CR3"/>
    <mergeCell ref="CS3:CY3"/>
    <mergeCell ref="CZ3:DH3"/>
    <mergeCell ref="BJ3:BL3"/>
    <mergeCell ref="BM3:BP3"/>
    <mergeCell ref="BQ3:BS3"/>
    <mergeCell ref="BT3:BV3"/>
    <mergeCell ref="BW3:CB3"/>
    <mergeCell ref="CC3:CD3"/>
    <mergeCell ref="D17:H17"/>
    <mergeCell ref="D18:H18"/>
    <mergeCell ref="CE3:CG3"/>
    <mergeCell ref="CH3:CJ3"/>
    <mergeCell ref="CK3:CN3"/>
  </mergeCells>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002060"/>
  </sheetPr>
  <dimension ref="A1:G22"/>
  <sheetViews>
    <sheetView zoomScaleNormal="100" workbookViewId="0">
      <selection activeCell="B12" sqref="B12"/>
    </sheetView>
  </sheetViews>
  <sheetFormatPr defaultRowHeight="15" x14ac:dyDescent="0.25"/>
  <cols>
    <col min="1" max="1" width="13.42578125" bestFit="1" customWidth="1"/>
    <col min="2" max="2" width="19.7109375" bestFit="1" customWidth="1"/>
    <col min="3" max="4" width="19.5703125" bestFit="1" customWidth="1"/>
    <col min="5" max="5" width="19.140625" style="3" bestFit="1" customWidth="1"/>
    <col min="6" max="7" width="20.140625" style="3" bestFit="1" customWidth="1"/>
  </cols>
  <sheetData>
    <row r="1" spans="1:7" x14ac:dyDescent="0.25">
      <c r="A1" s="64"/>
      <c r="B1" s="68" t="s">
        <v>514</v>
      </c>
    </row>
    <row r="2" spans="1:7" x14ac:dyDescent="0.25">
      <c r="A2" s="65">
        <v>0.5</v>
      </c>
      <c r="B2" s="64"/>
    </row>
    <row r="3" spans="1:7" s="1" customFormat="1" x14ac:dyDescent="0.25">
      <c r="A3" s="372" t="s">
        <v>515</v>
      </c>
      <c r="B3" s="372">
        <v>2023</v>
      </c>
      <c r="E3" s="4"/>
      <c r="F3" s="4"/>
      <c r="G3" s="4"/>
    </row>
    <row r="4" spans="1:7" x14ac:dyDescent="0.25">
      <c r="A4" s="373" t="s">
        <v>221</v>
      </c>
      <c r="B4" s="374">
        <f>'5.DNCN (VND)'!CT5</f>
        <v>0.17977037305077104</v>
      </c>
    </row>
    <row r="5" spans="1:7" x14ac:dyDescent="0.25">
      <c r="A5" s="373" t="s">
        <v>121</v>
      </c>
      <c r="B5" s="375">
        <f>'5.DNCN (VND)'!BW5</f>
        <v>55259416469</v>
      </c>
    </row>
    <row r="6" spans="1:7" x14ac:dyDescent="0.25">
      <c r="A6" s="373" t="s">
        <v>16</v>
      </c>
      <c r="B6" s="375">
        <f>'5.DNCN (VND)'!AD5</f>
        <v>11731729394.000025</v>
      </c>
    </row>
    <row r="7" spans="1:7" x14ac:dyDescent="0.25">
      <c r="A7" s="373" t="s">
        <v>516</v>
      </c>
      <c r="B7" s="375">
        <f>'5.DNCN (VND)'!BF5</f>
        <v>623396424349</v>
      </c>
    </row>
    <row r="8" spans="1:7" x14ac:dyDescent="0.25">
      <c r="A8" s="373" t="s">
        <v>220</v>
      </c>
      <c r="B8" s="374">
        <f>'5.DNCN (VND)'!CS5</f>
        <v>2.2604558630388676E-2</v>
      </c>
    </row>
    <row r="9" spans="1:7" x14ac:dyDescent="0.25">
      <c r="A9" s="373" t="s">
        <v>238</v>
      </c>
      <c r="B9" s="376">
        <f>'5.DNCN (VND)'!CU5</f>
        <v>2.205219131712614E-2</v>
      </c>
    </row>
    <row r="10" spans="1:7" x14ac:dyDescent="0.25">
      <c r="A10" s="373" t="s">
        <v>517</v>
      </c>
      <c r="B10" s="375">
        <f>'5.DNCN (VND)'!Q5</f>
        <v>531998349973</v>
      </c>
    </row>
    <row r="11" spans="1:7" x14ac:dyDescent="0.25">
      <c r="A11" s="373" t="s">
        <v>518</v>
      </c>
      <c r="B11" s="375">
        <f>'5.DNCN (VND)'!T5</f>
        <v>66474844940</v>
      </c>
    </row>
    <row r="14" spans="1:7" x14ac:dyDescent="0.25">
      <c r="A14" s="377" t="s">
        <v>142</v>
      </c>
      <c r="B14" s="2341">
        <v>2022</v>
      </c>
      <c r="C14" s="2342"/>
      <c r="D14" s="2343"/>
    </row>
    <row r="15" spans="1:7" x14ac:dyDescent="0.25">
      <c r="A15" s="378" t="s">
        <v>221</v>
      </c>
      <c r="B15" s="379">
        <f>B4*50%</f>
        <v>8.9885186525385519E-2</v>
      </c>
      <c r="C15" s="379">
        <f>B15+B4</f>
        <v>0.26965555957615656</v>
      </c>
      <c r="D15" s="379">
        <f>B4-B15</f>
        <v>8.9885186525385519E-2</v>
      </c>
    </row>
    <row r="16" spans="1:7" x14ac:dyDescent="0.25">
      <c r="A16" s="378" t="s">
        <v>519</v>
      </c>
      <c r="B16" s="375">
        <f>B5*$A$2</f>
        <v>27629708234.5</v>
      </c>
      <c r="C16" s="375">
        <f>B16+B5</f>
        <v>82889124703.5</v>
      </c>
      <c r="D16" s="375">
        <f>B5-B16</f>
        <v>27629708234.5</v>
      </c>
    </row>
    <row r="17" spans="1:4" x14ac:dyDescent="0.25">
      <c r="A17" s="378" t="s">
        <v>16</v>
      </c>
      <c r="B17" s="375">
        <f>B6*$A$2</f>
        <v>5865864697.0000124</v>
      </c>
      <c r="C17" s="375">
        <f t="shared" ref="C17:C22" si="0">B17+B6</f>
        <v>17597594091.000038</v>
      </c>
      <c r="D17" s="375">
        <f t="shared" ref="D17:D22" si="1">B6-B17</f>
        <v>5865864697.0000124</v>
      </c>
    </row>
    <row r="18" spans="1:4" x14ac:dyDescent="0.25">
      <c r="A18" s="378" t="s">
        <v>516</v>
      </c>
      <c r="B18" s="375">
        <f>B7*$A$2</f>
        <v>311698212174.5</v>
      </c>
      <c r="C18" s="375">
        <f t="shared" si="0"/>
        <v>935094636523.5</v>
      </c>
      <c r="D18" s="375">
        <f t="shared" si="1"/>
        <v>311698212174.5</v>
      </c>
    </row>
    <row r="19" spans="1:4" x14ac:dyDescent="0.25">
      <c r="A19" s="378" t="s">
        <v>220</v>
      </c>
      <c r="B19" s="379">
        <f>B8*50%</f>
        <v>1.1302279315194338E-2</v>
      </c>
      <c r="C19" s="379">
        <f t="shared" si="0"/>
        <v>3.390683794558301E-2</v>
      </c>
      <c r="D19" s="379">
        <f t="shared" si="1"/>
        <v>1.1302279315194338E-2</v>
      </c>
    </row>
    <row r="20" spans="1:4" x14ac:dyDescent="0.25">
      <c r="A20" s="378" t="s">
        <v>238</v>
      </c>
      <c r="B20" s="379">
        <f>B9*$A$2</f>
        <v>1.102609565856307E-2</v>
      </c>
      <c r="C20" s="379">
        <f t="shared" si="0"/>
        <v>3.3078286975689208E-2</v>
      </c>
      <c r="D20" s="379">
        <f t="shared" si="1"/>
        <v>1.102609565856307E-2</v>
      </c>
    </row>
    <row r="21" spans="1:4" x14ac:dyDescent="0.25">
      <c r="A21" s="378" t="s">
        <v>520</v>
      </c>
      <c r="B21" s="375">
        <f>B10*$A$2</f>
        <v>265999174986.5</v>
      </c>
      <c r="C21" s="375">
        <f t="shared" si="0"/>
        <v>797997524959.5</v>
      </c>
      <c r="D21" s="375">
        <f t="shared" si="1"/>
        <v>265999174986.5</v>
      </c>
    </row>
    <row r="22" spans="1:4" x14ac:dyDescent="0.25">
      <c r="A22" s="378" t="s">
        <v>518</v>
      </c>
      <c r="B22" s="375">
        <f>B11*$A$2</f>
        <v>33237422470</v>
      </c>
      <c r="C22" s="375">
        <f t="shared" si="0"/>
        <v>99712267410</v>
      </c>
      <c r="D22" s="375">
        <f t="shared" si="1"/>
        <v>33237422470</v>
      </c>
    </row>
  </sheetData>
  <mergeCells count="1">
    <mergeCell ref="B14:D14"/>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theme="0" tint="-0.14999847407452621"/>
  </sheetPr>
  <dimension ref="B2:CB76"/>
  <sheetViews>
    <sheetView showGridLines="0" zoomScale="85" zoomScaleNormal="85" workbookViewId="0">
      <pane xSplit="4" ySplit="4" topLeftCell="E5" activePane="bottomRight" state="frozen"/>
      <selection activeCell="F13" sqref="F13"/>
      <selection pane="topRight" activeCell="F13" sqref="F13"/>
      <selection pane="bottomLeft" activeCell="F13" sqref="F13"/>
      <selection pane="bottomRight" activeCell="L4" sqref="L4"/>
    </sheetView>
  </sheetViews>
  <sheetFormatPr defaultColWidth="9.140625" defaultRowHeight="15" outlineLevelCol="1" x14ac:dyDescent="0.25"/>
  <cols>
    <col min="1" max="3" width="9.140625" style="18"/>
    <col min="4" max="4" width="47" style="18" bestFit="1" customWidth="1"/>
    <col min="5" max="5" width="8.28515625" style="18" customWidth="1" outlineLevel="1"/>
    <col min="6" max="6" width="21.42578125" style="18" bestFit="1" customWidth="1" outlineLevel="1"/>
    <col min="7" max="7" width="14.85546875" style="18" customWidth="1" outlineLevel="1"/>
    <col min="8" max="8" width="14.7109375" style="18" customWidth="1" outlineLevel="1"/>
    <col min="9" max="10" width="27.140625" style="18" customWidth="1"/>
    <col min="11" max="11" width="13.7109375" style="18" customWidth="1"/>
    <col min="12" max="12" width="21.42578125" style="18" customWidth="1" outlineLevel="1"/>
    <col min="13" max="14" width="20.28515625" style="18" customWidth="1" outlineLevel="1"/>
    <col min="15" max="15" width="24.5703125" style="18" customWidth="1" outlineLevel="1"/>
    <col min="16" max="18" width="22.28515625" style="18" customWidth="1" outlineLevel="1"/>
    <col min="19" max="19" width="29.28515625" style="18" bestFit="1" customWidth="1"/>
    <col min="20" max="20" width="20.42578125" style="18" customWidth="1" outlineLevel="1"/>
    <col min="21" max="22" width="21.140625" style="18" customWidth="1" outlineLevel="1"/>
    <col min="23" max="23" width="25.140625" style="18" customWidth="1" outlineLevel="1"/>
    <col min="24" max="26" width="22.28515625" style="18" customWidth="1" outlineLevel="1"/>
    <col min="27" max="27" width="6.7109375" style="18" customWidth="1" outlineLevel="1"/>
    <col min="28" max="28" width="27.140625" style="18" customWidth="1"/>
    <col min="29" max="31" width="22.28515625" style="18" customWidth="1" outlineLevel="1"/>
    <col min="32" max="32" width="7.140625" style="18" customWidth="1" outlineLevel="1"/>
    <col min="33" max="33" width="19.85546875" style="18" customWidth="1" outlineLevel="1"/>
    <col min="34" max="34" width="21.140625" style="18" customWidth="1" outlineLevel="1"/>
    <col min="35" max="35" width="19.140625" style="18" customWidth="1" outlineLevel="1"/>
    <col min="36" max="36" width="21.140625" style="18" customWidth="1" outlineLevel="1"/>
    <col min="37" max="37" width="21.140625" style="18" bestFit="1" customWidth="1"/>
    <col min="38" max="39" width="11.5703125" style="18" customWidth="1" outlineLevel="1"/>
    <col min="40" max="40" width="11.5703125" customWidth="1" outlineLevel="1"/>
    <col min="41" max="42" width="14.42578125" customWidth="1" outlineLevel="1"/>
    <col min="43" max="44" width="14.42578125" style="18" customWidth="1" outlineLevel="1"/>
    <col min="45" max="45" width="14.42578125" customWidth="1"/>
    <col min="46" max="46" width="17.28515625" bestFit="1" customWidth="1"/>
    <col min="47" max="47" width="17.28515625" customWidth="1"/>
    <col min="48" max="48" width="12.28515625" customWidth="1" outlineLevel="1"/>
    <col min="49" max="49" width="14.7109375" customWidth="1" outlineLevel="1"/>
    <col min="50" max="50" width="23.5703125" customWidth="1" outlineLevel="1"/>
    <col min="51" max="51" width="21.140625" customWidth="1" outlineLevel="1"/>
    <col min="52" max="53" width="11.85546875" customWidth="1" outlineLevel="1"/>
    <col min="54" max="54" width="9.28515625" customWidth="1" outlineLevel="1"/>
    <col min="55" max="56" width="11.85546875" customWidth="1" outlineLevel="1"/>
    <col min="57" max="57" width="54.42578125" style="16" customWidth="1"/>
    <col min="63" max="63" width="24.85546875" style="18" bestFit="1" customWidth="1"/>
    <col min="64" max="64" width="23" style="18" bestFit="1" customWidth="1"/>
    <col min="67" max="67" width="17.140625" style="73" bestFit="1" customWidth="1"/>
    <col min="68" max="68" width="9.140625" style="18"/>
    <col min="69" max="69" width="8.140625" style="18" bestFit="1" customWidth="1"/>
    <col min="70" max="70" width="10.5703125" style="18" bestFit="1" customWidth="1"/>
    <col min="71" max="71" width="9.140625" style="18"/>
    <col min="72" max="72" width="10.7109375" bestFit="1" customWidth="1"/>
    <col min="81" max="16384" width="9.140625" style="18"/>
  </cols>
  <sheetData>
    <row r="2" spans="3:80" s="57" customFormat="1" x14ac:dyDescent="0.25">
      <c r="AK2" s="317"/>
      <c r="AT2" s="132">
        <f>S4*60%</f>
        <v>480879560219.96027</v>
      </c>
      <c r="AU2" s="132"/>
      <c r="BE2" s="318"/>
      <c r="BO2" s="69"/>
    </row>
    <row r="3" spans="3:80" s="70" customFormat="1" ht="45" x14ac:dyDescent="0.25">
      <c r="C3" s="80" t="s">
        <v>563</v>
      </c>
      <c r="D3" s="80" t="s">
        <v>564</v>
      </c>
      <c r="E3" s="141" t="s">
        <v>565</v>
      </c>
      <c r="F3" s="141" t="s">
        <v>715</v>
      </c>
      <c r="G3" s="141" t="s">
        <v>566</v>
      </c>
      <c r="H3" s="141" t="s">
        <v>222</v>
      </c>
      <c r="I3" s="142" t="s">
        <v>232</v>
      </c>
      <c r="J3" s="142" t="s">
        <v>610</v>
      </c>
      <c r="K3" s="142" t="s">
        <v>611</v>
      </c>
      <c r="L3" s="80" t="s">
        <v>28</v>
      </c>
      <c r="M3" s="80" t="s">
        <v>223</v>
      </c>
      <c r="N3" s="80" t="s">
        <v>224</v>
      </c>
      <c r="O3" s="80" t="s">
        <v>225</v>
      </c>
      <c r="P3" s="80" t="s">
        <v>23</v>
      </c>
      <c r="Q3" s="81" t="s">
        <v>214</v>
      </c>
      <c r="R3" s="81" t="s">
        <v>215</v>
      </c>
      <c r="S3" s="81" t="s">
        <v>218</v>
      </c>
      <c r="T3" s="143" t="s">
        <v>541</v>
      </c>
      <c r="U3" s="143" t="s">
        <v>521</v>
      </c>
      <c r="V3" s="143" t="s">
        <v>522</v>
      </c>
      <c r="W3" s="143" t="s">
        <v>523</v>
      </c>
      <c r="X3" s="144" t="s">
        <v>216</v>
      </c>
      <c r="Y3" s="144" t="s">
        <v>217</v>
      </c>
      <c r="Z3" s="144" t="s">
        <v>609</v>
      </c>
      <c r="AA3" s="144" t="s">
        <v>556</v>
      </c>
      <c r="AB3" s="144" t="s">
        <v>219</v>
      </c>
      <c r="AC3" s="145" t="s">
        <v>229</v>
      </c>
      <c r="AD3" s="145" t="s">
        <v>13</v>
      </c>
      <c r="AE3" s="146" t="s">
        <v>2</v>
      </c>
      <c r="AF3" s="146"/>
      <c r="AG3" s="145" t="s">
        <v>226</v>
      </c>
      <c r="AH3" s="145" t="s">
        <v>542</v>
      </c>
      <c r="AI3" s="145" t="s">
        <v>543</v>
      </c>
      <c r="AJ3" s="145" t="s">
        <v>17</v>
      </c>
      <c r="AK3" s="146" t="s">
        <v>150</v>
      </c>
      <c r="AL3" s="81" t="s">
        <v>220</v>
      </c>
      <c r="AM3" s="81" t="s">
        <v>221</v>
      </c>
      <c r="AN3" s="81" t="s">
        <v>238</v>
      </c>
      <c r="AO3" s="81" t="s">
        <v>544</v>
      </c>
      <c r="AP3" s="81" t="s">
        <v>545</v>
      </c>
      <c r="AQ3" s="81" t="s">
        <v>546</v>
      </c>
      <c r="AR3" s="81" t="s">
        <v>567</v>
      </c>
      <c r="AS3" s="81" t="s">
        <v>547</v>
      </c>
      <c r="AT3" s="81" t="s">
        <v>574</v>
      </c>
      <c r="AU3" s="81" t="s">
        <v>608</v>
      </c>
      <c r="AV3" s="141" t="s">
        <v>227</v>
      </c>
      <c r="AW3" s="141" t="s">
        <v>228</v>
      </c>
      <c r="AX3" s="141" t="s">
        <v>230</v>
      </c>
      <c r="AY3" s="141" t="s">
        <v>231</v>
      </c>
      <c r="AZ3" s="147" t="s">
        <v>233</v>
      </c>
      <c r="BA3" s="148" t="s">
        <v>234</v>
      </c>
      <c r="BB3" s="148" t="s">
        <v>235</v>
      </c>
      <c r="BC3" s="148" t="s">
        <v>236</v>
      </c>
      <c r="BD3" s="148" t="s">
        <v>237</v>
      </c>
      <c r="BE3" s="89" t="s">
        <v>568</v>
      </c>
    </row>
    <row r="4" spans="3:80" x14ac:dyDescent="0.25">
      <c r="C4" s="121"/>
      <c r="D4" s="121" t="s">
        <v>720</v>
      </c>
      <c r="E4" s="121"/>
      <c r="F4" s="122"/>
      <c r="G4" s="122"/>
      <c r="H4" s="122">
        <f>'[34]I.BC_phap nhan'!$DW$134/10000</f>
        <v>16300000</v>
      </c>
      <c r="I4" s="83">
        <f>H4*10000</f>
        <v>163000000000</v>
      </c>
      <c r="J4" s="83"/>
      <c r="K4" s="83"/>
      <c r="L4" s="122">
        <f>'[34]I.BC_phap nhan'!$DW$37</f>
        <v>4173762897</v>
      </c>
      <c r="M4" s="122">
        <f>'[34]I.BC_phap nhan'!$DV$78</f>
        <v>55000000</v>
      </c>
      <c r="N4" s="122">
        <f>'[34]I.BC_phap nhan'!$DW$78</f>
        <v>55000000</v>
      </c>
      <c r="O4" s="82">
        <f>AVERAGE(M4:N4)</f>
        <v>55000000</v>
      </c>
      <c r="P4" s="122">
        <f>-'[34]I.BC_phap nhan'!$DW$74+'[34]I.BC_phap nhan'!$DV$74</f>
        <v>31085069178.952301</v>
      </c>
      <c r="Q4" s="122">
        <f>'[34]I.BC_phap nhan'!$DV$98</f>
        <v>766309933682</v>
      </c>
      <c r="R4" s="122">
        <f>'[34]I.BC_phap nhan'!$DW$98</f>
        <v>836621933717.8678</v>
      </c>
      <c r="S4" s="123">
        <f>(Q4+R4)/2</f>
        <v>801465933699.93384</v>
      </c>
      <c r="T4" s="122">
        <f>'[34]I.BC_phap nhan'!$DW$112</f>
        <v>405608464465</v>
      </c>
      <c r="U4" s="122">
        <f>'[34]I.BC_phap nhan'!$DV$112+'[34]I.BC_phap nhan'!$DV$125</f>
        <v>540931188858</v>
      </c>
      <c r="V4" s="122">
        <f>'[34]I.BC_phap nhan'!$DW$112+'[34]I.BC_phap nhan'!$DW$125</f>
        <v>542392793934</v>
      </c>
      <c r="W4" s="82">
        <f t="shared" ref="W4" si="0">AVERAGE(U4:V4)</f>
        <v>541661991396</v>
      </c>
      <c r="X4" s="122">
        <f>'[34]I.BC_phap nhan'!$DV$131</f>
        <v>129697643868</v>
      </c>
      <c r="Y4" s="122">
        <f>'[34]I.BC_phap nhan'!$DW$131</f>
        <v>172888937299.1037</v>
      </c>
      <c r="Z4" s="122">
        <f>Y4-I4</f>
        <v>9888937299.1036987</v>
      </c>
      <c r="AA4" s="122">
        <f>Z4/I4</f>
        <v>6.0668326988366252E-2</v>
      </c>
      <c r="AB4" s="123">
        <f>(Y4+X4)/2</f>
        <v>151293290583.55185</v>
      </c>
      <c r="AC4" s="122">
        <f>'[34]I.BC_phap nhan'!$DW$10</f>
        <v>1152076770811</v>
      </c>
      <c r="AD4" s="122">
        <f>'[34]I.BC_phap nhan'!$DW$11</f>
        <v>1059189302459.1323</v>
      </c>
      <c r="AE4" s="122">
        <f>AC4-AD4</f>
        <v>92887468351.867676</v>
      </c>
      <c r="AF4" s="149">
        <f>AE4/AC4</f>
        <v>8.0626109913213423E-2</v>
      </c>
      <c r="AG4" s="122">
        <f>'[34]I.BC_phap nhan'!$DW$15</f>
        <v>33848251963</v>
      </c>
      <c r="AH4" s="122">
        <f>'[34]I.BC_phap nhan'!$DW$17</f>
        <v>19885057335</v>
      </c>
      <c r="AI4" s="122">
        <f>'[34]I.BC_phap nhan'!$DW$18</f>
        <v>20271591879</v>
      </c>
      <c r="AJ4" s="122">
        <f>'[34]I.BC_phap nhan'!$DW$23</f>
        <v>8183961159.8677101</v>
      </c>
      <c r="AK4" s="122">
        <f>'[34]I.BC_phap nhan'!$DW$26</f>
        <v>5057371352.1037102</v>
      </c>
      <c r="AL4" s="124">
        <f>IFERROR(AK4/S4,"")</f>
        <v>6.3101513607154427E-3</v>
      </c>
      <c r="AM4" s="124">
        <f>IFERROR(AK4/AB4,"")</f>
        <v>3.3427598359431362E-2</v>
      </c>
      <c r="AN4" s="84">
        <f>AJ4/AC4</f>
        <v>7.1036595539606638E-3</v>
      </c>
      <c r="AO4" s="85">
        <f>AH4/AC4</f>
        <v>1.7260184250570378E-2</v>
      </c>
      <c r="AP4" s="85">
        <f>AI4/AC4</f>
        <v>1.7595695349998153E-2</v>
      </c>
      <c r="AQ4" s="85">
        <f>AG4/AC4</f>
        <v>2.9380205226404013E-2</v>
      </c>
      <c r="AR4" s="85">
        <f>T4/X4</f>
        <v>3.12733872696877</v>
      </c>
      <c r="AS4" s="85">
        <f>T4/AC4</f>
        <v>0.35206721873185021</v>
      </c>
      <c r="AT4" s="85">
        <f>AB4/S4</f>
        <v>0.18877070655406741</v>
      </c>
      <c r="AU4" s="85">
        <f>AB4/AC4</f>
        <v>0.13132222992140491</v>
      </c>
      <c r="AV4" s="86">
        <f>AK4/H4</f>
        <v>310.26818111065705</v>
      </c>
      <c r="AW4" s="86">
        <f>(S4-O4-W4)/H4</f>
        <v>15935.517932756677</v>
      </c>
      <c r="AX4" s="86">
        <f>(H4*F4)+W4-L4</f>
        <v>537488228499</v>
      </c>
      <c r="AY4" s="82">
        <f>AJ4+P4+AG4</f>
        <v>73117282301.820007</v>
      </c>
      <c r="AZ4" s="87">
        <f>F4/AV4</f>
        <v>0</v>
      </c>
      <c r="BA4" s="88">
        <f>F4/AW4</f>
        <v>0</v>
      </c>
      <c r="BB4" s="87">
        <f>F4/(AC4/H4)</f>
        <v>0</v>
      </c>
      <c r="BC4" s="87">
        <f>AX4/AY4</f>
        <v>7.351042210243925</v>
      </c>
      <c r="BD4" s="87">
        <f>AX4/AC4</f>
        <v>0.46653855204513606</v>
      </c>
      <c r="BE4" s="125"/>
    </row>
    <row r="5" spans="3:80" x14ac:dyDescent="0.25">
      <c r="C5" s="89"/>
      <c r="D5" s="89" t="s">
        <v>721</v>
      </c>
      <c r="E5" s="89"/>
      <c r="F5" s="90"/>
      <c r="G5" s="90"/>
      <c r="H5" s="90"/>
      <c r="I5" s="93"/>
      <c r="J5" s="93"/>
      <c r="K5" s="93"/>
      <c r="L5" s="90"/>
      <c r="M5" s="90"/>
      <c r="N5" s="90"/>
      <c r="O5" s="91"/>
      <c r="P5" s="90"/>
      <c r="Q5" s="90"/>
      <c r="R5" s="90"/>
      <c r="S5" s="92"/>
      <c r="T5" s="90"/>
      <c r="U5" s="90"/>
      <c r="V5" s="90"/>
      <c r="W5" s="91"/>
      <c r="X5" s="90"/>
      <c r="Y5" s="90"/>
      <c r="Z5" s="90"/>
      <c r="AA5" s="90"/>
      <c r="AB5" s="92"/>
      <c r="AC5" s="90"/>
      <c r="AD5" s="90"/>
      <c r="AE5" s="90"/>
      <c r="AF5" s="90"/>
      <c r="AG5" s="90"/>
      <c r="AH5" s="90"/>
      <c r="AI5" s="90"/>
      <c r="AJ5" s="90"/>
      <c r="AK5" s="90"/>
      <c r="AL5" s="94"/>
      <c r="AM5" s="94"/>
      <c r="AN5" s="94"/>
      <c r="AO5" s="95"/>
      <c r="AP5" s="95"/>
      <c r="AQ5" s="95"/>
      <c r="AR5" s="95"/>
      <c r="AS5" s="95"/>
      <c r="AT5" s="95"/>
      <c r="AU5" s="95"/>
      <c r="AV5" s="91"/>
      <c r="AW5" s="91"/>
      <c r="AX5" s="91"/>
      <c r="AY5" s="91"/>
      <c r="AZ5" s="96"/>
      <c r="BA5" s="97"/>
      <c r="BB5" s="96"/>
      <c r="BC5" s="96"/>
      <c r="BD5" s="96"/>
      <c r="BE5" s="126"/>
    </row>
    <row r="6" spans="3:80" x14ac:dyDescent="0.25">
      <c r="C6" s="154" t="s">
        <v>705</v>
      </c>
      <c r="D6" s="154" t="s">
        <v>722</v>
      </c>
      <c r="E6" s="154" t="s">
        <v>570</v>
      </c>
      <c r="F6">
        <v>19800</v>
      </c>
      <c r="G6" s="3">
        <v>2873700</v>
      </c>
      <c r="H6" s="99">
        <v>242001859</v>
      </c>
      <c r="I6" s="83">
        <f t="shared" ref="I6:I15" si="1">H6*10000</f>
        <v>2420018590000</v>
      </c>
      <c r="J6" s="83">
        <f>F6*I6/10000</f>
        <v>4791636808200</v>
      </c>
      <c r="K6" s="83">
        <f>J6/AB6*10000</f>
        <v>10274.599220044556</v>
      </c>
      <c r="L6" s="99">
        <v>627011780110</v>
      </c>
      <c r="M6" s="99">
        <v>0</v>
      </c>
      <c r="N6" s="99">
        <v>0</v>
      </c>
      <c r="O6" s="86">
        <f t="shared" ref="O6:O15" si="2">AVERAGE(M6:N6)</f>
        <v>0</v>
      </c>
      <c r="P6" s="99">
        <v>497033504524</v>
      </c>
      <c r="Q6" s="99">
        <v>10862554292155</v>
      </c>
      <c r="R6" s="99">
        <v>12974103921350</v>
      </c>
      <c r="S6" s="100">
        <f t="shared" ref="S6:S15" si="3">(Q6+R6)/2</f>
        <v>11918329106752.5</v>
      </c>
      <c r="T6" s="99">
        <v>3704610246721</v>
      </c>
      <c r="U6" s="99">
        <v>2599459320679</v>
      </c>
      <c r="V6" s="99">
        <v>3704610246721</v>
      </c>
      <c r="W6" s="82">
        <f t="shared" ref="W6:W15" si="4">AVERAGE(U6:V6)</f>
        <v>3152034783700</v>
      </c>
      <c r="X6" s="99">
        <v>4685923120134</v>
      </c>
      <c r="Y6" s="99">
        <v>4641227663231</v>
      </c>
      <c r="Z6" s="122">
        <f>Y6-I6</f>
        <v>2221209073231</v>
      </c>
      <c r="AA6" s="149">
        <f t="shared" ref="AA6:AA15" si="5">Z6/I6</f>
        <v>0.91784793819744992</v>
      </c>
      <c r="AB6" s="100">
        <f>(X6+Y6)/2</f>
        <v>4663575391682.5</v>
      </c>
      <c r="AC6" s="102">
        <v>11557594666247</v>
      </c>
      <c r="AD6" s="99">
        <v>10598058965427</v>
      </c>
      <c r="AE6" s="101">
        <f>AC6-AD6</f>
        <v>959535700820</v>
      </c>
      <c r="AF6" s="149">
        <f t="shared" ref="AF6:AF15" si="6">AE6/AC6</f>
        <v>8.3022093136926212E-2</v>
      </c>
      <c r="AG6" s="99">
        <v>179749859502</v>
      </c>
      <c r="AH6" s="99">
        <v>403169934750</v>
      </c>
      <c r="AI6" s="99">
        <v>343520530816</v>
      </c>
      <c r="AJ6" s="99">
        <v>78978068397</v>
      </c>
      <c r="AK6" s="99">
        <v>5194587097</v>
      </c>
      <c r="AL6" s="84">
        <f t="shared" ref="AL6:AL15" si="7">IFERROR(AK6/S6,"")</f>
        <v>4.3584860348057787E-4</v>
      </c>
      <c r="AM6" s="84">
        <f t="shared" ref="AM6:AM15" si="8">IFERROR(AK6/AB6,"")</f>
        <v>1.1138636476778227E-3</v>
      </c>
      <c r="AN6" s="84">
        <f>AJ6/AC6</f>
        <v>6.8334346962044728E-3</v>
      </c>
      <c r="AO6" s="85">
        <f t="shared" ref="AO6:AO15" si="9">AH6/AC6</f>
        <v>3.4883550288142953E-2</v>
      </c>
      <c r="AP6" s="85">
        <f t="shared" ref="AP6:AP15" si="10">AI6/AC6</f>
        <v>2.9722493367865144E-2</v>
      </c>
      <c r="AQ6" s="85">
        <f t="shared" ref="AQ6:AQ15" si="11">AG6/AC6</f>
        <v>1.5552531879920015E-2</v>
      </c>
      <c r="AR6" s="85">
        <f t="shared" ref="AR6:AR15" si="12">T6/Y6</f>
        <v>0.79819619194073921</v>
      </c>
      <c r="AS6" s="85">
        <f t="shared" ref="AS6:AS15" si="13">T6/AC6</f>
        <v>0.32053470931456074</v>
      </c>
      <c r="AT6" s="85">
        <f>AB6/S6</f>
        <v>0.39129439621198953</v>
      </c>
      <c r="AU6" s="85">
        <f t="shared" ref="AU6:AU15" si="14">AB6/AC6</f>
        <v>0.40350743613652473</v>
      </c>
      <c r="AV6" s="86">
        <f t="shared" ref="AV6:AV15" si="15">AK6/H6</f>
        <v>21.465071047243484</v>
      </c>
      <c r="AW6" s="86">
        <f t="shared" ref="AW6:AW15" si="16">(S6-O6-W6)/H6</f>
        <v>36224.078440044133</v>
      </c>
      <c r="AX6" s="86">
        <f t="shared" ref="AX6:AX15" si="17">(H6*F6)+W6-L6</f>
        <v>7316659811790</v>
      </c>
      <c r="AY6" s="86">
        <f t="shared" ref="AY6:AY15" si="18">AJ6+P6+AG6</f>
        <v>755761432423</v>
      </c>
      <c r="AZ6" s="87">
        <f t="shared" ref="AZ6:AZ15" si="19">F6/AV6</f>
        <v>922.42881267065218</v>
      </c>
      <c r="BA6" s="88">
        <f t="shared" ref="BA6:BA15" si="20">F6/(AB6/H6)</f>
        <v>1.0274599220044556</v>
      </c>
      <c r="BB6" s="87">
        <f t="shared" ref="BB6:BB15" si="21">F6/(AC6/H6)</f>
        <v>0.41458771886105156</v>
      </c>
      <c r="BC6" s="87">
        <f t="shared" ref="BC6:BC15" si="22">AX6/AY6</f>
        <v>9.6811764902219331</v>
      </c>
      <c r="BD6" s="87">
        <f t="shared" ref="BD6:BD15" si="23">AX6/AC6</f>
        <v>0.63306077285766915</v>
      </c>
      <c r="BE6" s="125" t="e">
        <f>#REF!</f>
        <v>#REF!</v>
      </c>
    </row>
    <row r="7" spans="3:80" ht="30" x14ac:dyDescent="0.25">
      <c r="C7" s="154" t="s">
        <v>706</v>
      </c>
      <c r="D7" s="154" t="s">
        <v>723</v>
      </c>
      <c r="E7" s="154" t="s">
        <v>569</v>
      </c>
      <c r="F7" s="98">
        <v>9400</v>
      </c>
      <c r="G7">
        <v>88600</v>
      </c>
      <c r="H7" s="99">
        <v>35000000</v>
      </c>
      <c r="I7" s="83">
        <f t="shared" si="1"/>
        <v>350000000000</v>
      </c>
      <c r="J7" s="83">
        <f t="shared" ref="J7:J15" si="24">F7*I7/10000</f>
        <v>329000000000</v>
      </c>
      <c r="K7" s="83">
        <f t="shared" ref="K7:K15" si="25">J7/AB7*10000</f>
        <v>7988.0614139693243</v>
      </c>
      <c r="L7" s="99">
        <v>101330216819</v>
      </c>
      <c r="M7" s="99">
        <v>38264220552</v>
      </c>
      <c r="N7" s="99">
        <v>29389662786</v>
      </c>
      <c r="O7" s="86">
        <f t="shared" si="2"/>
        <v>33826941669</v>
      </c>
      <c r="P7" s="99">
        <v>7063859457</v>
      </c>
      <c r="Q7" s="99">
        <v>642471773141</v>
      </c>
      <c r="R7" s="99">
        <v>1094182874816</v>
      </c>
      <c r="S7" s="100">
        <f t="shared" si="3"/>
        <v>868327323978.5</v>
      </c>
      <c r="T7" s="99">
        <v>564132785056</v>
      </c>
      <c r="U7" s="99">
        <v>224323465335</v>
      </c>
      <c r="V7" s="99">
        <v>564132785056</v>
      </c>
      <c r="W7" s="82">
        <f t="shared" si="4"/>
        <v>394228125195.5</v>
      </c>
      <c r="X7" s="99">
        <v>398502582562</v>
      </c>
      <c r="Y7" s="99">
        <v>425226687783</v>
      </c>
      <c r="Z7" s="122">
        <f t="shared" ref="Z7:Z15" si="26">Y7-I7</f>
        <v>75226687783</v>
      </c>
      <c r="AA7" s="149">
        <f t="shared" si="5"/>
        <v>0.21493339366571429</v>
      </c>
      <c r="AB7" s="100">
        <f t="shared" ref="AB7:AB15" si="27">(X7+Y7)/2</f>
        <v>411864635172.5</v>
      </c>
      <c r="AC7" s="102">
        <v>1612061251526</v>
      </c>
      <c r="AD7" s="99">
        <v>1572011929409</v>
      </c>
      <c r="AE7" s="101">
        <v>375852347565</v>
      </c>
      <c r="AF7" s="149">
        <f t="shared" si="6"/>
        <v>0.23315016548484918</v>
      </c>
      <c r="AG7" s="99">
        <v>22289624923</v>
      </c>
      <c r="AH7" s="99">
        <v>16336167424</v>
      </c>
      <c r="AI7" s="99">
        <v>21729073799</v>
      </c>
      <c r="AJ7" s="99">
        <v>35344283214</v>
      </c>
      <c r="AK7" s="99">
        <v>28626004427</v>
      </c>
      <c r="AL7" s="84">
        <f t="shared" si="7"/>
        <v>3.2966835934450898E-2</v>
      </c>
      <c r="AM7" s="84">
        <f t="shared" si="8"/>
        <v>6.9503428996788366E-2</v>
      </c>
      <c r="AN7" s="84">
        <f>AJ7/AC7</f>
        <v>2.1924900918338309E-2</v>
      </c>
      <c r="AO7" s="85">
        <f t="shared" si="9"/>
        <v>1.0133713845262364E-2</v>
      </c>
      <c r="AP7" s="85">
        <f t="shared" si="10"/>
        <v>1.3479062150046068E-2</v>
      </c>
      <c r="AQ7" s="85">
        <f t="shared" si="11"/>
        <v>1.382678536680931E-2</v>
      </c>
      <c r="AR7" s="85">
        <f t="shared" si="12"/>
        <v>1.3266636390985083</v>
      </c>
      <c r="AS7" s="85">
        <f t="shared" si="13"/>
        <v>0.34994500644561982</v>
      </c>
      <c r="AT7" s="85">
        <f>AB7/S7</f>
        <v>0.4743195610676163</v>
      </c>
      <c r="AU7" s="85">
        <f t="shared" si="14"/>
        <v>0.25548944544298369</v>
      </c>
      <c r="AV7" s="86">
        <f t="shared" si="15"/>
        <v>817.88584077142855</v>
      </c>
      <c r="AW7" s="86">
        <f t="shared" si="16"/>
        <v>12579.207346114286</v>
      </c>
      <c r="AX7" s="86">
        <f t="shared" si="17"/>
        <v>621897908376.5</v>
      </c>
      <c r="AY7" s="86">
        <f t="shared" si="18"/>
        <v>64697767594</v>
      </c>
      <c r="AZ7" s="87">
        <f t="shared" si="19"/>
        <v>11.493046500394158</v>
      </c>
      <c r="BA7" s="88">
        <f t="shared" si="20"/>
        <v>0.7988061413969324</v>
      </c>
      <c r="BB7" s="87">
        <f t="shared" si="21"/>
        <v>0.20408653808195187</v>
      </c>
      <c r="BC7" s="87">
        <f t="shared" si="22"/>
        <v>9.6123549776727408</v>
      </c>
      <c r="BD7" s="87">
        <f t="shared" si="23"/>
        <v>0.38577808863515739</v>
      </c>
      <c r="BE7" s="125" t="e">
        <f>#REF!</f>
        <v>#REF!</v>
      </c>
    </row>
    <row r="8" spans="3:80" x14ac:dyDescent="0.25">
      <c r="C8" s="154" t="s">
        <v>707</v>
      </c>
      <c r="D8" s="154" t="s">
        <v>724</v>
      </c>
      <c r="E8" s="154" t="s">
        <v>570</v>
      </c>
      <c r="F8" s="98">
        <v>23550</v>
      </c>
      <c r="G8" s="98">
        <v>3308000</v>
      </c>
      <c r="H8" s="99">
        <v>143520000</v>
      </c>
      <c r="I8" s="83">
        <f t="shared" si="1"/>
        <v>1435200000000</v>
      </c>
      <c r="J8" s="83">
        <f t="shared" si="24"/>
        <v>3379896000000</v>
      </c>
      <c r="K8" s="83">
        <f t="shared" si="25"/>
        <v>21140.955352461009</v>
      </c>
      <c r="L8" s="99">
        <v>151374475776</v>
      </c>
      <c r="M8" s="99">
        <v>207116513349</v>
      </c>
      <c r="N8" s="99">
        <v>207116509176</v>
      </c>
      <c r="O8" s="86">
        <f t="shared" si="2"/>
        <v>207116511262.5</v>
      </c>
      <c r="P8" s="99">
        <v>58810149507</v>
      </c>
      <c r="Q8" s="99">
        <v>5457246010443</v>
      </c>
      <c r="R8" s="99">
        <v>4729096092916</v>
      </c>
      <c r="S8" s="100">
        <f t="shared" si="3"/>
        <v>5093171051679.5</v>
      </c>
      <c r="T8" s="99">
        <v>264400597034</v>
      </c>
      <c r="U8" s="99">
        <v>14552862617</v>
      </c>
      <c r="V8" s="99">
        <v>264400597034</v>
      </c>
      <c r="W8" s="82">
        <f t="shared" si="4"/>
        <v>139476729825.5</v>
      </c>
      <c r="X8" s="99">
        <v>1454818471466</v>
      </c>
      <c r="Y8" s="99">
        <v>1742668059914</v>
      </c>
      <c r="Z8" s="122">
        <f t="shared" si="26"/>
        <v>307468059914</v>
      </c>
      <c r="AA8" s="149">
        <f t="shared" si="5"/>
        <v>0.2142335980448718</v>
      </c>
      <c r="AB8" s="100">
        <f t="shared" si="27"/>
        <v>1598743265690</v>
      </c>
      <c r="AC8" s="99">
        <v>7083418349258</v>
      </c>
      <c r="AD8" s="99">
        <v>6558010136271</v>
      </c>
      <c r="AE8" s="101">
        <f>AC8-AD8</f>
        <v>525408212987</v>
      </c>
      <c r="AF8" s="149">
        <f t="shared" si="6"/>
        <v>7.4174386868176068E-2</v>
      </c>
      <c r="AG8" s="99">
        <v>36331151929</v>
      </c>
      <c r="AH8" s="99">
        <v>72229870717</v>
      </c>
      <c r="AI8" s="99">
        <v>87624647284</v>
      </c>
      <c r="AJ8" s="99">
        <v>338877784705</v>
      </c>
      <c r="AK8" s="99">
        <v>286687393478</v>
      </c>
      <c r="AL8" s="84">
        <f t="shared" si="7"/>
        <v>5.6288585356555683E-2</v>
      </c>
      <c r="AM8" s="84">
        <f t="shared" si="8"/>
        <v>0.17932046979054445</v>
      </c>
      <c r="AN8" s="84">
        <f>AJ8/AC8</f>
        <v>4.784099540591133E-2</v>
      </c>
      <c r="AO8" s="85">
        <f t="shared" si="9"/>
        <v>1.0197035831515754E-2</v>
      </c>
      <c r="AP8" s="85">
        <f t="shared" si="10"/>
        <v>1.2370389967603541E-2</v>
      </c>
      <c r="AQ8" s="85">
        <f t="shared" si="11"/>
        <v>5.1290422417032237E-3</v>
      </c>
      <c r="AR8" s="85">
        <f t="shared" si="12"/>
        <v>0.15172172091513977</v>
      </c>
      <c r="AS8" s="85">
        <f t="shared" si="13"/>
        <v>3.7326695106423641E-2</v>
      </c>
      <c r="AT8" s="85">
        <f>AB8/S8</f>
        <v>0.31389938595578998</v>
      </c>
      <c r="AU8" s="85">
        <f t="shared" si="14"/>
        <v>0.22570222269273013</v>
      </c>
      <c r="AV8" s="86">
        <f t="shared" si="15"/>
        <v>1997.5431541109253</v>
      </c>
      <c r="AW8" s="86">
        <f t="shared" si="16"/>
        <v>33072.587866440219</v>
      </c>
      <c r="AX8" s="86">
        <f t="shared" si="17"/>
        <v>3367998254049.5</v>
      </c>
      <c r="AY8" s="86">
        <f t="shared" si="18"/>
        <v>434019086141</v>
      </c>
      <c r="AZ8" s="87">
        <f t="shared" si="19"/>
        <v>11.789482470771317</v>
      </c>
      <c r="BA8" s="88">
        <f t="shared" si="20"/>
        <v>2.1140955352461011</v>
      </c>
      <c r="BB8" s="87">
        <f t="shared" si="21"/>
        <v>0.47715606128982202</v>
      </c>
      <c r="BC8" s="87">
        <f t="shared" si="22"/>
        <v>7.7600233759197783</v>
      </c>
      <c r="BD8" s="87">
        <f t="shared" si="23"/>
        <v>0.47547639966829058</v>
      </c>
      <c r="BE8" s="125" t="e">
        <f>#REF!</f>
        <v>#REF!</v>
      </c>
    </row>
    <row r="9" spans="3:80" x14ac:dyDescent="0.25">
      <c r="C9" s="154" t="s">
        <v>708</v>
      </c>
      <c r="D9" s="154" t="s">
        <v>725</v>
      </c>
      <c r="E9" s="154" t="s">
        <v>569</v>
      </c>
      <c r="F9" s="98">
        <v>25800</v>
      </c>
      <c r="G9" s="1">
        <v>1600</v>
      </c>
      <c r="H9" s="99">
        <v>327132940</v>
      </c>
      <c r="I9" s="83">
        <f t="shared" si="1"/>
        <v>3271329400000</v>
      </c>
      <c r="J9" s="83">
        <f t="shared" si="24"/>
        <v>8440029852000</v>
      </c>
      <c r="K9" s="83">
        <f t="shared" si="25"/>
        <v>14840.055162406828</v>
      </c>
      <c r="L9" s="99">
        <v>435790618314</v>
      </c>
      <c r="M9" s="99">
        <v>304475958157</v>
      </c>
      <c r="N9" s="99">
        <v>280175649428</v>
      </c>
      <c r="O9" s="86">
        <f t="shared" si="2"/>
        <v>292325803792.5</v>
      </c>
      <c r="P9" s="99">
        <v>336821662110</v>
      </c>
      <c r="Q9" s="99">
        <v>11871026027601</v>
      </c>
      <c r="R9" s="99">
        <v>13346388833543</v>
      </c>
      <c r="S9" s="100">
        <f t="shared" si="3"/>
        <v>12608707430572</v>
      </c>
      <c r="T9" s="99">
        <v>1907783226102</v>
      </c>
      <c r="U9" s="99">
        <v>1694372457993</v>
      </c>
      <c r="V9" s="99">
        <v>1907783226102</v>
      </c>
      <c r="W9" s="82">
        <f t="shared" si="4"/>
        <v>1801077842047.5</v>
      </c>
      <c r="X9" s="99">
        <v>5751159332020</v>
      </c>
      <c r="Y9" s="99">
        <v>5623501691317</v>
      </c>
      <c r="Z9" s="122">
        <f t="shared" si="26"/>
        <v>2352172291317</v>
      </c>
      <c r="AA9" s="149">
        <f t="shared" si="5"/>
        <v>0.7190264273958471</v>
      </c>
      <c r="AB9" s="100">
        <f t="shared" si="27"/>
        <v>5687330511668.5</v>
      </c>
      <c r="AC9" s="102">
        <v>4784571251565</v>
      </c>
      <c r="AD9" s="99">
        <v>4440344925161</v>
      </c>
      <c r="AE9" s="101">
        <f>AC9-AD9</f>
        <v>344226326404</v>
      </c>
      <c r="AF9" s="149">
        <f t="shared" si="6"/>
        <v>7.1945072673211E-2</v>
      </c>
      <c r="AG9" s="99">
        <v>396080763996</v>
      </c>
      <c r="AH9" s="99">
        <v>439806841346</v>
      </c>
      <c r="AI9" s="99">
        <v>361371334802</v>
      </c>
      <c r="AJ9" s="99">
        <v>-236041687274</v>
      </c>
      <c r="AK9" s="99">
        <v>-233758957459</v>
      </c>
      <c r="AL9" s="84">
        <f t="shared" si="7"/>
        <v>-1.8539486203971299E-2</v>
      </c>
      <c r="AM9" s="84">
        <f t="shared" si="8"/>
        <v>-4.1101700873442261E-2</v>
      </c>
      <c r="AN9" s="84">
        <f>AJ9/AC9</f>
        <v>-4.9333926670397564E-2</v>
      </c>
      <c r="AO9" s="85">
        <f t="shared" si="9"/>
        <v>9.1921891894104879E-2</v>
      </c>
      <c r="AP9" s="85">
        <f t="shared" si="10"/>
        <v>7.5528467610091077E-2</v>
      </c>
      <c r="AQ9" s="85">
        <f t="shared" si="11"/>
        <v>8.278291683219155E-2</v>
      </c>
      <c r="AR9" s="85">
        <f t="shared" si="12"/>
        <v>0.33925182756639399</v>
      </c>
      <c r="AS9" s="85">
        <f t="shared" si="13"/>
        <v>0.3987365065319024</v>
      </c>
      <c r="AT9" s="85">
        <f>AB9/S9</f>
        <v>0.45106372266823958</v>
      </c>
      <c r="AU9" s="85">
        <f t="shared" si="14"/>
        <v>1.1886813285115596</v>
      </c>
      <c r="AV9" s="86">
        <f t="shared" si="15"/>
        <v>-714.56869326274511</v>
      </c>
      <c r="AW9" s="86">
        <f t="shared" si="16"/>
        <v>32143.824418085198</v>
      </c>
      <c r="AX9" s="86">
        <f t="shared" si="17"/>
        <v>9805317075733.5</v>
      </c>
      <c r="AY9" s="86">
        <f t="shared" si="18"/>
        <v>496860738832</v>
      </c>
      <c r="AZ9" s="87">
        <f t="shared" si="19"/>
        <v>-36.105695985918885</v>
      </c>
      <c r="BA9" s="88">
        <f t="shared" si="20"/>
        <v>1.4840055162406829</v>
      </c>
      <c r="BB9" s="87">
        <f t="shared" si="21"/>
        <v>1.764009648563458</v>
      </c>
      <c r="BC9" s="87">
        <f t="shared" si="22"/>
        <v>19.734537888389895</v>
      </c>
      <c r="BD9" s="87">
        <f t="shared" si="23"/>
        <v>2.0493617003877302</v>
      </c>
      <c r="BE9" s="125" t="e">
        <f>#REF!</f>
        <v>#REF!</v>
      </c>
      <c r="BF9" s="58"/>
      <c r="BG9" s="58"/>
      <c r="BH9" s="58"/>
      <c r="BI9" s="58"/>
      <c r="BJ9" s="58"/>
      <c r="BK9" s="58"/>
      <c r="BL9" s="58"/>
      <c r="BM9" s="58"/>
      <c r="BN9" s="58"/>
      <c r="BO9" s="58"/>
      <c r="BP9" s="58"/>
      <c r="BQ9" s="58"/>
      <c r="BR9" s="58"/>
      <c r="BS9" s="58"/>
      <c r="BT9" s="58"/>
      <c r="BU9" s="58"/>
      <c r="BV9" s="58"/>
      <c r="BW9" s="58"/>
      <c r="BX9" s="58"/>
      <c r="BY9" s="58"/>
      <c r="BZ9" s="58"/>
      <c r="CA9" s="58"/>
      <c r="CB9" s="58"/>
    </row>
    <row r="10" spans="3:80" s="58" customFormat="1" x14ac:dyDescent="0.25">
      <c r="C10" s="154" t="s">
        <v>709</v>
      </c>
      <c r="D10" s="154" t="s">
        <v>726</v>
      </c>
      <c r="E10" s="154" t="s">
        <v>569</v>
      </c>
      <c r="F10" s="98">
        <v>11400</v>
      </c>
      <c r="G10" s="1">
        <v>5</v>
      </c>
      <c r="H10" s="99">
        <v>3000000</v>
      </c>
      <c r="I10" s="83">
        <f t="shared" si="1"/>
        <v>30000000000</v>
      </c>
      <c r="J10" s="83">
        <f t="shared" si="24"/>
        <v>34200000000</v>
      </c>
      <c r="K10" s="83">
        <f t="shared" si="25"/>
        <v>7157.466774262246</v>
      </c>
      <c r="L10" s="99">
        <v>12436610406</v>
      </c>
      <c r="M10" s="99">
        <v>0</v>
      </c>
      <c r="N10" s="99">
        <v>0</v>
      </c>
      <c r="O10" s="86">
        <f t="shared" si="2"/>
        <v>0</v>
      </c>
      <c r="P10" s="99">
        <v>1018525782</v>
      </c>
      <c r="Q10" s="99">
        <v>50076409928</v>
      </c>
      <c r="R10" s="99">
        <v>50784927921</v>
      </c>
      <c r="S10" s="100">
        <f t="shared" si="3"/>
        <v>50430668924.5</v>
      </c>
      <c r="T10" s="99">
        <v>0</v>
      </c>
      <c r="U10" s="99">
        <v>0</v>
      </c>
      <c r="V10" s="99">
        <v>0</v>
      </c>
      <c r="W10" s="82">
        <f t="shared" si="4"/>
        <v>0</v>
      </c>
      <c r="X10" s="99">
        <v>47479337940</v>
      </c>
      <c r="Y10" s="99">
        <v>48085199287</v>
      </c>
      <c r="Z10" s="122">
        <f t="shared" si="26"/>
        <v>18085199287</v>
      </c>
      <c r="AA10" s="149">
        <f t="shared" si="5"/>
        <v>0.6028399762333333</v>
      </c>
      <c r="AB10" s="100">
        <f t="shared" si="27"/>
        <v>47782268613.5</v>
      </c>
      <c r="AC10" s="102">
        <v>17104274612</v>
      </c>
      <c r="AD10" s="99">
        <v>12313876689</v>
      </c>
      <c r="AE10" s="101">
        <f>AC10-AD10</f>
        <v>4790397923</v>
      </c>
      <c r="AF10" s="149">
        <f t="shared" si="6"/>
        <v>0.28007021821546046</v>
      </c>
      <c r="AG10" s="99">
        <v>36714856</v>
      </c>
      <c r="AH10" s="99">
        <v>0</v>
      </c>
      <c r="AI10" s="99">
        <v>2962839316</v>
      </c>
      <c r="AJ10" s="99">
        <v>1235933673</v>
      </c>
      <c r="AK10" s="99">
        <v>1216028495</v>
      </c>
      <c r="AL10" s="84">
        <f t="shared" si="7"/>
        <v>2.4112876567640263E-2</v>
      </c>
      <c r="AM10" s="84">
        <f t="shared" si="8"/>
        <v>2.5449367103855626E-2</v>
      </c>
      <c r="AN10" s="84"/>
      <c r="AO10" s="85">
        <f t="shared" si="9"/>
        <v>0</v>
      </c>
      <c r="AP10" s="85">
        <f t="shared" si="10"/>
        <v>0.17322215546757733</v>
      </c>
      <c r="AQ10" s="85">
        <f t="shared" si="11"/>
        <v>2.1465310182895232E-3</v>
      </c>
      <c r="AR10" s="85">
        <f t="shared" si="12"/>
        <v>0</v>
      </c>
      <c r="AS10" s="85">
        <f t="shared" si="13"/>
        <v>0</v>
      </c>
      <c r="AT10" s="85"/>
      <c r="AU10" s="85">
        <f t="shared" si="14"/>
        <v>2.7935863810311465</v>
      </c>
      <c r="AV10" s="86">
        <f t="shared" si="15"/>
        <v>405.34283166666665</v>
      </c>
      <c r="AW10" s="86">
        <f t="shared" si="16"/>
        <v>16810.222974833334</v>
      </c>
      <c r="AX10" s="86">
        <f t="shared" si="17"/>
        <v>21763389594</v>
      </c>
      <c r="AY10" s="86">
        <f t="shared" si="18"/>
        <v>2291174311</v>
      </c>
      <c r="AZ10" s="87">
        <f t="shared" si="19"/>
        <v>28.124340951401802</v>
      </c>
      <c r="BA10" s="88">
        <f t="shared" si="20"/>
        <v>0.71574667742622455</v>
      </c>
      <c r="BB10" s="87">
        <f t="shared" si="21"/>
        <v>1.9995001703261943</v>
      </c>
      <c r="BC10" s="87">
        <f t="shared" si="22"/>
        <v>9.4987926014678497</v>
      </c>
      <c r="BD10" s="87">
        <f t="shared" si="23"/>
        <v>1.2723947719321147</v>
      </c>
      <c r="BE10" s="125" t="e">
        <f>#REF!</f>
        <v>#REF!</v>
      </c>
      <c r="BF10"/>
      <c r="BG10"/>
      <c r="BH10"/>
      <c r="BI10"/>
      <c r="BJ10"/>
      <c r="BK10" s="18"/>
      <c r="BL10" s="18"/>
      <c r="BM10"/>
      <c r="BN10"/>
      <c r="BO10" s="155"/>
      <c r="BP10" s="18"/>
      <c r="BQ10" s="18"/>
      <c r="BR10" s="18"/>
      <c r="BS10" s="18"/>
      <c r="BT10"/>
      <c r="BU10"/>
      <c r="BV10"/>
      <c r="BW10"/>
      <c r="BX10"/>
      <c r="BY10"/>
      <c r="BZ10"/>
      <c r="CA10"/>
      <c r="CB10"/>
    </row>
    <row r="11" spans="3:80" s="58" customFormat="1" x14ac:dyDescent="0.2">
      <c r="C11" s="154" t="s">
        <v>710</v>
      </c>
      <c r="D11" s="154" t="s">
        <v>727</v>
      </c>
      <c r="E11" s="154" t="s">
        <v>569</v>
      </c>
      <c r="F11" s="98">
        <v>14300</v>
      </c>
      <c r="G11" s="98">
        <v>88620</v>
      </c>
      <c r="H11" s="99">
        <v>212491611</v>
      </c>
      <c r="I11" s="83">
        <f t="shared" si="1"/>
        <v>2124916110000</v>
      </c>
      <c r="J11" s="83">
        <f t="shared" si="24"/>
        <v>3038630037300</v>
      </c>
      <c r="K11" s="83">
        <f t="shared" si="25"/>
        <v>7068.3399540323162</v>
      </c>
      <c r="L11" s="99">
        <v>743764825266</v>
      </c>
      <c r="M11" s="99">
        <v>512942556641</v>
      </c>
      <c r="N11" s="99">
        <v>477383722902</v>
      </c>
      <c r="O11" s="86">
        <f t="shared" si="2"/>
        <v>495163139771.5</v>
      </c>
      <c r="P11" s="99">
        <v>165343207345</v>
      </c>
      <c r="Q11" s="99">
        <v>4653726064140</v>
      </c>
      <c r="R11" s="99">
        <v>4898376539824</v>
      </c>
      <c r="S11" s="100">
        <f t="shared" si="3"/>
        <v>4776051301982</v>
      </c>
      <c r="T11" s="99">
        <v>0</v>
      </c>
      <c r="U11" s="99">
        <v>0</v>
      </c>
      <c r="V11" s="99">
        <v>0</v>
      </c>
      <c r="W11" s="82">
        <f t="shared" si="4"/>
        <v>0</v>
      </c>
      <c r="X11" s="99">
        <v>4140967428672</v>
      </c>
      <c r="Y11" s="99">
        <v>4456893050765</v>
      </c>
      <c r="Z11" s="122">
        <f t="shared" si="26"/>
        <v>2331976940765</v>
      </c>
      <c r="AA11" s="149">
        <f t="shared" si="5"/>
        <v>1.0974442378174638</v>
      </c>
      <c r="AB11" s="100">
        <f t="shared" si="27"/>
        <v>4298930239718.5</v>
      </c>
      <c r="AC11" s="102">
        <v>3140294875296</v>
      </c>
      <c r="AD11" s="99">
        <v>2176695145121</v>
      </c>
      <c r="AE11" s="101">
        <f>AC11-AD11</f>
        <v>963599730175</v>
      </c>
      <c r="AF11" s="149">
        <f t="shared" si="6"/>
        <v>0.30685007887489302</v>
      </c>
      <c r="AG11" s="99">
        <v>636335055</v>
      </c>
      <c r="AH11" s="99">
        <v>697864020304</v>
      </c>
      <c r="AI11" s="99">
        <v>127432496522</v>
      </c>
      <c r="AJ11" s="99">
        <v>257410054307</v>
      </c>
      <c r="AK11" s="99">
        <v>237541890343</v>
      </c>
      <c r="AL11" s="84">
        <f t="shared" si="7"/>
        <v>4.9736042459264031E-2</v>
      </c>
      <c r="AM11" s="84">
        <f t="shared" si="8"/>
        <v>5.525604675979915E-2</v>
      </c>
      <c r="AN11" s="84">
        <f>AJ11/AC11</f>
        <v>8.1970026551324057E-2</v>
      </c>
      <c r="AO11" s="85">
        <f t="shared" si="9"/>
        <v>0.22222881863545388</v>
      </c>
      <c r="AP11" s="85">
        <f t="shared" si="10"/>
        <v>4.0579786797884189E-2</v>
      </c>
      <c r="AQ11" s="85">
        <f t="shared" si="11"/>
        <v>2.0263544675562352E-4</v>
      </c>
      <c r="AR11" s="85">
        <f t="shared" si="12"/>
        <v>0</v>
      </c>
      <c r="AS11" s="85">
        <f t="shared" si="13"/>
        <v>0</v>
      </c>
      <c r="AT11" s="85">
        <f>AB11/S11</f>
        <v>0.90010135316898687</v>
      </c>
      <c r="AU11" s="85">
        <f t="shared" si="14"/>
        <v>1.368957505722544</v>
      </c>
      <c r="AV11" s="86">
        <f t="shared" si="15"/>
        <v>1117.8883214500172</v>
      </c>
      <c r="AW11" s="86">
        <f t="shared" si="16"/>
        <v>20146.151380114956</v>
      </c>
      <c r="AX11" s="86">
        <f t="shared" si="17"/>
        <v>2294865212034</v>
      </c>
      <c r="AY11" s="86">
        <f t="shared" si="18"/>
        <v>423389596707</v>
      </c>
      <c r="AZ11" s="87">
        <f t="shared" si="19"/>
        <v>12.791975482355353</v>
      </c>
      <c r="BA11" s="88">
        <f t="shared" si="20"/>
        <v>0.70683399540323177</v>
      </c>
      <c r="BB11" s="87">
        <f t="shared" si="21"/>
        <v>0.96762570330710829</v>
      </c>
      <c r="BC11" s="87">
        <f t="shared" si="22"/>
        <v>5.4202210679780229</v>
      </c>
      <c r="BD11" s="87">
        <f t="shared" si="23"/>
        <v>0.73078016656562839</v>
      </c>
      <c r="BE11" s="125" t="e">
        <f>#REF!</f>
        <v>#REF!</v>
      </c>
    </row>
    <row r="12" spans="3:80" s="58" customFormat="1" x14ac:dyDescent="0.25">
      <c r="C12" s="154" t="s">
        <v>711</v>
      </c>
      <c r="D12" s="154" t="s">
        <v>728</v>
      </c>
      <c r="E12" s="154" t="s">
        <v>569</v>
      </c>
      <c r="F12" s="98">
        <v>22300</v>
      </c>
      <c r="G12" s="1">
        <v>8700</v>
      </c>
      <c r="H12" s="99">
        <v>80904500</v>
      </c>
      <c r="I12" s="83">
        <f t="shared" si="1"/>
        <v>809045000000</v>
      </c>
      <c r="J12" s="83">
        <f t="shared" si="24"/>
        <v>1804170350000</v>
      </c>
      <c r="K12" s="83">
        <f t="shared" si="25"/>
        <v>14416.978088138565</v>
      </c>
      <c r="L12" s="99">
        <v>520774128027</v>
      </c>
      <c r="M12" s="99">
        <v>233114111945</v>
      </c>
      <c r="N12" s="99">
        <v>223814476556</v>
      </c>
      <c r="O12" s="86">
        <f>AVERAGE(M12:N12)</f>
        <v>228464294250.5</v>
      </c>
      <c r="P12" s="99">
        <v>2880306174562</v>
      </c>
      <c r="Q12" s="99">
        <v>2288520283239</v>
      </c>
      <c r="R12" s="99">
        <v>2081674450353</v>
      </c>
      <c r="S12" s="100">
        <f t="shared" si="3"/>
        <v>2185097366796</v>
      </c>
      <c r="T12" s="99">
        <v>11592179472</v>
      </c>
      <c r="U12" s="99">
        <v>282714026351</v>
      </c>
      <c r="V12" s="99">
        <v>7700000000</v>
      </c>
      <c r="W12" s="82">
        <f t="shared" si="4"/>
        <v>145207013175.5</v>
      </c>
      <c r="X12" s="99">
        <v>1216008795946</v>
      </c>
      <c r="Y12" s="99">
        <v>1286832422193</v>
      </c>
      <c r="Z12" s="122">
        <f t="shared" si="26"/>
        <v>477787422193</v>
      </c>
      <c r="AA12" s="149">
        <f t="shared" si="5"/>
        <v>0.5905572893881057</v>
      </c>
      <c r="AB12" s="100">
        <f t="shared" si="27"/>
        <v>1251420609069.5</v>
      </c>
      <c r="AC12" s="102">
        <v>3833500736084</v>
      </c>
      <c r="AD12" s="99">
        <v>2919546963694</v>
      </c>
      <c r="AE12" s="101">
        <f t="shared" ref="AE12:AE15" si="28">AC12-AD12</f>
        <v>913953772390</v>
      </c>
      <c r="AF12" s="149">
        <f t="shared" si="6"/>
        <v>0.23841231169910315</v>
      </c>
      <c r="AG12" s="99">
        <v>6662582458</v>
      </c>
      <c r="AH12" s="99">
        <v>605379192206</v>
      </c>
      <c r="AI12" s="99">
        <v>156062038253</v>
      </c>
      <c r="AJ12" s="99">
        <v>173525248408</v>
      </c>
      <c r="AK12" s="99">
        <v>137451782409</v>
      </c>
      <c r="AL12" s="84">
        <f t="shared" si="7"/>
        <v>6.2904191134761658E-2</v>
      </c>
      <c r="AM12" s="84">
        <f t="shared" si="8"/>
        <v>0.10983659803333665</v>
      </c>
      <c r="AN12" s="84">
        <f t="shared" ref="AN12:AN15" si="29">AJ12/AC12</f>
        <v>4.5265479350151273E-2</v>
      </c>
      <c r="AO12" s="85">
        <f t="shared" si="9"/>
        <v>0.15791811033390002</v>
      </c>
      <c r="AP12" s="85">
        <f t="shared" si="10"/>
        <v>4.0710058246244289E-2</v>
      </c>
      <c r="AQ12" s="85">
        <f t="shared" si="11"/>
        <v>1.7379890905684201E-3</v>
      </c>
      <c r="AR12" s="85">
        <f t="shared" si="12"/>
        <v>9.0083054110843639E-3</v>
      </c>
      <c r="AS12" s="85">
        <f t="shared" si="13"/>
        <v>3.0239147635697729E-3</v>
      </c>
      <c r="AT12" s="85">
        <f t="shared" ref="AT12:AT15" si="30">AB12/S12</f>
        <v>0.57270702353390013</v>
      </c>
      <c r="AU12" s="85">
        <f t="shared" si="14"/>
        <v>0.326443294321068</v>
      </c>
      <c r="AV12" s="86">
        <f t="shared" si="15"/>
        <v>1698.9386549450278</v>
      </c>
      <c r="AW12" s="86">
        <f t="shared" si="16"/>
        <v>22389.682395540422</v>
      </c>
      <c r="AX12" s="86">
        <f t="shared" si="17"/>
        <v>1428603235148.5</v>
      </c>
      <c r="AY12" s="86">
        <f t="shared" si="18"/>
        <v>3060494005428</v>
      </c>
      <c r="AZ12" s="87">
        <f t="shared" si="19"/>
        <v>13.125841792516962</v>
      </c>
      <c r="BA12" s="88">
        <f t="shared" si="20"/>
        <v>1.4416978088138566</v>
      </c>
      <c r="BB12" s="87">
        <f t="shared" si="21"/>
        <v>0.47063258212466058</v>
      </c>
      <c r="BC12" s="87">
        <f t="shared" si="22"/>
        <v>0.46678844415796023</v>
      </c>
      <c r="BD12" s="87">
        <f t="shared" si="23"/>
        <v>0.37266283053015603</v>
      </c>
      <c r="BE12" s="125" t="e">
        <f>#REF!</f>
        <v>#REF!</v>
      </c>
    </row>
    <row r="13" spans="3:80" s="58" customFormat="1" x14ac:dyDescent="0.2">
      <c r="C13" s="154" t="s">
        <v>712</v>
      </c>
      <c r="D13" s="154" t="s">
        <v>729</v>
      </c>
      <c r="E13" s="154" t="s">
        <v>569</v>
      </c>
      <c r="F13" s="98">
        <v>12700</v>
      </c>
      <c r="G13" s="98">
        <v>0</v>
      </c>
      <c r="H13" s="99">
        <v>11812500</v>
      </c>
      <c r="I13" s="83">
        <f t="shared" si="1"/>
        <v>118125000000</v>
      </c>
      <c r="J13" s="83">
        <f t="shared" si="24"/>
        <v>150018750000</v>
      </c>
      <c r="K13" s="83">
        <f t="shared" si="25"/>
        <v>9454.9840791640618</v>
      </c>
      <c r="L13" s="99">
        <v>1445446788</v>
      </c>
      <c r="M13" s="99">
        <v>8803932993</v>
      </c>
      <c r="N13" s="99">
        <v>8695153029</v>
      </c>
      <c r="O13" s="86">
        <f t="shared" si="2"/>
        <v>8749543011</v>
      </c>
      <c r="P13" s="99">
        <v>5508473038</v>
      </c>
      <c r="Q13" s="99">
        <v>173786271494</v>
      </c>
      <c r="R13" s="99">
        <v>163804825195</v>
      </c>
      <c r="S13" s="100">
        <f t="shared" si="3"/>
        <v>168795548344.5</v>
      </c>
      <c r="T13" s="99">
        <v>7700000000</v>
      </c>
      <c r="U13" s="99">
        <v>0</v>
      </c>
      <c r="V13" s="99">
        <v>7700000000</v>
      </c>
      <c r="W13" s="82">
        <f t="shared" si="4"/>
        <v>3850000000</v>
      </c>
      <c r="X13" s="99">
        <v>165714569283</v>
      </c>
      <c r="Y13" s="99">
        <v>151618064477</v>
      </c>
      <c r="Z13" s="122">
        <f t="shared" si="26"/>
        <v>33493064477</v>
      </c>
      <c r="AA13" s="149">
        <f t="shared" si="5"/>
        <v>0.28353917017566138</v>
      </c>
      <c r="AB13" s="100">
        <f t="shared" si="27"/>
        <v>158666316880</v>
      </c>
      <c r="AC13" s="102">
        <v>88067646750</v>
      </c>
      <c r="AD13" s="99">
        <v>75637594576</v>
      </c>
      <c r="AE13" s="101">
        <f t="shared" si="28"/>
        <v>12430052174</v>
      </c>
      <c r="AF13" s="149">
        <f t="shared" si="6"/>
        <v>0.14114209511337941</v>
      </c>
      <c r="AG13" s="99">
        <v>32986301</v>
      </c>
      <c r="AH13" s="99">
        <v>59451000</v>
      </c>
      <c r="AI13" s="99">
        <v>6171554947</v>
      </c>
      <c r="AJ13" s="99">
        <v>8369987113</v>
      </c>
      <c r="AK13" s="99">
        <v>6672204437</v>
      </c>
      <c r="AL13" s="84">
        <f t="shared" si="7"/>
        <v>3.9528319925727508E-2</v>
      </c>
      <c r="AM13" s="84">
        <f t="shared" si="8"/>
        <v>4.2051801341340872E-2</v>
      </c>
      <c r="AN13" s="84">
        <f t="shared" si="29"/>
        <v>9.5040431099063058E-2</v>
      </c>
      <c r="AO13" s="85">
        <f t="shared" si="9"/>
        <v>6.7506061753603067E-4</v>
      </c>
      <c r="AP13" s="85">
        <f t="shared" si="10"/>
        <v>7.0077436774475865E-2</v>
      </c>
      <c r="AQ13" s="85">
        <f t="shared" si="11"/>
        <v>3.7455640314358688E-4</v>
      </c>
      <c r="AR13" s="85">
        <f t="shared" si="12"/>
        <v>5.0785505187398473E-2</v>
      </c>
      <c r="AS13" s="85">
        <f t="shared" si="13"/>
        <v>8.7432789272298791E-2</v>
      </c>
      <c r="AT13" s="85">
        <f t="shared" si="30"/>
        <v>0.93999112201805857</v>
      </c>
      <c r="AU13" s="85">
        <f t="shared" si="14"/>
        <v>1.8016413829066007</v>
      </c>
      <c r="AV13" s="86">
        <f t="shared" si="15"/>
        <v>564.84270366137571</v>
      </c>
      <c r="AW13" s="86">
        <f t="shared" si="16"/>
        <v>13222.942250455026</v>
      </c>
      <c r="AX13" s="86">
        <f t="shared" si="17"/>
        <v>152423303212</v>
      </c>
      <c r="AY13" s="86">
        <f t="shared" si="18"/>
        <v>13911446452</v>
      </c>
      <c r="AZ13" s="87">
        <f t="shared" si="19"/>
        <v>22.484135703049951</v>
      </c>
      <c r="BA13" s="88">
        <f t="shared" si="20"/>
        <v>0.94549840791640616</v>
      </c>
      <c r="BB13" s="87">
        <f t="shared" si="21"/>
        <v>1.7034490591745033</v>
      </c>
      <c r="BC13" s="87">
        <f t="shared" si="22"/>
        <v>10.956682595006979</v>
      </c>
      <c r="BD13" s="87">
        <f t="shared" si="23"/>
        <v>1.7307525389509741</v>
      </c>
      <c r="BE13" s="125" t="e">
        <f>#REF!</f>
        <v>#REF!</v>
      </c>
    </row>
    <row r="14" spans="3:80" s="58" customFormat="1" x14ac:dyDescent="0.2">
      <c r="C14" s="154" t="s">
        <v>713</v>
      </c>
      <c r="D14" s="154" t="s">
        <v>730</v>
      </c>
      <c r="E14" s="154" t="s">
        <v>569</v>
      </c>
      <c r="F14" s="98">
        <v>12300</v>
      </c>
      <c r="G14" s="98">
        <v>400</v>
      </c>
      <c r="H14" s="99">
        <v>4000000</v>
      </c>
      <c r="I14" s="83">
        <f t="shared" si="1"/>
        <v>40000000000</v>
      </c>
      <c r="J14" s="83">
        <f t="shared" si="24"/>
        <v>49200000000</v>
      </c>
      <c r="K14" s="83">
        <f t="shared" si="25"/>
        <v>8328.6115612341982</v>
      </c>
      <c r="L14" s="99">
        <v>1478834900</v>
      </c>
      <c r="M14" s="99">
        <v>0</v>
      </c>
      <c r="N14" s="99">
        <v>0</v>
      </c>
      <c r="O14" s="86">
        <f t="shared" si="2"/>
        <v>0</v>
      </c>
      <c r="P14" s="99">
        <v>384600641054</v>
      </c>
      <c r="Q14" s="99">
        <v>142802150826</v>
      </c>
      <c r="R14" s="99">
        <v>121931264283</v>
      </c>
      <c r="S14" s="100">
        <f t="shared" si="3"/>
        <v>132366707554.5</v>
      </c>
      <c r="T14" s="99">
        <v>41898175290</v>
      </c>
      <c r="U14" s="99">
        <v>33263955161</v>
      </c>
      <c r="V14" s="99">
        <v>41898175290</v>
      </c>
      <c r="W14" s="82">
        <f t="shared" si="4"/>
        <v>37581065225.5</v>
      </c>
      <c r="X14" s="99">
        <v>72342665505</v>
      </c>
      <c r="Y14" s="99">
        <v>45804278048</v>
      </c>
      <c r="Z14" s="122">
        <f t="shared" si="26"/>
        <v>5804278048</v>
      </c>
      <c r="AA14" s="149">
        <f t="shared" si="5"/>
        <v>0.1451069512</v>
      </c>
      <c r="AB14" s="100">
        <f t="shared" si="27"/>
        <v>59073471776.5</v>
      </c>
      <c r="AC14" s="102">
        <v>398115477500</v>
      </c>
      <c r="AD14" s="99">
        <v>408651270633</v>
      </c>
      <c r="AE14" s="101">
        <f t="shared" si="28"/>
        <v>-10535793133</v>
      </c>
      <c r="AF14" s="149">
        <f t="shared" si="6"/>
        <v>-2.6464163611925887E-2</v>
      </c>
      <c r="AG14" s="99">
        <v>2228197077</v>
      </c>
      <c r="AH14" s="99">
        <v>2186391724</v>
      </c>
      <c r="AI14" s="99">
        <v>5656094396</v>
      </c>
      <c r="AJ14" s="99">
        <v>-20466744866</v>
      </c>
      <c r="AK14" s="99">
        <v>20483544866</v>
      </c>
      <c r="AL14" s="84">
        <f t="shared" si="7"/>
        <v>0.15474846541428258</v>
      </c>
      <c r="AM14" s="84">
        <f t="shared" si="8"/>
        <v>0.3467469280203801</v>
      </c>
      <c r="AN14" s="84">
        <f t="shared" si="29"/>
        <v>-5.1409066019042174E-2</v>
      </c>
      <c r="AO14" s="85">
        <f t="shared" si="9"/>
        <v>5.4918531118901296E-3</v>
      </c>
      <c r="AP14" s="85">
        <f t="shared" si="10"/>
        <v>1.4207170320324961E-2</v>
      </c>
      <c r="AQ14" s="85">
        <f t="shared" si="11"/>
        <v>5.5968612197449669E-3</v>
      </c>
      <c r="AR14" s="85">
        <f t="shared" si="12"/>
        <v>0.91472187916799719</v>
      </c>
      <c r="AS14" s="85">
        <f t="shared" si="13"/>
        <v>0.10524126204060981</v>
      </c>
      <c r="AT14" s="85">
        <f t="shared" si="30"/>
        <v>0.44628647843474828</v>
      </c>
      <c r="AU14" s="85">
        <f t="shared" si="14"/>
        <v>0.14838275604720744</v>
      </c>
      <c r="AV14" s="86">
        <f t="shared" si="15"/>
        <v>5120.8862165</v>
      </c>
      <c r="AW14" s="86">
        <f t="shared" si="16"/>
        <v>23696.410582249999</v>
      </c>
      <c r="AX14" s="86">
        <f t="shared" si="17"/>
        <v>85302230325.5</v>
      </c>
      <c r="AY14" s="86">
        <f t="shared" si="18"/>
        <v>366362093265</v>
      </c>
      <c r="AZ14" s="87">
        <f t="shared" si="19"/>
        <v>2.4019280022993263</v>
      </c>
      <c r="BA14" s="88">
        <f t="shared" si="20"/>
        <v>0.83286115612341982</v>
      </c>
      <c r="BB14" s="87">
        <f t="shared" si="21"/>
        <v>0.12358223375025655</v>
      </c>
      <c r="BC14" s="87">
        <f t="shared" si="22"/>
        <v>0.23283585254492609</v>
      </c>
      <c r="BD14" s="87">
        <f t="shared" si="23"/>
        <v>0.21426504405496266</v>
      </c>
      <c r="BE14" s="125" t="e">
        <f>#REF!</f>
        <v>#REF!</v>
      </c>
    </row>
    <row r="15" spans="3:80" s="58" customFormat="1" x14ac:dyDescent="0.2">
      <c r="C15" s="154" t="s">
        <v>714</v>
      </c>
      <c r="D15" s="154" t="s">
        <v>731</v>
      </c>
      <c r="E15" s="154" t="s">
        <v>569</v>
      </c>
      <c r="F15" s="98">
        <v>8320</v>
      </c>
      <c r="G15" s="98">
        <v>6528300</v>
      </c>
      <c r="H15" s="99">
        <v>927399283</v>
      </c>
      <c r="I15" s="83">
        <f t="shared" si="1"/>
        <v>9273992830000</v>
      </c>
      <c r="J15" s="83">
        <f t="shared" si="24"/>
        <v>7715962034560</v>
      </c>
      <c r="K15" s="83">
        <f t="shared" si="25"/>
        <v>15638387.24794814</v>
      </c>
      <c r="L15" s="99">
        <v>72372525</v>
      </c>
      <c r="M15" s="99">
        <v>122890961</v>
      </c>
      <c r="N15" s="99">
        <v>261683353</v>
      </c>
      <c r="O15" s="86">
        <f t="shared" si="2"/>
        <v>192287157</v>
      </c>
      <c r="P15" s="99">
        <v>337569217</v>
      </c>
      <c r="Q15" s="99">
        <v>18439684991</v>
      </c>
      <c r="R15" s="99">
        <v>19798387553</v>
      </c>
      <c r="S15" s="100">
        <f t="shared" si="3"/>
        <v>19119036272</v>
      </c>
      <c r="T15" s="99">
        <v>4000485189</v>
      </c>
      <c r="U15" s="99">
        <v>2509569555</v>
      </c>
      <c r="V15" s="99">
        <v>4000485189</v>
      </c>
      <c r="W15" s="82">
        <f t="shared" si="4"/>
        <v>3255027372</v>
      </c>
      <c r="X15" s="99">
        <v>4673233340</v>
      </c>
      <c r="Y15" s="99">
        <v>5194743341</v>
      </c>
      <c r="Z15" s="122">
        <f t="shared" si="26"/>
        <v>-9268798086659</v>
      </c>
      <c r="AA15" s="149">
        <f t="shared" si="5"/>
        <v>-0.99943985902984578</v>
      </c>
      <c r="AB15" s="100">
        <f t="shared" si="27"/>
        <v>4933988340.5</v>
      </c>
      <c r="AC15" s="102">
        <v>5110781887</v>
      </c>
      <c r="AD15" s="99">
        <v>3937380869</v>
      </c>
      <c r="AE15" s="101">
        <f t="shared" si="28"/>
        <v>1173401018</v>
      </c>
      <c r="AF15" s="149">
        <f t="shared" si="6"/>
        <v>0.22959324892825347</v>
      </c>
      <c r="AG15" s="99">
        <v>793176972</v>
      </c>
      <c r="AH15" s="99">
        <v>251938809</v>
      </c>
      <c r="AI15" s="99">
        <v>1349894514</v>
      </c>
      <c r="AJ15" s="99">
        <v>1028217828</v>
      </c>
      <c r="AK15" s="99">
        <v>1128745396</v>
      </c>
      <c r="AL15" s="84">
        <f t="shared" si="7"/>
        <v>5.9037776796995657E-2</v>
      </c>
      <c r="AM15" s="84">
        <f t="shared" si="8"/>
        <v>0.22876936832923592</v>
      </c>
      <c r="AN15" s="84">
        <f t="shared" si="29"/>
        <v>0.20118601238206196</v>
      </c>
      <c r="AO15" s="85">
        <f t="shared" si="9"/>
        <v>4.9295550968598792E-2</v>
      </c>
      <c r="AP15" s="85">
        <f t="shared" si="10"/>
        <v>0.26412680952666923</v>
      </c>
      <c r="AQ15" s="85">
        <f t="shared" si="11"/>
        <v>0.15519679562486483</v>
      </c>
      <c r="AR15" s="85">
        <f t="shared" si="12"/>
        <v>0.77010256838404212</v>
      </c>
      <c r="AS15" s="85">
        <f t="shared" si="13"/>
        <v>0.78275404379431701</v>
      </c>
      <c r="AT15" s="85">
        <f t="shared" si="30"/>
        <v>0.25806679114500503</v>
      </c>
      <c r="AU15" s="85">
        <f t="shared" si="14"/>
        <v>0.96540773008730829</v>
      </c>
      <c r="AV15" s="86">
        <f t="shared" si="15"/>
        <v>1.2171083336927704</v>
      </c>
      <c r="AW15" s="86">
        <f t="shared" si="16"/>
        <v>16.898570044505846</v>
      </c>
      <c r="AX15" s="86">
        <f t="shared" si="17"/>
        <v>7719144689407</v>
      </c>
      <c r="AY15" s="86">
        <f t="shared" si="18"/>
        <v>2158964017</v>
      </c>
      <c r="AZ15" s="87">
        <f t="shared" si="19"/>
        <v>6835.8746462253566</v>
      </c>
      <c r="BA15" s="88">
        <f t="shared" si="20"/>
        <v>1563.838724794814</v>
      </c>
      <c r="BB15" s="87">
        <f t="shared" si="21"/>
        <v>1509.7419935267919</v>
      </c>
      <c r="BC15" s="87">
        <f t="shared" si="22"/>
        <v>3575.3929331963482</v>
      </c>
      <c r="BD15" s="87">
        <f t="shared" si="23"/>
        <v>1510.3647269788096</v>
      </c>
      <c r="BE15" s="125" t="e">
        <f>#REF!</f>
        <v>#REF!</v>
      </c>
    </row>
    <row r="16" spans="3:80" s="58" customFormat="1" x14ac:dyDescent="0.2">
      <c r="C16" s="103"/>
      <c r="D16" s="103" t="s">
        <v>548</v>
      </c>
      <c r="E16" s="103"/>
      <c r="F16" s="104"/>
      <c r="G16" s="104"/>
      <c r="H16" s="91"/>
      <c r="I16" s="93"/>
      <c r="J16" s="93"/>
      <c r="K16" s="92">
        <f>AVERAGE(K6:K11)</f>
        <v>11411.579646196049</v>
      </c>
      <c r="L16" s="91"/>
      <c r="M16" s="91"/>
      <c r="N16" s="91"/>
      <c r="O16" s="91"/>
      <c r="P16" s="91"/>
      <c r="Q16" s="91"/>
      <c r="R16" s="91"/>
      <c r="S16" s="92"/>
      <c r="T16" s="91"/>
      <c r="U16" s="91"/>
      <c r="V16" s="91"/>
      <c r="W16" s="91"/>
      <c r="X16" s="91"/>
      <c r="Y16" s="91"/>
      <c r="Z16" s="91"/>
      <c r="AA16" s="91"/>
      <c r="AB16" s="92"/>
      <c r="AC16" s="91"/>
      <c r="AD16" s="91"/>
      <c r="AE16" s="105"/>
      <c r="AF16" s="94">
        <f>AVERAGE(AF6:AF11)</f>
        <v>0.17486866920891933</v>
      </c>
      <c r="AG16" s="91"/>
      <c r="AH16" s="91"/>
      <c r="AI16" s="91"/>
      <c r="AJ16" s="91"/>
      <c r="AK16" s="91"/>
      <c r="AL16" s="94">
        <f t="shared" ref="AL16:AU16" si="31">AVERAGE(AL6:AL11)</f>
        <v>2.4166783786236695E-2</v>
      </c>
      <c r="AM16" s="94">
        <f t="shared" si="31"/>
        <v>4.825691257087053E-2</v>
      </c>
      <c r="AN16" s="94">
        <f t="shared" si="31"/>
        <v>2.1847086180276122E-2</v>
      </c>
      <c r="AO16" s="94">
        <f t="shared" si="31"/>
        <v>6.15608350824133E-2</v>
      </c>
      <c r="AP16" s="94">
        <f t="shared" si="31"/>
        <v>5.748372589351123E-2</v>
      </c>
      <c r="AQ16" s="94">
        <f t="shared" si="31"/>
        <v>1.9940073797611542E-2</v>
      </c>
      <c r="AR16" s="94">
        <f t="shared" si="31"/>
        <v>0.43597222992013024</v>
      </c>
      <c r="AS16" s="94">
        <f t="shared" si="31"/>
        <v>0.18442381956641776</v>
      </c>
      <c r="AT16" s="113">
        <f t="shared" si="31"/>
        <v>0.50613568381452434</v>
      </c>
      <c r="AU16" s="113">
        <f t="shared" si="31"/>
        <v>1.0393207199229149</v>
      </c>
      <c r="AV16" s="95"/>
      <c r="AW16" s="95"/>
      <c r="AX16" s="95"/>
      <c r="AY16" s="95"/>
      <c r="AZ16" s="96">
        <f>AVERAGE(AZ6:AZ11)</f>
        <v>158.42032701494267</v>
      </c>
      <c r="BA16" s="96">
        <f>AVERAGE(BA6:BA11)</f>
        <v>1.1411579646196046</v>
      </c>
      <c r="BB16" s="96">
        <f>AVERAGE(BB6:BB11)</f>
        <v>0.97116097340493113</v>
      </c>
      <c r="BC16" s="96">
        <f>AVERAGE(BC6:BC11)</f>
        <v>10.28451773360837</v>
      </c>
      <c r="BD16" s="96">
        <f>AVERAGE(BD6:BD11)</f>
        <v>0.92447531667443172</v>
      </c>
      <c r="BE16" s="126"/>
    </row>
    <row r="17" spans="2:80" x14ac:dyDescent="0.25">
      <c r="D17" s="106"/>
      <c r="E17" s="106"/>
      <c r="F17" s="107"/>
      <c r="G17" s="107"/>
      <c r="H17" s="99"/>
      <c r="I17" s="109"/>
      <c r="J17" s="109"/>
      <c r="K17" s="109"/>
      <c r="L17" s="99"/>
      <c r="M17" s="99"/>
      <c r="N17" s="99"/>
      <c r="O17" s="99"/>
      <c r="P17" s="99"/>
      <c r="Q17" s="99"/>
      <c r="R17" s="99"/>
      <c r="S17" s="108"/>
      <c r="T17" s="99"/>
      <c r="U17" s="99"/>
      <c r="V17" s="99"/>
      <c r="W17" s="102"/>
      <c r="X17" s="99"/>
      <c r="Y17" s="99"/>
      <c r="Z17" s="99"/>
      <c r="AA17" s="99"/>
      <c r="AB17" s="108"/>
      <c r="AC17" s="102"/>
      <c r="AD17" s="99"/>
      <c r="AE17" s="101"/>
      <c r="AF17" s="101"/>
      <c r="AG17" s="99"/>
      <c r="AH17" s="99"/>
      <c r="AI17" s="99"/>
      <c r="AJ17" s="99"/>
      <c r="AK17" s="99"/>
      <c r="AL17" s="319"/>
      <c r="AM17" s="319"/>
      <c r="AN17" s="319"/>
      <c r="AO17" s="110"/>
      <c r="AP17" s="110"/>
      <c r="AQ17" s="110"/>
      <c r="AR17" s="110"/>
      <c r="AS17" s="110"/>
      <c r="AT17" s="110"/>
      <c r="AU17" s="110"/>
      <c r="AV17" s="99"/>
      <c r="AW17" s="99"/>
      <c r="AX17" s="99"/>
      <c r="AY17" s="99"/>
      <c r="AZ17" s="111"/>
      <c r="BA17" s="112"/>
      <c r="BB17" s="111"/>
      <c r="BC17" s="111"/>
      <c r="BD17" s="111"/>
      <c r="BE17" s="127"/>
      <c r="BF17" s="18"/>
      <c r="BG17" s="18"/>
      <c r="BH17" s="18"/>
      <c r="BI17" s="18"/>
      <c r="BJ17" s="18"/>
      <c r="BM17" s="18"/>
      <c r="BN17" s="18"/>
      <c r="BO17" s="18"/>
      <c r="BT17" s="18"/>
      <c r="BU17" s="18"/>
      <c r="BV17" s="18"/>
      <c r="BW17" s="18"/>
      <c r="BX17" s="18"/>
      <c r="BY17" s="18"/>
      <c r="BZ17" s="18"/>
      <c r="CA17" s="18"/>
      <c r="CB17" s="18"/>
    </row>
    <row r="18" spans="2:80" s="58" customFormat="1" hidden="1" x14ac:dyDescent="0.2">
      <c r="I18" s="320"/>
      <c r="J18" s="320"/>
      <c r="BE18" s="128"/>
      <c r="BO18" s="71"/>
    </row>
    <row r="19" spans="2:80" hidden="1" x14ac:dyDescent="0.25">
      <c r="C19" s="321" t="s">
        <v>705</v>
      </c>
      <c r="D19" s="321" t="s">
        <v>722</v>
      </c>
      <c r="E19" s="322" t="s">
        <v>570</v>
      </c>
      <c r="F19" s="323"/>
      <c r="G19" s="324">
        <v>3991868</v>
      </c>
      <c r="H19" s="325">
        <v>242001859</v>
      </c>
      <c r="I19" s="326">
        <f t="shared" ref="I19:I28" si="32">H19*10000</f>
        <v>2420018590000</v>
      </c>
      <c r="J19" s="327">
        <f t="shared" ref="J19:J28" si="33">F19*I19/10000</f>
        <v>0</v>
      </c>
      <c r="K19" s="328">
        <f t="shared" ref="K19:K28" si="34">J19/AB19*10000</f>
        <v>0</v>
      </c>
      <c r="L19" s="329">
        <v>627011780110</v>
      </c>
      <c r="M19" s="329">
        <v>0</v>
      </c>
      <c r="N19" s="329">
        <v>0</v>
      </c>
      <c r="O19" s="330">
        <f t="shared" ref="O19:O28" si="35">AVERAGE(M19:N19)</f>
        <v>0</v>
      </c>
      <c r="P19" s="331">
        <v>497033504524</v>
      </c>
      <c r="Q19" s="331">
        <v>10862554292155</v>
      </c>
      <c r="R19" s="331">
        <v>12974103921350</v>
      </c>
      <c r="S19" s="332">
        <f t="shared" ref="S19:S28" si="36">(Q19+R19)/2</f>
        <v>11918329106752.5</v>
      </c>
      <c r="T19" s="331">
        <v>3704610246721</v>
      </c>
      <c r="U19" s="333">
        <v>2599459320679</v>
      </c>
      <c r="V19" s="331">
        <v>3704610246721</v>
      </c>
      <c r="W19" s="332">
        <f t="shared" ref="W19:W28" si="37">AVERAGE(U19:V19)</f>
        <v>3152034783700</v>
      </c>
      <c r="X19" s="329">
        <v>4685923120134</v>
      </c>
      <c r="Y19" s="329">
        <v>4641227663231</v>
      </c>
      <c r="Z19" s="332">
        <f t="shared" ref="Z19:Z28" si="38">Y19-I19</f>
        <v>2221209073231</v>
      </c>
      <c r="AA19" s="330">
        <f t="shared" ref="AA19:AA28" si="39">Z19/I19</f>
        <v>0.91784793819744992</v>
      </c>
      <c r="AB19" s="332">
        <f t="shared" ref="AB19:AB28" si="40">(X19+Y19)/2</f>
        <v>4663575391682.5</v>
      </c>
      <c r="AC19" s="331">
        <v>11557594666247</v>
      </c>
      <c r="AD19" s="329">
        <v>10598058965427</v>
      </c>
      <c r="AE19" s="332">
        <f t="shared" ref="AE19:AE28" si="41">AC19-AD19</f>
        <v>959535700820</v>
      </c>
      <c r="AF19" s="330">
        <f t="shared" ref="AF19:AF28" si="42">AE19/AC19</f>
        <v>8.3022093136926212E-2</v>
      </c>
      <c r="AG19" s="329">
        <v>179749859502</v>
      </c>
      <c r="AH19" s="329">
        <v>403169934750</v>
      </c>
      <c r="AI19" s="329">
        <v>343520530816</v>
      </c>
      <c r="AJ19" s="329">
        <v>78978068397</v>
      </c>
      <c r="AK19" s="329">
        <v>5194587097</v>
      </c>
      <c r="AL19" s="334">
        <f t="shared" ref="AL19:AL28" si="43">IFERROR(AK19/S19,"")</f>
        <v>4.3584860348057787E-4</v>
      </c>
      <c r="AM19" s="334">
        <f t="shared" ref="AM19:AM28" si="44">IFERROR(AK19/AB19,"")</f>
        <v>1.1138636476778227E-3</v>
      </c>
      <c r="AN19" s="334">
        <f t="shared" ref="AN19:AN28" si="45">AJ19/AC19</f>
        <v>6.8334346962044728E-3</v>
      </c>
      <c r="AO19" s="334">
        <f t="shared" ref="AO19:AO28" si="46">AH19/AC19</f>
        <v>3.4883550288142953E-2</v>
      </c>
      <c r="AP19" s="334">
        <f t="shared" ref="AP19:AP28" si="47">AI19/AC19</f>
        <v>2.9722493367865144E-2</v>
      </c>
      <c r="AQ19" s="334">
        <f t="shared" ref="AQ19:AQ28" si="48">AG19/AC19</f>
        <v>1.5552531879920015E-2</v>
      </c>
      <c r="AR19" s="334">
        <f t="shared" ref="AR19:AR28" si="49">T19/Y19</f>
        <v>0.79819619194073921</v>
      </c>
      <c r="AS19" s="334">
        <f t="shared" ref="AS19:AS28" si="50">T19/AC19</f>
        <v>0.32053470931456074</v>
      </c>
      <c r="AT19" s="334">
        <f t="shared" ref="AT19:AT28" si="51">AB19/S19</f>
        <v>0.39129439621198953</v>
      </c>
      <c r="AU19" s="334">
        <f t="shared" ref="AU19:AU28" si="52">AB19/AC19</f>
        <v>0.40350743613652473</v>
      </c>
      <c r="AV19" s="330">
        <f t="shared" ref="AV19:AV28" si="53">AK19/H19</f>
        <v>21.465071047243484</v>
      </c>
      <c r="AW19" s="330">
        <f t="shared" ref="AW19:AW28" si="54">(S19-O19-W19)/H19</f>
        <v>36224.078440044133</v>
      </c>
      <c r="AX19" s="332">
        <f t="shared" ref="AX19:AX28" si="55">(H19*F19)+W19-L19</f>
        <v>2525023003590</v>
      </c>
      <c r="AY19" s="332">
        <f t="shared" ref="AY19:AY28" si="56">AJ19+P19+AG19</f>
        <v>755761432423</v>
      </c>
      <c r="AZ19" s="330">
        <f t="shared" ref="AZ19:AZ28" si="57">F19/AV19</f>
        <v>0</v>
      </c>
      <c r="BA19" s="330">
        <f t="shared" ref="BA19:BA28" si="58">F19/(AB19/H19)</f>
        <v>0</v>
      </c>
      <c r="BB19" s="330">
        <f t="shared" ref="BB19:BB28" si="59">F19/(AC19/H19)</f>
        <v>0</v>
      </c>
      <c r="BC19" s="330">
        <f t="shared" ref="BC19:BC28" si="60">AX19/AY19</f>
        <v>3.3410318326177082</v>
      </c>
      <c r="BD19" s="335">
        <f t="shared" ref="BD19:BD28" si="61">AX19/AC19</f>
        <v>0.21847305399661757</v>
      </c>
      <c r="BE19" s="336" t="s">
        <v>732</v>
      </c>
      <c r="BJ19" s="18"/>
      <c r="BL19"/>
      <c r="BN19" s="73"/>
      <c r="BO19" s="18"/>
      <c r="BS19"/>
      <c r="CB19" s="18"/>
    </row>
    <row r="20" spans="2:80" s="59" customFormat="1" hidden="1" x14ac:dyDescent="0.25">
      <c r="C20" s="321" t="s">
        <v>706</v>
      </c>
      <c r="D20" s="321" t="s">
        <v>723</v>
      </c>
      <c r="E20" s="337" t="s">
        <v>569</v>
      </c>
      <c r="F20" s="338"/>
      <c r="G20" s="324">
        <v>166325</v>
      </c>
      <c r="H20" s="325">
        <v>35000000</v>
      </c>
      <c r="I20" s="326">
        <f t="shared" si="32"/>
        <v>350000000000</v>
      </c>
      <c r="J20" s="327">
        <f t="shared" si="33"/>
        <v>0</v>
      </c>
      <c r="K20" s="328">
        <f t="shared" si="34"/>
        <v>0</v>
      </c>
      <c r="L20" s="329">
        <v>101330216819</v>
      </c>
      <c r="M20" s="329">
        <v>38264220552</v>
      </c>
      <c r="N20" s="329">
        <v>29389662786</v>
      </c>
      <c r="O20" s="330">
        <f t="shared" si="35"/>
        <v>33826941669</v>
      </c>
      <c r="P20" s="329">
        <v>7063859457</v>
      </c>
      <c r="Q20" s="329">
        <v>642471773141</v>
      </c>
      <c r="R20" s="329">
        <v>1094182874816</v>
      </c>
      <c r="S20" s="332">
        <f t="shared" si="36"/>
        <v>868327323978.5</v>
      </c>
      <c r="T20" s="329">
        <v>564132785056</v>
      </c>
      <c r="U20" s="339">
        <v>224323465335</v>
      </c>
      <c r="V20" s="329">
        <v>564132785056</v>
      </c>
      <c r="W20" s="332">
        <f t="shared" si="37"/>
        <v>394228125195.5</v>
      </c>
      <c r="X20" s="329">
        <v>398502582562</v>
      </c>
      <c r="Y20" s="329">
        <v>425226687783</v>
      </c>
      <c r="Z20" s="332">
        <f t="shared" si="38"/>
        <v>75226687783</v>
      </c>
      <c r="AA20" s="330">
        <f t="shared" si="39"/>
        <v>0.21493339366571429</v>
      </c>
      <c r="AB20" s="332">
        <f t="shared" si="40"/>
        <v>411864635172.5</v>
      </c>
      <c r="AC20" s="329">
        <v>1612061251526</v>
      </c>
      <c r="AD20" s="329">
        <v>1572011929409</v>
      </c>
      <c r="AE20" s="332">
        <f t="shared" si="41"/>
        <v>40049322117</v>
      </c>
      <c r="AF20" s="330">
        <f t="shared" si="42"/>
        <v>2.4843548642515131E-2</v>
      </c>
      <c r="AG20" s="329">
        <v>22289624923</v>
      </c>
      <c r="AH20" s="329">
        <v>16336167424</v>
      </c>
      <c r="AI20" s="329">
        <v>21729073799</v>
      </c>
      <c r="AJ20" s="329">
        <v>35344283214</v>
      </c>
      <c r="AK20" s="329">
        <v>28626004427</v>
      </c>
      <c r="AL20" s="334">
        <f t="shared" si="43"/>
        <v>3.2966835934450898E-2</v>
      </c>
      <c r="AM20" s="334">
        <f t="shared" si="44"/>
        <v>6.9503428996788366E-2</v>
      </c>
      <c r="AN20" s="334">
        <f t="shared" si="45"/>
        <v>2.1924900918338309E-2</v>
      </c>
      <c r="AO20" s="334">
        <f t="shared" si="46"/>
        <v>1.0133713845262364E-2</v>
      </c>
      <c r="AP20" s="334">
        <f t="shared" si="47"/>
        <v>1.3479062150046068E-2</v>
      </c>
      <c r="AQ20" s="334">
        <f t="shared" si="48"/>
        <v>1.382678536680931E-2</v>
      </c>
      <c r="AR20" s="334">
        <f t="shared" si="49"/>
        <v>1.3266636390985083</v>
      </c>
      <c r="AS20" s="334">
        <f t="shared" si="50"/>
        <v>0.34994500644561982</v>
      </c>
      <c r="AT20" s="334">
        <f t="shared" si="51"/>
        <v>0.4743195610676163</v>
      </c>
      <c r="AU20" s="334">
        <f t="shared" si="52"/>
        <v>0.25548944544298369</v>
      </c>
      <c r="AV20" s="330">
        <f t="shared" si="53"/>
        <v>817.88584077142855</v>
      </c>
      <c r="AW20" s="330">
        <f t="shared" si="54"/>
        <v>12579.207346114286</v>
      </c>
      <c r="AX20" s="332">
        <f t="shared" si="55"/>
        <v>292897908376.5</v>
      </c>
      <c r="AY20" s="332">
        <f t="shared" si="56"/>
        <v>64697767594</v>
      </c>
      <c r="AZ20" s="330">
        <f t="shared" si="57"/>
        <v>0</v>
      </c>
      <c r="BA20" s="330">
        <f t="shared" si="58"/>
        <v>0</v>
      </c>
      <c r="BB20" s="330">
        <f t="shared" si="59"/>
        <v>0</v>
      </c>
      <c r="BC20" s="330">
        <f t="shared" si="60"/>
        <v>4.5271717907568583</v>
      </c>
      <c r="BD20" s="335">
        <f t="shared" si="61"/>
        <v>0.18169155055320552</v>
      </c>
      <c r="BE20" s="336" t="s">
        <v>732</v>
      </c>
      <c r="BN20" s="72"/>
    </row>
    <row r="21" spans="2:80" hidden="1" x14ac:dyDescent="0.25">
      <c r="C21" s="321" t="s">
        <v>707</v>
      </c>
      <c r="D21" s="321" t="s">
        <v>724</v>
      </c>
      <c r="E21" s="340" t="s">
        <v>570</v>
      </c>
      <c r="F21" s="323"/>
      <c r="G21" s="324">
        <v>2186305</v>
      </c>
      <c r="H21" s="325">
        <v>143520000</v>
      </c>
      <c r="I21" s="326">
        <f t="shared" si="32"/>
        <v>1435200000000</v>
      </c>
      <c r="J21" s="327">
        <f t="shared" si="33"/>
        <v>0</v>
      </c>
      <c r="K21" s="328">
        <f t="shared" si="34"/>
        <v>0</v>
      </c>
      <c r="L21" s="329">
        <v>151374475776</v>
      </c>
      <c r="M21" s="329">
        <v>207116513349</v>
      </c>
      <c r="N21" s="329">
        <v>207116509176</v>
      </c>
      <c r="O21" s="330">
        <f t="shared" si="35"/>
        <v>207116511262.5</v>
      </c>
      <c r="P21" s="331">
        <v>58810149507</v>
      </c>
      <c r="Q21" s="331">
        <v>5457246010443</v>
      </c>
      <c r="R21" s="331">
        <v>4729096092916</v>
      </c>
      <c r="S21" s="332">
        <f t="shared" si="36"/>
        <v>5093171051679.5</v>
      </c>
      <c r="T21" s="331">
        <v>264400597034</v>
      </c>
      <c r="U21" s="333">
        <v>14552862617</v>
      </c>
      <c r="V21" s="331">
        <v>264400597034</v>
      </c>
      <c r="W21" s="332">
        <f t="shared" si="37"/>
        <v>139476729825.5</v>
      </c>
      <c r="X21" s="329">
        <v>1454818471466</v>
      </c>
      <c r="Y21" s="329">
        <v>1742668059914</v>
      </c>
      <c r="Z21" s="332">
        <f t="shared" si="38"/>
        <v>307468059914</v>
      </c>
      <c r="AA21" s="330">
        <f t="shared" si="39"/>
        <v>0.2142335980448718</v>
      </c>
      <c r="AB21" s="332">
        <f t="shared" si="40"/>
        <v>1598743265690</v>
      </c>
      <c r="AC21" s="331">
        <v>7083418349258</v>
      </c>
      <c r="AD21" s="329">
        <v>6558010136271</v>
      </c>
      <c r="AE21" s="332">
        <f t="shared" si="41"/>
        <v>525408212987</v>
      </c>
      <c r="AF21" s="330">
        <f t="shared" si="42"/>
        <v>7.4174386868176068E-2</v>
      </c>
      <c r="AG21" s="329">
        <v>36331151929</v>
      </c>
      <c r="AH21" s="329">
        <v>72229870717</v>
      </c>
      <c r="AI21" s="329">
        <v>87624647284</v>
      </c>
      <c r="AJ21" s="329">
        <v>338877784705</v>
      </c>
      <c r="AK21" s="329">
        <v>286687393478</v>
      </c>
      <c r="AL21" s="334">
        <f t="shared" si="43"/>
        <v>5.6288585356555683E-2</v>
      </c>
      <c r="AM21" s="334">
        <f t="shared" si="44"/>
        <v>0.17932046979054445</v>
      </c>
      <c r="AN21" s="334">
        <f t="shared" si="45"/>
        <v>4.784099540591133E-2</v>
      </c>
      <c r="AO21" s="334">
        <f t="shared" si="46"/>
        <v>1.0197035831515754E-2</v>
      </c>
      <c r="AP21" s="334">
        <f t="shared" si="47"/>
        <v>1.2370389967603541E-2</v>
      </c>
      <c r="AQ21" s="334">
        <f t="shared" si="48"/>
        <v>5.1290422417032237E-3</v>
      </c>
      <c r="AR21" s="334">
        <f t="shared" si="49"/>
        <v>0.15172172091513977</v>
      </c>
      <c r="AS21" s="334">
        <f t="shared" si="50"/>
        <v>3.7326695106423641E-2</v>
      </c>
      <c r="AT21" s="334">
        <f t="shared" si="51"/>
        <v>0.31389938595578998</v>
      </c>
      <c r="AU21" s="334">
        <f t="shared" si="52"/>
        <v>0.22570222269273013</v>
      </c>
      <c r="AV21" s="330">
        <f t="shared" si="53"/>
        <v>1997.5431541109253</v>
      </c>
      <c r="AW21" s="330">
        <f t="shared" si="54"/>
        <v>33072.587866440219</v>
      </c>
      <c r="AX21" s="332">
        <f t="shared" si="55"/>
        <v>-11897745950.5</v>
      </c>
      <c r="AY21" s="332">
        <f t="shared" si="56"/>
        <v>434019086141</v>
      </c>
      <c r="AZ21" s="330">
        <f t="shared" si="57"/>
        <v>0</v>
      </c>
      <c r="BA21" s="330">
        <f t="shared" si="58"/>
        <v>0</v>
      </c>
      <c r="BB21" s="330">
        <f t="shared" si="59"/>
        <v>0</v>
      </c>
      <c r="BC21" s="330">
        <f t="shared" si="60"/>
        <v>-2.7412955628948476E-2</v>
      </c>
      <c r="BD21" s="335">
        <f t="shared" si="61"/>
        <v>-1.6796616215314049E-3</v>
      </c>
      <c r="BE21" s="336" t="s">
        <v>732</v>
      </c>
      <c r="BJ21" s="18"/>
      <c r="BL21"/>
      <c r="BN21" s="73"/>
      <c r="BO21" s="18"/>
      <c r="BS21"/>
      <c r="CB21" s="18"/>
    </row>
    <row r="22" spans="2:80" hidden="1" x14ac:dyDescent="0.25">
      <c r="C22" s="321" t="s">
        <v>708</v>
      </c>
      <c r="D22" s="321" t="s">
        <v>725</v>
      </c>
      <c r="E22" s="337" t="s">
        <v>569</v>
      </c>
      <c r="F22" s="323"/>
      <c r="G22" s="324">
        <v>4171</v>
      </c>
      <c r="H22" s="325">
        <v>327132940</v>
      </c>
      <c r="I22" s="326">
        <f t="shared" si="32"/>
        <v>3271329400000</v>
      </c>
      <c r="J22" s="327">
        <f t="shared" si="33"/>
        <v>0</v>
      </c>
      <c r="K22" s="328">
        <f t="shared" si="34"/>
        <v>0</v>
      </c>
      <c r="L22" s="341">
        <v>435790618314</v>
      </c>
      <c r="M22" s="341">
        <v>304475958157</v>
      </c>
      <c r="N22" s="341">
        <v>280175649428</v>
      </c>
      <c r="O22" s="330">
        <f t="shared" si="35"/>
        <v>292325803792.5</v>
      </c>
      <c r="P22" s="331">
        <v>336821662110</v>
      </c>
      <c r="Q22" s="331">
        <v>11871026027601</v>
      </c>
      <c r="R22" s="331">
        <v>13346388833543</v>
      </c>
      <c r="S22" s="332">
        <f t="shared" si="36"/>
        <v>12608707430572</v>
      </c>
      <c r="T22" s="342">
        <v>1907783226102</v>
      </c>
      <c r="U22" s="333">
        <v>1694372457993</v>
      </c>
      <c r="V22" s="342">
        <v>1907783226102</v>
      </c>
      <c r="W22" s="332">
        <f t="shared" si="37"/>
        <v>1801077842047.5</v>
      </c>
      <c r="X22" s="329">
        <v>5751159332020</v>
      </c>
      <c r="Y22" s="329">
        <v>5623501691317</v>
      </c>
      <c r="Z22" s="332">
        <f t="shared" si="38"/>
        <v>2352172291317</v>
      </c>
      <c r="AA22" s="330">
        <f t="shared" si="39"/>
        <v>0.7190264273958471</v>
      </c>
      <c r="AB22" s="332">
        <f t="shared" si="40"/>
        <v>5687330511668.5</v>
      </c>
      <c r="AC22" s="331">
        <v>4784571251565</v>
      </c>
      <c r="AD22" s="343">
        <v>4440344925161</v>
      </c>
      <c r="AE22" s="332">
        <f t="shared" si="41"/>
        <v>344226326404</v>
      </c>
      <c r="AF22" s="330">
        <f t="shared" si="42"/>
        <v>7.1945072673211E-2</v>
      </c>
      <c r="AG22" s="344">
        <v>396080763996</v>
      </c>
      <c r="AH22" s="344">
        <v>439806841346</v>
      </c>
      <c r="AI22" s="344">
        <v>361371334802</v>
      </c>
      <c r="AJ22" s="344">
        <v>-236041687274</v>
      </c>
      <c r="AK22" s="329">
        <v>-233758957459</v>
      </c>
      <c r="AL22" s="334">
        <f t="shared" si="43"/>
        <v>-1.8539486203971299E-2</v>
      </c>
      <c r="AM22" s="334">
        <f t="shared" si="44"/>
        <v>-4.1101700873442261E-2</v>
      </c>
      <c r="AN22" s="334">
        <f t="shared" si="45"/>
        <v>-4.9333926670397564E-2</v>
      </c>
      <c r="AO22" s="334">
        <f t="shared" si="46"/>
        <v>9.1921891894104879E-2</v>
      </c>
      <c r="AP22" s="334">
        <f t="shared" si="47"/>
        <v>7.5528467610091077E-2</v>
      </c>
      <c r="AQ22" s="334">
        <f t="shared" si="48"/>
        <v>8.278291683219155E-2</v>
      </c>
      <c r="AR22" s="334">
        <f t="shared" si="49"/>
        <v>0.33925182756639399</v>
      </c>
      <c r="AS22" s="334">
        <f t="shared" si="50"/>
        <v>0.3987365065319024</v>
      </c>
      <c r="AT22" s="334">
        <f t="shared" si="51"/>
        <v>0.45106372266823958</v>
      </c>
      <c r="AU22" s="334">
        <f t="shared" si="52"/>
        <v>1.1886813285115596</v>
      </c>
      <c r="AV22" s="330">
        <f t="shared" si="53"/>
        <v>-714.56869326274511</v>
      </c>
      <c r="AW22" s="330">
        <f t="shared" si="54"/>
        <v>32143.824418085198</v>
      </c>
      <c r="AX22" s="332">
        <f t="shared" si="55"/>
        <v>1365287223733.5</v>
      </c>
      <c r="AY22" s="332">
        <f t="shared" si="56"/>
        <v>496860738832</v>
      </c>
      <c r="AZ22" s="330">
        <f t="shared" si="57"/>
        <v>0</v>
      </c>
      <c r="BA22" s="330">
        <f t="shared" si="58"/>
        <v>0</v>
      </c>
      <c r="BB22" s="330">
        <f t="shared" si="59"/>
        <v>0</v>
      </c>
      <c r="BC22" s="330">
        <f t="shared" si="60"/>
        <v>2.7478267390234166</v>
      </c>
      <c r="BD22" s="335">
        <f t="shared" si="61"/>
        <v>0.28535205182427248</v>
      </c>
      <c r="BE22" s="336" t="s">
        <v>732</v>
      </c>
      <c r="BJ22" s="18"/>
      <c r="BL22"/>
      <c r="BN22" s="73"/>
      <c r="BO22" s="18"/>
      <c r="BS22"/>
      <c r="CB22" s="18"/>
    </row>
    <row r="23" spans="2:80" hidden="1" x14ac:dyDescent="0.25">
      <c r="C23" s="321" t="s">
        <v>709</v>
      </c>
      <c r="D23" s="321" t="s">
        <v>726</v>
      </c>
      <c r="E23" s="337" t="s">
        <v>569</v>
      </c>
      <c r="F23" s="323"/>
      <c r="G23" s="345">
        <v>264</v>
      </c>
      <c r="H23" s="325">
        <v>3000000</v>
      </c>
      <c r="I23" s="326">
        <f t="shared" si="32"/>
        <v>30000000000</v>
      </c>
      <c r="J23" s="327">
        <f t="shared" si="33"/>
        <v>0</v>
      </c>
      <c r="K23" s="328">
        <f t="shared" si="34"/>
        <v>0</v>
      </c>
      <c r="L23" s="346">
        <v>12436610406</v>
      </c>
      <c r="M23" s="346">
        <v>0</v>
      </c>
      <c r="N23" s="346">
        <v>0</v>
      </c>
      <c r="O23" s="330">
        <f t="shared" si="35"/>
        <v>0</v>
      </c>
      <c r="P23" s="331">
        <v>1018525782</v>
      </c>
      <c r="Q23" s="331">
        <v>50076409928</v>
      </c>
      <c r="R23" s="331">
        <v>50784927921</v>
      </c>
      <c r="S23" s="332">
        <f t="shared" si="36"/>
        <v>50430668924.5</v>
      </c>
      <c r="T23" s="347">
        <v>0</v>
      </c>
      <c r="U23" s="331">
        <v>0</v>
      </c>
      <c r="V23" s="331">
        <v>0</v>
      </c>
      <c r="W23" s="332">
        <f t="shared" si="37"/>
        <v>0</v>
      </c>
      <c r="X23" s="329">
        <v>47479337940</v>
      </c>
      <c r="Y23" s="329">
        <v>48085199287</v>
      </c>
      <c r="Z23" s="332">
        <f t="shared" si="38"/>
        <v>18085199287</v>
      </c>
      <c r="AA23" s="330">
        <f t="shared" si="39"/>
        <v>0.6028399762333333</v>
      </c>
      <c r="AB23" s="332">
        <f t="shared" si="40"/>
        <v>47782268613.5</v>
      </c>
      <c r="AC23" s="331">
        <v>17104274612</v>
      </c>
      <c r="AD23" s="348">
        <v>12313876689</v>
      </c>
      <c r="AE23" s="349">
        <f t="shared" si="41"/>
        <v>4790397923</v>
      </c>
      <c r="AF23" s="350">
        <f t="shared" si="42"/>
        <v>0.28007021821546046</v>
      </c>
      <c r="AG23" s="351">
        <v>36714856</v>
      </c>
      <c r="AH23" s="351">
        <v>0</v>
      </c>
      <c r="AI23" s="351">
        <v>2962839316</v>
      </c>
      <c r="AJ23" s="351">
        <v>1235933673</v>
      </c>
      <c r="AK23" s="339">
        <v>1216028495</v>
      </c>
      <c r="AL23" s="334">
        <f t="shared" si="43"/>
        <v>2.4112876567640263E-2</v>
      </c>
      <c r="AM23" s="334">
        <f t="shared" si="44"/>
        <v>2.5449367103855626E-2</v>
      </c>
      <c r="AN23" s="334">
        <f t="shared" si="45"/>
        <v>7.2258759932028627E-2</v>
      </c>
      <c r="AO23" s="334">
        <f t="shared" si="46"/>
        <v>0</v>
      </c>
      <c r="AP23" s="334">
        <f t="shared" si="47"/>
        <v>0.17322215546757733</v>
      </c>
      <c r="AQ23" s="334">
        <f t="shared" si="48"/>
        <v>2.1465310182895232E-3</v>
      </c>
      <c r="AR23" s="334">
        <f t="shared" si="49"/>
        <v>0</v>
      </c>
      <c r="AS23" s="334">
        <f t="shared" si="50"/>
        <v>0</v>
      </c>
      <c r="AT23" s="334">
        <f t="shared" si="51"/>
        <v>0.94748433111278119</v>
      </c>
      <c r="AU23" s="334">
        <f t="shared" si="52"/>
        <v>2.7935863810311465</v>
      </c>
      <c r="AV23" s="330">
        <f t="shared" si="53"/>
        <v>405.34283166666665</v>
      </c>
      <c r="AW23" s="330">
        <f t="shared" si="54"/>
        <v>16810.222974833334</v>
      </c>
      <c r="AX23" s="332">
        <f t="shared" si="55"/>
        <v>-12436610406</v>
      </c>
      <c r="AY23" s="332">
        <f t="shared" si="56"/>
        <v>2291174311</v>
      </c>
      <c r="AZ23" s="330">
        <f t="shared" si="57"/>
        <v>0</v>
      </c>
      <c r="BA23" s="330">
        <f t="shared" si="58"/>
        <v>0</v>
      </c>
      <c r="BB23" s="330">
        <f t="shared" si="59"/>
        <v>0</v>
      </c>
      <c r="BC23" s="330">
        <f t="shared" si="60"/>
        <v>-5.4280507363806594</v>
      </c>
      <c r="BD23" s="335">
        <f t="shared" si="61"/>
        <v>-0.72710539839407951</v>
      </c>
      <c r="BE23" s="336" t="s">
        <v>732</v>
      </c>
      <c r="BJ23" s="18"/>
      <c r="BL23"/>
      <c r="BN23" s="73"/>
      <c r="BO23" s="18"/>
      <c r="BS23"/>
      <c r="CB23" s="18"/>
    </row>
    <row r="24" spans="2:80" hidden="1" x14ac:dyDescent="0.25">
      <c r="C24" s="321" t="s">
        <v>710</v>
      </c>
      <c r="D24" s="321" t="s">
        <v>727</v>
      </c>
      <c r="E24" s="337" t="s">
        <v>569</v>
      </c>
      <c r="F24" s="323"/>
      <c r="G24" s="324">
        <v>119704</v>
      </c>
      <c r="H24" s="325">
        <v>212491611</v>
      </c>
      <c r="I24" s="326">
        <f t="shared" si="32"/>
        <v>2124916110000</v>
      </c>
      <c r="J24" s="327">
        <f t="shared" si="33"/>
        <v>0</v>
      </c>
      <c r="K24" s="328">
        <f t="shared" si="34"/>
        <v>0</v>
      </c>
      <c r="L24" s="341">
        <v>743764825266</v>
      </c>
      <c r="M24" s="341">
        <v>512942556641</v>
      </c>
      <c r="N24" s="341">
        <v>477383722902</v>
      </c>
      <c r="O24" s="330">
        <f t="shared" si="35"/>
        <v>495163139771.5</v>
      </c>
      <c r="P24" s="331">
        <v>165343207345</v>
      </c>
      <c r="Q24" s="331">
        <v>4653726064140</v>
      </c>
      <c r="R24" s="331">
        <v>4898376539824</v>
      </c>
      <c r="S24" s="332">
        <f t="shared" si="36"/>
        <v>4776051301982</v>
      </c>
      <c r="T24" s="352">
        <v>0</v>
      </c>
      <c r="U24" s="331">
        <v>0</v>
      </c>
      <c r="V24" s="331">
        <v>0</v>
      </c>
      <c r="W24" s="332">
        <f t="shared" si="37"/>
        <v>0</v>
      </c>
      <c r="X24" s="329">
        <v>4140967428672</v>
      </c>
      <c r="Y24" s="329">
        <v>4456893050765</v>
      </c>
      <c r="Z24" s="332">
        <f t="shared" si="38"/>
        <v>2331976940765</v>
      </c>
      <c r="AA24" s="330">
        <f t="shared" si="39"/>
        <v>1.0974442378174638</v>
      </c>
      <c r="AB24" s="332">
        <f t="shared" si="40"/>
        <v>4298930239718.5</v>
      </c>
      <c r="AC24" s="331">
        <v>3140294875296</v>
      </c>
      <c r="AD24" s="348">
        <v>2176695145121</v>
      </c>
      <c r="AE24" s="349">
        <f t="shared" si="41"/>
        <v>963599730175</v>
      </c>
      <c r="AF24" s="350">
        <f t="shared" si="42"/>
        <v>0.30685007887489302</v>
      </c>
      <c r="AG24" s="351">
        <v>636335055</v>
      </c>
      <c r="AH24" s="351">
        <v>697864020304</v>
      </c>
      <c r="AI24" s="351">
        <v>127432496522</v>
      </c>
      <c r="AJ24" s="351">
        <v>257410054307</v>
      </c>
      <c r="AK24" s="339">
        <v>237541890343</v>
      </c>
      <c r="AL24" s="334">
        <f t="shared" si="43"/>
        <v>4.9736042459264031E-2</v>
      </c>
      <c r="AM24" s="334">
        <f t="shared" si="44"/>
        <v>5.525604675979915E-2</v>
      </c>
      <c r="AN24" s="334">
        <f t="shared" si="45"/>
        <v>8.1970026551324057E-2</v>
      </c>
      <c r="AO24" s="334">
        <f t="shared" si="46"/>
        <v>0.22222881863545388</v>
      </c>
      <c r="AP24" s="334">
        <f t="shared" si="47"/>
        <v>4.0579786797884189E-2</v>
      </c>
      <c r="AQ24" s="334">
        <f t="shared" si="48"/>
        <v>2.0263544675562352E-4</v>
      </c>
      <c r="AR24" s="334">
        <f t="shared" si="49"/>
        <v>0</v>
      </c>
      <c r="AS24" s="334">
        <f t="shared" si="50"/>
        <v>0</v>
      </c>
      <c r="AT24" s="334">
        <f t="shared" si="51"/>
        <v>0.90010135316898687</v>
      </c>
      <c r="AU24" s="334">
        <f t="shared" si="52"/>
        <v>1.368957505722544</v>
      </c>
      <c r="AV24" s="330">
        <f t="shared" si="53"/>
        <v>1117.8883214500172</v>
      </c>
      <c r="AW24" s="330">
        <f t="shared" si="54"/>
        <v>20146.151380114956</v>
      </c>
      <c r="AX24" s="332">
        <f t="shared" si="55"/>
        <v>-743764825266</v>
      </c>
      <c r="AY24" s="332">
        <f t="shared" si="56"/>
        <v>423389596707</v>
      </c>
      <c r="AZ24" s="330">
        <f t="shared" si="57"/>
        <v>0</v>
      </c>
      <c r="BA24" s="330">
        <f t="shared" si="58"/>
        <v>0</v>
      </c>
      <c r="BB24" s="330">
        <f t="shared" si="59"/>
        <v>0</v>
      </c>
      <c r="BC24" s="330">
        <f t="shared" si="60"/>
        <v>-1.7566913099678982</v>
      </c>
      <c r="BD24" s="335">
        <f t="shared" si="61"/>
        <v>-0.23684553674147996</v>
      </c>
      <c r="BE24" s="336" t="s">
        <v>732</v>
      </c>
      <c r="BJ24" s="18"/>
      <c r="BL24"/>
      <c r="BN24" s="73"/>
      <c r="BO24" s="18"/>
      <c r="BS24"/>
      <c r="CB24" s="18"/>
    </row>
    <row r="25" spans="2:80" hidden="1" x14ac:dyDescent="0.25">
      <c r="C25" s="321" t="s">
        <v>711</v>
      </c>
      <c r="D25" s="321" t="s">
        <v>728</v>
      </c>
      <c r="E25" s="337" t="s">
        <v>569</v>
      </c>
      <c r="F25" s="323"/>
      <c r="G25" s="324">
        <v>3591</v>
      </c>
      <c r="H25" s="325">
        <v>80904500</v>
      </c>
      <c r="I25" s="326">
        <f t="shared" si="32"/>
        <v>809045000000</v>
      </c>
      <c r="J25" s="327">
        <f t="shared" si="33"/>
        <v>0</v>
      </c>
      <c r="K25" s="328">
        <f t="shared" si="34"/>
        <v>0</v>
      </c>
      <c r="L25" s="353">
        <v>520774128027</v>
      </c>
      <c r="M25" s="354">
        <v>233114111945</v>
      </c>
      <c r="N25" s="355">
        <v>223814476556</v>
      </c>
      <c r="O25" s="330">
        <f t="shared" si="35"/>
        <v>228464294250.5</v>
      </c>
      <c r="P25" s="331">
        <v>2880306174562</v>
      </c>
      <c r="Q25" s="331">
        <v>2288520283239</v>
      </c>
      <c r="R25" s="331">
        <v>2081674450353</v>
      </c>
      <c r="S25" s="332">
        <f t="shared" si="36"/>
        <v>2185097366796</v>
      </c>
      <c r="T25" s="356">
        <v>11592179472</v>
      </c>
      <c r="U25" s="331">
        <v>282714026351</v>
      </c>
      <c r="V25" s="357">
        <v>7700000000</v>
      </c>
      <c r="W25" s="332">
        <f t="shared" si="37"/>
        <v>145207013175.5</v>
      </c>
      <c r="X25" s="329">
        <v>1216008795946</v>
      </c>
      <c r="Y25" s="329">
        <v>1286832422193</v>
      </c>
      <c r="Z25" s="332">
        <f t="shared" si="38"/>
        <v>477787422193</v>
      </c>
      <c r="AA25" s="330">
        <f t="shared" si="39"/>
        <v>0.5905572893881057</v>
      </c>
      <c r="AB25" s="332">
        <f t="shared" si="40"/>
        <v>1251420609069.5</v>
      </c>
      <c r="AC25" s="331">
        <v>3833500736084</v>
      </c>
      <c r="AD25" s="348">
        <v>2919546963694</v>
      </c>
      <c r="AE25" s="349">
        <f t="shared" si="41"/>
        <v>913953772390</v>
      </c>
      <c r="AF25" s="350">
        <f t="shared" si="42"/>
        <v>0.23841231169910315</v>
      </c>
      <c r="AG25" s="351">
        <v>6662582458</v>
      </c>
      <c r="AH25" s="351">
        <v>605379192206</v>
      </c>
      <c r="AI25" s="351">
        <v>156062038253</v>
      </c>
      <c r="AJ25" s="351">
        <v>173525248408</v>
      </c>
      <c r="AK25" s="339">
        <v>137451782409</v>
      </c>
      <c r="AL25" s="334">
        <f t="shared" si="43"/>
        <v>6.2904191134761658E-2</v>
      </c>
      <c r="AM25" s="334">
        <f t="shared" si="44"/>
        <v>0.10983659803333665</v>
      </c>
      <c r="AN25" s="334">
        <f t="shared" si="45"/>
        <v>4.5265479350151273E-2</v>
      </c>
      <c r="AO25" s="334">
        <f t="shared" si="46"/>
        <v>0.15791811033390002</v>
      </c>
      <c r="AP25" s="334">
        <f t="shared" si="47"/>
        <v>4.0710058246244289E-2</v>
      </c>
      <c r="AQ25" s="334">
        <f t="shared" si="48"/>
        <v>1.7379890905684201E-3</v>
      </c>
      <c r="AR25" s="334">
        <f t="shared" si="49"/>
        <v>9.0083054110843639E-3</v>
      </c>
      <c r="AS25" s="334">
        <f t="shared" si="50"/>
        <v>3.0239147635697729E-3</v>
      </c>
      <c r="AT25" s="334">
        <f t="shared" si="51"/>
        <v>0.57270702353390013</v>
      </c>
      <c r="AU25" s="334">
        <f t="shared" si="52"/>
        <v>0.326443294321068</v>
      </c>
      <c r="AV25" s="330">
        <f t="shared" si="53"/>
        <v>1698.9386549450278</v>
      </c>
      <c r="AW25" s="330">
        <f t="shared" si="54"/>
        <v>22389.682395540422</v>
      </c>
      <c r="AX25" s="332">
        <f t="shared" si="55"/>
        <v>-375567114851.5</v>
      </c>
      <c r="AY25" s="332">
        <f t="shared" si="56"/>
        <v>3060494005428</v>
      </c>
      <c r="AZ25" s="330">
        <f t="shared" si="57"/>
        <v>0</v>
      </c>
      <c r="BA25" s="330">
        <f t="shared" si="58"/>
        <v>0</v>
      </c>
      <c r="BB25" s="330">
        <f t="shared" si="59"/>
        <v>0</v>
      </c>
      <c r="BC25" s="330">
        <f t="shared" si="60"/>
        <v>-0.1227145402622601</v>
      </c>
      <c r="BD25" s="335">
        <f t="shared" si="61"/>
        <v>-9.7969751594504592E-2</v>
      </c>
      <c r="BE25" s="336" t="s">
        <v>732</v>
      </c>
      <c r="BJ25" s="18"/>
      <c r="BL25"/>
      <c r="BN25" s="73"/>
      <c r="BO25" s="18"/>
      <c r="BS25"/>
      <c r="CB25" s="18"/>
    </row>
    <row r="26" spans="2:80" hidden="1" x14ac:dyDescent="0.25">
      <c r="C26" s="321" t="s">
        <v>712</v>
      </c>
      <c r="D26" s="321" t="s">
        <v>729</v>
      </c>
      <c r="E26" s="337" t="s">
        <v>569</v>
      </c>
      <c r="F26" s="323"/>
      <c r="G26" s="358">
        <v>948</v>
      </c>
      <c r="H26" s="325">
        <v>11812500</v>
      </c>
      <c r="I26" s="326">
        <f t="shared" si="32"/>
        <v>118125000000</v>
      </c>
      <c r="J26" s="327">
        <f t="shared" si="33"/>
        <v>0</v>
      </c>
      <c r="K26" s="328">
        <f t="shared" si="34"/>
        <v>0</v>
      </c>
      <c r="L26" s="343">
        <v>1445446788</v>
      </c>
      <c r="M26" s="359">
        <v>8803932993</v>
      </c>
      <c r="N26" s="344">
        <v>8695153029</v>
      </c>
      <c r="O26" s="330">
        <f t="shared" si="35"/>
        <v>8749543011</v>
      </c>
      <c r="P26" s="331">
        <v>5508473038</v>
      </c>
      <c r="Q26" s="331">
        <v>173786271494</v>
      </c>
      <c r="R26" s="331">
        <v>163804825195</v>
      </c>
      <c r="S26" s="332">
        <f t="shared" si="36"/>
        <v>168795548344.5</v>
      </c>
      <c r="T26" s="357">
        <v>7700000000</v>
      </c>
      <c r="U26" s="331">
        <v>0</v>
      </c>
      <c r="V26" s="357">
        <v>7700000000</v>
      </c>
      <c r="W26" s="332">
        <f t="shared" si="37"/>
        <v>3850000000</v>
      </c>
      <c r="X26" s="329">
        <v>165714569283</v>
      </c>
      <c r="Y26" s="329">
        <v>151618064477</v>
      </c>
      <c r="Z26" s="332">
        <f t="shared" si="38"/>
        <v>33493064477</v>
      </c>
      <c r="AA26" s="330">
        <f t="shared" si="39"/>
        <v>0.28353917017566138</v>
      </c>
      <c r="AB26" s="332">
        <f t="shared" si="40"/>
        <v>158666316880</v>
      </c>
      <c r="AC26" s="331">
        <v>88067646750</v>
      </c>
      <c r="AD26" s="348">
        <v>75637594576</v>
      </c>
      <c r="AE26" s="349">
        <f t="shared" si="41"/>
        <v>12430052174</v>
      </c>
      <c r="AF26" s="350">
        <f t="shared" si="42"/>
        <v>0.14114209511337941</v>
      </c>
      <c r="AG26" s="351">
        <v>32986301</v>
      </c>
      <c r="AH26" s="351">
        <v>59451000</v>
      </c>
      <c r="AI26" s="351">
        <v>6171554947</v>
      </c>
      <c r="AJ26" s="351">
        <v>8369987113</v>
      </c>
      <c r="AK26" s="339">
        <v>6672204437</v>
      </c>
      <c r="AL26" s="334">
        <f t="shared" si="43"/>
        <v>3.9528319925727508E-2</v>
      </c>
      <c r="AM26" s="334">
        <f t="shared" si="44"/>
        <v>4.2051801341340872E-2</v>
      </c>
      <c r="AN26" s="334">
        <f t="shared" si="45"/>
        <v>9.5040431099063058E-2</v>
      </c>
      <c r="AO26" s="334">
        <f t="shared" si="46"/>
        <v>6.7506061753603067E-4</v>
      </c>
      <c r="AP26" s="334">
        <f t="shared" si="47"/>
        <v>7.0077436774475865E-2</v>
      </c>
      <c r="AQ26" s="334">
        <f t="shared" si="48"/>
        <v>3.7455640314358688E-4</v>
      </c>
      <c r="AR26" s="334">
        <f t="shared" si="49"/>
        <v>5.0785505187398473E-2</v>
      </c>
      <c r="AS26" s="334">
        <f t="shared" si="50"/>
        <v>8.7432789272298791E-2</v>
      </c>
      <c r="AT26" s="334">
        <f t="shared" si="51"/>
        <v>0.93999112201805857</v>
      </c>
      <c r="AU26" s="334">
        <f t="shared" si="52"/>
        <v>1.8016413829066007</v>
      </c>
      <c r="AV26" s="330">
        <f t="shared" si="53"/>
        <v>564.84270366137571</v>
      </c>
      <c r="AW26" s="330">
        <f t="shared" si="54"/>
        <v>13222.942250455026</v>
      </c>
      <c r="AX26" s="332">
        <f t="shared" si="55"/>
        <v>2404553212</v>
      </c>
      <c r="AY26" s="332">
        <f t="shared" si="56"/>
        <v>13911446452</v>
      </c>
      <c r="AZ26" s="330">
        <f t="shared" si="57"/>
        <v>0</v>
      </c>
      <c r="BA26" s="330">
        <f t="shared" si="58"/>
        <v>0</v>
      </c>
      <c r="BB26" s="330">
        <f t="shared" si="59"/>
        <v>0</v>
      </c>
      <c r="BC26" s="330">
        <f t="shared" si="60"/>
        <v>0.17284710258538974</v>
      </c>
      <c r="BD26" s="335">
        <f t="shared" si="61"/>
        <v>2.7303479776470806E-2</v>
      </c>
      <c r="BE26" s="336" t="s">
        <v>732</v>
      </c>
      <c r="BJ26" s="18"/>
      <c r="BL26"/>
      <c r="BN26" s="73"/>
      <c r="BO26" s="18"/>
      <c r="BS26"/>
      <c r="CB26" s="18"/>
    </row>
    <row r="27" spans="2:80" hidden="1" x14ac:dyDescent="0.25">
      <c r="C27" s="321" t="s">
        <v>713</v>
      </c>
      <c r="D27" s="321" t="s">
        <v>730</v>
      </c>
      <c r="E27" s="337" t="s">
        <v>569</v>
      </c>
      <c r="F27" s="323"/>
      <c r="G27" s="324">
        <v>2033</v>
      </c>
      <c r="H27" s="325">
        <v>4000000</v>
      </c>
      <c r="I27" s="326">
        <f t="shared" si="32"/>
        <v>40000000000</v>
      </c>
      <c r="J27" s="327">
        <f t="shared" si="33"/>
        <v>0</v>
      </c>
      <c r="K27" s="328">
        <f t="shared" si="34"/>
        <v>0</v>
      </c>
      <c r="L27" s="348">
        <v>1478834900</v>
      </c>
      <c r="M27" s="360">
        <v>0</v>
      </c>
      <c r="N27" s="351">
        <v>0</v>
      </c>
      <c r="O27" s="350">
        <f t="shared" si="35"/>
        <v>0</v>
      </c>
      <c r="P27" s="333">
        <v>384600641054</v>
      </c>
      <c r="Q27" s="331">
        <v>142802150826</v>
      </c>
      <c r="R27" s="331">
        <v>121931264283</v>
      </c>
      <c r="S27" s="332">
        <f t="shared" si="36"/>
        <v>132366707554.5</v>
      </c>
      <c r="T27" s="361">
        <v>41898175290</v>
      </c>
      <c r="U27" s="333">
        <v>33263955161</v>
      </c>
      <c r="V27" s="361">
        <v>41898175290</v>
      </c>
      <c r="W27" s="332">
        <f t="shared" si="37"/>
        <v>37581065225.5</v>
      </c>
      <c r="X27" s="329">
        <v>72342665505</v>
      </c>
      <c r="Y27" s="329">
        <v>45804278048</v>
      </c>
      <c r="Z27" s="332">
        <f t="shared" si="38"/>
        <v>5804278048</v>
      </c>
      <c r="AA27" s="330">
        <f t="shared" si="39"/>
        <v>0.1451069512</v>
      </c>
      <c r="AB27" s="332">
        <f t="shared" si="40"/>
        <v>59073471776.5</v>
      </c>
      <c r="AC27" s="331">
        <v>398115477500</v>
      </c>
      <c r="AD27" s="348">
        <v>408651270633</v>
      </c>
      <c r="AE27" s="349">
        <f t="shared" si="41"/>
        <v>-10535793133</v>
      </c>
      <c r="AF27" s="350">
        <f t="shared" si="42"/>
        <v>-2.6464163611925887E-2</v>
      </c>
      <c r="AG27" s="351">
        <v>2228197077</v>
      </c>
      <c r="AH27" s="351">
        <v>2186391724</v>
      </c>
      <c r="AI27" s="351">
        <v>5656094396</v>
      </c>
      <c r="AJ27" s="351">
        <v>-20466744866</v>
      </c>
      <c r="AK27" s="339">
        <v>20483544866</v>
      </c>
      <c r="AL27" s="334">
        <f t="shared" si="43"/>
        <v>0.15474846541428258</v>
      </c>
      <c r="AM27" s="334">
        <f t="shared" si="44"/>
        <v>0.3467469280203801</v>
      </c>
      <c r="AN27" s="334">
        <f t="shared" si="45"/>
        <v>-5.1409066019042174E-2</v>
      </c>
      <c r="AO27" s="334">
        <f t="shared" si="46"/>
        <v>5.4918531118901296E-3</v>
      </c>
      <c r="AP27" s="334">
        <f t="shared" si="47"/>
        <v>1.4207170320324961E-2</v>
      </c>
      <c r="AQ27" s="334">
        <f t="shared" si="48"/>
        <v>5.5968612197449669E-3</v>
      </c>
      <c r="AR27" s="334">
        <f t="shared" si="49"/>
        <v>0.91472187916799719</v>
      </c>
      <c r="AS27" s="334">
        <f t="shared" si="50"/>
        <v>0.10524126204060981</v>
      </c>
      <c r="AT27" s="334">
        <f t="shared" si="51"/>
        <v>0.44628647843474828</v>
      </c>
      <c r="AU27" s="334">
        <f t="shared" si="52"/>
        <v>0.14838275604720744</v>
      </c>
      <c r="AV27" s="330">
        <f t="shared" si="53"/>
        <v>5120.8862165</v>
      </c>
      <c r="AW27" s="330">
        <f t="shared" si="54"/>
        <v>23696.410582249999</v>
      </c>
      <c r="AX27" s="332">
        <f t="shared" si="55"/>
        <v>36102230325.5</v>
      </c>
      <c r="AY27" s="332">
        <f t="shared" si="56"/>
        <v>366362093265</v>
      </c>
      <c r="AZ27" s="330">
        <f t="shared" si="57"/>
        <v>0</v>
      </c>
      <c r="BA27" s="330">
        <f t="shared" si="58"/>
        <v>0</v>
      </c>
      <c r="BB27" s="330">
        <f t="shared" si="59"/>
        <v>0</v>
      </c>
      <c r="BC27" s="330">
        <f t="shared" si="60"/>
        <v>9.8542482940193923E-2</v>
      </c>
      <c r="BD27" s="335">
        <f t="shared" si="61"/>
        <v>9.0682810304706124E-2</v>
      </c>
      <c r="BE27" s="336" t="s">
        <v>732</v>
      </c>
      <c r="BJ27" s="18"/>
      <c r="BL27"/>
      <c r="BN27" s="73"/>
      <c r="BO27" s="18"/>
      <c r="BS27"/>
      <c r="CB27" s="18"/>
    </row>
    <row r="28" spans="2:80" hidden="1" x14ac:dyDescent="0.25">
      <c r="C28" s="321" t="s">
        <v>714</v>
      </c>
      <c r="D28" s="321" t="s">
        <v>731</v>
      </c>
      <c r="E28" s="337" t="s">
        <v>569</v>
      </c>
      <c r="F28" s="323"/>
      <c r="G28" s="324">
        <v>9965059</v>
      </c>
      <c r="H28" s="325">
        <v>927399283</v>
      </c>
      <c r="I28" s="326">
        <f t="shared" si="32"/>
        <v>9273992830000</v>
      </c>
      <c r="J28" s="327">
        <f t="shared" si="33"/>
        <v>0</v>
      </c>
      <c r="K28" s="328">
        <f t="shared" si="34"/>
        <v>0</v>
      </c>
      <c r="L28" s="348">
        <v>72372525</v>
      </c>
      <c r="M28" s="360">
        <v>122890961</v>
      </c>
      <c r="N28" s="351">
        <v>261683353</v>
      </c>
      <c r="O28" s="350">
        <f t="shared" si="35"/>
        <v>192287157</v>
      </c>
      <c r="P28" s="333">
        <v>337569217</v>
      </c>
      <c r="Q28" s="331">
        <v>18439684991</v>
      </c>
      <c r="R28" s="331">
        <v>19798387553</v>
      </c>
      <c r="S28" s="332">
        <f t="shared" si="36"/>
        <v>19119036272</v>
      </c>
      <c r="T28" s="361">
        <v>4000485189</v>
      </c>
      <c r="U28" s="333">
        <v>2509569555</v>
      </c>
      <c r="V28" s="361">
        <v>4000485189</v>
      </c>
      <c r="W28" s="332">
        <f t="shared" si="37"/>
        <v>3255027372</v>
      </c>
      <c r="X28" s="329">
        <v>4673233340</v>
      </c>
      <c r="Y28" s="329">
        <v>5194743341</v>
      </c>
      <c r="Z28" s="332">
        <f t="shared" si="38"/>
        <v>-9268798086659</v>
      </c>
      <c r="AA28" s="330">
        <f t="shared" si="39"/>
        <v>-0.99943985902984578</v>
      </c>
      <c r="AB28" s="332">
        <f t="shared" si="40"/>
        <v>4933988340.5</v>
      </c>
      <c r="AC28" s="331">
        <v>5110781887</v>
      </c>
      <c r="AD28" s="348">
        <v>3937380869</v>
      </c>
      <c r="AE28" s="349">
        <f t="shared" si="41"/>
        <v>1173401018</v>
      </c>
      <c r="AF28" s="350">
        <f t="shared" si="42"/>
        <v>0.22959324892825347</v>
      </c>
      <c r="AG28" s="351">
        <v>793176972</v>
      </c>
      <c r="AH28" s="351">
        <v>251938809</v>
      </c>
      <c r="AI28" s="351">
        <v>1349894514</v>
      </c>
      <c r="AJ28" s="351">
        <v>1028217828</v>
      </c>
      <c r="AK28" s="339">
        <v>1128745396</v>
      </c>
      <c r="AL28" s="334">
        <f t="shared" si="43"/>
        <v>5.9037776796995657E-2</v>
      </c>
      <c r="AM28" s="334">
        <f t="shared" si="44"/>
        <v>0.22876936832923592</v>
      </c>
      <c r="AN28" s="334">
        <f t="shared" si="45"/>
        <v>0.20118601238206196</v>
      </c>
      <c r="AO28" s="334">
        <f t="shared" si="46"/>
        <v>4.9295550968598792E-2</v>
      </c>
      <c r="AP28" s="334">
        <f t="shared" si="47"/>
        <v>0.26412680952666923</v>
      </c>
      <c r="AQ28" s="334">
        <f t="shared" si="48"/>
        <v>0.15519679562486483</v>
      </c>
      <c r="AR28" s="334">
        <f t="shared" si="49"/>
        <v>0.77010256838404212</v>
      </c>
      <c r="AS28" s="334">
        <f t="shared" si="50"/>
        <v>0.78275404379431701</v>
      </c>
      <c r="AT28" s="334">
        <f t="shared" si="51"/>
        <v>0.25806679114500503</v>
      </c>
      <c r="AU28" s="334">
        <f t="shared" si="52"/>
        <v>0.96540773008730829</v>
      </c>
      <c r="AV28" s="330">
        <f t="shared" si="53"/>
        <v>1.2171083336927704</v>
      </c>
      <c r="AW28" s="330">
        <f t="shared" si="54"/>
        <v>16.898570044505846</v>
      </c>
      <c r="AX28" s="332">
        <f t="shared" si="55"/>
        <v>3182654847</v>
      </c>
      <c r="AY28" s="332">
        <f t="shared" si="56"/>
        <v>2158964017</v>
      </c>
      <c r="AZ28" s="330">
        <f t="shared" si="57"/>
        <v>0</v>
      </c>
      <c r="BA28" s="330">
        <f t="shared" si="58"/>
        <v>0</v>
      </c>
      <c r="BB28" s="330">
        <f t="shared" si="59"/>
        <v>0</v>
      </c>
      <c r="BC28" s="330">
        <f t="shared" si="60"/>
        <v>1.4741583564799172</v>
      </c>
      <c r="BD28" s="335">
        <f t="shared" si="61"/>
        <v>0.62273345201749553</v>
      </c>
      <c r="BE28" s="336" t="s">
        <v>732</v>
      </c>
      <c r="BJ28" s="18"/>
      <c r="BL28"/>
      <c r="BN28" s="73"/>
      <c r="BO28" s="18"/>
      <c r="BS28"/>
      <c r="CB28" s="18"/>
    </row>
    <row r="29" spans="2:80" x14ac:dyDescent="0.25">
      <c r="L29" s="362"/>
      <c r="M29" s="363"/>
      <c r="N29" s="364"/>
      <c r="O29" s="365"/>
      <c r="P29" s="366"/>
      <c r="T29" s="367"/>
      <c r="U29" s="365"/>
      <c r="AD29" s="362"/>
      <c r="AE29" s="363"/>
      <c r="AF29" s="363"/>
      <c r="AG29" s="364"/>
      <c r="AH29" s="365"/>
      <c r="AI29" s="365"/>
      <c r="AJ29" s="368"/>
      <c r="AK29" s="365"/>
    </row>
    <row r="30" spans="2:80" x14ac:dyDescent="0.25">
      <c r="B30" s="57" t="s">
        <v>1</v>
      </c>
      <c r="C30" s="57" t="s">
        <v>563</v>
      </c>
      <c r="D30" s="57" t="s">
        <v>734</v>
      </c>
      <c r="E30" s="57" t="s">
        <v>565</v>
      </c>
      <c r="F30" s="57" t="s">
        <v>0</v>
      </c>
      <c r="L30" s="362"/>
      <c r="M30" s="363"/>
      <c r="N30" s="364"/>
      <c r="O30" s="365"/>
      <c r="P30" s="365"/>
      <c r="T30" s="368"/>
      <c r="U30" s="365"/>
      <c r="AD30" s="362"/>
      <c r="AE30" s="363"/>
      <c r="AF30" s="363"/>
      <c r="AG30" s="364"/>
      <c r="AH30" s="365"/>
      <c r="AI30" s="365"/>
      <c r="AJ30" s="368"/>
      <c r="AK30" s="365"/>
    </row>
    <row r="31" spans="2:80" x14ac:dyDescent="0.25">
      <c r="B31" s="57">
        <v>1</v>
      </c>
      <c r="C31" s="380" t="s">
        <v>705</v>
      </c>
      <c r="D31" s="380" t="s">
        <v>722</v>
      </c>
      <c r="E31" s="380" t="s">
        <v>570</v>
      </c>
      <c r="F31" s="381">
        <v>11557594666247</v>
      </c>
      <c r="L31" s="362"/>
      <c r="M31" s="363"/>
      <c r="N31" s="364"/>
      <c r="O31" s="365"/>
      <c r="P31" s="365"/>
      <c r="T31" s="368"/>
      <c r="U31" s="365"/>
      <c r="AD31" s="362"/>
      <c r="AE31" s="363"/>
      <c r="AF31" s="363"/>
      <c r="AG31" s="364"/>
      <c r="AH31" s="365"/>
      <c r="AI31" s="366"/>
      <c r="AJ31" s="367"/>
      <c r="AK31" s="365"/>
    </row>
    <row r="32" spans="2:80" x14ac:dyDescent="0.25">
      <c r="B32" s="57">
        <v>3</v>
      </c>
      <c r="C32" s="380" t="s">
        <v>708</v>
      </c>
      <c r="D32" s="380" t="s">
        <v>725</v>
      </c>
      <c r="E32" s="380" t="s">
        <v>569</v>
      </c>
      <c r="F32" s="382">
        <v>7083418349258</v>
      </c>
      <c r="L32" s="362"/>
      <c r="M32" s="363"/>
      <c r="N32" s="364"/>
      <c r="O32" s="365"/>
      <c r="P32" s="366"/>
      <c r="T32" s="367"/>
      <c r="U32" s="365"/>
      <c r="AD32" s="362"/>
      <c r="AE32" s="363"/>
      <c r="AF32" s="363"/>
      <c r="AG32" s="364"/>
      <c r="AH32" s="365"/>
      <c r="AI32" s="366"/>
      <c r="AJ32" s="367"/>
      <c r="AK32" s="369"/>
    </row>
    <row r="33" spans="2:37" x14ac:dyDescent="0.25">
      <c r="B33" s="57">
        <v>4</v>
      </c>
      <c r="C33" s="380" t="s">
        <v>711</v>
      </c>
      <c r="D33" s="380" t="s">
        <v>728</v>
      </c>
      <c r="E33" s="380" t="s">
        <v>569</v>
      </c>
      <c r="F33" s="381">
        <v>4784571251565</v>
      </c>
      <c r="L33" s="362"/>
      <c r="M33" s="363"/>
      <c r="N33" s="364"/>
      <c r="O33" s="365"/>
      <c r="P33" s="365"/>
      <c r="T33" s="368"/>
      <c r="U33" s="365"/>
      <c r="AD33" s="362"/>
      <c r="AE33" s="363"/>
      <c r="AF33" s="363"/>
      <c r="AG33" s="364"/>
      <c r="AH33" s="365"/>
      <c r="AI33" s="365"/>
      <c r="AJ33" s="368"/>
      <c r="AK33" s="365"/>
    </row>
    <row r="34" spans="2:37" x14ac:dyDescent="0.25">
      <c r="B34" s="57">
        <v>7</v>
      </c>
      <c r="C34" s="380" t="s">
        <v>713</v>
      </c>
      <c r="D34" s="380" t="s">
        <v>730</v>
      </c>
      <c r="E34" s="380" t="s">
        <v>569</v>
      </c>
      <c r="F34" s="381">
        <v>3833500736084</v>
      </c>
      <c r="L34" s="362"/>
      <c r="M34" s="363"/>
      <c r="N34" s="364"/>
      <c r="O34" s="365"/>
      <c r="P34" s="365"/>
      <c r="T34" s="368"/>
      <c r="U34" s="365"/>
      <c r="AD34" s="362"/>
      <c r="AE34" s="363"/>
      <c r="AF34" s="363"/>
      <c r="AG34" s="364"/>
      <c r="AH34" s="365"/>
      <c r="AI34" s="370"/>
      <c r="AJ34" s="371"/>
      <c r="AK34" s="365"/>
    </row>
    <row r="35" spans="2:37" ht="30" x14ac:dyDescent="0.25">
      <c r="B35" s="57">
        <v>6</v>
      </c>
      <c r="C35" s="380" t="s">
        <v>706</v>
      </c>
      <c r="D35" s="380" t="s">
        <v>723</v>
      </c>
      <c r="E35" s="380" t="s">
        <v>569</v>
      </c>
      <c r="F35" s="381">
        <v>3140294875296</v>
      </c>
      <c r="L35" s="362"/>
      <c r="M35" s="363"/>
      <c r="N35" s="364"/>
      <c r="O35" s="365"/>
      <c r="P35" s="366"/>
      <c r="T35" s="367"/>
      <c r="U35" s="365"/>
      <c r="AD35" s="362"/>
      <c r="AE35" s="363"/>
      <c r="AF35" s="363"/>
      <c r="AG35" s="364"/>
      <c r="AH35" s="365"/>
      <c r="AI35" s="365"/>
      <c r="AJ35" s="368"/>
      <c r="AK35" s="365"/>
    </row>
    <row r="36" spans="2:37" x14ac:dyDescent="0.25">
      <c r="B36" s="57">
        <v>2</v>
      </c>
      <c r="C36" s="380" t="s">
        <v>707</v>
      </c>
      <c r="D36" s="380" t="s">
        <v>724</v>
      </c>
      <c r="E36" s="380" t="s">
        <v>570</v>
      </c>
      <c r="F36" s="381">
        <v>1612061251526</v>
      </c>
      <c r="L36" s="362"/>
      <c r="M36" s="363"/>
      <c r="N36" s="364"/>
      <c r="O36" s="365"/>
      <c r="P36" s="366"/>
      <c r="T36" s="367"/>
      <c r="U36" s="369"/>
      <c r="AD36" s="362"/>
      <c r="AE36" s="363"/>
      <c r="AF36" s="363"/>
      <c r="AG36" s="364"/>
      <c r="AH36" s="365"/>
      <c r="AI36" s="365"/>
      <c r="AJ36" s="368"/>
      <c r="AK36" s="365"/>
    </row>
    <row r="37" spans="2:37" x14ac:dyDescent="0.25">
      <c r="B37" s="57">
        <v>9</v>
      </c>
      <c r="C37" s="380" t="s">
        <v>709</v>
      </c>
      <c r="D37" s="380" t="s">
        <v>726</v>
      </c>
      <c r="E37" s="380" t="s">
        <v>569</v>
      </c>
      <c r="F37" s="381">
        <v>398115477500</v>
      </c>
      <c r="L37" s="362"/>
      <c r="M37" s="363"/>
      <c r="N37" s="364"/>
      <c r="O37" s="365"/>
      <c r="P37" s="365"/>
      <c r="T37" s="368"/>
      <c r="U37" s="365"/>
      <c r="AD37" s="362"/>
      <c r="AE37" s="363"/>
      <c r="AF37" s="363"/>
      <c r="AG37" s="364"/>
      <c r="AH37" s="365"/>
      <c r="AI37" s="366"/>
      <c r="AJ37" s="367"/>
      <c r="AK37" s="369"/>
    </row>
    <row r="38" spans="2:37" x14ac:dyDescent="0.25">
      <c r="B38" s="57">
        <v>8</v>
      </c>
      <c r="C38" s="380" t="s">
        <v>712</v>
      </c>
      <c r="D38" s="380" t="s">
        <v>729</v>
      </c>
      <c r="E38" s="380" t="s">
        <v>569</v>
      </c>
      <c r="F38" s="381">
        <v>88067646750</v>
      </c>
      <c r="L38" s="362"/>
      <c r="M38" s="363"/>
      <c r="N38" s="364"/>
      <c r="O38" s="365"/>
      <c r="P38" s="370"/>
      <c r="T38" s="371"/>
      <c r="U38" s="365"/>
      <c r="AD38" s="362"/>
      <c r="AE38" s="363"/>
      <c r="AF38" s="363"/>
      <c r="AG38" s="364"/>
      <c r="AH38" s="365"/>
      <c r="AI38" s="370"/>
      <c r="AJ38" s="371"/>
      <c r="AK38" s="369"/>
    </row>
    <row r="39" spans="2:37" x14ac:dyDescent="0.25">
      <c r="B39" s="57">
        <v>5</v>
      </c>
      <c r="C39" s="380" t="s">
        <v>710</v>
      </c>
      <c r="D39" s="380" t="s">
        <v>727</v>
      </c>
      <c r="E39" s="380" t="s">
        <v>569</v>
      </c>
      <c r="F39" s="381">
        <v>17104274612</v>
      </c>
      <c r="L39" s="362"/>
      <c r="M39" s="363"/>
      <c r="N39" s="364"/>
      <c r="O39" s="365"/>
      <c r="P39" s="365"/>
      <c r="T39" s="368"/>
      <c r="U39" s="365"/>
      <c r="AD39" s="362"/>
      <c r="AE39" s="363"/>
      <c r="AF39" s="363"/>
      <c r="AG39" s="364"/>
      <c r="AH39" s="365"/>
      <c r="AI39" s="366"/>
      <c r="AJ39" s="367"/>
      <c r="AK39" s="369"/>
    </row>
    <row r="40" spans="2:37" x14ac:dyDescent="0.25">
      <c r="B40" s="57">
        <v>10</v>
      </c>
      <c r="C40" s="380" t="s">
        <v>714</v>
      </c>
      <c r="D40" s="380" t="s">
        <v>731</v>
      </c>
      <c r="E40" s="380" t="s">
        <v>569</v>
      </c>
      <c r="F40" s="381">
        <v>5110781887</v>
      </c>
      <c r="L40" s="362"/>
      <c r="M40" s="363"/>
      <c r="N40" s="364"/>
      <c r="O40" s="365"/>
      <c r="P40" s="365"/>
      <c r="T40" s="368"/>
      <c r="U40" s="365"/>
      <c r="AD40" s="362"/>
      <c r="AE40" s="363"/>
      <c r="AF40" s="363"/>
      <c r="AG40" s="364"/>
      <c r="AH40" s="365"/>
      <c r="AI40" s="365"/>
      <c r="AJ40" s="368"/>
      <c r="AK40" s="369"/>
    </row>
    <row r="41" spans="2:37" x14ac:dyDescent="0.25">
      <c r="L41" s="362"/>
      <c r="M41" s="363"/>
      <c r="N41" s="364"/>
      <c r="O41" s="365"/>
      <c r="P41" s="366"/>
      <c r="T41" s="367"/>
      <c r="U41" s="369"/>
      <c r="AD41" s="362"/>
      <c r="AE41" s="363"/>
      <c r="AF41" s="363"/>
      <c r="AG41" s="364"/>
      <c r="AH41" s="365"/>
      <c r="AI41" s="365"/>
      <c r="AJ41" s="368"/>
      <c r="AK41" s="365"/>
    </row>
    <row r="42" spans="2:37" x14ac:dyDescent="0.25">
      <c r="B42" s="18" t="s">
        <v>1</v>
      </c>
      <c r="C42" s="18" t="s">
        <v>563</v>
      </c>
      <c r="D42" s="18" t="s">
        <v>734</v>
      </c>
      <c r="E42" s="18" t="s">
        <v>565</v>
      </c>
      <c r="F42" s="18" t="s">
        <v>735</v>
      </c>
      <c r="L42" s="362"/>
      <c r="M42" s="363"/>
      <c r="N42" s="364"/>
      <c r="O42" s="365"/>
      <c r="P42" s="370"/>
      <c r="T42" s="371"/>
      <c r="U42" s="369"/>
    </row>
    <row r="43" spans="2:37" ht="30" x14ac:dyDescent="0.25">
      <c r="B43" s="18">
        <v>1</v>
      </c>
      <c r="C43" s="154" t="s">
        <v>706</v>
      </c>
      <c r="D43" s="154" t="s">
        <v>723</v>
      </c>
      <c r="E43" s="154" t="s">
        <v>569</v>
      </c>
      <c r="F43" s="102">
        <v>963599730175</v>
      </c>
      <c r="L43" s="362"/>
      <c r="M43" s="363"/>
      <c r="N43" s="364"/>
      <c r="O43" s="365"/>
      <c r="P43" s="366"/>
      <c r="T43" s="367"/>
      <c r="U43" s="369"/>
    </row>
    <row r="44" spans="2:37" x14ac:dyDescent="0.25">
      <c r="B44" s="18">
        <v>2</v>
      </c>
      <c r="C44" s="154" t="s">
        <v>705</v>
      </c>
      <c r="D44" s="154" t="s">
        <v>722</v>
      </c>
      <c r="E44" s="154" t="s">
        <v>570</v>
      </c>
      <c r="F44" s="102">
        <v>959535700820</v>
      </c>
      <c r="L44" s="362"/>
      <c r="M44" s="363"/>
      <c r="N44" s="364"/>
      <c r="O44" s="365"/>
      <c r="P44" s="365"/>
      <c r="T44" s="368"/>
      <c r="U44" s="369"/>
    </row>
    <row r="45" spans="2:37" x14ac:dyDescent="0.25">
      <c r="B45" s="18">
        <v>3</v>
      </c>
      <c r="C45" s="154" t="s">
        <v>713</v>
      </c>
      <c r="D45" s="154" t="s">
        <v>730</v>
      </c>
      <c r="E45" s="154" t="s">
        <v>569</v>
      </c>
      <c r="F45" s="102">
        <v>913953772390</v>
      </c>
      <c r="L45" s="362"/>
      <c r="M45" s="363"/>
      <c r="N45" s="364"/>
      <c r="O45" s="365"/>
      <c r="P45" s="365"/>
      <c r="T45" s="368"/>
      <c r="U45" s="365"/>
    </row>
    <row r="46" spans="2:37" x14ac:dyDescent="0.25">
      <c r="B46" s="18">
        <v>4</v>
      </c>
      <c r="C46" s="154" t="s">
        <v>708</v>
      </c>
      <c r="D46" s="154" t="s">
        <v>725</v>
      </c>
      <c r="E46" s="154" t="s">
        <v>569</v>
      </c>
      <c r="F46" s="102">
        <v>525408212987</v>
      </c>
    </row>
    <row r="47" spans="2:37" x14ac:dyDescent="0.25">
      <c r="B47" s="18">
        <v>5</v>
      </c>
      <c r="C47" s="154" t="s">
        <v>707</v>
      </c>
      <c r="D47" s="154" t="s">
        <v>724</v>
      </c>
      <c r="E47" s="154" t="s">
        <v>570</v>
      </c>
      <c r="F47" s="99">
        <v>375852347565</v>
      </c>
    </row>
    <row r="48" spans="2:37" x14ac:dyDescent="0.25">
      <c r="B48" s="18">
        <v>6</v>
      </c>
      <c r="C48" s="154" t="s">
        <v>711</v>
      </c>
      <c r="D48" s="154" t="s">
        <v>728</v>
      </c>
      <c r="E48" s="154" t="s">
        <v>569</v>
      </c>
      <c r="F48" s="102">
        <v>344226326404</v>
      </c>
    </row>
    <row r="49" spans="2:6" x14ac:dyDescent="0.25">
      <c r="B49" s="18">
        <v>7</v>
      </c>
      <c r="C49" s="154" t="s">
        <v>712</v>
      </c>
      <c r="D49" s="154" t="s">
        <v>729</v>
      </c>
      <c r="E49" s="154" t="s">
        <v>569</v>
      </c>
      <c r="F49" s="102">
        <v>12430052174</v>
      </c>
    </row>
    <row r="50" spans="2:6" x14ac:dyDescent="0.25">
      <c r="B50" s="18">
        <v>8</v>
      </c>
      <c r="C50" s="154" t="s">
        <v>710</v>
      </c>
      <c r="D50" s="154" t="s">
        <v>727</v>
      </c>
      <c r="E50" s="154" t="s">
        <v>569</v>
      </c>
      <c r="F50" s="102">
        <v>4790397923</v>
      </c>
    </row>
    <row r="51" spans="2:6" x14ac:dyDescent="0.25">
      <c r="B51" s="18">
        <v>9</v>
      </c>
      <c r="C51" s="154" t="s">
        <v>714</v>
      </c>
      <c r="D51" s="154" t="s">
        <v>731</v>
      </c>
      <c r="E51" s="154" t="s">
        <v>569</v>
      </c>
      <c r="F51" s="102">
        <v>1173401018</v>
      </c>
    </row>
    <row r="52" spans="2:6" x14ac:dyDescent="0.25">
      <c r="B52" s="18">
        <v>10</v>
      </c>
      <c r="C52" s="154" t="s">
        <v>709</v>
      </c>
      <c r="D52" s="154" t="s">
        <v>726</v>
      </c>
      <c r="E52" s="154" t="s">
        <v>569</v>
      </c>
      <c r="F52" s="102">
        <v>-10535793133</v>
      </c>
    </row>
    <row r="54" spans="2:6" x14ac:dyDescent="0.25">
      <c r="B54" s="18" t="s">
        <v>1</v>
      </c>
      <c r="C54" s="18" t="s">
        <v>563</v>
      </c>
      <c r="D54" s="18" t="s">
        <v>734</v>
      </c>
      <c r="E54" s="18" t="s">
        <v>565</v>
      </c>
      <c r="F54" s="18" t="s">
        <v>519</v>
      </c>
    </row>
    <row r="55" spans="2:6" x14ac:dyDescent="0.25">
      <c r="B55" s="18">
        <v>1</v>
      </c>
      <c r="C55" s="154" t="s">
        <v>708</v>
      </c>
      <c r="D55" s="154" t="s">
        <v>725</v>
      </c>
      <c r="E55" s="154" t="s">
        <v>569</v>
      </c>
      <c r="F55" s="99">
        <v>5623501691317</v>
      </c>
    </row>
    <row r="56" spans="2:6" x14ac:dyDescent="0.25">
      <c r="B56" s="18">
        <v>2</v>
      </c>
      <c r="C56" s="154" t="s">
        <v>705</v>
      </c>
      <c r="D56" s="154" t="s">
        <v>722</v>
      </c>
      <c r="E56" s="154" t="s">
        <v>570</v>
      </c>
      <c r="F56" s="99">
        <v>4641227663231</v>
      </c>
    </row>
    <row r="57" spans="2:6" x14ac:dyDescent="0.25">
      <c r="B57" s="18">
        <v>3</v>
      </c>
      <c r="C57" s="154" t="s">
        <v>710</v>
      </c>
      <c r="D57" s="154" t="s">
        <v>727</v>
      </c>
      <c r="E57" s="154" t="s">
        <v>569</v>
      </c>
      <c r="F57" s="99">
        <v>4456893050765</v>
      </c>
    </row>
    <row r="58" spans="2:6" x14ac:dyDescent="0.25">
      <c r="B58" s="18">
        <v>4</v>
      </c>
      <c r="C58" s="154" t="s">
        <v>707</v>
      </c>
      <c r="D58" s="154" t="s">
        <v>724</v>
      </c>
      <c r="E58" s="154" t="s">
        <v>570</v>
      </c>
      <c r="F58" s="99">
        <v>1742668059914</v>
      </c>
    </row>
    <row r="59" spans="2:6" x14ac:dyDescent="0.25">
      <c r="B59" s="18">
        <v>5</v>
      </c>
      <c r="C59" s="154" t="s">
        <v>711</v>
      </c>
      <c r="D59" s="154" t="s">
        <v>728</v>
      </c>
      <c r="E59" s="154" t="s">
        <v>569</v>
      </c>
      <c r="F59" s="99">
        <v>1286832422193</v>
      </c>
    </row>
    <row r="60" spans="2:6" ht="30" x14ac:dyDescent="0.25">
      <c r="B60" s="18">
        <v>6</v>
      </c>
      <c r="C60" s="154" t="s">
        <v>706</v>
      </c>
      <c r="D60" s="154" t="s">
        <v>723</v>
      </c>
      <c r="E60" s="154" t="s">
        <v>569</v>
      </c>
      <c r="F60" s="99">
        <v>425226687783</v>
      </c>
    </row>
    <row r="61" spans="2:6" x14ac:dyDescent="0.25">
      <c r="B61" s="18">
        <v>7</v>
      </c>
      <c r="C61" s="154" t="s">
        <v>712</v>
      </c>
      <c r="D61" s="154" t="s">
        <v>729</v>
      </c>
      <c r="E61" s="154" t="s">
        <v>569</v>
      </c>
      <c r="F61" s="99">
        <v>151618064477</v>
      </c>
    </row>
    <row r="62" spans="2:6" x14ac:dyDescent="0.25">
      <c r="B62" s="18">
        <v>8</v>
      </c>
      <c r="C62" s="154" t="s">
        <v>709</v>
      </c>
      <c r="D62" s="154" t="s">
        <v>726</v>
      </c>
      <c r="E62" s="154" t="s">
        <v>569</v>
      </c>
      <c r="F62" s="99">
        <v>48085199287</v>
      </c>
    </row>
    <row r="63" spans="2:6" x14ac:dyDescent="0.25">
      <c r="B63" s="18">
        <v>9</v>
      </c>
      <c r="C63" s="154" t="s">
        <v>713</v>
      </c>
      <c r="D63" s="154" t="s">
        <v>730</v>
      </c>
      <c r="E63" s="154" t="s">
        <v>569</v>
      </c>
      <c r="F63" s="99">
        <v>45804278048</v>
      </c>
    </row>
    <row r="64" spans="2:6" x14ac:dyDescent="0.25">
      <c r="B64" s="18">
        <v>10</v>
      </c>
      <c r="C64" s="154" t="s">
        <v>714</v>
      </c>
      <c r="D64" s="154" t="s">
        <v>731</v>
      </c>
      <c r="E64" s="154" t="s">
        <v>569</v>
      </c>
      <c r="F64" s="99">
        <v>5194743341</v>
      </c>
    </row>
    <row r="66" spans="2:6" x14ac:dyDescent="0.25">
      <c r="B66" s="18" t="s">
        <v>1</v>
      </c>
      <c r="C66" s="18" t="s">
        <v>563</v>
      </c>
      <c r="D66" s="18" t="s">
        <v>734</v>
      </c>
      <c r="E66" s="18" t="s">
        <v>565</v>
      </c>
      <c r="F66" s="18" t="s">
        <v>618</v>
      </c>
    </row>
    <row r="67" spans="2:6" x14ac:dyDescent="0.25">
      <c r="B67" s="18">
        <v>1</v>
      </c>
      <c r="C67" s="154" t="s">
        <v>708</v>
      </c>
      <c r="D67" s="154" t="s">
        <v>725</v>
      </c>
      <c r="E67" s="154" t="s">
        <v>569</v>
      </c>
      <c r="F67" s="153">
        <v>13346388833543</v>
      </c>
    </row>
    <row r="68" spans="2:6" x14ac:dyDescent="0.25">
      <c r="B68" s="18">
        <v>2</v>
      </c>
      <c r="C68" s="154" t="s">
        <v>705</v>
      </c>
      <c r="D68" s="154" t="s">
        <v>722</v>
      </c>
      <c r="E68" s="154" t="s">
        <v>570</v>
      </c>
      <c r="F68" s="153">
        <v>12974103921350</v>
      </c>
    </row>
    <row r="69" spans="2:6" x14ac:dyDescent="0.25">
      <c r="B69" s="18">
        <v>3</v>
      </c>
      <c r="C69" s="154" t="s">
        <v>710</v>
      </c>
      <c r="D69" s="154" t="s">
        <v>727</v>
      </c>
      <c r="E69" s="154" t="s">
        <v>569</v>
      </c>
      <c r="F69" s="153">
        <v>4898376539824</v>
      </c>
    </row>
    <row r="70" spans="2:6" x14ac:dyDescent="0.25">
      <c r="B70" s="18">
        <v>4</v>
      </c>
      <c r="C70" s="154" t="s">
        <v>707</v>
      </c>
      <c r="D70" s="154" t="s">
        <v>724</v>
      </c>
      <c r="E70" s="154" t="s">
        <v>570</v>
      </c>
      <c r="F70" s="153">
        <v>4729096092916</v>
      </c>
    </row>
    <row r="71" spans="2:6" x14ac:dyDescent="0.25">
      <c r="B71" s="18">
        <v>5</v>
      </c>
      <c r="C71" s="154" t="s">
        <v>711</v>
      </c>
      <c r="D71" s="154" t="s">
        <v>728</v>
      </c>
      <c r="E71" s="154" t="s">
        <v>569</v>
      </c>
      <c r="F71" s="153">
        <v>2081674450353</v>
      </c>
    </row>
    <row r="72" spans="2:6" ht="30" x14ac:dyDescent="0.25">
      <c r="B72" s="18">
        <v>6</v>
      </c>
      <c r="C72" s="154" t="s">
        <v>706</v>
      </c>
      <c r="D72" s="154" t="s">
        <v>723</v>
      </c>
      <c r="E72" s="154" t="s">
        <v>569</v>
      </c>
      <c r="F72" s="153">
        <v>1094182874816</v>
      </c>
    </row>
    <row r="73" spans="2:6" x14ac:dyDescent="0.25">
      <c r="B73" s="18">
        <v>7</v>
      </c>
      <c r="C73" s="154" t="s">
        <v>712</v>
      </c>
      <c r="D73" s="154" t="s">
        <v>729</v>
      </c>
      <c r="E73" s="154" t="s">
        <v>569</v>
      </c>
      <c r="F73" s="153">
        <v>163804825195</v>
      </c>
    </row>
    <row r="74" spans="2:6" x14ac:dyDescent="0.25">
      <c r="B74" s="18">
        <v>8</v>
      </c>
      <c r="C74" s="154" t="s">
        <v>713</v>
      </c>
      <c r="D74" s="154" t="s">
        <v>730</v>
      </c>
      <c r="E74" s="154" t="s">
        <v>569</v>
      </c>
      <c r="F74" s="153">
        <v>121931264283</v>
      </c>
    </row>
    <row r="75" spans="2:6" x14ac:dyDescent="0.25">
      <c r="B75" s="18">
        <v>9</v>
      </c>
      <c r="C75" s="154" t="s">
        <v>709</v>
      </c>
      <c r="D75" s="154" t="s">
        <v>726</v>
      </c>
      <c r="E75" s="154" t="s">
        <v>569</v>
      </c>
      <c r="F75" s="153">
        <v>50784927921</v>
      </c>
    </row>
    <row r="76" spans="2:6" x14ac:dyDescent="0.25">
      <c r="B76" s="18">
        <v>10</v>
      </c>
      <c r="C76" s="154" t="s">
        <v>714</v>
      </c>
      <c r="D76" s="154" t="s">
        <v>731</v>
      </c>
      <c r="E76" s="154" t="s">
        <v>569</v>
      </c>
      <c r="F76" s="153">
        <v>19798387553</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D6C4B4-D1D2-4CB4-AE9B-012B48A3E0D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3</vt:i4>
      </vt:variant>
    </vt:vector>
  </HeadingPairs>
  <TitlesOfParts>
    <vt:vector size="43" baseType="lpstr">
      <vt:lpstr>TH1</vt:lpstr>
      <vt:lpstr>1.PL (VND) </vt:lpstr>
      <vt:lpstr>1.BS (VND)</vt:lpstr>
      <vt:lpstr>1.DC_Ra soat</vt:lpstr>
      <vt:lpstr>1.BC_Ra Soat (ty) </vt:lpstr>
      <vt:lpstr>1.DC_Muc tieu</vt:lpstr>
      <vt:lpstr>1.BC_Muc tieu (ty) </vt:lpstr>
      <vt:lpstr>2. WACC</vt:lpstr>
      <vt:lpstr>2. Input</vt:lpstr>
      <vt:lpstr>Dự án - Vốn</vt:lpstr>
      <vt:lpstr>2.IP- SX  </vt:lpstr>
      <vt:lpstr>2.IP- TM</vt:lpstr>
      <vt:lpstr>3.Bo gia</vt:lpstr>
      <vt:lpstr>3. Doanh thu</vt:lpstr>
      <vt:lpstr>3. CP-NL</vt:lpstr>
      <vt:lpstr>KH- Phan bo</vt:lpstr>
      <vt:lpstr>3.KH- Tach</vt:lpstr>
      <vt:lpstr>3.CP-KH</vt:lpstr>
      <vt:lpstr>3.Luong-Tach</vt:lpstr>
      <vt:lpstr>3. CP-Luong</vt:lpstr>
      <vt:lpstr>Luong- Phan bo</vt:lpstr>
      <vt:lpstr>3.CP-TC</vt:lpstr>
      <vt:lpstr>3.Von CĐ</vt:lpstr>
      <vt:lpstr>3. CP-khac</vt:lpstr>
      <vt:lpstr>4. KQ-PL</vt:lpstr>
      <vt:lpstr>4. KQ- BS</vt:lpstr>
      <vt:lpstr>4. NC Vốn</vt:lpstr>
      <vt:lpstr>Biểu đồ - PL</vt:lpstr>
      <vt:lpstr>Biểu đồ - CP</vt:lpstr>
      <vt:lpstr>Biểu đồ - LN</vt:lpstr>
      <vt:lpstr>Biểu đồ - TS</vt:lpstr>
      <vt:lpstr>Biểu đồ - NV</vt:lpstr>
      <vt:lpstr>5. ĐG- Tổng</vt:lpstr>
      <vt:lpstr>5.ĐG-FCFE</vt:lpstr>
      <vt:lpstr>5.ĐG-FCFF</vt:lpstr>
      <vt:lpstr>5.DG- Ty so</vt:lpstr>
      <vt:lpstr>5.DNCN (VND)</vt:lpstr>
      <vt:lpstr>5. DNCN (Tỷ)</vt:lpstr>
      <vt:lpstr>Chi tieu đánh giá tương đồng</vt:lpstr>
      <vt:lpstr>Xếp hạng</vt:lpstr>
      <vt:lpstr>'2. Input'!Print_Area</vt:lpstr>
      <vt:lpstr>'2. WACC'!Print_Area</vt:lpstr>
      <vt:lpstr>'5. ĐG- Tổng'!Print_Area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Big Bear</dc:creator>
  <cp:lastModifiedBy>Dao Le Hieu Kien</cp:lastModifiedBy>
  <cp:lastPrinted>2024-02-22T01:24:14Z</cp:lastPrinted>
  <dcterms:created xsi:type="dcterms:W3CDTF">2023-05-23T02:09:36Z</dcterms:created>
  <dcterms:modified xsi:type="dcterms:W3CDTF">2024-06-24T07:07:03Z</dcterms:modified>
</cp:coreProperties>
</file>